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Bank Documents\"/>
    </mc:Choice>
  </mc:AlternateContent>
  <bookViews>
    <workbookView xWindow="0" yWindow="0" windowWidth="20490" windowHeight="7755" tabRatio="756"/>
  </bookViews>
  <sheets>
    <sheet name="CF Beldi" sheetId="13" r:id="rId1"/>
    <sheet name="COP MOF" sheetId="14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4" l="1"/>
  <c r="C10" i="14"/>
  <c r="C7" i="14"/>
  <c r="A7" i="14"/>
  <c r="C6" i="14"/>
  <c r="C5" i="14"/>
  <c r="C4" i="14"/>
  <c r="C3" i="14"/>
  <c r="C12" i="14"/>
  <c r="A10" i="14"/>
  <c r="A11" i="14" s="1"/>
  <c r="A12" i="14" s="1"/>
  <c r="A13" i="14" s="1"/>
  <c r="A3" i="14"/>
  <c r="A4" i="14" s="1"/>
  <c r="A5" i="14" s="1"/>
  <c r="A6" i="14" s="1"/>
  <c r="C8" i="14" l="1"/>
  <c r="D4" i="14" s="1"/>
  <c r="D7" i="14" l="1"/>
  <c r="C14" i="14"/>
  <c r="D5" i="14"/>
  <c r="D3" i="14"/>
  <c r="D6" i="14"/>
  <c r="D8" i="14" l="1"/>
  <c r="C13" i="14"/>
  <c r="D13" i="14" s="1"/>
  <c r="D12" i="14"/>
  <c r="D10" i="14"/>
  <c r="D11" i="14"/>
  <c r="D14" i="14" l="1"/>
  <c r="B46" i="13" l="1"/>
  <c r="C63" i="13" l="1"/>
  <c r="B63" i="13"/>
  <c r="C22" i="13" l="1"/>
  <c r="F48" i="13"/>
  <c r="F35" i="13" s="1"/>
  <c r="F102" i="13" l="1"/>
  <c r="E97" i="13"/>
  <c r="K32" i="13"/>
  <c r="L32" i="13" s="1"/>
  <c r="M114" i="13"/>
  <c r="L114" i="13"/>
  <c r="K114" i="13"/>
  <c r="J114" i="13"/>
  <c r="I114" i="13"/>
  <c r="H114" i="13"/>
  <c r="G114" i="13"/>
  <c r="F114" i="13"/>
  <c r="E114" i="13"/>
  <c r="D114" i="13"/>
  <c r="C114" i="13"/>
  <c r="M60" i="13"/>
  <c r="L60" i="13"/>
  <c r="K60" i="13"/>
  <c r="J60" i="13"/>
  <c r="I60" i="13"/>
  <c r="H60" i="13"/>
  <c r="G60" i="13"/>
  <c r="F60" i="13"/>
  <c r="E60" i="13"/>
  <c r="D60" i="13"/>
  <c r="C60" i="13"/>
  <c r="C39" i="13"/>
  <c r="J49" i="13"/>
  <c r="L28" i="13"/>
  <c r="L29" i="13"/>
  <c r="I30" i="13"/>
  <c r="J30" i="13" s="1"/>
  <c r="K30" i="13" s="1"/>
  <c r="L30" i="13" s="1"/>
  <c r="G48" i="13" l="1"/>
  <c r="M51" i="13"/>
  <c r="N51" i="13" s="1"/>
  <c r="F116" i="13"/>
  <c r="N30" i="13" l="1"/>
  <c r="L49" i="13"/>
  <c r="C21" i="13"/>
  <c r="D22" i="13" s="1"/>
  <c r="N60" i="13" l="1"/>
  <c r="B60" i="13"/>
  <c r="N114" i="13"/>
  <c r="B114" i="13"/>
  <c r="J39" i="13" l="1"/>
  <c r="I39" i="13"/>
  <c r="H39" i="13"/>
  <c r="G39" i="13"/>
  <c r="F39" i="13"/>
  <c r="E39" i="13"/>
  <c r="D39" i="13"/>
  <c r="B39" i="13"/>
  <c r="B59" i="13"/>
  <c r="C18" i="13"/>
  <c r="M50" i="13"/>
  <c r="C9" i="13"/>
  <c r="M38" i="13" l="1"/>
  <c r="I38" i="13"/>
  <c r="E38" i="13"/>
  <c r="L38" i="13"/>
  <c r="H38" i="13"/>
  <c r="D38" i="13"/>
  <c r="G38" i="13"/>
  <c r="F38" i="13"/>
  <c r="K38" i="13"/>
  <c r="C38" i="13"/>
  <c r="J38" i="13"/>
  <c r="B38" i="13"/>
  <c r="C17" i="13"/>
  <c r="C16" i="13"/>
  <c r="J37" i="13" l="1"/>
  <c r="F37" i="13"/>
  <c r="B37" i="13"/>
  <c r="M37" i="13"/>
  <c r="I37" i="13"/>
  <c r="E37" i="13"/>
  <c r="H37" i="13"/>
  <c r="D37" i="13"/>
  <c r="K37" i="13"/>
  <c r="C37" i="13"/>
  <c r="L37" i="13"/>
  <c r="G37" i="13"/>
  <c r="B35" i="13"/>
  <c r="E35" i="13"/>
  <c r="C35" i="13"/>
  <c r="D35" i="13"/>
  <c r="N50" i="13"/>
  <c r="N49" i="13"/>
  <c r="N48" i="13" l="1"/>
  <c r="N29" i="13" l="1"/>
  <c r="K35" i="13" l="1"/>
  <c r="B53" i="13"/>
  <c r="M118" i="13"/>
  <c r="L118" i="13"/>
  <c r="M54" i="13" s="1"/>
  <c r="K118" i="13"/>
  <c r="L54" i="13" s="1"/>
  <c r="J118" i="13"/>
  <c r="I118" i="13"/>
  <c r="J54" i="13" s="1"/>
  <c r="H118" i="13"/>
  <c r="G118" i="13"/>
  <c r="F118" i="13"/>
  <c r="B118" i="13"/>
  <c r="C59" i="13"/>
  <c r="C58" i="13"/>
  <c r="D58" i="13" s="1"/>
  <c r="C57" i="13"/>
  <c r="D57" i="13" s="1"/>
  <c r="N28" i="13"/>
  <c r="L107" i="13" l="1"/>
  <c r="H107" i="13"/>
  <c r="J102" i="13"/>
  <c r="K107" i="13"/>
  <c r="G107" i="13"/>
  <c r="I102" i="13"/>
  <c r="J107" i="13"/>
  <c r="H102" i="13"/>
  <c r="I107" i="13"/>
  <c r="K102" i="13"/>
  <c r="G102" i="13"/>
  <c r="H97" i="13"/>
  <c r="J97" i="13"/>
  <c r="I97" i="13"/>
  <c r="F97" i="13"/>
  <c r="G97" i="13"/>
  <c r="L39" i="13"/>
  <c r="M39" i="13"/>
  <c r="K39" i="13"/>
  <c r="C54" i="13"/>
  <c r="C55" i="13" s="1"/>
  <c r="B61" i="13" s="1"/>
  <c r="N61" i="13" s="1"/>
  <c r="E118" i="13"/>
  <c r="N116" i="13"/>
  <c r="I35" i="13"/>
  <c r="M35" i="13"/>
  <c r="G54" i="13"/>
  <c r="G55" i="13" s="1"/>
  <c r="K54" i="13"/>
  <c r="K55" i="13" s="1"/>
  <c r="N103" i="13"/>
  <c r="H54" i="13"/>
  <c r="H55" i="13" s="1"/>
  <c r="L55" i="13"/>
  <c r="J55" i="13"/>
  <c r="L35" i="13"/>
  <c r="B111" i="13"/>
  <c r="B31" i="13" s="1"/>
  <c r="I54" i="13"/>
  <c r="I55" i="13" s="1"/>
  <c r="J35" i="13"/>
  <c r="M55" i="13"/>
  <c r="D59" i="13"/>
  <c r="D118" i="13"/>
  <c r="H73" i="13" l="1"/>
  <c r="K81" i="13"/>
  <c r="G81" i="13"/>
  <c r="K73" i="13"/>
  <c r="G73" i="13"/>
  <c r="J81" i="13"/>
  <c r="H81" i="13"/>
  <c r="J73" i="13"/>
  <c r="F73" i="13"/>
  <c r="I81" i="13"/>
  <c r="I73" i="13"/>
  <c r="L81" i="13"/>
  <c r="F106" i="13"/>
  <c r="E96" i="13"/>
  <c r="F101" i="13"/>
  <c r="G65" i="13"/>
  <c r="F65" i="13"/>
  <c r="I110" i="13"/>
  <c r="F95" i="13"/>
  <c r="E95" i="13"/>
  <c r="H95" i="13"/>
  <c r="G95" i="13"/>
  <c r="D93" i="13"/>
  <c r="C111" i="13" s="1"/>
  <c r="C31" i="13" s="1"/>
  <c r="C33" i="13" s="1"/>
  <c r="G96" i="13"/>
  <c r="F96" i="13"/>
  <c r="H96" i="13"/>
  <c r="M110" i="13"/>
  <c r="L110" i="13"/>
  <c r="F54" i="13"/>
  <c r="F55" i="13" s="1"/>
  <c r="H80" i="13" s="1"/>
  <c r="I106" i="13"/>
  <c r="H106" i="13"/>
  <c r="I101" i="13"/>
  <c r="G106" i="13"/>
  <c r="H101" i="13"/>
  <c r="G101" i="13"/>
  <c r="J106" i="13"/>
  <c r="J110" i="13"/>
  <c r="I100" i="13"/>
  <c r="G105" i="13"/>
  <c r="F105" i="13"/>
  <c r="I105" i="13"/>
  <c r="H105" i="13"/>
  <c r="G100" i="13"/>
  <c r="J105" i="13"/>
  <c r="H100" i="13"/>
  <c r="F100" i="13"/>
  <c r="E91" i="13"/>
  <c r="E90" i="13"/>
  <c r="E89" i="13"/>
  <c r="E88" i="13"/>
  <c r="E87" i="13"/>
  <c r="K110" i="13"/>
  <c r="N108" i="13"/>
  <c r="B33" i="13"/>
  <c r="N39" i="13"/>
  <c r="N102" i="13"/>
  <c r="H75" i="13"/>
  <c r="K75" i="13"/>
  <c r="F67" i="13"/>
  <c r="J75" i="13"/>
  <c r="I75" i="13"/>
  <c r="C118" i="13"/>
  <c r="N118" i="13"/>
  <c r="E77" i="13"/>
  <c r="D77" i="13"/>
  <c r="G77" i="13"/>
  <c r="F77" i="13"/>
  <c r="M84" i="13"/>
  <c r="M36" i="13" s="1"/>
  <c r="J82" i="13"/>
  <c r="H74" i="13"/>
  <c r="G74" i="13"/>
  <c r="J74" i="13"/>
  <c r="I74" i="13"/>
  <c r="E66" i="13"/>
  <c r="K82" i="13"/>
  <c r="E54" i="13"/>
  <c r="E55" i="13" s="1"/>
  <c r="N38" i="13"/>
  <c r="N35" i="13"/>
  <c r="E64" i="13" l="1"/>
  <c r="N64" i="13" s="1"/>
  <c r="F80" i="13"/>
  <c r="J80" i="13"/>
  <c r="K84" i="13" s="1"/>
  <c r="K36" i="13" s="1"/>
  <c r="N96" i="13"/>
  <c r="I80" i="13"/>
  <c r="G72" i="13"/>
  <c r="E72" i="13"/>
  <c r="I72" i="13"/>
  <c r="H72" i="13"/>
  <c r="F72" i="13"/>
  <c r="G80" i="13"/>
  <c r="C19" i="13"/>
  <c r="D20" i="13" s="1"/>
  <c r="E23" i="13" s="1"/>
  <c r="D71" i="13"/>
  <c r="E79" i="13"/>
  <c r="I79" i="13"/>
  <c r="H71" i="13"/>
  <c r="E111" i="13"/>
  <c r="E31" i="13" s="1"/>
  <c r="G79" i="13"/>
  <c r="F79" i="13"/>
  <c r="F71" i="13"/>
  <c r="H79" i="13"/>
  <c r="E71" i="13"/>
  <c r="G71" i="13"/>
  <c r="N98" i="13"/>
  <c r="N107" i="13"/>
  <c r="N73" i="13"/>
  <c r="L84" i="13"/>
  <c r="L36" i="13" s="1"/>
  <c r="N67" i="13"/>
  <c r="N81" i="13"/>
  <c r="N82" i="13"/>
  <c r="N69" i="13"/>
  <c r="N75" i="13"/>
  <c r="N65" i="13"/>
  <c r="B84" i="13"/>
  <c r="B36" i="13" s="1"/>
  <c r="N106" i="13"/>
  <c r="N101" i="13"/>
  <c r="N66" i="13"/>
  <c r="N74" i="13"/>
  <c r="N77" i="13"/>
  <c r="D54" i="13"/>
  <c r="N80" i="13" l="1"/>
  <c r="N72" i="13"/>
  <c r="J84" i="13"/>
  <c r="J36" i="13" s="1"/>
  <c r="K111" i="13"/>
  <c r="K31" i="13" s="1"/>
  <c r="I111" i="13"/>
  <c r="I31" i="13" s="1"/>
  <c r="H111" i="13"/>
  <c r="H31" i="13" s="1"/>
  <c r="F111" i="13"/>
  <c r="F31" i="13" s="1"/>
  <c r="J111" i="13"/>
  <c r="J31" i="13" s="1"/>
  <c r="G111" i="13"/>
  <c r="G31" i="13" s="1"/>
  <c r="M111" i="13"/>
  <c r="M31" i="13" s="1"/>
  <c r="L111" i="13"/>
  <c r="L31" i="13" s="1"/>
  <c r="D111" i="13"/>
  <c r="D31" i="13" s="1"/>
  <c r="D33" i="13" s="1"/>
  <c r="N97" i="13"/>
  <c r="N110" i="13"/>
  <c r="N79" i="13"/>
  <c r="N100" i="13"/>
  <c r="N105" i="13"/>
  <c r="N54" i="13"/>
  <c r="D55" i="13"/>
  <c r="N95" i="13"/>
  <c r="N93" i="13"/>
  <c r="H78" i="13" l="1"/>
  <c r="I84" i="13" s="1"/>
  <c r="I36" i="13" s="1"/>
  <c r="D78" i="13"/>
  <c r="M33" i="13"/>
  <c r="K33" i="13"/>
  <c r="K40" i="13"/>
  <c r="L33" i="13"/>
  <c r="L40" i="13"/>
  <c r="N32" i="13"/>
  <c r="G78" i="13"/>
  <c r="H84" i="13" s="1"/>
  <c r="H36" i="13" s="1"/>
  <c r="F78" i="13"/>
  <c r="E78" i="13"/>
  <c r="N71" i="13"/>
  <c r="E33" i="13"/>
  <c r="J33" i="13"/>
  <c r="F33" i="13"/>
  <c r="H33" i="13"/>
  <c r="G33" i="13"/>
  <c r="I33" i="13"/>
  <c r="N31" i="13"/>
  <c r="B40" i="13"/>
  <c r="B44" i="13" s="1"/>
  <c r="N63" i="13"/>
  <c r="N55" i="13"/>
  <c r="N111" i="13"/>
  <c r="B45" i="13" l="1"/>
  <c r="C43" i="13" s="1"/>
  <c r="E84" i="13"/>
  <c r="E36" i="13" s="1"/>
  <c r="K44" i="13"/>
  <c r="L44" i="13"/>
  <c r="I40" i="13"/>
  <c r="I44" i="13" s="1"/>
  <c r="J40" i="13"/>
  <c r="J44" i="13" s="1"/>
  <c r="G84" i="13"/>
  <c r="G36" i="13" s="1"/>
  <c r="F84" i="13"/>
  <c r="F36" i="13" s="1"/>
  <c r="N70" i="13"/>
  <c r="N76" i="13" s="1"/>
  <c r="D84" i="13"/>
  <c r="D36" i="13" s="1"/>
  <c r="N33" i="13"/>
  <c r="N62" i="13"/>
  <c r="N68" i="13" s="1"/>
  <c r="C84" i="13"/>
  <c r="C36" i="13" s="1"/>
  <c r="C40" i="13" s="1"/>
  <c r="C44" i="13" s="1"/>
  <c r="N78" i="13"/>
  <c r="N83" i="13" s="1"/>
  <c r="C45" i="13" l="1"/>
  <c r="D43" i="13" s="1"/>
  <c r="M40" i="13"/>
  <c r="M44" i="13" s="1"/>
  <c r="H40" i="13"/>
  <c r="H44" i="13" s="1"/>
  <c r="G40" i="13"/>
  <c r="G44" i="13" s="1"/>
  <c r="E40" i="13"/>
  <c r="E44" i="13" s="1"/>
  <c r="F40" i="13"/>
  <c r="F44" i="13" s="1"/>
  <c r="N37" i="13"/>
  <c r="N84" i="13"/>
  <c r="D40" i="13" l="1"/>
  <c r="D44" i="13" s="1"/>
  <c r="D45" i="13" s="1"/>
  <c r="E43" i="13" s="1"/>
  <c r="E45" i="13" s="1"/>
  <c r="N36" i="13"/>
  <c r="N40" i="13" s="1"/>
  <c r="F43" i="13" l="1"/>
  <c r="F45" i="13" s="1"/>
  <c r="G43" i="13" l="1"/>
  <c r="G45" i="13" s="1"/>
  <c r="H43" i="13" l="1"/>
  <c r="H45" i="13" s="1"/>
  <c r="I43" i="13" l="1"/>
  <c r="I45" i="13" s="1"/>
  <c r="J43" i="13" l="1"/>
  <c r="J45" i="13" s="1"/>
  <c r="K43" i="13" l="1"/>
  <c r="K45" i="13" s="1"/>
  <c r="L43" i="13" l="1"/>
  <c r="L45" i="13" s="1"/>
  <c r="M43" i="13" l="1"/>
  <c r="M45" i="13" s="1"/>
  <c r="N43" i="13" s="1"/>
</calcChain>
</file>

<file path=xl/sharedStrings.xml><?xml version="1.0" encoding="utf-8"?>
<sst xmlns="http://schemas.openxmlformats.org/spreadsheetml/2006/main" count="150" uniqueCount="86">
  <si>
    <t>Total</t>
  </si>
  <si>
    <t>Sq Mtrs</t>
  </si>
  <si>
    <t>Per Unit</t>
  </si>
  <si>
    <t>Overheads</t>
  </si>
  <si>
    <t>EWS Units</t>
  </si>
  <si>
    <t>Cost of Construction</t>
  </si>
  <si>
    <t>Built Up Area Per Unit</t>
  </si>
  <si>
    <t xml:space="preserve">Land </t>
  </si>
  <si>
    <t>Total No Of Units</t>
  </si>
  <si>
    <t>INR</t>
  </si>
  <si>
    <t>Project Life</t>
  </si>
  <si>
    <t>Months</t>
  </si>
  <si>
    <t>Carpet Area</t>
  </si>
  <si>
    <t>Total Built up Area</t>
  </si>
  <si>
    <t xml:space="preserve">Cost of Construction </t>
  </si>
  <si>
    <t xml:space="preserve">Infrastructure Development </t>
  </si>
  <si>
    <t>Per Acre</t>
  </si>
  <si>
    <t xml:space="preserve">COST OF THE PROJECT </t>
  </si>
  <si>
    <t>Infrastructure Development</t>
  </si>
  <si>
    <t>TOTAL COST</t>
  </si>
  <si>
    <t>SURPLUS</t>
  </si>
  <si>
    <t>Cash Flow</t>
  </si>
  <si>
    <t>1st Qtr</t>
  </si>
  <si>
    <t>2nd Qt</t>
  </si>
  <si>
    <t>3rd Qt</t>
  </si>
  <si>
    <t>4th Qt</t>
  </si>
  <si>
    <t>4th Qtr</t>
  </si>
  <si>
    <t>TOTAL</t>
  </si>
  <si>
    <t xml:space="preserve">Capital </t>
  </si>
  <si>
    <t xml:space="preserve">Loan </t>
  </si>
  <si>
    <t>COST OF PROJECT</t>
  </si>
  <si>
    <t>Land Payments</t>
  </si>
  <si>
    <t>CASH FLOW</t>
  </si>
  <si>
    <t>Cash in Hand</t>
  </si>
  <si>
    <t>Opening Balance</t>
  </si>
  <si>
    <t>Surplus during the Period</t>
  </si>
  <si>
    <t>Closing balance</t>
  </si>
  <si>
    <t>EXPENSES</t>
  </si>
  <si>
    <t>REVENUE FROM THE PROJECTS</t>
  </si>
  <si>
    <t xml:space="preserve">Sale Proceeds </t>
  </si>
  <si>
    <t>No of Units to Construct</t>
  </si>
  <si>
    <t>Area to be Construct</t>
  </si>
  <si>
    <t>Plinth Level</t>
  </si>
  <si>
    <t>Slabs</t>
  </si>
  <si>
    <t>Internal Develepment</t>
  </si>
  <si>
    <t>Total Plinth</t>
  </si>
  <si>
    <t>Total Slabs</t>
  </si>
  <si>
    <t>Total Internal Development</t>
  </si>
  <si>
    <t xml:space="preserve">Grand Total </t>
  </si>
  <si>
    <t>Receipt</t>
  </si>
  <si>
    <t>Booking</t>
  </si>
  <si>
    <t>Plinth</t>
  </si>
  <si>
    <t>Internal &amp; Extrernal Development</t>
  </si>
  <si>
    <t>Completion</t>
  </si>
  <si>
    <t>Recovery</t>
  </si>
  <si>
    <t xml:space="preserve">Total Recovery </t>
  </si>
  <si>
    <t>2022-23</t>
  </si>
  <si>
    <t>2023-24</t>
  </si>
  <si>
    <t>2024-25</t>
  </si>
  <si>
    <t>Qtrly Units to Construct</t>
  </si>
  <si>
    <t>Beneficiary</t>
  </si>
  <si>
    <t>State &amp; Center</t>
  </si>
  <si>
    <t xml:space="preserve">Overheads </t>
  </si>
  <si>
    <t>Land in Acres</t>
  </si>
  <si>
    <t>Selling price</t>
  </si>
  <si>
    <t>Sanctioned and Other Cost</t>
  </si>
  <si>
    <t>Land Cost including stamp paper Exp</t>
  </si>
  <si>
    <t>Interest on Loan</t>
  </si>
  <si>
    <t>Interest rate for loan</t>
  </si>
  <si>
    <t>PROJECT DSCR</t>
  </si>
  <si>
    <t>Revenue from the Residential Area</t>
  </si>
  <si>
    <t>Interst on Bank Loan</t>
  </si>
  <si>
    <t>3rd Qtr</t>
  </si>
  <si>
    <t>Cash Flow and time line planning for Beldi project of EWS Housing in UK</t>
  </si>
  <si>
    <t xml:space="preserve">Land Cost </t>
  </si>
  <si>
    <t>Revenue of Commercial &amp; Nursing Home</t>
  </si>
  <si>
    <t>Commercial &amp; Nursing Home</t>
  </si>
  <si>
    <t>Beldi</t>
  </si>
  <si>
    <t>Unsecured Loans</t>
  </si>
  <si>
    <t>As on Date</t>
  </si>
  <si>
    <t>S. No.</t>
  </si>
  <si>
    <t>Particulars</t>
  </si>
  <si>
    <t>Amount (Rs.)</t>
  </si>
  <si>
    <t>%</t>
  </si>
  <si>
    <t>Cost of the Project at Beldi</t>
  </si>
  <si>
    <t>Means of Finance of project at Beldi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</si>
</sst>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164" fontId="0" fillId="0" borderId="0" xfId="0" applyNumberFormat="1"/>
    <xf numFmtId="0" fontId="2" fillId="0" borderId="11" xfId="0" applyFont="1" applyBorder="1"/>
    <xf numFmtId="0" fontId="3" fillId="0" borderId="0" xfId="0" applyFont="1" applyAlignment="1"/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9" xfId="0" applyFont="1" applyBorder="1"/>
    <xf numFmtId="0" fontId="2" fillId="0" borderId="15" xfId="0" applyFont="1" applyBorder="1"/>
    <xf numFmtId="0" fontId="2" fillId="0" borderId="3" xfId="0" applyFont="1" applyBorder="1"/>
    <xf numFmtId="2" fontId="2" fillId="0" borderId="3" xfId="0" applyNumberFormat="1" applyFont="1" applyBorder="1"/>
    <xf numFmtId="1" fontId="2" fillId="0" borderId="3" xfId="0" applyNumberFormat="1" applyFont="1" applyBorder="1"/>
    <xf numFmtId="165" fontId="2" fillId="0" borderId="16" xfId="0" applyNumberFormat="1" applyFont="1" applyBorder="1"/>
    <xf numFmtId="0" fontId="2" fillId="0" borderId="1" xfId="0" applyFont="1" applyBorder="1"/>
    <xf numFmtId="2" fontId="2" fillId="0" borderId="16" xfId="0" applyNumberFormat="1" applyFont="1" applyBorder="1"/>
    <xf numFmtId="0" fontId="2" fillId="0" borderId="17" xfId="0" applyFont="1" applyBorder="1"/>
    <xf numFmtId="0" fontId="2" fillId="0" borderId="18" xfId="0" applyFont="1" applyBorder="1"/>
    <xf numFmtId="1" fontId="2" fillId="0" borderId="1" xfId="1" applyNumberFormat="1" applyFont="1" applyBorder="1"/>
    <xf numFmtId="164" fontId="2" fillId="0" borderId="3" xfId="1" applyNumberFormat="1" applyFont="1" applyBorder="1"/>
    <xf numFmtId="0" fontId="3" fillId="0" borderId="0" xfId="0" applyFont="1" applyAlignment="1">
      <alignment horizontal="center"/>
    </xf>
    <xf numFmtId="2" fontId="2" fillId="0" borderId="1" xfId="0" applyNumberFormat="1" applyFont="1" applyBorder="1"/>
    <xf numFmtId="1" fontId="2" fillId="0" borderId="3" xfId="1" applyNumberFormat="1" applyFont="1" applyBorder="1"/>
    <xf numFmtId="0" fontId="3" fillId="0" borderId="8" xfId="0" applyFont="1" applyBorder="1"/>
    <xf numFmtId="9" fontId="2" fillId="0" borderId="1" xfId="0" applyNumberFormat="1" applyFont="1" applyBorder="1"/>
    <xf numFmtId="164" fontId="2" fillId="0" borderId="1" xfId="1" applyNumberFormat="1" applyFont="1" applyBorder="1"/>
    <xf numFmtId="0" fontId="2" fillId="0" borderId="12" xfId="0" applyFont="1" applyBorder="1"/>
    <xf numFmtId="164" fontId="2" fillId="0" borderId="12" xfId="1" applyNumberFormat="1" applyFont="1" applyBorder="1"/>
    <xf numFmtId="0" fontId="3" fillId="0" borderId="11" xfId="0" applyFont="1" applyBorder="1"/>
    <xf numFmtId="0" fontId="2" fillId="0" borderId="8" xfId="0" applyFont="1" applyBorder="1"/>
    <xf numFmtId="0" fontId="2" fillId="0" borderId="13" xfId="0" applyFont="1" applyBorder="1"/>
    <xf numFmtId="164" fontId="2" fillId="0" borderId="1" xfId="0" applyNumberFormat="1" applyFont="1" applyBorder="1"/>
    <xf numFmtId="0" fontId="3" fillId="0" borderId="13" xfId="0" applyFont="1" applyBorder="1"/>
    <xf numFmtId="164" fontId="2" fillId="0" borderId="12" xfId="0" applyNumberFormat="1" applyFont="1" applyBorder="1"/>
    <xf numFmtId="0" fontId="3" fillId="0" borderId="0" xfId="0" applyFont="1"/>
    <xf numFmtId="164" fontId="2" fillId="0" borderId="0" xfId="0" applyNumberFormat="1" applyFont="1"/>
    <xf numFmtId="164" fontId="2" fillId="0" borderId="18" xfId="1" applyNumberFormat="1" applyFont="1" applyBorder="1"/>
    <xf numFmtId="164" fontId="2" fillId="0" borderId="2" xfId="1" applyNumberFormat="1" applyFont="1" applyBorder="1"/>
    <xf numFmtId="164" fontId="2" fillId="0" borderId="19" xfId="0" applyNumberFormat="1" applyFont="1" applyBorder="1"/>
    <xf numFmtId="10" fontId="2" fillId="0" borderId="0" xfId="2" applyNumberFormat="1" applyFont="1"/>
    <xf numFmtId="0" fontId="3" fillId="0" borderId="17" xfId="0" applyFont="1" applyBorder="1"/>
    <xf numFmtId="164" fontId="2" fillId="0" borderId="20" xfId="0" applyNumberFormat="1" applyFont="1" applyBorder="1"/>
    <xf numFmtId="164" fontId="2" fillId="0" borderId="18" xfId="0" applyNumberFormat="1" applyFont="1" applyBorder="1"/>
    <xf numFmtId="164" fontId="3" fillId="0" borderId="21" xfId="0" applyNumberFormat="1" applyFont="1" applyBorder="1"/>
    <xf numFmtId="43" fontId="2" fillId="0" borderId="0" xfId="0" applyNumberFormat="1" applyFont="1"/>
    <xf numFmtId="0" fontId="2" fillId="0" borderId="7" xfId="0" applyFont="1" applyBorder="1"/>
    <xf numFmtId="0" fontId="3" fillId="0" borderId="2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4" fontId="2" fillId="0" borderId="9" xfId="1" applyNumberFormat="1" applyFont="1" applyBorder="1"/>
    <xf numFmtId="164" fontId="2" fillId="0" borderId="10" xfId="1" applyNumberFormat="1" applyFont="1" applyBorder="1"/>
    <xf numFmtId="0" fontId="2" fillId="0" borderId="2" xfId="0" applyFont="1" applyBorder="1"/>
    <xf numFmtId="164" fontId="2" fillId="0" borderId="14" xfId="1" applyNumberFormat="1" applyFont="1" applyBorder="1"/>
    <xf numFmtId="0" fontId="3" fillId="0" borderId="4" xfId="0" applyFont="1" applyBorder="1"/>
    <xf numFmtId="164" fontId="3" fillId="0" borderId="5" xfId="1" applyNumberFormat="1" applyFont="1" applyBorder="1"/>
    <xf numFmtId="164" fontId="3" fillId="0" borderId="6" xfId="1" applyNumberFormat="1" applyFont="1" applyBorder="1"/>
    <xf numFmtId="0" fontId="3" fillId="0" borderId="23" xfId="0" applyFont="1" applyBorder="1"/>
    <xf numFmtId="0" fontId="2" fillId="0" borderId="10" xfId="0" applyFont="1" applyBorder="1"/>
    <xf numFmtId="10" fontId="2" fillId="0" borderId="9" xfId="2" applyNumberFormat="1" applyFont="1" applyBorder="1"/>
    <xf numFmtId="10" fontId="2" fillId="0" borderId="10" xfId="2" applyNumberFormat="1" applyFont="1" applyBorder="1"/>
    <xf numFmtId="10" fontId="2" fillId="0" borderId="1" xfId="2" applyNumberFormat="1" applyFont="1" applyBorder="1"/>
    <xf numFmtId="10" fontId="2" fillId="0" borderId="12" xfId="2" applyNumberFormat="1" applyFont="1" applyBorder="1"/>
    <xf numFmtId="1" fontId="2" fillId="0" borderId="9" xfId="0" applyNumberFormat="1" applyFont="1" applyBorder="1"/>
    <xf numFmtId="43" fontId="2" fillId="0" borderId="1" xfId="1" applyFont="1" applyFill="1" applyBorder="1"/>
    <xf numFmtId="43" fontId="2" fillId="0" borderId="12" xfId="0" applyNumberFormat="1" applyFont="1" applyBorder="1"/>
    <xf numFmtId="43" fontId="2" fillId="0" borderId="1" xfId="0" applyNumberFormat="1" applyFont="1" applyBorder="1"/>
    <xf numFmtId="9" fontId="2" fillId="0" borderId="1" xfId="2" applyFont="1" applyBorder="1"/>
    <xf numFmtId="43" fontId="2" fillId="0" borderId="18" xfId="0" applyNumberFormat="1" applyFont="1" applyBorder="1"/>
    <xf numFmtId="9" fontId="2" fillId="0" borderId="18" xfId="2" applyFont="1" applyBorder="1"/>
    <xf numFmtId="0" fontId="2" fillId="0" borderId="19" xfId="0" applyFont="1" applyBorder="1"/>
    <xf numFmtId="0" fontId="2" fillId="0" borderId="4" xfId="0" applyFont="1" applyBorder="1"/>
    <xf numFmtId="164" fontId="2" fillId="0" borderId="19" xfId="1" applyNumberFormat="1" applyFont="1" applyBorder="1"/>
    <xf numFmtId="0" fontId="2" fillId="0" borderId="16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5" xfId="0" applyFont="1" applyBorder="1" applyAlignment="1">
      <alignment horizontal="center"/>
    </xf>
    <xf numFmtId="164" fontId="2" fillId="0" borderId="16" xfId="1" applyNumberFormat="1" applyFont="1" applyBorder="1"/>
    <xf numFmtId="0" fontId="2" fillId="0" borderId="0" xfId="0" applyFont="1" applyBorder="1"/>
    <xf numFmtId="43" fontId="2" fillId="0" borderId="0" xfId="1" applyFont="1" applyBorder="1"/>
    <xf numFmtId="164" fontId="2" fillId="0" borderId="0" xfId="0" applyNumberFormat="1" applyFont="1" applyBorder="1"/>
    <xf numFmtId="166" fontId="2" fillId="0" borderId="0" xfId="2" applyNumberFormat="1" applyFont="1"/>
    <xf numFmtId="0" fontId="3" fillId="0" borderId="22" xfId="0" applyFont="1" applyBorder="1" applyAlignment="1"/>
    <xf numFmtId="0" fontId="4" fillId="0" borderId="1" xfId="0" applyFont="1" applyBorder="1"/>
    <xf numFmtId="43" fontId="4" fillId="0" borderId="1" xfId="1" applyFont="1" applyBorder="1"/>
    <xf numFmtId="0" fontId="3" fillId="0" borderId="0" xfId="0" applyFont="1" applyBorder="1" applyAlignment="1"/>
    <xf numFmtId="0" fontId="2" fillId="0" borderId="0" xfId="0" applyFont="1" applyBorder="1" applyAlignment="1">
      <alignment horizontal="left"/>
    </xf>
    <xf numFmtId="0" fontId="3" fillId="0" borderId="0" xfId="0" applyFont="1" applyBorder="1"/>
    <xf numFmtId="43" fontId="2" fillId="0" borderId="0" xfId="1" applyFont="1" applyBorder="1" applyAlignment="1">
      <alignment horizontal="right"/>
    </xf>
    <xf numFmtId="43" fontId="2" fillId="0" borderId="0" xfId="0" applyNumberFormat="1" applyFont="1" applyBorder="1"/>
    <xf numFmtId="1" fontId="2" fillId="0" borderId="1" xfId="0" applyNumberFormat="1" applyFont="1" applyBorder="1"/>
    <xf numFmtId="164" fontId="2" fillId="0" borderId="2" xfId="0" applyNumberFormat="1" applyFont="1" applyBorder="1"/>
    <xf numFmtId="10" fontId="2" fillId="0" borderId="18" xfId="2" applyNumberFormat="1" applyFont="1" applyBorder="1"/>
    <xf numFmtId="10" fontId="2" fillId="0" borderId="19" xfId="2" applyNumberFormat="1" applyFont="1" applyBorder="1"/>
    <xf numFmtId="164" fontId="3" fillId="0" borderId="5" xfId="0" applyNumberFormat="1" applyFont="1" applyBorder="1"/>
    <xf numFmtId="164" fontId="3" fillId="0" borderId="6" xfId="0" applyNumberFormat="1" applyFont="1" applyBorder="1"/>
    <xf numFmtId="0" fontId="3" fillId="0" borderId="28" xfId="0" applyFont="1" applyBorder="1" applyAlignment="1">
      <alignment horizontal="center"/>
    </xf>
    <xf numFmtId="43" fontId="4" fillId="0" borderId="0" xfId="1" applyFont="1" applyBorder="1"/>
    <xf numFmtId="0" fontId="3" fillId="0" borderId="7" xfId="0" applyFont="1" applyBorder="1" applyAlignment="1"/>
    <xf numFmtId="0" fontId="5" fillId="0" borderId="1" xfId="0" applyFont="1" applyBorder="1"/>
    <xf numFmtId="0" fontId="6" fillId="0" borderId="0" xfId="0" applyFont="1" applyBorder="1"/>
    <xf numFmtId="0" fontId="6" fillId="0" borderId="1" xfId="0" applyFont="1" applyBorder="1"/>
    <xf numFmtId="164" fontId="6" fillId="0" borderId="1" xfId="1" applyNumberFormat="1" applyFont="1" applyBorder="1"/>
    <xf numFmtId="43" fontId="6" fillId="0" borderId="1" xfId="1" applyFont="1" applyBorder="1"/>
    <xf numFmtId="0" fontId="5" fillId="0" borderId="1" xfId="0" applyFont="1" applyFill="1" applyBorder="1"/>
    <xf numFmtId="164" fontId="5" fillId="0" borderId="1" xfId="1" applyNumberFormat="1" applyFont="1" applyBorder="1"/>
    <xf numFmtId="43" fontId="5" fillId="0" borderId="1" xfId="1" applyFont="1" applyBorder="1"/>
    <xf numFmtId="164" fontId="6" fillId="0" borderId="0" xfId="1" applyNumberFormat="1" applyFont="1" applyBorder="1"/>
    <xf numFmtId="0" fontId="3" fillId="0" borderId="2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ncials%20for%20Bank%201-11-2022-Kanakpu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Kanakpur"/>
      <sheetName val="COP MOF"/>
    </sheetNames>
    <sheetDataSet>
      <sheetData sheetId="0">
        <row r="39">
          <cell r="C39">
            <v>30000000</v>
          </cell>
          <cell r="D39">
            <v>50000000</v>
          </cell>
          <cell r="E39">
            <v>50000000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8"/>
  <sheetViews>
    <sheetView tabSelected="1" topLeftCell="B26" zoomScaleNormal="100" workbookViewId="0">
      <selection activeCell="N38" sqref="N38:N39"/>
    </sheetView>
  </sheetViews>
  <sheetFormatPr defaultRowHeight="15" x14ac:dyDescent="0.25"/>
  <cols>
    <col min="1" max="1" width="32.7109375" bestFit="1" customWidth="1"/>
    <col min="2" max="2" width="11.7109375" bestFit="1" customWidth="1"/>
    <col min="3" max="3" width="12.7109375" bestFit="1" customWidth="1"/>
    <col min="4" max="4" width="13.7109375" bestFit="1" customWidth="1"/>
    <col min="5" max="5" width="14.7109375" bestFit="1" customWidth="1"/>
    <col min="6" max="6" width="13.140625" bestFit="1" customWidth="1"/>
    <col min="7" max="7" width="12.140625" bestFit="1" customWidth="1"/>
    <col min="8" max="8" width="14.7109375" customWidth="1"/>
    <col min="9" max="16" width="13.7109375" bestFit="1" customWidth="1"/>
    <col min="17" max="17" width="15.42578125" bestFit="1" customWidth="1"/>
    <col min="19" max="19" width="12.28515625" bestFit="1" customWidth="1"/>
  </cols>
  <sheetData>
    <row r="1" spans="1:16" ht="15.75" thickBot="1" x14ac:dyDescent="0.3">
      <c r="A1" s="109" t="s">
        <v>73</v>
      </c>
      <c r="B1" s="109"/>
      <c r="C1" s="109"/>
      <c r="D1" s="109"/>
      <c r="E1" s="109"/>
      <c r="F1" s="4"/>
      <c r="G1" s="3"/>
      <c r="H1" s="86"/>
      <c r="I1" s="79"/>
      <c r="J1" s="79"/>
      <c r="K1" s="79"/>
      <c r="L1" s="4"/>
      <c r="M1" s="4"/>
      <c r="N1" s="4"/>
      <c r="O1" s="4"/>
      <c r="P1" s="4"/>
    </row>
    <row r="2" spans="1:16" ht="15.75" thickBot="1" x14ac:dyDescent="0.3">
      <c r="A2" s="5"/>
      <c r="B2" s="6"/>
      <c r="C2" s="6" t="s">
        <v>4</v>
      </c>
      <c r="D2" s="6"/>
      <c r="E2" s="7"/>
      <c r="F2" s="4"/>
      <c r="G2" s="87"/>
      <c r="H2" s="87"/>
      <c r="I2" s="79"/>
      <c r="J2" s="80"/>
      <c r="K2" s="4"/>
      <c r="L2" s="4"/>
      <c r="M2" s="4"/>
      <c r="N2" s="4"/>
      <c r="O2" s="4"/>
    </row>
    <row r="3" spans="1:16" x14ac:dyDescent="0.25">
      <c r="A3" s="9" t="s">
        <v>7</v>
      </c>
      <c r="B3" s="10" t="s">
        <v>1</v>
      </c>
      <c r="C3" s="19">
        <v>23665</v>
      </c>
      <c r="D3" s="12"/>
      <c r="E3" s="13"/>
      <c r="F3" s="4"/>
      <c r="G3" s="87"/>
      <c r="H3" s="87"/>
      <c r="I3" s="79"/>
      <c r="J3" s="80"/>
      <c r="K3" s="4"/>
      <c r="L3" s="4"/>
      <c r="M3" s="4"/>
      <c r="N3" s="4"/>
      <c r="O3" s="4"/>
    </row>
    <row r="4" spans="1:16" x14ac:dyDescent="0.25">
      <c r="A4" s="9" t="s">
        <v>63</v>
      </c>
      <c r="B4" s="10"/>
      <c r="C4" s="11">
        <v>6.0750000000000002</v>
      </c>
      <c r="D4" s="12"/>
      <c r="E4" s="15"/>
      <c r="F4" s="4"/>
      <c r="G4" s="79"/>
      <c r="H4" s="79"/>
      <c r="I4" s="79"/>
      <c r="J4" s="80"/>
      <c r="K4" s="4"/>
      <c r="L4" s="4"/>
      <c r="M4" s="4"/>
      <c r="N4" s="4"/>
      <c r="O4" s="4"/>
    </row>
    <row r="5" spans="1:16" x14ac:dyDescent="0.25">
      <c r="A5" s="2" t="s">
        <v>8</v>
      </c>
      <c r="B5" s="14" t="s">
        <v>9</v>
      </c>
      <c r="C5" s="18">
        <v>1088</v>
      </c>
      <c r="D5" s="12"/>
      <c r="E5" s="15"/>
      <c r="F5" s="4"/>
      <c r="G5" s="79"/>
      <c r="H5" s="79"/>
      <c r="I5" s="79"/>
      <c r="J5" s="80"/>
      <c r="K5" s="4"/>
      <c r="L5" s="4"/>
      <c r="M5" s="4"/>
      <c r="N5" s="4"/>
      <c r="O5" s="4"/>
    </row>
    <row r="6" spans="1:16" x14ac:dyDescent="0.25">
      <c r="A6" s="2" t="s">
        <v>10</v>
      </c>
      <c r="B6" s="14" t="s">
        <v>11</v>
      </c>
      <c r="C6" s="18">
        <v>30</v>
      </c>
      <c r="D6" s="19"/>
      <c r="E6" s="13"/>
      <c r="F6" s="4"/>
      <c r="G6" s="113"/>
      <c r="H6" s="113"/>
      <c r="I6" s="113"/>
      <c r="J6" s="113"/>
      <c r="K6" s="4"/>
      <c r="L6" s="20"/>
      <c r="M6" s="4"/>
      <c r="N6" s="4"/>
      <c r="O6" s="4"/>
    </row>
    <row r="7" spans="1:16" x14ac:dyDescent="0.25">
      <c r="A7" s="2" t="s">
        <v>12</v>
      </c>
      <c r="B7" s="14" t="s">
        <v>2</v>
      </c>
      <c r="C7" s="21">
        <v>24.22</v>
      </c>
      <c r="D7" s="22"/>
      <c r="E7" s="13"/>
      <c r="F7" s="4"/>
      <c r="G7" s="88"/>
      <c r="H7" s="79"/>
      <c r="I7" s="79"/>
      <c r="J7" s="80"/>
      <c r="K7" s="4"/>
      <c r="L7" s="4"/>
      <c r="M7" s="4"/>
      <c r="N7" s="4"/>
      <c r="O7" s="4"/>
    </row>
    <row r="8" spans="1:16" x14ac:dyDescent="0.25">
      <c r="A8" s="2" t="s">
        <v>6</v>
      </c>
      <c r="B8" s="24"/>
      <c r="C8" s="21">
        <v>31</v>
      </c>
      <c r="D8" s="22"/>
      <c r="E8" s="13"/>
      <c r="F8" s="4"/>
      <c r="G8" s="79"/>
      <c r="H8" s="79"/>
      <c r="I8" s="79"/>
      <c r="J8" s="89"/>
      <c r="K8" s="4"/>
      <c r="L8" s="4"/>
      <c r="M8" s="4"/>
      <c r="N8" s="4"/>
      <c r="O8" s="4"/>
    </row>
    <row r="9" spans="1:16" x14ac:dyDescent="0.25">
      <c r="A9" s="2" t="s">
        <v>13</v>
      </c>
      <c r="B9" s="14">
        <v>10.763999999999999</v>
      </c>
      <c r="C9" s="25">
        <f>C8*B9*C5</f>
        <v>363048.19199999998</v>
      </c>
      <c r="D9" s="25"/>
      <c r="E9" s="26"/>
      <c r="F9" s="4"/>
      <c r="G9" s="79"/>
      <c r="H9" s="79"/>
      <c r="I9" s="79"/>
      <c r="J9" s="89"/>
      <c r="K9" s="4"/>
      <c r="L9" s="4"/>
      <c r="M9" s="4"/>
      <c r="N9" s="4"/>
      <c r="O9" s="4"/>
    </row>
    <row r="10" spans="1:16" x14ac:dyDescent="0.25">
      <c r="A10" s="2" t="s">
        <v>14</v>
      </c>
      <c r="B10" s="14" t="s">
        <v>9</v>
      </c>
      <c r="C10" s="18">
        <v>900</v>
      </c>
      <c r="D10" s="18"/>
      <c r="E10" s="27"/>
      <c r="F10" s="4"/>
      <c r="G10" s="79"/>
      <c r="H10" s="79"/>
      <c r="I10" s="79"/>
      <c r="J10" s="89"/>
      <c r="K10" s="4"/>
      <c r="L10" s="4"/>
      <c r="M10" s="4"/>
      <c r="N10" s="4"/>
      <c r="O10" s="4"/>
    </row>
    <row r="11" spans="1:16" x14ac:dyDescent="0.25">
      <c r="A11" s="2" t="s">
        <v>15</v>
      </c>
      <c r="B11" s="14" t="s">
        <v>16</v>
      </c>
      <c r="C11" s="25">
        <v>6000000</v>
      </c>
      <c r="D11" s="21"/>
      <c r="E11" s="26"/>
      <c r="F11" s="4"/>
      <c r="G11" s="79"/>
      <c r="H11" s="79"/>
      <c r="I11" s="79"/>
      <c r="J11" s="80"/>
      <c r="K11" s="4"/>
      <c r="L11" s="4"/>
      <c r="M11" s="4"/>
      <c r="N11" s="4"/>
      <c r="O11" s="4"/>
    </row>
    <row r="12" spans="1:16" x14ac:dyDescent="0.25">
      <c r="A12" s="2" t="s">
        <v>3</v>
      </c>
      <c r="B12" s="14" t="s">
        <v>2</v>
      </c>
      <c r="C12" s="25">
        <v>50000</v>
      </c>
      <c r="D12" s="21"/>
      <c r="E12" s="26"/>
      <c r="F12" s="4"/>
      <c r="G12" s="79"/>
      <c r="H12" s="79"/>
      <c r="I12" s="79"/>
      <c r="J12" s="80"/>
      <c r="K12" s="4"/>
      <c r="L12" s="4"/>
      <c r="M12" s="4"/>
      <c r="N12" s="4"/>
      <c r="O12" s="4"/>
    </row>
    <row r="13" spans="1:16" x14ac:dyDescent="0.25">
      <c r="A13" s="2" t="s">
        <v>64</v>
      </c>
      <c r="B13" s="14" t="s">
        <v>2</v>
      </c>
      <c r="C13" s="25">
        <v>600000</v>
      </c>
      <c r="D13" s="21"/>
      <c r="E13" s="26"/>
      <c r="F13" s="4"/>
      <c r="G13" s="79"/>
      <c r="H13" s="79"/>
      <c r="I13" s="79"/>
      <c r="J13" s="79"/>
      <c r="K13" s="4"/>
      <c r="L13" s="4"/>
      <c r="M13" s="4"/>
      <c r="N13" s="4"/>
      <c r="O13" s="4"/>
    </row>
    <row r="14" spans="1:16" x14ac:dyDescent="0.25">
      <c r="A14" s="28" t="s">
        <v>17</v>
      </c>
      <c r="B14" s="14"/>
      <c r="C14" s="25"/>
      <c r="D14" s="21"/>
      <c r="E14" s="26"/>
      <c r="F14" s="4"/>
      <c r="G14" s="114"/>
      <c r="H14" s="114"/>
      <c r="I14" s="114"/>
      <c r="J14" s="114"/>
      <c r="K14" s="4"/>
      <c r="L14" s="4"/>
      <c r="M14" s="4"/>
      <c r="N14" s="4"/>
      <c r="O14" s="4"/>
    </row>
    <row r="15" spans="1:16" x14ac:dyDescent="0.25">
      <c r="A15" s="2" t="s">
        <v>74</v>
      </c>
      <c r="B15" s="14"/>
      <c r="C15" s="25">
        <v>83000000</v>
      </c>
      <c r="D15" s="21"/>
      <c r="E15" s="26"/>
      <c r="F15" s="4"/>
      <c r="G15" s="79"/>
      <c r="H15" s="79"/>
      <c r="I15" s="79"/>
      <c r="J15" s="90"/>
      <c r="K15" s="4"/>
      <c r="L15" s="4"/>
      <c r="M15" s="4"/>
      <c r="N15" s="4"/>
      <c r="O15" s="4"/>
    </row>
    <row r="16" spans="1:16" x14ac:dyDescent="0.25">
      <c r="A16" s="2" t="s">
        <v>5</v>
      </c>
      <c r="B16" s="14"/>
      <c r="C16" s="25">
        <f>C9*C10</f>
        <v>326743372.80000001</v>
      </c>
      <c r="D16" s="21"/>
      <c r="E16" s="26"/>
      <c r="F16" s="4"/>
      <c r="G16" s="79"/>
      <c r="H16" s="79"/>
      <c r="I16" s="79"/>
      <c r="J16" s="79"/>
      <c r="K16" s="4"/>
      <c r="L16" s="4"/>
      <c r="M16" s="4"/>
      <c r="N16" s="4"/>
      <c r="O16" s="4"/>
    </row>
    <row r="17" spans="1:16" x14ac:dyDescent="0.25">
      <c r="A17" s="30" t="s">
        <v>18</v>
      </c>
      <c r="B17" s="14"/>
      <c r="C17" s="31">
        <f>C11*C4</f>
        <v>36450000</v>
      </c>
      <c r="D17" s="21"/>
      <c r="E17" s="26"/>
      <c r="F17" s="4"/>
      <c r="G17" s="79"/>
      <c r="H17" s="79"/>
      <c r="I17" s="79"/>
      <c r="J17" s="81"/>
      <c r="K17" s="4"/>
      <c r="L17" s="4"/>
      <c r="M17" s="4"/>
      <c r="N17" s="4"/>
      <c r="O17" s="4"/>
    </row>
    <row r="18" spans="1:16" x14ac:dyDescent="0.25">
      <c r="A18" s="30" t="s">
        <v>62</v>
      </c>
      <c r="B18" s="14"/>
      <c r="C18" s="31">
        <f>C12*C5</f>
        <v>54400000</v>
      </c>
      <c r="D18" s="21"/>
      <c r="E18" s="26"/>
      <c r="F18" s="4"/>
      <c r="G18" s="79"/>
      <c r="H18" s="79"/>
      <c r="I18" s="79"/>
      <c r="J18" s="79"/>
      <c r="K18" s="4"/>
      <c r="L18" s="4"/>
      <c r="M18" s="4"/>
      <c r="N18" s="4"/>
      <c r="O18" s="4"/>
    </row>
    <row r="19" spans="1:16" x14ac:dyDescent="0.25">
      <c r="A19" s="30" t="s">
        <v>71</v>
      </c>
      <c r="B19" s="14"/>
      <c r="C19" s="31">
        <f>N39</f>
        <v>20875000</v>
      </c>
      <c r="D19" s="21"/>
      <c r="E19" s="26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6" x14ac:dyDescent="0.25">
      <c r="A20" s="32" t="s">
        <v>19</v>
      </c>
      <c r="B20" s="14" t="s">
        <v>9</v>
      </c>
      <c r="C20" s="25"/>
      <c r="D20" s="25">
        <f>SUM(C15:C20)</f>
        <v>521468372.80000001</v>
      </c>
      <c r="E20" s="33"/>
      <c r="F20" s="4"/>
      <c r="G20" s="34"/>
      <c r="H20" s="4"/>
      <c r="I20" s="4"/>
      <c r="J20" s="4"/>
      <c r="K20" s="4"/>
      <c r="L20" s="4"/>
      <c r="M20" s="4"/>
      <c r="N20" s="4"/>
      <c r="O20" s="4"/>
    </row>
    <row r="21" spans="1:16" x14ac:dyDescent="0.25">
      <c r="A21" s="2" t="s">
        <v>70</v>
      </c>
      <c r="B21" s="14"/>
      <c r="C21" s="19">
        <f>C13*C5</f>
        <v>652800000</v>
      </c>
      <c r="D21" s="25"/>
      <c r="E21" s="26"/>
      <c r="F21" s="4"/>
      <c r="G21" s="35"/>
      <c r="H21" s="4"/>
      <c r="I21" s="4"/>
      <c r="J21" s="4"/>
      <c r="K21" s="35"/>
      <c r="L21" s="4"/>
      <c r="M21" s="4"/>
      <c r="N21" s="4"/>
      <c r="O21" s="4"/>
    </row>
    <row r="22" spans="1:16" ht="15.75" thickBot="1" x14ac:dyDescent="0.3">
      <c r="A22" s="30" t="s">
        <v>75</v>
      </c>
      <c r="B22" s="10"/>
      <c r="C22" s="36">
        <f>30000000+20000000</f>
        <v>50000000</v>
      </c>
      <c r="D22" s="36">
        <f>SUM(C21:C22)</f>
        <v>702800000</v>
      </c>
      <c r="E22" s="38"/>
      <c r="F22" s="39"/>
      <c r="G22" s="4"/>
      <c r="H22" s="4"/>
      <c r="I22" s="4"/>
      <c r="J22" s="4"/>
      <c r="K22" s="4"/>
      <c r="L22" s="4"/>
      <c r="M22" s="4"/>
      <c r="N22" s="4"/>
      <c r="O22" s="4"/>
    </row>
    <row r="23" spans="1:16" ht="15.75" thickBot="1" x14ac:dyDescent="0.3">
      <c r="A23" s="40" t="s">
        <v>20</v>
      </c>
      <c r="B23" s="41"/>
      <c r="C23" s="41"/>
      <c r="D23" s="41"/>
      <c r="E23" s="43">
        <f>D22-D20</f>
        <v>181331627.19999999</v>
      </c>
      <c r="F23" s="4"/>
      <c r="G23" s="4"/>
      <c r="H23" s="4"/>
      <c r="I23" s="4"/>
      <c r="J23" s="4"/>
      <c r="K23" s="35"/>
      <c r="L23" s="4"/>
      <c r="M23" s="4"/>
      <c r="N23" s="4"/>
      <c r="O23" s="4"/>
    </row>
    <row r="24" spans="1:16" ht="15.75" thickBot="1" x14ac:dyDescent="0.3">
      <c r="A24" s="4" t="s">
        <v>68</v>
      </c>
      <c r="B24" s="39">
        <v>0.1</v>
      </c>
      <c r="C24" s="39"/>
      <c r="D24" s="4"/>
      <c r="E24" s="4"/>
      <c r="F24" s="4"/>
      <c r="G24" s="4"/>
      <c r="H24" s="4"/>
      <c r="I24" s="4"/>
      <c r="J24" s="4"/>
      <c r="K24" s="4"/>
      <c r="L24" s="44"/>
      <c r="M24" s="4"/>
      <c r="N24" s="4"/>
      <c r="O24" s="4"/>
      <c r="P24" s="4"/>
    </row>
    <row r="25" spans="1:16" ht="15.75" thickBot="1" x14ac:dyDescent="0.3">
      <c r="A25" s="45"/>
      <c r="B25" s="110" t="s">
        <v>56</v>
      </c>
      <c r="C25" s="111"/>
      <c r="D25" s="112"/>
      <c r="E25" s="110" t="s">
        <v>57</v>
      </c>
      <c r="F25" s="111"/>
      <c r="G25" s="111"/>
      <c r="H25" s="112"/>
      <c r="I25" s="110" t="s">
        <v>58</v>
      </c>
      <c r="J25" s="111"/>
      <c r="K25" s="111"/>
      <c r="L25" s="112"/>
      <c r="M25" s="99"/>
      <c r="N25" s="77"/>
    </row>
    <row r="26" spans="1:16" ht="15.75" thickBot="1" x14ac:dyDescent="0.3">
      <c r="A26" s="46" t="s">
        <v>21</v>
      </c>
      <c r="B26" s="48" t="s">
        <v>79</v>
      </c>
      <c r="C26" s="97" t="s">
        <v>72</v>
      </c>
      <c r="D26" s="49" t="s">
        <v>26</v>
      </c>
      <c r="E26" s="47" t="s">
        <v>22</v>
      </c>
      <c r="F26" s="48" t="s">
        <v>23</v>
      </c>
      <c r="G26" s="48" t="s">
        <v>24</v>
      </c>
      <c r="H26" s="49" t="s">
        <v>25</v>
      </c>
      <c r="I26" s="47" t="s">
        <v>22</v>
      </c>
      <c r="J26" s="48" t="s">
        <v>23</v>
      </c>
      <c r="K26" s="48" t="s">
        <v>24</v>
      </c>
      <c r="L26" s="49" t="s">
        <v>26</v>
      </c>
      <c r="M26" s="47" t="s">
        <v>22</v>
      </c>
      <c r="N26" s="50" t="s">
        <v>27</v>
      </c>
    </row>
    <row r="27" spans="1:16" ht="15.75" thickBot="1" x14ac:dyDescent="0.3">
      <c r="A27" s="83" t="s">
        <v>38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</row>
    <row r="28" spans="1:16" x14ac:dyDescent="0.25">
      <c r="A28" s="29" t="s">
        <v>28</v>
      </c>
      <c r="B28" s="51">
        <v>2000000</v>
      </c>
      <c r="C28" s="51">
        <v>0</v>
      </c>
      <c r="D28" s="51"/>
      <c r="E28" s="51"/>
      <c r="F28" s="51">
        <v>0</v>
      </c>
      <c r="G28" s="51"/>
      <c r="H28" s="51">
        <v>0</v>
      </c>
      <c r="I28" s="51">
        <v>0</v>
      </c>
      <c r="J28" s="51">
        <v>0</v>
      </c>
      <c r="K28" s="51">
        <v>0</v>
      </c>
      <c r="L28" s="51">
        <f>-B28</f>
        <v>-2000000</v>
      </c>
      <c r="M28" s="51"/>
      <c r="N28" s="52">
        <f t="shared" ref="N28:N33" si="0">SUM(B28:M28)</f>
        <v>0</v>
      </c>
    </row>
    <row r="29" spans="1:16" x14ac:dyDescent="0.25">
      <c r="A29" s="9" t="s">
        <v>78</v>
      </c>
      <c r="B29" s="31">
        <v>52000000</v>
      </c>
      <c r="C29" s="31">
        <v>0</v>
      </c>
      <c r="D29" s="31">
        <v>0</v>
      </c>
      <c r="E29" s="19">
        <v>0</v>
      </c>
      <c r="F29" s="19">
        <v>0</v>
      </c>
      <c r="G29" s="19">
        <v>0</v>
      </c>
      <c r="H29" s="19">
        <v>0</v>
      </c>
      <c r="I29" s="19"/>
      <c r="J29" s="19"/>
      <c r="K29" s="19"/>
      <c r="L29" s="19">
        <f>-(C29+B29)</f>
        <v>-52000000</v>
      </c>
      <c r="M29" s="19"/>
      <c r="N29" s="27">
        <f t="shared" si="0"/>
        <v>0</v>
      </c>
    </row>
    <row r="30" spans="1:16" x14ac:dyDescent="0.25">
      <c r="A30" s="2" t="s">
        <v>29</v>
      </c>
      <c r="B30" s="31"/>
      <c r="C30" s="31">
        <v>40000000</v>
      </c>
      <c r="D30" s="31">
        <v>40000000</v>
      </c>
      <c r="E30" s="31">
        <v>50000000</v>
      </c>
      <c r="F30" s="31"/>
      <c r="G30" s="31"/>
      <c r="H30" s="31"/>
      <c r="I30" s="31">
        <f>-(F30+E30+D30+C30)/4</f>
        <v>-32500000</v>
      </c>
      <c r="J30" s="31">
        <f>I30</f>
        <v>-32500000</v>
      </c>
      <c r="K30" s="31">
        <f>J30</f>
        <v>-32500000</v>
      </c>
      <c r="L30" s="31">
        <f>K30</f>
        <v>-32500000</v>
      </c>
      <c r="M30" s="31">
        <v>0</v>
      </c>
      <c r="N30" s="27">
        <f t="shared" si="0"/>
        <v>0</v>
      </c>
    </row>
    <row r="31" spans="1:16" x14ac:dyDescent="0.25">
      <c r="A31" s="2" t="s">
        <v>39</v>
      </c>
      <c r="B31" s="31">
        <f>+B111</f>
        <v>0</v>
      </c>
      <c r="C31" s="31">
        <f t="shared" ref="C31:M31" si="1">+C111</f>
        <v>0</v>
      </c>
      <c r="D31" s="31">
        <f t="shared" si="1"/>
        <v>5440000</v>
      </c>
      <c r="E31" s="31">
        <f t="shared" si="1"/>
        <v>27733333.333333336</v>
      </c>
      <c r="F31" s="31">
        <f t="shared" si="1"/>
        <v>67370666.666666672</v>
      </c>
      <c r="G31" s="31">
        <f t="shared" si="1"/>
        <v>85557333.333333343</v>
      </c>
      <c r="H31" s="31">
        <f t="shared" si="1"/>
        <v>85557333.333333343</v>
      </c>
      <c r="I31" s="31">
        <f t="shared" si="1"/>
        <v>112245333.33333334</v>
      </c>
      <c r="J31" s="31">
        <f t="shared" si="1"/>
        <v>99765333.333333343</v>
      </c>
      <c r="K31" s="31">
        <f t="shared" si="1"/>
        <v>72608000</v>
      </c>
      <c r="L31" s="31">
        <f t="shared" si="1"/>
        <v>57354666.666666672</v>
      </c>
      <c r="M31" s="31">
        <f t="shared" si="1"/>
        <v>39168000</v>
      </c>
      <c r="N31" s="27">
        <f t="shared" si="0"/>
        <v>652800000</v>
      </c>
    </row>
    <row r="32" spans="1:16" ht="15.75" thickBot="1" x14ac:dyDescent="0.3">
      <c r="A32" s="30" t="s">
        <v>76</v>
      </c>
      <c r="B32" s="53"/>
      <c r="C32" s="53"/>
      <c r="D32" s="53"/>
      <c r="E32" s="53"/>
      <c r="F32" s="53"/>
      <c r="G32" s="53"/>
      <c r="H32" s="53"/>
      <c r="I32" s="53"/>
      <c r="J32" s="53"/>
      <c r="K32" s="92">
        <f>C22/2</f>
        <v>25000000</v>
      </c>
      <c r="L32" s="92">
        <f>K32</f>
        <v>25000000</v>
      </c>
      <c r="M32" s="92"/>
      <c r="N32" s="54">
        <f t="shared" si="0"/>
        <v>50000000</v>
      </c>
    </row>
    <row r="33" spans="1:16" ht="15.75" thickBot="1" x14ac:dyDescent="0.3">
      <c r="A33" s="55" t="s">
        <v>0</v>
      </c>
      <c r="B33" s="56">
        <f t="shared" ref="B33:M33" si="2">SUM(B28:B32)</f>
        <v>54000000</v>
      </c>
      <c r="C33" s="56">
        <f t="shared" si="2"/>
        <v>40000000</v>
      </c>
      <c r="D33" s="56">
        <f t="shared" si="2"/>
        <v>45440000</v>
      </c>
      <c r="E33" s="56">
        <f t="shared" si="2"/>
        <v>77733333.333333343</v>
      </c>
      <c r="F33" s="56">
        <f t="shared" si="2"/>
        <v>67370666.666666672</v>
      </c>
      <c r="G33" s="56">
        <f t="shared" si="2"/>
        <v>85557333.333333343</v>
      </c>
      <c r="H33" s="56">
        <f t="shared" si="2"/>
        <v>85557333.333333343</v>
      </c>
      <c r="I33" s="56">
        <f t="shared" si="2"/>
        <v>79745333.333333343</v>
      </c>
      <c r="J33" s="56">
        <f t="shared" si="2"/>
        <v>67265333.333333343</v>
      </c>
      <c r="K33" s="56">
        <f t="shared" si="2"/>
        <v>65108000</v>
      </c>
      <c r="L33" s="56">
        <f t="shared" si="2"/>
        <v>-4145333.3333333284</v>
      </c>
      <c r="M33" s="56">
        <f t="shared" si="2"/>
        <v>39168000</v>
      </c>
      <c r="N33" s="57">
        <f t="shared" si="0"/>
        <v>702800000.00000012</v>
      </c>
    </row>
    <row r="34" spans="1:16" ht="15.75" thickBot="1" x14ac:dyDescent="0.3">
      <c r="A34" s="83" t="s">
        <v>30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</row>
    <row r="35" spans="1:16" x14ac:dyDescent="0.25">
      <c r="A35" s="29" t="s">
        <v>66</v>
      </c>
      <c r="B35" s="51">
        <f>B$48*$C$15</f>
        <v>35001100</v>
      </c>
      <c r="C35" s="51">
        <f>C$48*$C$15</f>
        <v>13238500</v>
      </c>
      <c r="D35" s="51">
        <f>D$48*$C$15</f>
        <v>13238500</v>
      </c>
      <c r="E35" s="51">
        <f>E$48*$C$15</f>
        <v>13238500</v>
      </c>
      <c r="F35" s="51">
        <f>F$48*$C$15</f>
        <v>8283400</v>
      </c>
      <c r="G35" s="51"/>
      <c r="H35" s="51"/>
      <c r="I35" s="51">
        <f>$C15*H48</f>
        <v>0</v>
      </c>
      <c r="J35" s="51">
        <f>$C15*I48</f>
        <v>0</v>
      </c>
      <c r="K35" s="51">
        <f>$C15*J48</f>
        <v>0</v>
      </c>
      <c r="L35" s="51">
        <f>$C15*K48</f>
        <v>0</v>
      </c>
      <c r="M35" s="51">
        <f>$C15*L48</f>
        <v>0</v>
      </c>
      <c r="N35" s="52">
        <f>SUM(B35:M35)</f>
        <v>83000000</v>
      </c>
    </row>
    <row r="36" spans="1:16" x14ac:dyDescent="0.25">
      <c r="A36" s="2" t="s">
        <v>5</v>
      </c>
      <c r="B36" s="25">
        <f t="shared" ref="B36:M36" si="3">+B84</f>
        <v>6850932.9407999991</v>
      </c>
      <c r="C36" s="25">
        <f t="shared" si="3"/>
        <v>1691377.4591999997</v>
      </c>
      <c r="D36" s="25">
        <f t="shared" si="3"/>
        <v>3416924.1599999997</v>
      </c>
      <c r="E36" s="25">
        <f t="shared" si="3"/>
        <v>29257413.119999994</v>
      </c>
      <c r="F36" s="25">
        <f t="shared" si="3"/>
        <v>57091107.839999996</v>
      </c>
      <c r="G36" s="25">
        <f t="shared" si="3"/>
        <v>68836784.639999986</v>
      </c>
      <c r="H36" s="25">
        <f t="shared" si="3"/>
        <v>45345431.039999992</v>
      </c>
      <c r="I36" s="25">
        <f t="shared" si="3"/>
        <v>42569180.159999996</v>
      </c>
      <c r="J36" s="25">
        <f t="shared" si="3"/>
        <v>32531965.439999998</v>
      </c>
      <c r="K36" s="25">
        <f t="shared" si="3"/>
        <v>27406579.199999996</v>
      </c>
      <c r="L36" s="25">
        <f t="shared" si="3"/>
        <v>11745676.799999997</v>
      </c>
      <c r="M36" s="25">
        <f t="shared" si="3"/>
        <v>0</v>
      </c>
      <c r="N36" s="27">
        <f>SUM(B36:M36)</f>
        <v>326743372.79999995</v>
      </c>
    </row>
    <row r="37" spans="1:16" x14ac:dyDescent="0.25">
      <c r="A37" s="2" t="s">
        <v>18</v>
      </c>
      <c r="B37" s="25">
        <f>$C17*B49</f>
        <v>0</v>
      </c>
      <c r="C37" s="25">
        <f t="shared" ref="C37:M37" si="4">$C17*C49</f>
        <v>0</v>
      </c>
      <c r="D37" s="25">
        <f t="shared" si="4"/>
        <v>3645000</v>
      </c>
      <c r="E37" s="25">
        <f t="shared" si="4"/>
        <v>3645000</v>
      </c>
      <c r="F37" s="25">
        <f t="shared" si="4"/>
        <v>3645000</v>
      </c>
      <c r="G37" s="25">
        <f t="shared" si="4"/>
        <v>3645000</v>
      </c>
      <c r="H37" s="25">
        <f t="shared" si="4"/>
        <v>5467500</v>
      </c>
      <c r="I37" s="25">
        <f t="shared" si="4"/>
        <v>7290000</v>
      </c>
      <c r="J37" s="25">
        <f t="shared" si="4"/>
        <v>9112500</v>
      </c>
      <c r="K37" s="25">
        <f t="shared" si="4"/>
        <v>0</v>
      </c>
      <c r="L37" s="25">
        <f t="shared" si="4"/>
        <v>0</v>
      </c>
      <c r="M37" s="25">
        <f t="shared" si="4"/>
        <v>0</v>
      </c>
      <c r="N37" s="27">
        <f>SUM(B37:M37)</f>
        <v>36450000</v>
      </c>
    </row>
    <row r="38" spans="1:16" x14ac:dyDescent="0.25">
      <c r="A38" s="2" t="s">
        <v>62</v>
      </c>
      <c r="B38" s="25">
        <f>B50*$C18</f>
        <v>11875520</v>
      </c>
      <c r="C38" s="25">
        <f t="shared" ref="C38:M38" si="5">C50*$C18</f>
        <v>2720000</v>
      </c>
      <c r="D38" s="25">
        <f t="shared" si="5"/>
        <v>5440000</v>
      </c>
      <c r="E38" s="25">
        <f t="shared" si="5"/>
        <v>5440000</v>
      </c>
      <c r="F38" s="25">
        <f t="shared" si="5"/>
        <v>5440000</v>
      </c>
      <c r="G38" s="25">
        <f t="shared" si="5"/>
        <v>5440000</v>
      </c>
      <c r="H38" s="25">
        <f t="shared" si="5"/>
        <v>5440000</v>
      </c>
      <c r="I38" s="25">
        <f t="shared" si="5"/>
        <v>2720000</v>
      </c>
      <c r="J38" s="25">
        <f t="shared" si="5"/>
        <v>2720000</v>
      </c>
      <c r="K38" s="25">
        <f t="shared" si="5"/>
        <v>2720000</v>
      </c>
      <c r="L38" s="25">
        <f t="shared" si="5"/>
        <v>2720000</v>
      </c>
      <c r="M38" s="25">
        <f t="shared" si="5"/>
        <v>1724479.9999999972</v>
      </c>
      <c r="N38" s="27">
        <f>SUM(B38:M38)</f>
        <v>54400000</v>
      </c>
    </row>
    <row r="39" spans="1:16" ht="15.75" thickBot="1" x14ac:dyDescent="0.3">
      <c r="A39" s="30" t="s">
        <v>67</v>
      </c>
      <c r="B39" s="37">
        <f>SUM($B$30:B30)*$B$24/4</f>
        <v>0</v>
      </c>
      <c r="C39" s="37">
        <f>SUM($B$30:C30)*$B$24/4</f>
        <v>1000000</v>
      </c>
      <c r="D39" s="37">
        <f>SUM($B$30:D30)*$B$24/4</f>
        <v>2000000</v>
      </c>
      <c r="E39" s="37">
        <f>SUM($B$30:E30)*$B$24/4</f>
        <v>3250000</v>
      </c>
      <c r="F39" s="37">
        <f>SUM($B$30:F30)*$B$24/4</f>
        <v>3250000</v>
      </c>
      <c r="G39" s="37">
        <f>SUM($B$30:G30)*$B$24/4</f>
        <v>3250000</v>
      </c>
      <c r="H39" s="37">
        <f>SUM($B$30:H30)*$B$24/4</f>
        <v>3250000</v>
      </c>
      <c r="I39" s="37">
        <f>SUM($B$30:I30)*$B$24/4</f>
        <v>2437500</v>
      </c>
      <c r="J39" s="37">
        <f>SUM($B$30:J30)*$B$24/4</f>
        <v>1625000</v>
      </c>
      <c r="K39" s="37">
        <f>SUM($B$30:K30)*$B$24/4</f>
        <v>812500</v>
      </c>
      <c r="L39" s="37">
        <f>SUM($B$30:L30)*$B$24/4</f>
        <v>0</v>
      </c>
      <c r="M39" s="37">
        <f>SUM($B$30:M30)*$B$24/4</f>
        <v>0</v>
      </c>
      <c r="N39" s="54">
        <f>SUM(B39:M39)</f>
        <v>20875000</v>
      </c>
    </row>
    <row r="40" spans="1:16" ht="15.75" thickBot="1" x14ac:dyDescent="0.3">
      <c r="A40" s="55" t="s">
        <v>27</v>
      </c>
      <c r="B40" s="95">
        <f t="shared" ref="B40:N40" si="6">SUM(B35:B39)</f>
        <v>53727552.940799996</v>
      </c>
      <c r="C40" s="95">
        <f t="shared" si="6"/>
        <v>18649877.459200002</v>
      </c>
      <c r="D40" s="95">
        <f t="shared" si="6"/>
        <v>27740424.16</v>
      </c>
      <c r="E40" s="95">
        <f t="shared" si="6"/>
        <v>54830913.11999999</v>
      </c>
      <c r="F40" s="95">
        <f t="shared" si="6"/>
        <v>77709507.840000004</v>
      </c>
      <c r="G40" s="95">
        <f t="shared" si="6"/>
        <v>81171784.639999986</v>
      </c>
      <c r="H40" s="95">
        <f t="shared" si="6"/>
        <v>59502931.039999992</v>
      </c>
      <c r="I40" s="95">
        <f t="shared" si="6"/>
        <v>55016680.159999996</v>
      </c>
      <c r="J40" s="95">
        <f t="shared" si="6"/>
        <v>45989465.439999998</v>
      </c>
      <c r="K40" s="95">
        <f t="shared" si="6"/>
        <v>30939079.199999996</v>
      </c>
      <c r="L40" s="95">
        <f t="shared" si="6"/>
        <v>14465676.799999997</v>
      </c>
      <c r="M40" s="95">
        <f t="shared" si="6"/>
        <v>1724479.9999999972</v>
      </c>
      <c r="N40" s="96">
        <f t="shared" si="6"/>
        <v>521468372.79999995</v>
      </c>
      <c r="P40" s="1"/>
    </row>
    <row r="41" spans="1:16" ht="15.75" thickBot="1" x14ac:dyDescent="0.3">
      <c r="A41" s="83" t="s">
        <v>32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P41" s="1"/>
    </row>
    <row r="42" spans="1:16" x14ac:dyDescent="0.25">
      <c r="A42" s="29" t="s">
        <v>33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59"/>
    </row>
    <row r="43" spans="1:16" x14ac:dyDescent="0.25">
      <c r="A43" s="2" t="s">
        <v>34</v>
      </c>
      <c r="B43" s="31">
        <v>0</v>
      </c>
      <c r="C43" s="31">
        <f t="shared" ref="C43:E43" si="7">B45</f>
        <v>272447.05920000374</v>
      </c>
      <c r="D43" s="31">
        <f t="shared" si="7"/>
        <v>21622569.600000001</v>
      </c>
      <c r="E43" s="31">
        <f t="shared" si="7"/>
        <v>39322145.439999998</v>
      </c>
      <c r="F43" s="31">
        <f>E45</f>
        <v>62224565.653333351</v>
      </c>
      <c r="G43" s="31">
        <f t="shared" ref="G43:M43" si="8">F45</f>
        <v>51885724.480000019</v>
      </c>
      <c r="H43" s="31">
        <f t="shared" si="8"/>
        <v>56271273.173333377</v>
      </c>
      <c r="I43" s="31">
        <f t="shared" si="8"/>
        <v>82325675.466666728</v>
      </c>
      <c r="J43" s="31">
        <f t="shared" si="8"/>
        <v>107054328.64000008</v>
      </c>
      <c r="K43" s="31">
        <f t="shared" si="8"/>
        <v>128330196.53333342</v>
      </c>
      <c r="L43" s="31">
        <f t="shared" si="8"/>
        <v>162499117.33333343</v>
      </c>
      <c r="M43" s="31">
        <f t="shared" si="8"/>
        <v>143888107.20000011</v>
      </c>
      <c r="N43" s="33">
        <f>M45</f>
        <v>181331627.20000011</v>
      </c>
      <c r="O43" s="1"/>
      <c r="P43" s="1"/>
    </row>
    <row r="44" spans="1:16" x14ac:dyDescent="0.25">
      <c r="A44" s="2" t="s">
        <v>35</v>
      </c>
      <c r="B44" s="31">
        <f t="shared" ref="B44:M44" si="9">B33-B40</f>
        <v>272447.05920000374</v>
      </c>
      <c r="C44" s="31">
        <f t="shared" si="9"/>
        <v>21350122.540799998</v>
      </c>
      <c r="D44" s="31">
        <f t="shared" si="9"/>
        <v>17699575.84</v>
      </c>
      <c r="E44" s="31">
        <f t="shared" si="9"/>
        <v>22902420.213333353</v>
      </c>
      <c r="F44" s="31">
        <f t="shared" si="9"/>
        <v>-10338841.173333332</v>
      </c>
      <c r="G44" s="31">
        <f t="shared" si="9"/>
        <v>4385548.6933333576</v>
      </c>
      <c r="H44" s="31">
        <f t="shared" si="9"/>
        <v>26054402.293333352</v>
      </c>
      <c r="I44" s="31">
        <f t="shared" si="9"/>
        <v>24728653.173333347</v>
      </c>
      <c r="J44" s="31">
        <f t="shared" si="9"/>
        <v>21275867.893333346</v>
      </c>
      <c r="K44" s="31">
        <f t="shared" si="9"/>
        <v>34168920.800000004</v>
      </c>
      <c r="L44" s="31">
        <f t="shared" si="9"/>
        <v>-18611010.133333325</v>
      </c>
      <c r="M44" s="31">
        <f t="shared" si="9"/>
        <v>37443520</v>
      </c>
      <c r="N44" s="33"/>
      <c r="O44" s="1"/>
    </row>
    <row r="45" spans="1:16" ht="15.75" thickBot="1" x14ac:dyDescent="0.3">
      <c r="A45" s="16" t="s">
        <v>36</v>
      </c>
      <c r="B45" s="42">
        <f t="shared" ref="B45:M45" si="10">B43+B44</f>
        <v>272447.05920000374</v>
      </c>
      <c r="C45" s="42">
        <f t="shared" ref="C45:E45" si="11">C43+C44</f>
        <v>21622569.600000001</v>
      </c>
      <c r="D45" s="42">
        <f t="shared" si="11"/>
        <v>39322145.439999998</v>
      </c>
      <c r="E45" s="42">
        <f t="shared" si="11"/>
        <v>62224565.653333351</v>
      </c>
      <c r="F45" s="42">
        <f t="shared" si="10"/>
        <v>51885724.480000019</v>
      </c>
      <c r="G45" s="42">
        <f t="shared" si="10"/>
        <v>56271273.173333377</v>
      </c>
      <c r="H45" s="42">
        <f t="shared" si="10"/>
        <v>82325675.466666728</v>
      </c>
      <c r="I45" s="42">
        <f t="shared" si="10"/>
        <v>107054328.64000008</v>
      </c>
      <c r="J45" s="42">
        <f t="shared" si="10"/>
        <v>128330196.53333342</v>
      </c>
      <c r="K45" s="42">
        <f t="shared" si="10"/>
        <v>162499117.33333343</v>
      </c>
      <c r="L45" s="42">
        <f t="shared" si="10"/>
        <v>143888107.20000011</v>
      </c>
      <c r="M45" s="42">
        <f t="shared" si="10"/>
        <v>181331627.20000011</v>
      </c>
      <c r="N45" s="38"/>
      <c r="O45" s="1"/>
    </row>
    <row r="46" spans="1:16" x14ac:dyDescent="0.25">
      <c r="A46" s="84" t="s">
        <v>69</v>
      </c>
      <c r="B46" s="85">
        <f>+(N43+N39+B28+B29)/(N39+SUM(B30:H30))</f>
        <v>1.6981383741507878</v>
      </c>
      <c r="C46" s="98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6" ht="15.75" thickBot="1" x14ac:dyDescent="0.3">
      <c r="A47" s="34" t="s">
        <v>37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 x14ac:dyDescent="0.25">
      <c r="A48" s="29" t="s">
        <v>31</v>
      </c>
      <c r="B48" s="60">
        <v>0.42170000000000002</v>
      </c>
      <c r="C48" s="60">
        <v>0.1595</v>
      </c>
      <c r="D48" s="60">
        <v>0.1595</v>
      </c>
      <c r="E48" s="60">
        <v>0.1595</v>
      </c>
      <c r="F48" s="60">
        <f>1-SUM(B48:E48)</f>
        <v>9.98E-2</v>
      </c>
      <c r="G48" s="60">
        <f>1-SUM(B48:F48)</f>
        <v>0</v>
      </c>
      <c r="H48" s="60">
        <v>0</v>
      </c>
      <c r="I48" s="60">
        <v>0</v>
      </c>
      <c r="J48" s="60">
        <v>0</v>
      </c>
      <c r="K48" s="60">
        <v>0</v>
      </c>
      <c r="L48" s="60">
        <v>0</v>
      </c>
      <c r="M48" s="60">
        <v>0</v>
      </c>
      <c r="N48" s="61">
        <f>SUM(B48:M48)</f>
        <v>1</v>
      </c>
    </row>
    <row r="49" spans="1:14" x14ac:dyDescent="0.25">
      <c r="A49" s="30" t="s">
        <v>18</v>
      </c>
      <c r="B49" s="62">
        <v>0</v>
      </c>
      <c r="C49" s="62">
        <v>0</v>
      </c>
      <c r="D49" s="62">
        <v>0.1</v>
      </c>
      <c r="E49" s="62">
        <v>0.1</v>
      </c>
      <c r="F49" s="62">
        <v>0.1</v>
      </c>
      <c r="G49" s="62">
        <v>0.1</v>
      </c>
      <c r="H49" s="62">
        <v>0.15</v>
      </c>
      <c r="I49" s="62">
        <v>0.2</v>
      </c>
      <c r="J49" s="62">
        <f>1-SUM(B49:I49)</f>
        <v>0.25</v>
      </c>
      <c r="K49" s="62">
        <v>0</v>
      </c>
      <c r="L49" s="62">
        <f>1-SUM(B49:K49)</f>
        <v>0</v>
      </c>
      <c r="M49" s="62">
        <v>0</v>
      </c>
      <c r="N49" s="63">
        <f>SUM(B49:M49)</f>
        <v>1</v>
      </c>
    </row>
    <row r="50" spans="1:14" x14ac:dyDescent="0.25">
      <c r="A50" s="2" t="s">
        <v>3</v>
      </c>
      <c r="B50" s="62">
        <v>0.21829999999999999</v>
      </c>
      <c r="C50" s="62">
        <v>0.05</v>
      </c>
      <c r="D50" s="62">
        <v>0.1</v>
      </c>
      <c r="E50" s="62">
        <v>0.1</v>
      </c>
      <c r="F50" s="62">
        <v>0.1</v>
      </c>
      <c r="G50" s="62">
        <v>0.1</v>
      </c>
      <c r="H50" s="62">
        <v>0.1</v>
      </c>
      <c r="I50" s="62">
        <v>0.05</v>
      </c>
      <c r="J50" s="62">
        <v>0.05</v>
      </c>
      <c r="K50" s="62">
        <v>0.05</v>
      </c>
      <c r="L50" s="62">
        <v>0.05</v>
      </c>
      <c r="M50" s="62">
        <f>1-SUM(B50:L50)</f>
        <v>3.169999999999995E-2</v>
      </c>
      <c r="N50" s="63">
        <f>SUM(B50:M50)</f>
        <v>1</v>
      </c>
    </row>
    <row r="51" spans="1:14" ht="15.75" thickBot="1" x14ac:dyDescent="0.3">
      <c r="A51" s="16" t="s">
        <v>65</v>
      </c>
      <c r="B51" s="93">
        <v>0</v>
      </c>
      <c r="C51" s="93">
        <v>0</v>
      </c>
      <c r="D51" s="93">
        <v>0.05</v>
      </c>
      <c r="E51" s="93">
        <v>0.1</v>
      </c>
      <c r="F51" s="93">
        <v>0.1</v>
      </c>
      <c r="G51" s="93">
        <v>0.1</v>
      </c>
      <c r="H51" s="93">
        <v>0.1</v>
      </c>
      <c r="I51" s="93">
        <v>0.1</v>
      </c>
      <c r="J51" s="93">
        <v>0.1</v>
      </c>
      <c r="K51" s="93">
        <v>0.1</v>
      </c>
      <c r="L51" s="93">
        <v>0.1</v>
      </c>
      <c r="M51" s="93">
        <f>1-SUM(B51:L51)</f>
        <v>0.15000000000000013</v>
      </c>
      <c r="N51" s="94">
        <f>SUM(B51:M51)</f>
        <v>1</v>
      </c>
    </row>
    <row r="52" spans="1:14" ht="15.75" thickBot="1" x14ac:dyDescent="0.3">
      <c r="A52" s="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1:14" x14ac:dyDescent="0.25">
      <c r="A53" s="29" t="s">
        <v>40</v>
      </c>
      <c r="B53" s="64">
        <f>+C5</f>
        <v>1088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59"/>
    </row>
    <row r="54" spans="1:14" x14ac:dyDescent="0.25">
      <c r="A54" s="2" t="s">
        <v>59</v>
      </c>
      <c r="B54" s="65"/>
      <c r="C54" s="65">
        <f>+B118</f>
        <v>0</v>
      </c>
      <c r="D54" s="65">
        <f t="shared" ref="D54:M54" si="12">+C118</f>
        <v>0</v>
      </c>
      <c r="E54" s="65">
        <f t="shared" si="12"/>
        <v>128</v>
      </c>
      <c r="F54" s="65">
        <f t="shared" si="12"/>
        <v>256</v>
      </c>
      <c r="G54" s="65">
        <f t="shared" si="12"/>
        <v>704</v>
      </c>
      <c r="H54" s="65">
        <f t="shared" si="12"/>
        <v>0</v>
      </c>
      <c r="I54" s="65">
        <f t="shared" si="12"/>
        <v>0</v>
      </c>
      <c r="J54" s="65">
        <f t="shared" si="12"/>
        <v>0</v>
      </c>
      <c r="K54" s="65">
        <f t="shared" si="12"/>
        <v>0</v>
      </c>
      <c r="L54" s="65">
        <f t="shared" si="12"/>
        <v>0</v>
      </c>
      <c r="M54" s="65">
        <f t="shared" si="12"/>
        <v>0</v>
      </c>
      <c r="N54" s="66">
        <f>SUM(B54:M54)</f>
        <v>1088</v>
      </c>
    </row>
    <row r="55" spans="1:14" x14ac:dyDescent="0.25">
      <c r="A55" s="2" t="s">
        <v>41</v>
      </c>
      <c r="B55" s="31"/>
      <c r="C55" s="31">
        <f t="shared" ref="C55:M55" si="13">+($C$8*$B$9)*C54</f>
        <v>0</v>
      </c>
      <c r="D55" s="31">
        <f t="shared" si="13"/>
        <v>0</v>
      </c>
      <c r="E55" s="31">
        <f t="shared" si="13"/>
        <v>42711.551999999996</v>
      </c>
      <c r="F55" s="31">
        <f t="shared" si="13"/>
        <v>85423.103999999992</v>
      </c>
      <c r="G55" s="31">
        <f t="shared" si="13"/>
        <v>234913.53599999996</v>
      </c>
      <c r="H55" s="31">
        <f t="shared" si="13"/>
        <v>0</v>
      </c>
      <c r="I55" s="31">
        <f t="shared" si="13"/>
        <v>0</v>
      </c>
      <c r="J55" s="31">
        <f t="shared" si="13"/>
        <v>0</v>
      </c>
      <c r="K55" s="31">
        <f t="shared" si="13"/>
        <v>0</v>
      </c>
      <c r="L55" s="31">
        <f t="shared" si="13"/>
        <v>0</v>
      </c>
      <c r="M55" s="31">
        <f t="shared" si="13"/>
        <v>0</v>
      </c>
      <c r="N55" s="33">
        <f>SUM(B55:M55)</f>
        <v>363048.19199999992</v>
      </c>
    </row>
    <row r="56" spans="1:14" x14ac:dyDescent="0.25">
      <c r="A56" s="2" t="s">
        <v>5</v>
      </c>
      <c r="B56" s="25">
        <v>900</v>
      </c>
      <c r="C56" s="14"/>
      <c r="D56" s="14"/>
      <c r="E56" s="67"/>
      <c r="F56" s="67"/>
      <c r="G56" s="67"/>
      <c r="H56" s="67"/>
      <c r="I56" s="67"/>
      <c r="J56" s="67"/>
      <c r="K56" s="67"/>
      <c r="L56" s="67"/>
      <c r="M56" s="67"/>
      <c r="N56" s="66"/>
    </row>
    <row r="57" spans="1:14" x14ac:dyDescent="0.25">
      <c r="A57" s="2" t="s">
        <v>42</v>
      </c>
      <c r="B57" s="25">
        <v>200</v>
      </c>
      <c r="C57" s="67">
        <f>+$B$56</f>
        <v>900</v>
      </c>
      <c r="D57" s="68">
        <f>+B57/C57</f>
        <v>0.22222222222222221</v>
      </c>
      <c r="E57" s="14"/>
      <c r="F57" s="14"/>
      <c r="G57" s="14"/>
      <c r="H57" s="14"/>
      <c r="I57" s="14"/>
      <c r="J57" s="14"/>
      <c r="K57" s="14"/>
      <c r="L57" s="14"/>
      <c r="M57" s="14"/>
      <c r="N57" s="26"/>
    </row>
    <row r="58" spans="1:14" x14ac:dyDescent="0.25">
      <c r="A58" s="2" t="s">
        <v>43</v>
      </c>
      <c r="B58" s="25">
        <v>400</v>
      </c>
      <c r="C58" s="67">
        <f>+$B$56</f>
        <v>900</v>
      </c>
      <c r="D58" s="68">
        <f>+B58/C58</f>
        <v>0.44444444444444442</v>
      </c>
      <c r="E58" s="14"/>
      <c r="F58" s="14"/>
      <c r="G58" s="14"/>
      <c r="H58" s="14"/>
      <c r="I58" s="14"/>
      <c r="J58" s="14"/>
      <c r="K58" s="14"/>
      <c r="L58" s="14"/>
      <c r="M58" s="14"/>
      <c r="N58" s="26"/>
    </row>
    <row r="59" spans="1:14" ht="15.75" thickBot="1" x14ac:dyDescent="0.3">
      <c r="A59" s="16" t="s">
        <v>44</v>
      </c>
      <c r="B59" s="36">
        <f>+B56-SUM(B57:B58)</f>
        <v>300</v>
      </c>
      <c r="C59" s="69">
        <f>+$B$56</f>
        <v>900</v>
      </c>
      <c r="D59" s="70">
        <f>+B59/C59</f>
        <v>0.33333333333333331</v>
      </c>
      <c r="E59" s="17"/>
      <c r="F59" s="17"/>
      <c r="G59" s="17"/>
      <c r="H59" s="17"/>
      <c r="I59" s="17"/>
      <c r="J59" s="17"/>
      <c r="K59" s="17"/>
      <c r="L59" s="17"/>
      <c r="M59" s="17"/>
      <c r="N59" s="71"/>
    </row>
    <row r="60" spans="1:14" ht="15.75" thickBot="1" x14ac:dyDescent="0.3">
      <c r="A60" s="72"/>
      <c r="B60" s="48" t="str">
        <f>B26</f>
        <v>As on Date</v>
      </c>
      <c r="C60" s="48" t="str">
        <f t="shared" ref="C60:M60" si="14">C26</f>
        <v>3rd Qtr</v>
      </c>
      <c r="D60" s="48" t="str">
        <f t="shared" si="14"/>
        <v>4th Qtr</v>
      </c>
      <c r="E60" s="48" t="str">
        <f t="shared" si="14"/>
        <v>1st Qtr</v>
      </c>
      <c r="F60" s="48" t="str">
        <f t="shared" si="14"/>
        <v>2nd Qt</v>
      </c>
      <c r="G60" s="48" t="str">
        <f t="shared" si="14"/>
        <v>3rd Qt</v>
      </c>
      <c r="H60" s="48" t="str">
        <f t="shared" si="14"/>
        <v>4th Qt</v>
      </c>
      <c r="I60" s="48" t="str">
        <f t="shared" si="14"/>
        <v>1st Qtr</v>
      </c>
      <c r="J60" s="48" t="str">
        <f t="shared" si="14"/>
        <v>2nd Qt</v>
      </c>
      <c r="K60" s="48" t="str">
        <f t="shared" si="14"/>
        <v>3rd Qt</v>
      </c>
      <c r="L60" s="48" t="str">
        <f t="shared" si="14"/>
        <v>4th Qtr</v>
      </c>
      <c r="M60" s="48" t="str">
        <f t="shared" si="14"/>
        <v>1st Qtr</v>
      </c>
      <c r="N60" s="50" t="str">
        <f>N26</f>
        <v>TOTAL</v>
      </c>
    </row>
    <row r="61" spans="1:14" x14ac:dyDescent="0.25">
      <c r="A61" s="9" t="s">
        <v>42</v>
      </c>
      <c r="B61" s="19">
        <f>+($C$55*$B$57)</f>
        <v>0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78">
        <f t="shared" ref="N61:N67" si="15">SUM(B61:M61)</f>
        <v>0</v>
      </c>
    </row>
    <row r="62" spans="1:14" x14ac:dyDescent="0.25">
      <c r="A62" s="2" t="s">
        <v>42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7">
        <f t="shared" si="15"/>
        <v>0</v>
      </c>
    </row>
    <row r="63" spans="1:14" x14ac:dyDescent="0.25">
      <c r="A63" s="2" t="s">
        <v>42</v>
      </c>
      <c r="B63" s="25">
        <f>+($E$55*$B$57)*80.2%</f>
        <v>6850932.9407999991</v>
      </c>
      <c r="C63" s="25">
        <f>+($E$55*$B$57)*19.8%</f>
        <v>1691377.4591999997</v>
      </c>
      <c r="D63" s="25"/>
      <c r="E63" s="25"/>
      <c r="F63" s="37"/>
      <c r="G63" s="37"/>
      <c r="H63" s="37"/>
      <c r="I63" s="37"/>
      <c r="J63" s="37"/>
      <c r="K63" s="37"/>
      <c r="L63" s="37"/>
      <c r="M63" s="37"/>
      <c r="N63" s="54">
        <f t="shared" si="15"/>
        <v>8542310.3999999985</v>
      </c>
    </row>
    <row r="64" spans="1:14" x14ac:dyDescent="0.25">
      <c r="A64" s="2" t="s">
        <v>42</v>
      </c>
      <c r="B64" s="37"/>
      <c r="C64" s="37"/>
      <c r="D64" s="37"/>
      <c r="E64" s="25">
        <f>+($F$55*$B$57)</f>
        <v>17084620.799999997</v>
      </c>
      <c r="F64" s="25"/>
      <c r="G64" s="37"/>
      <c r="H64" s="37"/>
      <c r="I64" s="37"/>
      <c r="J64" s="37"/>
      <c r="K64" s="37"/>
      <c r="L64" s="37"/>
      <c r="M64" s="37"/>
      <c r="N64" s="54">
        <f t="shared" si="15"/>
        <v>17084620.799999997</v>
      </c>
    </row>
    <row r="65" spans="1:14" x14ac:dyDescent="0.25">
      <c r="A65" s="2" t="s">
        <v>42</v>
      </c>
      <c r="B65" s="37"/>
      <c r="C65" s="37"/>
      <c r="D65" s="37"/>
      <c r="E65" s="37"/>
      <c r="F65" s="25">
        <f>+($G$55*$B$57)/2</f>
        <v>23491353.599999998</v>
      </c>
      <c r="G65" s="25">
        <f>+($G$55*$B$57)/2</f>
        <v>23491353.599999998</v>
      </c>
      <c r="H65" s="37"/>
      <c r="I65" s="37"/>
      <c r="J65" s="37"/>
      <c r="K65" s="37"/>
      <c r="L65" s="37"/>
      <c r="M65" s="37"/>
      <c r="N65" s="54">
        <f t="shared" si="15"/>
        <v>46982707.199999996</v>
      </c>
    </row>
    <row r="66" spans="1:14" x14ac:dyDescent="0.25">
      <c r="A66" s="2" t="s">
        <v>42</v>
      </c>
      <c r="B66" s="37"/>
      <c r="C66" s="37"/>
      <c r="D66" s="37"/>
      <c r="E66" s="25">
        <f>+($H$55*$B$57)</f>
        <v>0</v>
      </c>
      <c r="F66" s="25"/>
      <c r="G66" s="37"/>
      <c r="H66" s="37"/>
      <c r="I66" s="37"/>
      <c r="J66" s="37"/>
      <c r="K66" s="37"/>
      <c r="L66" s="37"/>
      <c r="M66" s="37"/>
      <c r="N66" s="54">
        <f t="shared" si="15"/>
        <v>0</v>
      </c>
    </row>
    <row r="67" spans="1:14" ht="15.75" thickBot="1" x14ac:dyDescent="0.3">
      <c r="A67" s="2" t="s">
        <v>42</v>
      </c>
      <c r="B67" s="37"/>
      <c r="C67" s="37"/>
      <c r="D67" s="37"/>
      <c r="E67" s="37"/>
      <c r="F67" s="25">
        <f>+($I$55*$B$57)</f>
        <v>0</v>
      </c>
      <c r="G67" s="25"/>
      <c r="H67" s="37"/>
      <c r="I67" s="37"/>
      <c r="J67" s="37"/>
      <c r="K67" s="37"/>
      <c r="L67" s="37"/>
      <c r="M67" s="37"/>
      <c r="N67" s="54">
        <f t="shared" si="15"/>
        <v>0</v>
      </c>
    </row>
    <row r="68" spans="1:14" ht="15.75" thickBot="1" x14ac:dyDescent="0.3">
      <c r="A68" s="55" t="s">
        <v>45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>
        <f>SUM(N61:N67)</f>
        <v>72609638.399999991</v>
      </c>
    </row>
    <row r="69" spans="1:14" x14ac:dyDescent="0.25">
      <c r="A69" s="9" t="s">
        <v>43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78">
        <f t="shared" ref="N69:N75" si="16">SUM(B69:M69)</f>
        <v>0</v>
      </c>
    </row>
    <row r="70" spans="1:14" x14ac:dyDescent="0.25">
      <c r="A70" s="2" t="s">
        <v>43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7">
        <f t="shared" si="16"/>
        <v>0</v>
      </c>
    </row>
    <row r="71" spans="1:14" x14ac:dyDescent="0.25">
      <c r="A71" s="2" t="s">
        <v>43</v>
      </c>
      <c r="B71" s="37"/>
      <c r="C71" s="37"/>
      <c r="D71" s="25">
        <f>+($E$55*$B$58)*20%</f>
        <v>3416924.1599999997</v>
      </c>
      <c r="E71" s="25">
        <f>+($E$55*$B$58)*20%</f>
        <v>3416924.1599999997</v>
      </c>
      <c r="F71" s="25">
        <f>+($E$55*$B$58)*20%</f>
        <v>3416924.1599999997</v>
      </c>
      <c r="G71" s="25">
        <f>+($E$55*$B$58)*20%</f>
        <v>3416924.1599999997</v>
      </c>
      <c r="H71" s="25">
        <f>+($E$55*$B$58)*20%</f>
        <v>3416924.1599999997</v>
      </c>
      <c r="I71" s="37"/>
      <c r="J71" s="37"/>
      <c r="K71" s="37"/>
      <c r="L71" s="37"/>
      <c r="M71" s="37"/>
      <c r="N71" s="27">
        <f t="shared" si="16"/>
        <v>17084620.799999997</v>
      </c>
    </row>
    <row r="72" spans="1:14" x14ac:dyDescent="0.25">
      <c r="A72" s="2" t="s">
        <v>43</v>
      </c>
      <c r="B72" s="37"/>
      <c r="C72" s="37"/>
      <c r="D72" s="37"/>
      <c r="E72" s="25">
        <f>+($F$55*$B$58)/5</f>
        <v>6833848.3199999984</v>
      </c>
      <c r="F72" s="25">
        <f>+($F$55*$B$58)/5</f>
        <v>6833848.3199999984</v>
      </c>
      <c r="G72" s="25">
        <f>+($F$55*$B$58)/5</f>
        <v>6833848.3199999984</v>
      </c>
      <c r="H72" s="25">
        <f>+($F$55*$B$58)/5</f>
        <v>6833848.3199999984</v>
      </c>
      <c r="I72" s="25">
        <f>+($F$55*$B$58)/5</f>
        <v>6833848.3199999984</v>
      </c>
      <c r="J72" s="37"/>
      <c r="K72" s="37"/>
      <c r="L72" s="37"/>
      <c r="M72" s="37"/>
      <c r="N72" s="27">
        <f t="shared" si="16"/>
        <v>34169241.599999994</v>
      </c>
    </row>
    <row r="73" spans="1:14" x14ac:dyDescent="0.25">
      <c r="A73" s="2" t="s">
        <v>43</v>
      </c>
      <c r="B73" s="37"/>
      <c r="C73" s="37"/>
      <c r="D73" s="37"/>
      <c r="E73" s="37"/>
      <c r="F73" s="25">
        <f>+($G$55*$B$58)/6</f>
        <v>15660902.399999999</v>
      </c>
      <c r="G73" s="25">
        <f t="shared" ref="G73:K73" si="17">+($G$55*$B$58)/6</f>
        <v>15660902.399999999</v>
      </c>
      <c r="H73" s="25">
        <f t="shared" si="17"/>
        <v>15660902.399999999</v>
      </c>
      <c r="I73" s="25">
        <f t="shared" si="17"/>
        <v>15660902.399999999</v>
      </c>
      <c r="J73" s="25">
        <f t="shared" si="17"/>
        <v>15660902.399999999</v>
      </c>
      <c r="K73" s="25">
        <f t="shared" si="17"/>
        <v>15660902.399999999</v>
      </c>
      <c r="L73" s="37"/>
      <c r="M73" s="37"/>
      <c r="N73" s="27">
        <f t="shared" si="16"/>
        <v>93965414.400000006</v>
      </c>
    </row>
    <row r="74" spans="1:14" x14ac:dyDescent="0.25">
      <c r="A74" s="2" t="s">
        <v>43</v>
      </c>
      <c r="B74" s="37"/>
      <c r="C74" s="37"/>
      <c r="D74" s="37"/>
      <c r="E74" s="37"/>
      <c r="F74" s="37"/>
      <c r="G74" s="25">
        <f>+($H$55*$B$58)/4</f>
        <v>0</v>
      </c>
      <c r="H74" s="25">
        <f>+($H$55*$B$58)/4</f>
        <v>0</v>
      </c>
      <c r="I74" s="25">
        <f>+($H$55*$B$58)/4</f>
        <v>0</v>
      </c>
      <c r="J74" s="25">
        <f>+($H$55*$B$58)/4</f>
        <v>0</v>
      </c>
      <c r="K74" s="37"/>
      <c r="L74" s="37"/>
      <c r="M74" s="37"/>
      <c r="N74" s="27">
        <f t="shared" si="16"/>
        <v>0</v>
      </c>
    </row>
    <row r="75" spans="1:14" ht="15.75" thickBot="1" x14ac:dyDescent="0.3">
      <c r="A75" s="2" t="s">
        <v>43</v>
      </c>
      <c r="B75" s="37"/>
      <c r="C75" s="37"/>
      <c r="D75" s="37"/>
      <c r="E75" s="37"/>
      <c r="F75" s="37"/>
      <c r="G75" s="37"/>
      <c r="H75" s="25">
        <f>+($I$55*$B$58)/4</f>
        <v>0</v>
      </c>
      <c r="I75" s="25">
        <f>+($I$55*$B$58)/4</f>
        <v>0</v>
      </c>
      <c r="J75" s="25">
        <f>+($I$55*$B$58)/4</f>
        <v>0</v>
      </c>
      <c r="K75" s="25">
        <f>+($I$55*$B$58)/4</f>
        <v>0</v>
      </c>
      <c r="L75" s="25"/>
      <c r="M75" s="25"/>
      <c r="N75" s="27">
        <f t="shared" si="16"/>
        <v>0</v>
      </c>
    </row>
    <row r="76" spans="1:14" ht="15.75" thickBot="1" x14ac:dyDescent="0.3">
      <c r="A76" s="55" t="s">
        <v>46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7">
        <f>SUM(N69:N75)</f>
        <v>145219276.80000001</v>
      </c>
    </row>
    <row r="77" spans="1:14" x14ac:dyDescent="0.25">
      <c r="A77" s="9" t="s">
        <v>44</v>
      </c>
      <c r="B77" s="19"/>
      <c r="C77" s="19"/>
      <c r="D77" s="19">
        <f>+($C$55*$B$59)/5</f>
        <v>0</v>
      </c>
      <c r="E77" s="19">
        <f>+($C$55*$B$59)/5</f>
        <v>0</v>
      </c>
      <c r="F77" s="19">
        <f>+($C$55*$B$59)/5</f>
        <v>0</v>
      </c>
      <c r="G77" s="19">
        <f>+($C$55*$B$59)/5</f>
        <v>0</v>
      </c>
      <c r="H77" s="19"/>
      <c r="I77" s="19"/>
      <c r="J77" s="19"/>
      <c r="K77" s="19"/>
      <c r="L77" s="19"/>
      <c r="M77" s="19"/>
      <c r="N77" s="78">
        <f t="shared" ref="N77:N82" si="18">SUM(B77:M77)</f>
        <v>0</v>
      </c>
    </row>
    <row r="78" spans="1:14" x14ac:dyDescent="0.25">
      <c r="A78" s="2" t="s">
        <v>44</v>
      </c>
      <c r="B78" s="25"/>
      <c r="C78" s="25"/>
      <c r="D78" s="25">
        <f>+($D$55*$B$59)*15%</f>
        <v>0</v>
      </c>
      <c r="E78" s="25">
        <f>+($D$55*$B$59)*20%</f>
        <v>0</v>
      </c>
      <c r="F78" s="25">
        <f>+($D$55*$B$59)*20%</f>
        <v>0</v>
      </c>
      <c r="G78" s="25">
        <f>+($D$55*$B$59)*20%</f>
        <v>0</v>
      </c>
      <c r="H78" s="25">
        <f>+($D$55*$B$59)*25%</f>
        <v>0</v>
      </c>
      <c r="I78" s="25"/>
      <c r="J78" s="25"/>
      <c r="K78" s="25"/>
      <c r="L78" s="25"/>
      <c r="M78" s="25"/>
      <c r="N78" s="27">
        <f t="shared" si="18"/>
        <v>0</v>
      </c>
    </row>
    <row r="79" spans="1:14" x14ac:dyDescent="0.25">
      <c r="A79" s="2" t="s">
        <v>44</v>
      </c>
      <c r="B79" s="37"/>
      <c r="C79" s="37"/>
      <c r="D79" s="37"/>
      <c r="E79" s="25">
        <f>+($E$55*$B$59)*15%</f>
        <v>1922019.8399999999</v>
      </c>
      <c r="F79" s="25">
        <f>+($E$55*$B$59)*20%</f>
        <v>2562693.1200000001</v>
      </c>
      <c r="G79" s="25">
        <f>+($E$55*$B$59)*20%</f>
        <v>2562693.1200000001</v>
      </c>
      <c r="H79" s="25">
        <f>+($E$55*$B$59)*20%</f>
        <v>2562693.1200000001</v>
      </c>
      <c r="I79" s="25">
        <f>+($E$55*$B$59)*25%</f>
        <v>3203366.4</v>
      </c>
      <c r="J79" s="25"/>
      <c r="K79" s="37"/>
      <c r="L79" s="37"/>
      <c r="M79" s="37"/>
      <c r="N79" s="27">
        <f t="shared" si="18"/>
        <v>12813465.6</v>
      </c>
    </row>
    <row r="80" spans="1:14" x14ac:dyDescent="0.25">
      <c r="A80" s="2" t="s">
        <v>44</v>
      </c>
      <c r="B80" s="37"/>
      <c r="C80" s="37"/>
      <c r="D80" s="37"/>
      <c r="E80" s="37"/>
      <c r="F80" s="25">
        <f>+($F$55*$B$59)/5</f>
        <v>5125386.2400000002</v>
      </c>
      <c r="G80" s="25">
        <f>+($F$55*$B$59)/5</f>
        <v>5125386.2400000002</v>
      </c>
      <c r="H80" s="25">
        <f>+($F$55*$B$59)/5</f>
        <v>5125386.2400000002</v>
      </c>
      <c r="I80" s="25">
        <f>+($F$55*$B$59)/5</f>
        <v>5125386.2400000002</v>
      </c>
      <c r="J80" s="25">
        <f>+($F$55*$B$59)/5</f>
        <v>5125386.2400000002</v>
      </c>
      <c r="K80" s="25"/>
      <c r="L80" s="25"/>
      <c r="M80" s="25"/>
      <c r="N80" s="27">
        <f t="shared" si="18"/>
        <v>25626931.200000003</v>
      </c>
    </row>
    <row r="81" spans="1:14" x14ac:dyDescent="0.25">
      <c r="A81" s="2" t="s">
        <v>44</v>
      </c>
      <c r="B81" s="37"/>
      <c r="C81" s="37"/>
      <c r="D81" s="37"/>
      <c r="E81" s="37"/>
      <c r="F81" s="37"/>
      <c r="G81" s="25">
        <f>+($G$55*$B$59)/6</f>
        <v>11745676.799999997</v>
      </c>
      <c r="H81" s="25">
        <f t="shared" ref="H81:L81" si="19">+($G$55*$B$59)/6</f>
        <v>11745676.799999997</v>
      </c>
      <c r="I81" s="25">
        <f t="shared" si="19"/>
        <v>11745676.799999997</v>
      </c>
      <c r="J81" s="25">
        <f t="shared" si="19"/>
        <v>11745676.799999997</v>
      </c>
      <c r="K81" s="25">
        <f t="shared" si="19"/>
        <v>11745676.799999997</v>
      </c>
      <c r="L81" s="25">
        <f t="shared" si="19"/>
        <v>11745676.799999997</v>
      </c>
      <c r="M81" s="25"/>
      <c r="N81" s="27">
        <f t="shared" si="18"/>
        <v>70474060.799999982</v>
      </c>
    </row>
    <row r="82" spans="1:14" ht="15.75" thickBot="1" x14ac:dyDescent="0.3">
      <c r="A82" s="30" t="s">
        <v>44</v>
      </c>
      <c r="B82" s="37"/>
      <c r="C82" s="37"/>
      <c r="D82" s="37"/>
      <c r="E82" s="37"/>
      <c r="F82" s="37"/>
      <c r="G82" s="37"/>
      <c r="H82" s="37"/>
      <c r="I82" s="37"/>
      <c r="J82" s="25">
        <f>+($H$55*$B$59)/5</f>
        <v>0</v>
      </c>
      <c r="K82" s="25">
        <f>+($H$55*$B$59)/5</f>
        <v>0</v>
      </c>
      <c r="L82" s="25"/>
      <c r="M82" s="25"/>
      <c r="N82" s="27">
        <f t="shared" si="18"/>
        <v>0</v>
      </c>
    </row>
    <row r="83" spans="1:14" ht="15.75" thickBot="1" x14ac:dyDescent="0.3">
      <c r="A83" s="55" t="s">
        <v>47</v>
      </c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7">
        <f>SUM(N77:N82)</f>
        <v>108914457.59999999</v>
      </c>
    </row>
    <row r="84" spans="1:14" ht="15.75" thickBot="1" x14ac:dyDescent="0.3">
      <c r="A84" s="55" t="s">
        <v>48</v>
      </c>
      <c r="B84" s="56">
        <f t="shared" ref="B84:M84" si="20">SUM(B61:B83)</f>
        <v>6850932.9407999991</v>
      </c>
      <c r="C84" s="56">
        <f t="shared" si="20"/>
        <v>1691377.4591999997</v>
      </c>
      <c r="D84" s="56">
        <f t="shared" si="20"/>
        <v>3416924.1599999997</v>
      </c>
      <c r="E84" s="56">
        <f>SUM(E61:E83)</f>
        <v>29257413.119999994</v>
      </c>
      <c r="F84" s="56">
        <f t="shared" si="20"/>
        <v>57091107.839999996</v>
      </c>
      <c r="G84" s="56">
        <f t="shared" si="20"/>
        <v>68836784.639999986</v>
      </c>
      <c r="H84" s="56">
        <f>SUM(H61:H83)</f>
        <v>45345431.039999992</v>
      </c>
      <c r="I84" s="56">
        <f t="shared" si="20"/>
        <v>42569180.159999996</v>
      </c>
      <c r="J84" s="56">
        <f t="shared" si="20"/>
        <v>32531965.439999998</v>
      </c>
      <c r="K84" s="56">
        <f t="shared" si="20"/>
        <v>27406579.199999996</v>
      </c>
      <c r="L84" s="56">
        <f t="shared" si="20"/>
        <v>11745676.799999997</v>
      </c>
      <c r="M84" s="56">
        <f t="shared" si="20"/>
        <v>0</v>
      </c>
      <c r="N84" s="57">
        <f>SUM(B84:M84)</f>
        <v>326743372.79999995</v>
      </c>
    </row>
    <row r="85" spans="1:14" ht="15.75" thickBo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x14ac:dyDescent="0.25">
      <c r="A86" s="29" t="s">
        <v>49</v>
      </c>
      <c r="B86" s="59" t="s">
        <v>60</v>
      </c>
      <c r="C86" s="59" t="s">
        <v>61</v>
      </c>
      <c r="D86" s="82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x14ac:dyDescent="0.25">
      <c r="A87" s="2" t="s">
        <v>50</v>
      </c>
      <c r="B87" s="27">
        <v>5000</v>
      </c>
      <c r="C87" s="27"/>
      <c r="D87" s="4"/>
      <c r="E87" s="35">
        <f>$N$116*SUM(B87+C87)</f>
        <v>5440000</v>
      </c>
      <c r="F87" s="4"/>
      <c r="G87" s="4"/>
      <c r="H87" s="4"/>
      <c r="I87" s="4"/>
      <c r="J87" s="4"/>
      <c r="K87" s="4"/>
      <c r="L87" s="4"/>
      <c r="M87" s="4"/>
      <c r="N87" s="4"/>
    </row>
    <row r="88" spans="1:14" x14ac:dyDescent="0.25">
      <c r="A88" s="2" t="s">
        <v>51</v>
      </c>
      <c r="B88" s="27">
        <v>70000</v>
      </c>
      <c r="C88" s="27">
        <v>60000</v>
      </c>
      <c r="D88" s="35"/>
      <c r="E88" s="35">
        <f>$N$116*SUM(B88+C88)</f>
        <v>141440000</v>
      </c>
      <c r="F88" s="4"/>
      <c r="G88" s="4"/>
      <c r="H88" s="4"/>
      <c r="I88" s="4"/>
      <c r="J88" s="4"/>
      <c r="K88" s="4"/>
      <c r="L88" s="4"/>
      <c r="M88" s="4"/>
      <c r="N88" s="4"/>
    </row>
    <row r="89" spans="1:14" x14ac:dyDescent="0.25">
      <c r="A89" s="2" t="s">
        <v>43</v>
      </c>
      <c r="B89" s="27">
        <v>70000</v>
      </c>
      <c r="C89" s="27">
        <v>60000</v>
      </c>
      <c r="D89" s="35"/>
      <c r="E89" s="35">
        <f>$N$116*SUM(B89+C89)</f>
        <v>141440000</v>
      </c>
      <c r="F89" s="4"/>
      <c r="G89" s="4"/>
      <c r="H89" s="4"/>
      <c r="I89" s="4"/>
      <c r="J89" s="4"/>
      <c r="K89" s="4"/>
      <c r="L89" s="4"/>
      <c r="M89" s="4"/>
      <c r="N89" s="4"/>
    </row>
    <row r="90" spans="1:14" x14ac:dyDescent="0.25">
      <c r="A90" s="2" t="s">
        <v>52</v>
      </c>
      <c r="B90" s="27">
        <v>105000</v>
      </c>
      <c r="C90" s="27">
        <v>50000</v>
      </c>
      <c r="D90" s="35"/>
      <c r="E90" s="35">
        <f>$N$116*SUM(B90+C90)</f>
        <v>168640000</v>
      </c>
      <c r="F90" s="35"/>
      <c r="G90" s="4"/>
      <c r="H90" s="4"/>
      <c r="I90" s="4"/>
      <c r="J90" s="4"/>
      <c r="K90" s="4"/>
      <c r="L90" s="4"/>
      <c r="M90" s="4"/>
      <c r="N90" s="4"/>
    </row>
    <row r="91" spans="1:14" ht="15.75" thickBot="1" x14ac:dyDescent="0.3">
      <c r="A91" s="16" t="s">
        <v>53</v>
      </c>
      <c r="B91" s="73">
        <v>100000</v>
      </c>
      <c r="C91" s="73">
        <v>80000</v>
      </c>
      <c r="D91" s="35"/>
      <c r="E91" s="35">
        <f>$N$116*SUM(B91+C91)</f>
        <v>195840000</v>
      </c>
      <c r="F91" s="4"/>
      <c r="G91" s="4"/>
      <c r="H91" s="4"/>
      <c r="I91" s="4"/>
      <c r="J91" s="4"/>
      <c r="K91" s="4"/>
      <c r="L91" s="4"/>
      <c r="M91" s="4"/>
      <c r="N91" s="4"/>
    </row>
    <row r="92" spans="1:14" x14ac:dyDescent="0.25">
      <c r="A92" s="23" t="s">
        <v>54</v>
      </c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2"/>
    </row>
    <row r="93" spans="1:14" x14ac:dyDescent="0.25">
      <c r="A93" s="2" t="s">
        <v>50</v>
      </c>
      <c r="B93" s="25"/>
      <c r="C93" s="25"/>
      <c r="D93" s="25">
        <f>$B$87*(E118+D118+F118)</f>
        <v>5440000</v>
      </c>
      <c r="E93" s="25"/>
      <c r="F93" s="25"/>
      <c r="G93" s="25"/>
      <c r="H93" s="25"/>
      <c r="I93" s="25"/>
      <c r="J93" s="25"/>
      <c r="K93" s="25"/>
      <c r="L93" s="25"/>
      <c r="M93" s="25"/>
      <c r="N93" s="27">
        <f>SUM(B93:L93)</f>
        <v>5440000</v>
      </c>
    </row>
    <row r="94" spans="1:14" x14ac:dyDescent="0.25">
      <c r="A94" s="2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7"/>
    </row>
    <row r="95" spans="1:14" x14ac:dyDescent="0.25">
      <c r="A95" s="2" t="s">
        <v>51</v>
      </c>
      <c r="B95" s="25"/>
      <c r="C95" s="25"/>
      <c r="D95" s="25"/>
      <c r="E95" s="25">
        <f>(($B$88+$C$88)*$D$118)/4</f>
        <v>4160000</v>
      </c>
      <c r="F95" s="25">
        <f>(($B$88+$C$88)*$D$118)/4</f>
        <v>4160000</v>
      </c>
      <c r="G95" s="25">
        <f>(($B$88+$C$88)*$D$118)/4</f>
        <v>4160000</v>
      </c>
      <c r="H95" s="25">
        <f>(($B$88+$C$88)*$D$118)/4</f>
        <v>4160000</v>
      </c>
      <c r="I95" s="25"/>
      <c r="J95" s="25"/>
      <c r="K95" s="25"/>
      <c r="L95" s="25"/>
      <c r="M95" s="25"/>
      <c r="N95" s="27">
        <f>SUM(B95:L95)</f>
        <v>16640000</v>
      </c>
    </row>
    <row r="96" spans="1:14" x14ac:dyDescent="0.25">
      <c r="A96" s="2" t="s">
        <v>51</v>
      </c>
      <c r="B96" s="25"/>
      <c r="C96" s="25"/>
      <c r="D96" s="25"/>
      <c r="E96" s="25">
        <f>(($B$88+$C$88)*$E$118)/4</f>
        <v>8320000</v>
      </c>
      <c r="F96" s="25">
        <f>(($B$88+$C$88)*$E$118)/4</f>
        <v>8320000</v>
      </c>
      <c r="G96" s="25">
        <f>(($B$88+$C$88)*$E$118)/4</f>
        <v>8320000</v>
      </c>
      <c r="H96" s="25">
        <f>(($B$88+$C$88)*$E$118)/4</f>
        <v>8320000</v>
      </c>
      <c r="I96" s="25"/>
      <c r="J96" s="25"/>
      <c r="K96" s="25"/>
      <c r="L96" s="25"/>
      <c r="M96" s="25"/>
      <c r="N96" s="27">
        <f>SUM(B96:L96)</f>
        <v>33280000</v>
      </c>
    </row>
    <row r="97" spans="1:14" x14ac:dyDescent="0.25">
      <c r="A97" s="2" t="s">
        <v>51</v>
      </c>
      <c r="B97" s="25"/>
      <c r="C97" s="25"/>
      <c r="D97" s="25"/>
      <c r="E97" s="25">
        <f>(($B$88+$C$88)*$F$118)/6</f>
        <v>15253333.333333334</v>
      </c>
      <c r="F97" s="25">
        <f>(($B$88+$C$88)*$F$118)/6</f>
        <v>15253333.333333334</v>
      </c>
      <c r="G97" s="25">
        <f t="shared" ref="G97:J97" si="21">(($B$88+$C$88)*$F$118)/6</f>
        <v>15253333.333333334</v>
      </c>
      <c r="H97" s="25">
        <f t="shared" si="21"/>
        <v>15253333.333333334</v>
      </c>
      <c r="I97" s="25">
        <f t="shared" si="21"/>
        <v>15253333.333333334</v>
      </c>
      <c r="J97" s="25">
        <f t="shared" si="21"/>
        <v>15253333.333333334</v>
      </c>
      <c r="K97" s="25"/>
      <c r="L97" s="25"/>
      <c r="M97" s="25"/>
      <c r="N97" s="27">
        <f>SUM(B97:L97)</f>
        <v>91520000</v>
      </c>
    </row>
    <row r="98" spans="1:14" x14ac:dyDescent="0.25">
      <c r="A98" s="2" t="s">
        <v>51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7">
        <f>SUM(B98:L98)</f>
        <v>0</v>
      </c>
    </row>
    <row r="99" spans="1:14" x14ac:dyDescent="0.25">
      <c r="A99" s="2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7"/>
    </row>
    <row r="100" spans="1:14" x14ac:dyDescent="0.25">
      <c r="A100" s="2" t="s">
        <v>43</v>
      </c>
      <c r="B100" s="25"/>
      <c r="C100" s="25"/>
      <c r="D100" s="25"/>
      <c r="E100" s="25"/>
      <c r="F100" s="25">
        <f>(($B$89+$C$89)*$D$118)/4</f>
        <v>4160000</v>
      </c>
      <c r="G100" s="25">
        <f>(($B$89+$C$89)*$D$118)/4</f>
        <v>4160000</v>
      </c>
      <c r="H100" s="25">
        <f>(($B$89+$C$89)*$D$118)/4</f>
        <v>4160000</v>
      </c>
      <c r="I100" s="25">
        <f>(($B$89+$C$89)*$D$118)/4</f>
        <v>4160000</v>
      </c>
      <c r="J100" s="25"/>
      <c r="K100" s="25"/>
      <c r="L100" s="25"/>
      <c r="M100" s="25"/>
      <c r="N100" s="27">
        <f>SUM(B100:L100)</f>
        <v>16640000</v>
      </c>
    </row>
    <row r="101" spans="1:14" x14ac:dyDescent="0.25">
      <c r="A101" s="2" t="s">
        <v>43</v>
      </c>
      <c r="B101" s="25"/>
      <c r="C101" s="25"/>
      <c r="D101" s="25"/>
      <c r="E101" s="25"/>
      <c r="F101" s="25">
        <f>(($B$89+$C$89)*$E$118)/4</f>
        <v>8320000</v>
      </c>
      <c r="G101" s="25">
        <f>(($B$89+$C$89)*$E$118)/4</f>
        <v>8320000</v>
      </c>
      <c r="H101" s="25">
        <f>(($B$89+$C$89)*$E$118)/4</f>
        <v>8320000</v>
      </c>
      <c r="I101" s="25">
        <f>(($B$89+$C$89)*$E$118)/4</f>
        <v>8320000</v>
      </c>
      <c r="J101" s="25"/>
      <c r="K101" s="25"/>
      <c r="L101" s="25"/>
      <c r="M101" s="25"/>
      <c r="N101" s="27">
        <f>SUM(B101:L101)</f>
        <v>33280000</v>
      </c>
    </row>
    <row r="102" spans="1:14" x14ac:dyDescent="0.25">
      <c r="A102" s="2" t="s">
        <v>43</v>
      </c>
      <c r="B102" s="25"/>
      <c r="C102" s="25"/>
      <c r="D102" s="25"/>
      <c r="E102" s="25"/>
      <c r="F102" s="25">
        <f>(($B$89+$C$89)*$F$118)/6</f>
        <v>15253333.333333334</v>
      </c>
      <c r="G102" s="25">
        <f>(($B$89+$C$89)*$F$118)/6</f>
        <v>15253333.333333334</v>
      </c>
      <c r="H102" s="25">
        <f t="shared" ref="H102:K102" si="22">(($B$89+$C$89)*$F$118)/6</f>
        <v>15253333.333333334</v>
      </c>
      <c r="I102" s="25">
        <f t="shared" si="22"/>
        <v>15253333.333333334</v>
      </c>
      <c r="J102" s="25">
        <f t="shared" si="22"/>
        <v>15253333.333333334</v>
      </c>
      <c r="K102" s="25">
        <f t="shared" si="22"/>
        <v>15253333.333333334</v>
      </c>
      <c r="L102" s="25"/>
      <c r="M102" s="25"/>
      <c r="N102" s="27">
        <f>SUM(B102:L102)</f>
        <v>91520000</v>
      </c>
    </row>
    <row r="103" spans="1:14" x14ac:dyDescent="0.25">
      <c r="A103" s="2" t="s">
        <v>43</v>
      </c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7">
        <f>SUM(B103:L103)</f>
        <v>0</v>
      </c>
    </row>
    <row r="104" spans="1:14" x14ac:dyDescent="0.25">
      <c r="A104" s="2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7"/>
    </row>
    <row r="105" spans="1:14" x14ac:dyDescent="0.25">
      <c r="A105" s="2" t="s">
        <v>52</v>
      </c>
      <c r="B105" s="37"/>
      <c r="C105" s="37"/>
      <c r="D105" s="37"/>
      <c r="E105" s="37"/>
      <c r="F105" s="25">
        <f>(($B$90+$C$90)*$D$118)/5</f>
        <v>3968000</v>
      </c>
      <c r="G105" s="25">
        <f>(($B$90+$C$90)*$D$118)/5</f>
        <v>3968000</v>
      </c>
      <c r="H105" s="25">
        <f>(($B$90+$C$90)*$D$118)/5</f>
        <v>3968000</v>
      </c>
      <c r="I105" s="25">
        <f>(($B$90+$C$90)*$D$118)/5</f>
        <v>3968000</v>
      </c>
      <c r="J105" s="25">
        <f>(($B$90+$C$90)*$D$118)/5</f>
        <v>3968000</v>
      </c>
      <c r="K105" s="25"/>
      <c r="L105" s="25"/>
      <c r="M105" s="25"/>
      <c r="N105" s="27">
        <f>SUM(B105:L105)</f>
        <v>19840000</v>
      </c>
    </row>
    <row r="106" spans="1:14" x14ac:dyDescent="0.25">
      <c r="A106" s="2" t="s">
        <v>52</v>
      </c>
      <c r="B106" s="37"/>
      <c r="C106" s="37"/>
      <c r="D106" s="37"/>
      <c r="E106" s="37"/>
      <c r="F106" s="25">
        <f>(($B$90+$C$90)*$E$118)/5</f>
        <v>7936000</v>
      </c>
      <c r="G106" s="25">
        <f>(($B$90+$C$90)*$E$118)/5</f>
        <v>7936000</v>
      </c>
      <c r="H106" s="25">
        <f>(($B$90+$C$90)*$E$118)/5</f>
        <v>7936000</v>
      </c>
      <c r="I106" s="25">
        <f>(($B$90+$C$90)*$E$118)/5</f>
        <v>7936000</v>
      </c>
      <c r="J106" s="25">
        <f>(($B$90+$C$90)*$E$118)/5</f>
        <v>7936000</v>
      </c>
      <c r="K106" s="25"/>
      <c r="L106" s="25"/>
      <c r="M106" s="25"/>
      <c r="N106" s="27">
        <f>SUM(B106:L106)</f>
        <v>39680000</v>
      </c>
    </row>
    <row r="107" spans="1:14" x14ac:dyDescent="0.25">
      <c r="A107" s="2" t="s">
        <v>52</v>
      </c>
      <c r="B107" s="37"/>
      <c r="C107" s="37"/>
      <c r="D107" s="37"/>
      <c r="E107" s="37"/>
      <c r="F107" s="37"/>
      <c r="G107" s="25">
        <f>(($B$90+$C$90)*$F$118)/6</f>
        <v>18186666.666666668</v>
      </c>
      <c r="H107" s="25">
        <f t="shared" ref="H107:L107" si="23">(($B$90+$C$90)*$F$118)/6</f>
        <v>18186666.666666668</v>
      </c>
      <c r="I107" s="25">
        <f t="shared" si="23"/>
        <v>18186666.666666668</v>
      </c>
      <c r="J107" s="25">
        <f t="shared" si="23"/>
        <v>18186666.666666668</v>
      </c>
      <c r="K107" s="25">
        <f t="shared" si="23"/>
        <v>18186666.666666668</v>
      </c>
      <c r="L107" s="25">
        <f t="shared" si="23"/>
        <v>18186666.666666668</v>
      </c>
      <c r="M107" s="25"/>
      <c r="N107" s="27">
        <f>SUM(B107:L107)</f>
        <v>109120000.00000001</v>
      </c>
    </row>
    <row r="108" spans="1:14" x14ac:dyDescent="0.25">
      <c r="A108" s="2" t="s">
        <v>52</v>
      </c>
      <c r="B108" s="37"/>
      <c r="C108" s="37"/>
      <c r="D108" s="37"/>
      <c r="E108" s="37"/>
      <c r="F108" s="37"/>
      <c r="G108" s="37"/>
      <c r="H108" s="25"/>
      <c r="I108" s="25"/>
      <c r="J108" s="25"/>
      <c r="K108" s="25"/>
      <c r="L108" s="25"/>
      <c r="M108" s="25"/>
      <c r="N108" s="27">
        <f>SUM(B108:K108)</f>
        <v>0</v>
      </c>
    </row>
    <row r="109" spans="1:14" x14ac:dyDescent="0.25">
      <c r="A109" s="2"/>
      <c r="B109" s="37"/>
      <c r="C109" s="37"/>
      <c r="D109" s="37"/>
      <c r="E109" s="37"/>
      <c r="F109" s="37"/>
      <c r="G109" s="37"/>
      <c r="H109" s="37"/>
      <c r="I109" s="25"/>
      <c r="J109" s="25"/>
      <c r="K109" s="25"/>
      <c r="L109" s="25"/>
      <c r="M109" s="25"/>
      <c r="N109" s="27"/>
    </row>
    <row r="110" spans="1:14" ht="15.75" thickBot="1" x14ac:dyDescent="0.3">
      <c r="A110" s="30" t="s">
        <v>53</v>
      </c>
      <c r="B110" s="37"/>
      <c r="C110" s="37"/>
      <c r="D110" s="37"/>
      <c r="E110" s="37"/>
      <c r="F110" s="37"/>
      <c r="G110" s="37"/>
      <c r="H110" s="37"/>
      <c r="I110" s="25">
        <f>(($B$91+$C$91)*($D$118+$E$118+$F$118))/5</f>
        <v>39168000</v>
      </c>
      <c r="J110" s="25">
        <f>(($B$91+$C$91)*($D$118+$E$118+$F$118))/5</f>
        <v>39168000</v>
      </c>
      <c r="K110" s="25">
        <f>(($B$91+$C$91)*($D$118+$E$118+$F$118))/5</f>
        <v>39168000</v>
      </c>
      <c r="L110" s="25">
        <f>(($B$91+$C$91)*($D$118+$E$118+$F$118))/5</f>
        <v>39168000</v>
      </c>
      <c r="M110" s="25">
        <f>(($B$91+$C$91)*($D$118+$E$118+$F$118))/5</f>
        <v>39168000</v>
      </c>
      <c r="N110" s="54">
        <f>SUM(B110:M110)</f>
        <v>195840000</v>
      </c>
    </row>
    <row r="111" spans="1:14" ht="15.75" thickBot="1" x14ac:dyDescent="0.3">
      <c r="A111" s="55" t="s">
        <v>55</v>
      </c>
      <c r="B111" s="56">
        <f t="shared" ref="B111:N111" si="24">SUM(B93:B110)</f>
        <v>0</v>
      </c>
      <c r="C111" s="56">
        <f>SUM(C93:C110)</f>
        <v>0</v>
      </c>
      <c r="D111" s="56">
        <f>SUM(D93:D110)</f>
        <v>5440000</v>
      </c>
      <c r="E111" s="56">
        <f t="shared" si="24"/>
        <v>27733333.333333336</v>
      </c>
      <c r="F111" s="56">
        <f t="shared" si="24"/>
        <v>67370666.666666672</v>
      </c>
      <c r="G111" s="56">
        <f t="shared" si="24"/>
        <v>85557333.333333343</v>
      </c>
      <c r="H111" s="56">
        <f t="shared" si="24"/>
        <v>85557333.333333343</v>
      </c>
      <c r="I111" s="56">
        <f t="shared" si="24"/>
        <v>112245333.33333334</v>
      </c>
      <c r="J111" s="56">
        <f t="shared" si="24"/>
        <v>99765333.333333343</v>
      </c>
      <c r="K111" s="56">
        <f t="shared" si="24"/>
        <v>72608000</v>
      </c>
      <c r="L111" s="56">
        <f>SUM(L93:L110)</f>
        <v>57354666.666666672</v>
      </c>
      <c r="M111" s="56">
        <f>SUM(M93:M110)</f>
        <v>39168000</v>
      </c>
      <c r="N111" s="57">
        <f t="shared" si="24"/>
        <v>652800000</v>
      </c>
    </row>
    <row r="112" spans="1:14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1:14" ht="15.75" thickBo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1:14" ht="15.75" thickBot="1" x14ac:dyDescent="0.3">
      <c r="A114" s="55" t="s">
        <v>40</v>
      </c>
      <c r="B114" s="6" t="str">
        <f>B26</f>
        <v>As on Date</v>
      </c>
      <c r="C114" s="6" t="str">
        <f t="shared" ref="C114:M114" si="25">C26</f>
        <v>3rd Qtr</v>
      </c>
      <c r="D114" s="6" t="str">
        <f t="shared" si="25"/>
        <v>4th Qtr</v>
      </c>
      <c r="E114" s="6" t="str">
        <f t="shared" si="25"/>
        <v>1st Qtr</v>
      </c>
      <c r="F114" s="6" t="str">
        <f t="shared" si="25"/>
        <v>2nd Qt</v>
      </c>
      <c r="G114" s="6" t="str">
        <f t="shared" si="25"/>
        <v>3rd Qt</v>
      </c>
      <c r="H114" s="6" t="str">
        <f t="shared" si="25"/>
        <v>4th Qt</v>
      </c>
      <c r="I114" s="6" t="str">
        <f t="shared" si="25"/>
        <v>1st Qtr</v>
      </c>
      <c r="J114" s="6" t="str">
        <f t="shared" si="25"/>
        <v>2nd Qt</v>
      </c>
      <c r="K114" s="6" t="str">
        <f t="shared" si="25"/>
        <v>3rd Qt</v>
      </c>
      <c r="L114" s="6" t="str">
        <f t="shared" si="25"/>
        <v>4th Qtr</v>
      </c>
      <c r="M114" s="6" t="str">
        <f t="shared" si="25"/>
        <v>1st Qtr</v>
      </c>
      <c r="N114" s="7" t="str">
        <f>N26</f>
        <v>TOTAL</v>
      </c>
    </row>
    <row r="115" spans="1:14" x14ac:dyDescent="0.25">
      <c r="A115" s="9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74"/>
    </row>
    <row r="116" spans="1:14" x14ac:dyDescent="0.25">
      <c r="A116" s="2" t="s">
        <v>77</v>
      </c>
      <c r="B116" s="14"/>
      <c r="C116" s="14"/>
      <c r="D116" s="14">
        <v>128</v>
      </c>
      <c r="E116" s="14">
        <v>256</v>
      </c>
      <c r="F116" s="91">
        <f>C5-D116-E116</f>
        <v>704</v>
      </c>
      <c r="G116" s="14"/>
      <c r="H116" s="14"/>
      <c r="I116" s="14"/>
      <c r="J116" s="14"/>
      <c r="K116" s="14"/>
      <c r="L116" s="14"/>
      <c r="M116" s="14"/>
      <c r="N116" s="26">
        <f>SUM(B116:M116)</f>
        <v>1088</v>
      </c>
    </row>
    <row r="117" spans="1:14" ht="15.75" thickBot="1" x14ac:dyDescent="0.3">
      <c r="A117" s="16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71"/>
    </row>
    <row r="118" spans="1:14" ht="15.75" thickBot="1" x14ac:dyDescent="0.3">
      <c r="A118" s="58" t="s">
        <v>0</v>
      </c>
      <c r="B118" s="75">
        <f t="shared" ref="B118:N118" si="26">SUM(B116:B117)</f>
        <v>0</v>
      </c>
      <c r="C118" s="75">
        <f t="shared" si="26"/>
        <v>0</v>
      </c>
      <c r="D118" s="75">
        <f t="shared" si="26"/>
        <v>128</v>
      </c>
      <c r="E118" s="75">
        <f t="shared" si="26"/>
        <v>256</v>
      </c>
      <c r="F118" s="75">
        <f t="shared" si="26"/>
        <v>704</v>
      </c>
      <c r="G118" s="75">
        <f t="shared" si="26"/>
        <v>0</v>
      </c>
      <c r="H118" s="75">
        <f t="shared" si="26"/>
        <v>0</v>
      </c>
      <c r="I118" s="75">
        <f t="shared" si="26"/>
        <v>0</v>
      </c>
      <c r="J118" s="75">
        <f t="shared" si="26"/>
        <v>0</v>
      </c>
      <c r="K118" s="75">
        <f t="shared" si="26"/>
        <v>0</v>
      </c>
      <c r="L118" s="75">
        <f t="shared" si="26"/>
        <v>0</v>
      </c>
      <c r="M118" s="75">
        <f t="shared" si="26"/>
        <v>0</v>
      </c>
      <c r="N118" s="76">
        <f t="shared" si="26"/>
        <v>1088</v>
      </c>
    </row>
  </sheetData>
  <mergeCells count="6">
    <mergeCell ref="A1:E1"/>
    <mergeCell ref="B25:D25"/>
    <mergeCell ref="G6:J6"/>
    <mergeCell ref="G14:J14"/>
    <mergeCell ref="E25:H25"/>
    <mergeCell ref="I25:L25"/>
  </mergeCells>
  <pageMargins left="0.7" right="0.7" top="0.75" bottom="0.75" header="0.3" footer="0.3"/>
  <pageSetup paperSize="9" scale="63" fitToHeight="0" orientation="landscape" horizontalDpi="300" verticalDpi="300" r:id="rId1"/>
  <rowBreaks count="2" manualBreakCount="2">
    <brk id="40" max="14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F15" sqref="F15"/>
    </sheetView>
  </sheetViews>
  <sheetFormatPr defaultColWidth="9.140625" defaultRowHeight="16.5" x14ac:dyDescent="0.3"/>
  <cols>
    <col min="1" max="1" width="9.140625" style="101"/>
    <col min="2" max="2" width="41.85546875" style="101" bestFit="1" customWidth="1"/>
    <col min="3" max="3" width="16.5703125" style="101" bestFit="1" customWidth="1"/>
    <col min="4" max="16384" width="9.140625" style="101"/>
  </cols>
  <sheetData>
    <row r="1" spans="1:4" x14ac:dyDescent="0.3">
      <c r="A1" s="100" t="s">
        <v>80</v>
      </c>
      <c r="B1" s="100" t="s">
        <v>81</v>
      </c>
      <c r="C1" s="100" t="s">
        <v>82</v>
      </c>
      <c r="D1" s="100" t="s">
        <v>83</v>
      </c>
    </row>
    <row r="2" spans="1:4" x14ac:dyDescent="0.3">
      <c r="A2" s="102"/>
      <c r="B2" s="100" t="s">
        <v>84</v>
      </c>
      <c r="C2" s="102"/>
      <c r="D2" s="102"/>
    </row>
    <row r="3" spans="1:4" x14ac:dyDescent="0.3">
      <c r="A3" s="102">
        <f>1</f>
        <v>1</v>
      </c>
      <c r="B3" s="102" t="s">
        <v>66</v>
      </c>
      <c r="C3" s="103">
        <f>'CF Beldi'!C15</f>
        <v>83000000</v>
      </c>
      <c r="D3" s="104">
        <f>C3/C8*100</f>
        <v>15.916593283373137</v>
      </c>
    </row>
    <row r="4" spans="1:4" x14ac:dyDescent="0.3">
      <c r="A4" s="102">
        <f>A3+1</f>
        <v>2</v>
      </c>
      <c r="B4" s="102" t="s">
        <v>5</v>
      </c>
      <c r="C4" s="103">
        <f>'CF Beldi'!C16</f>
        <v>326743372.80000001</v>
      </c>
      <c r="D4" s="104">
        <f>C4/C8*100</f>
        <v>62.658329793917659</v>
      </c>
    </row>
    <row r="5" spans="1:4" x14ac:dyDescent="0.3">
      <c r="A5" s="102">
        <f t="shared" ref="A5:A7" si="0">A4+1</f>
        <v>3</v>
      </c>
      <c r="B5" s="102" t="s">
        <v>18</v>
      </c>
      <c r="C5" s="103">
        <f>'CF Beldi'!C17</f>
        <v>36450000</v>
      </c>
      <c r="D5" s="104">
        <f>C5/C8*100</f>
        <v>6.9898774117945885</v>
      </c>
    </row>
    <row r="6" spans="1:4" x14ac:dyDescent="0.3">
      <c r="A6" s="102">
        <f t="shared" si="0"/>
        <v>4</v>
      </c>
      <c r="B6" s="102" t="s">
        <v>62</v>
      </c>
      <c r="C6" s="103">
        <f>'CF Beldi'!C18</f>
        <v>54400000</v>
      </c>
      <c r="D6" s="104">
        <f>C6/C8*100</f>
        <v>10.432080417054202</v>
      </c>
    </row>
    <row r="7" spans="1:4" x14ac:dyDescent="0.3">
      <c r="A7" s="102">
        <f t="shared" si="0"/>
        <v>5</v>
      </c>
      <c r="B7" s="102" t="s">
        <v>67</v>
      </c>
      <c r="C7" s="103">
        <f>'CF Beldi'!C19</f>
        <v>20875000</v>
      </c>
      <c r="D7" s="104">
        <f>C7/C8*100</f>
        <v>4.0031190938604126</v>
      </c>
    </row>
    <row r="8" spans="1:4" x14ac:dyDescent="0.3">
      <c r="A8" s="102"/>
      <c r="B8" s="105" t="s">
        <v>0</v>
      </c>
      <c r="C8" s="106">
        <f>SUM(C3:C7)</f>
        <v>521468372.80000001</v>
      </c>
      <c r="D8" s="107">
        <f>SUM(D3:D7)</f>
        <v>100</v>
      </c>
    </row>
    <row r="9" spans="1:4" x14ac:dyDescent="0.3">
      <c r="A9" s="102"/>
      <c r="B9" s="100" t="s">
        <v>85</v>
      </c>
      <c r="C9" s="103"/>
      <c r="D9" s="104"/>
    </row>
    <row r="10" spans="1:4" x14ac:dyDescent="0.3">
      <c r="A10" s="102">
        <f>1</f>
        <v>1</v>
      </c>
      <c r="B10" s="102" t="s">
        <v>28</v>
      </c>
      <c r="C10" s="103">
        <f>'CF Beldi'!B28</f>
        <v>2000000</v>
      </c>
      <c r="D10" s="104">
        <f>C10/C14*100</f>
        <v>0.38353236827405157</v>
      </c>
    </row>
    <row r="11" spans="1:4" x14ac:dyDescent="0.3">
      <c r="A11" s="102">
        <f>A10+1</f>
        <v>2</v>
      </c>
      <c r="B11" s="102" t="s">
        <v>78</v>
      </c>
      <c r="C11" s="103">
        <f>'CF Beldi'!B29</f>
        <v>52000000</v>
      </c>
      <c r="D11" s="104">
        <f>C11/C14*100</f>
        <v>9.9718415751253389</v>
      </c>
    </row>
    <row r="12" spans="1:4" x14ac:dyDescent="0.3">
      <c r="A12" s="102">
        <f t="shared" ref="A12:A13" si="1">A11+1</f>
        <v>3</v>
      </c>
      <c r="B12" s="102" t="s">
        <v>29</v>
      </c>
      <c r="C12" s="103">
        <f>'[1]CF Kanakpur'!C39+'[1]CF Kanakpur'!D39+'[1]CF Kanakpur'!E39</f>
        <v>130000000</v>
      </c>
      <c r="D12" s="104">
        <f>C12/C14*100</f>
        <v>24.929603937813351</v>
      </c>
    </row>
    <row r="13" spans="1:4" x14ac:dyDescent="0.3">
      <c r="A13" s="102">
        <f t="shared" si="1"/>
        <v>4</v>
      </c>
      <c r="B13" s="102" t="s">
        <v>39</v>
      </c>
      <c r="C13" s="103">
        <f>C14-C10-C11-C12</f>
        <v>337468372.80000001</v>
      </c>
      <c r="D13" s="104">
        <f>C13/C14*100</f>
        <v>64.71502211878726</v>
      </c>
    </row>
    <row r="14" spans="1:4" x14ac:dyDescent="0.3">
      <c r="A14" s="102"/>
      <c r="B14" s="100" t="s">
        <v>0</v>
      </c>
      <c r="C14" s="106">
        <f>C8</f>
        <v>521468372.80000001</v>
      </c>
      <c r="D14" s="107">
        <f>SUM(D10:D13)</f>
        <v>100</v>
      </c>
    </row>
    <row r="15" spans="1:4" x14ac:dyDescent="0.3">
      <c r="C15" s="108"/>
    </row>
    <row r="16" spans="1:4" x14ac:dyDescent="0.3">
      <c r="C16" s="108"/>
    </row>
    <row r="17" spans="3:3" x14ac:dyDescent="0.3">
      <c r="C17" s="108"/>
    </row>
    <row r="18" spans="3:3" x14ac:dyDescent="0.3">
      <c r="C18" s="108"/>
    </row>
    <row r="19" spans="3:3" x14ac:dyDescent="0.3">
      <c r="C19" s="108"/>
    </row>
    <row r="20" spans="3:3" x14ac:dyDescent="0.3">
      <c r="C20" s="108"/>
    </row>
    <row r="21" spans="3:3" x14ac:dyDescent="0.3">
      <c r="C21" s="108"/>
    </row>
    <row r="22" spans="3:3" x14ac:dyDescent="0.3">
      <c r="C22" s="108"/>
    </row>
    <row r="23" spans="3:3" x14ac:dyDescent="0.3">
      <c r="C23" s="108"/>
    </row>
    <row r="24" spans="3:3" x14ac:dyDescent="0.3">
      <c r="C24" s="108"/>
    </row>
    <row r="25" spans="3:3" x14ac:dyDescent="0.3">
      <c r="C25" s="108"/>
    </row>
    <row r="26" spans="3:3" x14ac:dyDescent="0.3">
      <c r="C26" s="10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CF Beldi</vt:lpstr>
      <vt:lpstr>COP MOF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OWNER</cp:lastModifiedBy>
  <cp:lastPrinted>2022-11-25T11:46:22Z</cp:lastPrinted>
  <dcterms:created xsi:type="dcterms:W3CDTF">2021-03-09T23:59:53Z</dcterms:created>
  <dcterms:modified xsi:type="dcterms:W3CDTF">2023-01-17T10:21:12Z</dcterms:modified>
</cp:coreProperties>
</file>