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coordinator1\Desktop\Ojas Wild Well  valuation and work in progress certificate SBI SME AjmalKahn Road\1. Ojas Build Well P Ltd, Rudrapur 1238\"/>
    </mc:Choice>
  </mc:AlternateContent>
  <xr:revisionPtr revIDLastSave="0" documentId="13_ncr:1_{877E681B-18E9-428F-BBF8-6D7D0DE1A727}" xr6:coauthVersionLast="47" xr6:coauthVersionMax="47" xr10:uidLastSave="{00000000-0000-0000-0000-000000000000}"/>
  <bookViews>
    <workbookView xWindow="-120" yWindow="-120" windowWidth="24240" windowHeight="13140" tabRatio="756" activeTab="1" xr2:uid="{00000000-000D-0000-FFFF-FFFF00000000}"/>
  </bookViews>
  <sheets>
    <sheet name="CASH FLOW" sheetId="13" r:id="rId1"/>
    <sheet name="COP MOF" sheetId="14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4" l="1"/>
  <c r="C10" i="14"/>
  <c r="C12" i="14"/>
  <c r="A10" i="14"/>
  <c r="A11" i="14" s="1"/>
  <c r="A12" i="14" s="1"/>
  <c r="A13" i="14" s="1"/>
  <c r="A4" i="14"/>
  <c r="A5" i="14" s="1"/>
  <c r="A6" i="14" s="1"/>
  <c r="A7" i="14" s="1"/>
  <c r="A3" i="14"/>
  <c r="D55" i="13" l="1"/>
  <c r="G55" i="13" s="1"/>
  <c r="L58" i="13"/>
  <c r="M58" i="13" s="1"/>
  <c r="L57" i="13"/>
  <c r="L37" i="13"/>
  <c r="I34" i="13"/>
  <c r="L33" i="13"/>
  <c r="L32" i="13"/>
  <c r="L34" i="13"/>
  <c r="K34" i="13"/>
  <c r="J34" i="13"/>
  <c r="F120" i="13"/>
  <c r="L56" i="13" l="1"/>
  <c r="C23" i="13"/>
  <c r="D24" i="13" s="1"/>
  <c r="M68" i="13" l="1"/>
  <c r="L68" i="13"/>
  <c r="K68" i="13"/>
  <c r="J68" i="13"/>
  <c r="I68" i="13"/>
  <c r="H68" i="13"/>
  <c r="G68" i="13"/>
  <c r="F68" i="13"/>
  <c r="E68" i="13"/>
  <c r="D68" i="13"/>
  <c r="C68" i="13"/>
  <c r="B68" i="13"/>
  <c r="M119" i="13"/>
  <c r="L119" i="13"/>
  <c r="K119" i="13"/>
  <c r="J119" i="13"/>
  <c r="I119" i="13"/>
  <c r="H119" i="13"/>
  <c r="G119" i="13"/>
  <c r="F119" i="13"/>
  <c r="E119" i="13"/>
  <c r="D119" i="13"/>
  <c r="C119" i="13"/>
  <c r="B119" i="13"/>
  <c r="I44" i="13" l="1"/>
  <c r="H44" i="13"/>
  <c r="G44" i="13"/>
  <c r="F44" i="13"/>
  <c r="E44" i="13"/>
  <c r="D44" i="13"/>
  <c r="C44" i="13"/>
  <c r="B44" i="13"/>
  <c r="B67" i="13"/>
  <c r="C20" i="13"/>
  <c r="C10" i="13"/>
  <c r="C43" i="13" l="1"/>
  <c r="C6" i="14"/>
  <c r="B43" i="13"/>
  <c r="J43" i="13"/>
  <c r="G43" i="13"/>
  <c r="K43" i="13"/>
  <c r="E43" i="13"/>
  <c r="I43" i="13"/>
  <c r="F43" i="13"/>
  <c r="D43" i="13"/>
  <c r="H43" i="13"/>
  <c r="C5" i="13" l="1"/>
  <c r="C19" i="13" s="1"/>
  <c r="C4" i="13"/>
  <c r="C17" i="13"/>
  <c r="C18" i="13"/>
  <c r="C4" i="14" s="1"/>
  <c r="B40" i="13" l="1"/>
  <c r="C3" i="14"/>
  <c r="C42" i="13"/>
  <c r="C5" i="14"/>
  <c r="L43" i="13"/>
  <c r="M57" i="13"/>
  <c r="M56" i="13"/>
  <c r="M55" i="13" l="1"/>
  <c r="M33" i="13" l="1"/>
  <c r="J40" i="13" l="1"/>
  <c r="B61" i="13"/>
  <c r="L121" i="13"/>
  <c r="K121" i="13"/>
  <c r="L62" i="13" s="1"/>
  <c r="J121" i="13"/>
  <c r="I121" i="13"/>
  <c r="J62" i="13" s="1"/>
  <c r="H121" i="13"/>
  <c r="G121" i="13"/>
  <c r="F121" i="13"/>
  <c r="B121" i="13"/>
  <c r="C67" i="13"/>
  <c r="C66" i="13"/>
  <c r="D66" i="13" s="1"/>
  <c r="C65" i="13"/>
  <c r="D65" i="13" s="1"/>
  <c r="M32" i="13"/>
  <c r="G104" i="13" l="1"/>
  <c r="F114" i="13"/>
  <c r="F104" i="13"/>
  <c r="J109" i="13"/>
  <c r="E104" i="13"/>
  <c r="I109" i="13"/>
  <c r="F109" i="13"/>
  <c r="G109" i="13"/>
  <c r="H104" i="13"/>
  <c r="H109" i="13"/>
  <c r="I114" i="13"/>
  <c r="G114" i="13"/>
  <c r="H114" i="13"/>
  <c r="J114" i="13"/>
  <c r="K44" i="13"/>
  <c r="L44" i="13"/>
  <c r="J44" i="13"/>
  <c r="D40" i="13"/>
  <c r="C62" i="13"/>
  <c r="C63" i="13" s="1"/>
  <c r="B69" i="13" s="1"/>
  <c r="M69" i="13" s="1"/>
  <c r="E121" i="13"/>
  <c r="D103" i="13" s="1"/>
  <c r="M120" i="13"/>
  <c r="H40" i="13"/>
  <c r="L40" i="13"/>
  <c r="G62" i="13"/>
  <c r="G63" i="13" s="1"/>
  <c r="J42" i="13"/>
  <c r="K62" i="13"/>
  <c r="K63" i="13" s="1"/>
  <c r="M110" i="13"/>
  <c r="H62" i="13"/>
  <c r="H63" i="13" s="1"/>
  <c r="F42" i="13"/>
  <c r="F40" i="13"/>
  <c r="L63" i="13"/>
  <c r="J63" i="13"/>
  <c r="M34" i="13"/>
  <c r="C40" i="13"/>
  <c r="G40" i="13"/>
  <c r="K40" i="13"/>
  <c r="G42" i="13"/>
  <c r="K42" i="13"/>
  <c r="D42" i="13"/>
  <c r="H42" i="13"/>
  <c r="L42" i="13"/>
  <c r="B118" i="13"/>
  <c r="B36" i="13" s="1"/>
  <c r="I62" i="13"/>
  <c r="I63" i="13" s="1"/>
  <c r="E40" i="13"/>
  <c r="I40" i="13"/>
  <c r="E42" i="13"/>
  <c r="I42" i="13"/>
  <c r="D67" i="13"/>
  <c r="D121" i="13"/>
  <c r="D73" i="13" l="1"/>
  <c r="E73" i="13"/>
  <c r="E103" i="13"/>
  <c r="F103" i="13"/>
  <c r="D102" i="13"/>
  <c r="F102" i="13"/>
  <c r="E102" i="13"/>
  <c r="I81" i="13"/>
  <c r="E81" i="13"/>
  <c r="H81" i="13"/>
  <c r="F81" i="13"/>
  <c r="G81" i="13"/>
  <c r="H117" i="13"/>
  <c r="C100" i="13"/>
  <c r="L117" i="13"/>
  <c r="L118" i="13" s="1"/>
  <c r="K117" i="13"/>
  <c r="F62" i="13"/>
  <c r="F63" i="13" s="1"/>
  <c r="H113" i="13"/>
  <c r="I108" i="13"/>
  <c r="G113" i="13"/>
  <c r="H108" i="13"/>
  <c r="F113" i="13"/>
  <c r="G108" i="13"/>
  <c r="F108" i="13"/>
  <c r="I113" i="13"/>
  <c r="J113" i="13"/>
  <c r="I117" i="13"/>
  <c r="H107" i="13"/>
  <c r="F112" i="13"/>
  <c r="E112" i="13"/>
  <c r="H112" i="13"/>
  <c r="G112" i="13"/>
  <c r="F107" i="13"/>
  <c r="I112" i="13"/>
  <c r="G107" i="13"/>
  <c r="E107" i="13"/>
  <c r="E98" i="13"/>
  <c r="E97" i="13"/>
  <c r="E96" i="13"/>
  <c r="E95" i="13"/>
  <c r="E94" i="13"/>
  <c r="J117" i="13"/>
  <c r="M115" i="13"/>
  <c r="B38" i="13"/>
  <c r="M44" i="13"/>
  <c r="M109" i="13"/>
  <c r="G83" i="13"/>
  <c r="J83" i="13"/>
  <c r="F75" i="13"/>
  <c r="I83" i="13"/>
  <c r="H83" i="13"/>
  <c r="C121" i="13"/>
  <c r="M121" i="13"/>
  <c r="D85" i="13"/>
  <c r="C77" i="13"/>
  <c r="C85" i="13"/>
  <c r="F85" i="13"/>
  <c r="E85" i="13"/>
  <c r="D77" i="13"/>
  <c r="G90" i="13"/>
  <c r="G82" i="13"/>
  <c r="J90" i="13"/>
  <c r="F82" i="13"/>
  <c r="I90" i="13"/>
  <c r="I82" i="13"/>
  <c r="H82" i="13"/>
  <c r="E74" i="13"/>
  <c r="H90" i="13"/>
  <c r="E62" i="13"/>
  <c r="E63" i="13" s="1"/>
  <c r="H89" i="13"/>
  <c r="G89" i="13"/>
  <c r="J89" i="13"/>
  <c r="F89" i="13"/>
  <c r="I89" i="13"/>
  <c r="M43" i="13"/>
  <c r="M40" i="13"/>
  <c r="F118" i="13" l="1"/>
  <c r="K118" i="13"/>
  <c r="D118" i="13"/>
  <c r="C118" i="13"/>
  <c r="E79" i="13"/>
  <c r="C79" i="13"/>
  <c r="B71" i="13"/>
  <c r="G80" i="13"/>
  <c r="C72" i="13"/>
  <c r="D80" i="13"/>
  <c r="D72" i="13"/>
  <c r="F80" i="13"/>
  <c r="B72" i="13"/>
  <c r="E80" i="13"/>
  <c r="H80" i="13"/>
  <c r="E118" i="13"/>
  <c r="F79" i="13"/>
  <c r="D79" i="13"/>
  <c r="I118" i="13"/>
  <c r="H118" i="13"/>
  <c r="J118" i="13"/>
  <c r="G118" i="13"/>
  <c r="F88" i="13"/>
  <c r="H88" i="13"/>
  <c r="I88" i="13"/>
  <c r="G88" i="13"/>
  <c r="E88" i="13"/>
  <c r="M103" i="13"/>
  <c r="C21" i="13"/>
  <c r="D87" i="13"/>
  <c r="H87" i="13"/>
  <c r="F87" i="13"/>
  <c r="E87" i="13"/>
  <c r="G87" i="13"/>
  <c r="M105" i="13"/>
  <c r="M114" i="13"/>
  <c r="M81" i="13"/>
  <c r="L92" i="13"/>
  <c r="L41" i="13" s="1"/>
  <c r="M75" i="13"/>
  <c r="M89" i="13"/>
  <c r="M90" i="13"/>
  <c r="M77" i="13"/>
  <c r="M83" i="13"/>
  <c r="M73" i="13"/>
  <c r="B92" i="13"/>
  <c r="M113" i="13"/>
  <c r="M108" i="13"/>
  <c r="M74" i="13"/>
  <c r="M82" i="13"/>
  <c r="M85" i="13"/>
  <c r="D62" i="13"/>
  <c r="D22" i="13" l="1"/>
  <c r="E25" i="13" s="1"/>
  <c r="C7" i="14"/>
  <c r="C8" i="14" s="1"/>
  <c r="M72" i="13"/>
  <c r="M88" i="13"/>
  <c r="M80" i="13"/>
  <c r="K92" i="13"/>
  <c r="K41" i="13" s="1"/>
  <c r="J92" i="13"/>
  <c r="J41" i="13" s="1"/>
  <c r="K36" i="13"/>
  <c r="I36" i="13"/>
  <c r="H36" i="13"/>
  <c r="F36" i="13"/>
  <c r="J36" i="13"/>
  <c r="G36" i="13"/>
  <c r="L36" i="13"/>
  <c r="D36" i="13"/>
  <c r="M104" i="13"/>
  <c r="M117" i="13"/>
  <c r="E36" i="13"/>
  <c r="M87" i="13"/>
  <c r="M107" i="13"/>
  <c r="M112" i="13"/>
  <c r="B41" i="13"/>
  <c r="M62" i="13"/>
  <c r="D63" i="13"/>
  <c r="M102" i="13"/>
  <c r="C36" i="13"/>
  <c r="M100" i="13"/>
  <c r="D7" i="14" l="1"/>
  <c r="C14" i="14"/>
  <c r="D6" i="14"/>
  <c r="D4" i="14"/>
  <c r="D3" i="14"/>
  <c r="D5" i="14"/>
  <c r="E78" i="13"/>
  <c r="D78" i="13"/>
  <c r="C78" i="13"/>
  <c r="G86" i="13"/>
  <c r="I92" i="13" s="1"/>
  <c r="I41" i="13" s="1"/>
  <c r="C86" i="13"/>
  <c r="L38" i="13"/>
  <c r="J38" i="13"/>
  <c r="J45" i="13"/>
  <c r="K38" i="13"/>
  <c r="K45" i="13"/>
  <c r="M37" i="13"/>
  <c r="F86" i="13"/>
  <c r="E86" i="13"/>
  <c r="D86" i="13"/>
  <c r="M79" i="13"/>
  <c r="D38" i="13"/>
  <c r="I38" i="13"/>
  <c r="E38" i="13"/>
  <c r="G38" i="13"/>
  <c r="F38" i="13"/>
  <c r="H38" i="13"/>
  <c r="C38" i="13"/>
  <c r="M36" i="13"/>
  <c r="B45" i="13"/>
  <c r="B49" i="13" s="1"/>
  <c r="M71" i="13"/>
  <c r="M63" i="13"/>
  <c r="M118" i="13"/>
  <c r="C13" i="14" l="1"/>
  <c r="D13" i="14" s="1"/>
  <c r="D12" i="14"/>
  <c r="D10" i="14"/>
  <c r="D11" i="14"/>
  <c r="D8" i="14"/>
  <c r="B50" i="13"/>
  <c r="C48" i="13" s="1"/>
  <c r="E92" i="13"/>
  <c r="E41" i="13" s="1"/>
  <c r="J49" i="13"/>
  <c r="K49" i="13"/>
  <c r="H92" i="13"/>
  <c r="H41" i="13" s="1"/>
  <c r="H45" i="13" s="1"/>
  <c r="H49" i="13" s="1"/>
  <c r="I45" i="13"/>
  <c r="I49" i="13" s="1"/>
  <c r="G92" i="13"/>
  <c r="G41" i="13" s="1"/>
  <c r="F92" i="13"/>
  <c r="F41" i="13" s="1"/>
  <c r="M78" i="13"/>
  <c r="M84" i="13" s="1"/>
  <c r="D92" i="13"/>
  <c r="D41" i="13" s="1"/>
  <c r="M38" i="13"/>
  <c r="M70" i="13"/>
  <c r="M76" i="13" s="1"/>
  <c r="C92" i="13"/>
  <c r="M86" i="13"/>
  <c r="M91" i="13" s="1"/>
  <c r="D14" i="14" l="1"/>
  <c r="L45" i="13"/>
  <c r="L49" i="13" s="1"/>
  <c r="G45" i="13"/>
  <c r="G49" i="13" s="1"/>
  <c r="F45" i="13"/>
  <c r="F49" i="13" s="1"/>
  <c r="D45" i="13"/>
  <c r="D49" i="13" s="1"/>
  <c r="E45" i="13"/>
  <c r="E49" i="13" s="1"/>
  <c r="C41" i="13"/>
  <c r="M42" i="13" s="1"/>
  <c r="M92" i="13"/>
  <c r="C45" i="13" l="1"/>
  <c r="C49" i="13" s="1"/>
  <c r="M41" i="13"/>
  <c r="M45" i="13" s="1"/>
  <c r="C50" i="13" l="1"/>
  <c r="D48" i="13" s="1"/>
  <c r="D50" i="13" s="1"/>
  <c r="E48" i="13" l="1"/>
  <c r="E50" i="13" s="1"/>
  <c r="F48" i="13" l="1"/>
  <c r="F50" i="13" s="1"/>
  <c r="G48" i="13" l="1"/>
  <c r="G50" i="13" s="1"/>
  <c r="H48" i="13" l="1"/>
  <c r="H50" i="13" s="1"/>
  <c r="I48" i="13" l="1"/>
  <c r="I50" i="13" s="1"/>
  <c r="J48" i="13" l="1"/>
  <c r="J50" i="13" s="1"/>
  <c r="K48" i="13" l="1"/>
  <c r="K50" i="13" s="1"/>
  <c r="L48" i="13" l="1"/>
  <c r="L50" i="13" s="1"/>
  <c r="M48" i="13" s="1"/>
  <c r="B52" i="13" s="1"/>
</calcChain>
</file>

<file path=xl/sharedStrings.xml><?xml version="1.0" encoding="utf-8"?>
<sst xmlns="http://schemas.openxmlformats.org/spreadsheetml/2006/main" count="153" uniqueCount="89">
  <si>
    <t>Total</t>
  </si>
  <si>
    <t>Sq Mtrs</t>
  </si>
  <si>
    <t>Per Unit</t>
  </si>
  <si>
    <t>Overheads</t>
  </si>
  <si>
    <t>EWS Units</t>
  </si>
  <si>
    <t>Cost of Construction</t>
  </si>
  <si>
    <t>Built Up Area Per Unit</t>
  </si>
  <si>
    <t xml:space="preserve">Land </t>
  </si>
  <si>
    <t>Total No Of Units</t>
  </si>
  <si>
    <t>INR</t>
  </si>
  <si>
    <t>Project Life</t>
  </si>
  <si>
    <t>Months</t>
  </si>
  <si>
    <t>Carpet Area</t>
  </si>
  <si>
    <t>Total Built up Area</t>
  </si>
  <si>
    <t xml:space="preserve">Cost of Construction </t>
  </si>
  <si>
    <t xml:space="preserve">Infrastructure Development </t>
  </si>
  <si>
    <t>Per Acre</t>
  </si>
  <si>
    <t xml:space="preserve">COST OF THE PROJECT </t>
  </si>
  <si>
    <t>Infrastructure Development</t>
  </si>
  <si>
    <t>TOTAL COST</t>
  </si>
  <si>
    <t>SURPLUS</t>
  </si>
  <si>
    <t>Cash Flow</t>
  </si>
  <si>
    <t>1st Qtr</t>
  </si>
  <si>
    <t>2nd Qt</t>
  </si>
  <si>
    <t>3rd Qt</t>
  </si>
  <si>
    <t>4th Qt</t>
  </si>
  <si>
    <t>4th Qtr</t>
  </si>
  <si>
    <t>TOTAL</t>
  </si>
  <si>
    <t xml:space="preserve">Capital </t>
  </si>
  <si>
    <t xml:space="preserve">Loan </t>
  </si>
  <si>
    <t>COST OF PROJECT</t>
  </si>
  <si>
    <t>Land Payments</t>
  </si>
  <si>
    <t>CASH FLOW</t>
  </si>
  <si>
    <t>Cash in Hand</t>
  </si>
  <si>
    <t>Opening Balance</t>
  </si>
  <si>
    <t>Surplus during the Period</t>
  </si>
  <si>
    <t>Closing balance</t>
  </si>
  <si>
    <t>EXPENSES</t>
  </si>
  <si>
    <t>Land in Hectare</t>
  </si>
  <si>
    <t>Hectare</t>
  </si>
  <si>
    <t>REVENUE FROM THE PROJECTS</t>
  </si>
  <si>
    <t xml:space="preserve">Sale Proceeds </t>
  </si>
  <si>
    <t>Commercial</t>
  </si>
  <si>
    <t>No of Units to Construct</t>
  </si>
  <si>
    <t>Area to be Construct</t>
  </si>
  <si>
    <t>Plinth Level</t>
  </si>
  <si>
    <t>Slabs</t>
  </si>
  <si>
    <t>Internal Develepment</t>
  </si>
  <si>
    <t>Total Plinth</t>
  </si>
  <si>
    <t>Total Slabs</t>
  </si>
  <si>
    <t>Total Internal Development</t>
  </si>
  <si>
    <t xml:space="preserve">Grand Total </t>
  </si>
  <si>
    <t>Receipt</t>
  </si>
  <si>
    <t>Booking</t>
  </si>
  <si>
    <t>Plinth</t>
  </si>
  <si>
    <t>Internal &amp; Extrernal Development</t>
  </si>
  <si>
    <t>Completion</t>
  </si>
  <si>
    <t>Recovery</t>
  </si>
  <si>
    <t xml:space="preserve">Total Recovery </t>
  </si>
  <si>
    <t>2022-23</t>
  </si>
  <si>
    <t>2023-24</t>
  </si>
  <si>
    <t>2024-25</t>
  </si>
  <si>
    <t>Qtrly Units to Construct</t>
  </si>
  <si>
    <t>Beneficiary</t>
  </si>
  <si>
    <t>State &amp; Center</t>
  </si>
  <si>
    <t xml:space="preserve">Overheads </t>
  </si>
  <si>
    <t>Land in Acres</t>
  </si>
  <si>
    <t>Selling price</t>
  </si>
  <si>
    <t>Sanctioned and Other Cost</t>
  </si>
  <si>
    <t>Land Cost including stamp paper Exp</t>
  </si>
  <si>
    <t>OCD from Share Holders</t>
  </si>
  <si>
    <t>Interest on Loan</t>
  </si>
  <si>
    <t>Interest rate for loan</t>
  </si>
  <si>
    <t>PROJECT DSCR</t>
  </si>
  <si>
    <t>Revenue from the Residential Area</t>
  </si>
  <si>
    <t>Revenue from the Commercial</t>
  </si>
  <si>
    <t>Interst on Bank Loan</t>
  </si>
  <si>
    <t>Revenue Share of Land Owner</t>
  </si>
  <si>
    <t>Revenue Share of Land owner</t>
  </si>
  <si>
    <t>Matkota</t>
  </si>
  <si>
    <t>Cash Flow and time line planning for Matkota projects of EWS Housing in UK</t>
  </si>
  <si>
    <t>Unsecured Loans</t>
  </si>
  <si>
    <t>As on Date</t>
  </si>
  <si>
    <t>S. No.</t>
  </si>
  <si>
    <t>Particulars</t>
  </si>
  <si>
    <t>Amount (Rs.)</t>
  </si>
  <si>
    <t>%</t>
  </si>
  <si>
    <t>Cost of the Project at Matkota</t>
  </si>
  <si>
    <t>Means of Finance of project at Matkota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</si>
</sst>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.0000"/>
    <numFmt numFmtId="167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164" fontId="0" fillId="0" borderId="0" xfId="0" applyNumberFormat="1"/>
    <xf numFmtId="0" fontId="2" fillId="0" borderId="11" xfId="0" applyFont="1" applyBorder="1"/>
    <xf numFmtId="0" fontId="3" fillId="0" borderId="0" xfId="0" applyFont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5" xfId="0" applyFont="1" applyBorder="1"/>
    <xf numFmtId="0" fontId="2" fillId="0" borderId="3" xfId="0" applyFont="1" applyBorder="1"/>
    <xf numFmtId="2" fontId="2" fillId="0" borderId="3" xfId="0" applyNumberFormat="1" applyFont="1" applyBorder="1"/>
    <xf numFmtId="1" fontId="2" fillId="0" borderId="3" xfId="0" applyNumberFormat="1" applyFont="1" applyBorder="1"/>
    <xf numFmtId="165" fontId="2" fillId="0" borderId="16" xfId="0" applyNumberFormat="1" applyFont="1" applyBorder="1"/>
    <xf numFmtId="0" fontId="2" fillId="0" borderId="1" xfId="0" applyFont="1" applyBorder="1"/>
    <xf numFmtId="2" fontId="2" fillId="0" borderId="16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" fontId="2" fillId="0" borderId="1" xfId="1" applyNumberFormat="1" applyFont="1" applyBorder="1"/>
    <xf numFmtId="164" fontId="2" fillId="0" borderId="3" xfId="1" applyNumberFormat="1" applyFont="1" applyBorder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1" fontId="2" fillId="0" borderId="3" xfId="1" applyNumberFormat="1" applyFont="1" applyBorder="1"/>
    <xf numFmtId="0" fontId="3" fillId="0" borderId="8" xfId="0" applyFont="1" applyBorder="1"/>
    <xf numFmtId="9" fontId="2" fillId="0" borderId="1" xfId="0" applyNumberFormat="1" applyFont="1" applyBorder="1"/>
    <xf numFmtId="164" fontId="2" fillId="0" borderId="1" xfId="1" applyNumberFormat="1" applyFont="1" applyBorder="1"/>
    <xf numFmtId="0" fontId="2" fillId="0" borderId="12" xfId="0" applyFont="1" applyBorder="1"/>
    <xf numFmtId="164" fontId="2" fillId="0" borderId="12" xfId="1" applyNumberFormat="1" applyFont="1" applyBorder="1"/>
    <xf numFmtId="0" fontId="3" fillId="0" borderId="11" xfId="0" applyFont="1" applyBorder="1"/>
    <xf numFmtId="0" fontId="2" fillId="0" borderId="8" xfId="0" applyFont="1" applyBorder="1"/>
    <xf numFmtId="0" fontId="2" fillId="0" borderId="13" xfId="0" applyFont="1" applyBorder="1"/>
    <xf numFmtId="164" fontId="2" fillId="0" borderId="1" xfId="0" applyNumberFormat="1" applyFont="1" applyBorder="1"/>
    <xf numFmtId="0" fontId="3" fillId="0" borderId="13" xfId="0" applyFont="1" applyBorder="1"/>
    <xf numFmtId="164" fontId="2" fillId="0" borderId="12" xfId="0" applyNumberFormat="1" applyFont="1" applyBorder="1"/>
    <xf numFmtId="164" fontId="2" fillId="0" borderId="0" xfId="0" applyNumberFormat="1" applyFont="1"/>
    <xf numFmtId="164" fontId="2" fillId="0" borderId="18" xfId="1" applyNumberFormat="1" applyFont="1" applyBorder="1"/>
    <xf numFmtId="164" fontId="2" fillId="0" borderId="2" xfId="1" applyNumberFormat="1" applyFont="1" applyBorder="1"/>
    <xf numFmtId="164" fontId="2" fillId="0" borderId="19" xfId="0" applyNumberFormat="1" applyFont="1" applyBorder="1"/>
    <xf numFmtId="10" fontId="2" fillId="0" borderId="0" xfId="2" applyNumberFormat="1" applyFont="1"/>
    <xf numFmtId="0" fontId="3" fillId="0" borderId="17" xfId="0" applyFont="1" applyBorder="1"/>
    <xf numFmtId="164" fontId="2" fillId="0" borderId="20" xfId="0" applyNumberFormat="1" applyFont="1" applyBorder="1"/>
    <xf numFmtId="164" fontId="2" fillId="0" borderId="18" xfId="0" applyNumberFormat="1" applyFont="1" applyBorder="1"/>
    <xf numFmtId="164" fontId="3" fillId="0" borderId="21" xfId="0" applyNumberFormat="1" applyFont="1" applyBorder="1"/>
    <xf numFmtId="43" fontId="2" fillId="0" borderId="0" xfId="0" applyNumberFormat="1" applyFont="1"/>
    <xf numFmtId="0" fontId="2" fillId="0" borderId="7" xfId="0" applyFont="1" applyBorder="1"/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2" fillId="0" borderId="9" xfId="1" applyNumberFormat="1" applyFont="1" applyBorder="1"/>
    <xf numFmtId="164" fontId="2" fillId="0" borderId="10" xfId="1" applyNumberFormat="1" applyFont="1" applyBorder="1"/>
    <xf numFmtId="0" fontId="2" fillId="0" borderId="2" xfId="0" applyFont="1" applyBorder="1"/>
    <xf numFmtId="164" fontId="2" fillId="0" borderId="14" xfId="1" applyNumberFormat="1" applyFont="1" applyBorder="1"/>
    <xf numFmtId="0" fontId="3" fillId="0" borderId="4" xfId="0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0" fontId="3" fillId="0" borderId="23" xfId="0" applyFont="1" applyBorder="1"/>
    <xf numFmtId="164" fontId="3" fillId="0" borderId="20" xfId="0" applyNumberFormat="1" applyFont="1" applyBorder="1"/>
    <xf numFmtId="0" fontId="2" fillId="0" borderId="10" xfId="0" applyFont="1" applyBorder="1"/>
    <xf numFmtId="10" fontId="2" fillId="0" borderId="9" xfId="2" applyNumberFormat="1" applyFont="1" applyBorder="1"/>
    <xf numFmtId="10" fontId="2" fillId="0" borderId="10" xfId="2" applyNumberFormat="1" applyFont="1" applyBorder="1"/>
    <xf numFmtId="10" fontId="2" fillId="0" borderId="1" xfId="2" applyNumberFormat="1" applyFont="1" applyBorder="1"/>
    <xf numFmtId="10" fontId="2" fillId="0" borderId="12" xfId="2" applyNumberFormat="1" applyFont="1" applyBorder="1"/>
    <xf numFmtId="1" fontId="2" fillId="0" borderId="9" xfId="0" applyNumberFormat="1" applyFont="1" applyBorder="1"/>
    <xf numFmtId="43" fontId="2" fillId="0" borderId="1" xfId="1" applyFont="1" applyFill="1" applyBorder="1"/>
    <xf numFmtId="43" fontId="2" fillId="0" borderId="12" xfId="0" applyNumberFormat="1" applyFont="1" applyBorder="1"/>
    <xf numFmtId="43" fontId="2" fillId="0" borderId="1" xfId="0" applyNumberFormat="1" applyFont="1" applyBorder="1"/>
    <xf numFmtId="9" fontId="2" fillId="0" borderId="1" xfId="2" applyFont="1" applyBorder="1"/>
    <xf numFmtId="43" fontId="2" fillId="0" borderId="18" xfId="0" applyNumberFormat="1" applyFont="1" applyBorder="1"/>
    <xf numFmtId="9" fontId="2" fillId="0" borderId="18" xfId="2" applyFont="1" applyBorder="1"/>
    <xf numFmtId="0" fontId="2" fillId="0" borderId="19" xfId="0" applyFont="1" applyBorder="1"/>
    <xf numFmtId="0" fontId="2" fillId="0" borderId="4" xfId="0" applyFont="1" applyBorder="1"/>
    <xf numFmtId="164" fontId="2" fillId="0" borderId="19" xfId="1" applyNumberFormat="1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5" xfId="0" applyFont="1" applyBorder="1" applyAlignment="1">
      <alignment horizontal="center"/>
    </xf>
    <xf numFmtId="164" fontId="2" fillId="0" borderId="16" xfId="1" applyNumberFormat="1" applyFont="1" applyBorder="1"/>
    <xf numFmtId="166" fontId="2" fillId="0" borderId="3" xfId="0" applyNumberFormat="1" applyFont="1" applyBorder="1"/>
    <xf numFmtId="43" fontId="2" fillId="0" borderId="0" xfId="1" applyFont="1" applyBorder="1"/>
    <xf numFmtId="167" fontId="2" fillId="0" borderId="0" xfId="2" applyNumberFormat="1" applyFont="1"/>
    <xf numFmtId="0" fontId="3" fillId="0" borderId="22" xfId="0" applyFont="1" applyBorder="1"/>
    <xf numFmtId="0" fontId="4" fillId="0" borderId="1" xfId="0" applyFont="1" applyBorder="1"/>
    <xf numFmtId="43" fontId="4" fillId="0" borderId="1" xfId="1" applyFont="1" applyBorder="1"/>
    <xf numFmtId="0" fontId="2" fillId="0" borderId="0" xfId="0" applyFont="1" applyAlignment="1">
      <alignment horizontal="left"/>
    </xf>
    <xf numFmtId="43" fontId="2" fillId="0" borderId="0" xfId="1" applyFont="1" applyBorder="1" applyAlignment="1">
      <alignment horizontal="right"/>
    </xf>
    <xf numFmtId="1" fontId="2" fillId="0" borderId="1" xfId="0" applyNumberFormat="1" applyFont="1" applyBorder="1"/>
    <xf numFmtId="164" fontId="2" fillId="0" borderId="2" xfId="0" applyNumberFormat="1" applyFont="1" applyBorder="1"/>
    <xf numFmtId="10" fontId="2" fillId="0" borderId="18" xfId="2" applyNumberFormat="1" applyFont="1" applyBorder="1"/>
    <xf numFmtId="10" fontId="2" fillId="0" borderId="19" xfId="2" applyNumberFormat="1" applyFont="1" applyBorder="1"/>
    <xf numFmtId="0" fontId="5" fillId="0" borderId="1" xfId="0" applyFont="1" applyBorder="1"/>
    <xf numFmtId="0" fontId="6" fillId="0" borderId="0" xfId="0" applyFont="1"/>
    <xf numFmtId="0" fontId="6" fillId="0" borderId="1" xfId="0" applyFont="1" applyBorder="1"/>
    <xf numFmtId="164" fontId="6" fillId="0" borderId="1" xfId="1" applyNumberFormat="1" applyFont="1" applyBorder="1"/>
    <xf numFmtId="43" fontId="6" fillId="0" borderId="1" xfId="1" applyFont="1" applyBorder="1"/>
    <xf numFmtId="164" fontId="5" fillId="0" borderId="1" xfId="1" applyNumberFormat="1" applyFont="1" applyBorder="1"/>
    <xf numFmtId="43" fontId="5" fillId="0" borderId="1" xfId="1" applyFont="1" applyBorder="1"/>
    <xf numFmtId="164" fontId="6" fillId="0" borderId="0" xfId="1" applyNumberFormat="1" applyFont="1" applyBorder="1"/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Bank%20Documents/Financials%20Banking%20Shimla%201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Shimla"/>
      <sheetName val="COP MOF"/>
    </sheetNames>
    <sheetDataSet>
      <sheetData sheetId="0">
        <row r="34">
          <cell r="C34">
            <v>40000000</v>
          </cell>
          <cell r="D34">
            <v>40000000</v>
          </cell>
          <cell r="E34">
            <v>50000000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1"/>
  <sheetViews>
    <sheetView zoomScaleNormal="100" zoomScaleSheetLayoutView="110" workbookViewId="0">
      <selection activeCell="I22" sqref="I22"/>
    </sheetView>
  </sheetViews>
  <sheetFormatPr defaultRowHeight="15" x14ac:dyDescent="0.25"/>
  <cols>
    <col min="1" max="1" width="26.5703125" customWidth="1"/>
    <col min="2" max="2" width="11.7109375" bestFit="1" customWidth="1"/>
    <col min="3" max="3" width="13.7109375" bestFit="1" customWidth="1"/>
    <col min="4" max="4" width="14.7109375" bestFit="1" customWidth="1"/>
    <col min="5" max="5" width="13.140625" bestFit="1" customWidth="1"/>
    <col min="6" max="6" width="12.7109375" bestFit="1" customWidth="1"/>
    <col min="7" max="7" width="14.7109375" customWidth="1"/>
    <col min="8" max="14" width="13.7109375" bestFit="1" customWidth="1"/>
    <col min="15" max="15" width="15.42578125" bestFit="1" customWidth="1"/>
    <col min="17" max="17" width="12.28515625" bestFit="1" customWidth="1"/>
  </cols>
  <sheetData>
    <row r="1" spans="1:14" ht="15.75" thickBot="1" x14ac:dyDescent="0.3">
      <c r="A1" s="98" t="s">
        <v>80</v>
      </c>
      <c r="B1" s="98"/>
      <c r="C1" s="98"/>
      <c r="D1" s="98"/>
      <c r="E1" s="98"/>
      <c r="F1" s="3"/>
      <c r="G1" s="3"/>
      <c r="H1" s="4"/>
      <c r="I1" s="4"/>
      <c r="J1" s="4"/>
      <c r="K1" s="4"/>
      <c r="L1" s="4"/>
      <c r="M1" s="4"/>
      <c r="N1" s="4"/>
    </row>
    <row r="2" spans="1:14" ht="15.75" thickBot="1" x14ac:dyDescent="0.3">
      <c r="A2" s="5"/>
      <c r="B2" s="6"/>
      <c r="C2" s="6" t="s">
        <v>4</v>
      </c>
      <c r="D2" s="6"/>
      <c r="E2" s="7"/>
      <c r="H2" s="84"/>
      <c r="I2" s="4"/>
      <c r="J2" s="79"/>
      <c r="K2" s="4"/>
      <c r="L2" s="4"/>
      <c r="M2" s="4"/>
      <c r="N2" s="4"/>
    </row>
    <row r="3" spans="1:14" x14ac:dyDescent="0.25">
      <c r="A3" s="9" t="s">
        <v>7</v>
      </c>
      <c r="B3" s="10" t="s">
        <v>1</v>
      </c>
      <c r="C3" s="11">
        <v>20235</v>
      </c>
      <c r="D3" s="12"/>
      <c r="E3" s="13"/>
      <c r="F3" s="4"/>
      <c r="G3" s="104"/>
      <c r="H3" s="84"/>
      <c r="I3" s="4"/>
      <c r="J3" s="79"/>
      <c r="K3" s="4"/>
      <c r="L3" s="4"/>
      <c r="M3" s="4"/>
      <c r="N3" s="4"/>
    </row>
    <row r="4" spans="1:14" x14ac:dyDescent="0.25">
      <c r="A4" s="9" t="s">
        <v>38</v>
      </c>
      <c r="B4" s="10" t="s">
        <v>39</v>
      </c>
      <c r="C4" s="78">
        <f>C3/10000</f>
        <v>2.0234999999999999</v>
      </c>
      <c r="D4" s="12"/>
      <c r="E4" s="15"/>
      <c r="F4" s="4"/>
      <c r="G4" s="84"/>
      <c r="H4" s="84"/>
      <c r="I4" s="4"/>
      <c r="J4" s="79"/>
      <c r="K4" s="4"/>
      <c r="L4" s="4"/>
      <c r="M4" s="4"/>
      <c r="N4" s="4"/>
    </row>
    <row r="5" spans="1:14" x14ac:dyDescent="0.25">
      <c r="A5" s="9" t="s">
        <v>66</v>
      </c>
      <c r="B5" s="10"/>
      <c r="C5" s="11">
        <f>C3/4047</f>
        <v>5</v>
      </c>
      <c r="D5" s="12"/>
      <c r="E5" s="15"/>
      <c r="F5" s="4"/>
      <c r="G5" s="105"/>
      <c r="H5" s="105"/>
      <c r="I5" s="4"/>
      <c r="J5" s="79"/>
      <c r="K5" s="4"/>
      <c r="L5" s="4"/>
      <c r="M5" s="4"/>
      <c r="N5" s="4"/>
    </row>
    <row r="6" spans="1:14" x14ac:dyDescent="0.25">
      <c r="A6" s="2" t="s">
        <v>8</v>
      </c>
      <c r="B6" s="14" t="s">
        <v>9</v>
      </c>
      <c r="C6" s="18">
        <v>928</v>
      </c>
      <c r="D6" s="12"/>
      <c r="E6" s="15"/>
      <c r="F6" s="4"/>
      <c r="G6" s="105"/>
      <c r="H6" s="4"/>
      <c r="I6" s="4"/>
      <c r="J6" s="79"/>
      <c r="K6" s="4"/>
      <c r="L6" s="4"/>
      <c r="M6" s="4"/>
      <c r="N6" s="4"/>
    </row>
    <row r="7" spans="1:14" x14ac:dyDescent="0.25">
      <c r="A7" s="2" t="s">
        <v>10</v>
      </c>
      <c r="B7" s="14" t="s">
        <v>11</v>
      </c>
      <c r="C7" s="18">
        <v>30</v>
      </c>
      <c r="D7" s="19"/>
      <c r="E7" s="13"/>
      <c r="F7" s="4"/>
      <c r="G7" s="99"/>
      <c r="H7" s="99"/>
      <c r="I7" s="99"/>
      <c r="J7" s="99"/>
      <c r="K7" s="4"/>
      <c r="L7" s="20"/>
      <c r="M7" s="4"/>
      <c r="N7" s="4"/>
    </row>
    <row r="8" spans="1:14" x14ac:dyDescent="0.25">
      <c r="A8" s="2" t="s">
        <v>12</v>
      </c>
      <c r="B8" s="14" t="s">
        <v>2</v>
      </c>
      <c r="C8" s="21">
        <v>24.22</v>
      </c>
      <c r="D8" s="22"/>
      <c r="E8" s="13"/>
      <c r="F8" s="4"/>
      <c r="G8" s="3"/>
      <c r="H8" s="4"/>
      <c r="I8" s="4"/>
      <c r="J8" s="79"/>
      <c r="K8" s="4"/>
      <c r="L8" s="4"/>
      <c r="M8" s="4"/>
      <c r="N8" s="4"/>
    </row>
    <row r="9" spans="1:14" x14ac:dyDescent="0.25">
      <c r="A9" s="2" t="s">
        <v>6</v>
      </c>
      <c r="B9" s="24"/>
      <c r="C9" s="21">
        <v>30</v>
      </c>
      <c r="D9" s="22"/>
      <c r="E9" s="13"/>
      <c r="F9" s="4"/>
      <c r="G9" s="4"/>
      <c r="H9" s="4"/>
      <c r="I9" s="4"/>
      <c r="J9" s="85"/>
      <c r="K9" s="4"/>
      <c r="L9" s="4"/>
      <c r="M9" s="4"/>
      <c r="N9" s="4"/>
    </row>
    <row r="10" spans="1:14" x14ac:dyDescent="0.25">
      <c r="A10" s="2" t="s">
        <v>13</v>
      </c>
      <c r="B10" s="14">
        <v>10.763999999999999</v>
      </c>
      <c r="C10" s="25">
        <f>C9*B10*C6</f>
        <v>299669.75999999995</v>
      </c>
      <c r="D10" s="25"/>
      <c r="E10" s="26"/>
      <c r="F10" s="4"/>
      <c r="G10" s="4"/>
      <c r="H10" s="4"/>
      <c r="I10" s="4"/>
      <c r="J10" s="85"/>
      <c r="K10" s="4"/>
      <c r="L10" s="4"/>
      <c r="M10" s="4"/>
      <c r="N10" s="4"/>
    </row>
    <row r="11" spans="1:14" x14ac:dyDescent="0.25">
      <c r="A11" s="2" t="s">
        <v>78</v>
      </c>
      <c r="B11" s="14"/>
      <c r="C11" s="25">
        <v>77500000</v>
      </c>
      <c r="D11" s="18"/>
      <c r="E11" s="26"/>
      <c r="F11" s="4"/>
      <c r="G11" s="4"/>
      <c r="H11" s="4"/>
      <c r="I11" s="4"/>
      <c r="J11" s="85"/>
      <c r="K11" s="4"/>
      <c r="L11" s="4"/>
      <c r="M11" s="4"/>
      <c r="N11" s="4"/>
    </row>
    <row r="12" spans="1:14" x14ac:dyDescent="0.25">
      <c r="A12" s="2" t="s">
        <v>14</v>
      </c>
      <c r="B12" s="14" t="s">
        <v>9</v>
      </c>
      <c r="C12" s="18">
        <v>900</v>
      </c>
      <c r="D12" s="18"/>
      <c r="E12" s="27"/>
      <c r="F12" s="4"/>
      <c r="G12" s="4"/>
      <c r="H12" s="4"/>
      <c r="I12" s="4"/>
      <c r="J12" s="85"/>
      <c r="K12" s="4"/>
      <c r="L12" s="4"/>
      <c r="M12" s="4"/>
      <c r="N12" s="4"/>
    </row>
    <row r="13" spans="1:14" x14ac:dyDescent="0.25">
      <c r="A13" s="2" t="s">
        <v>15</v>
      </c>
      <c r="B13" s="14" t="s">
        <v>16</v>
      </c>
      <c r="C13" s="25">
        <v>6000000</v>
      </c>
      <c r="D13" s="21"/>
      <c r="E13" s="26"/>
      <c r="F13" s="4"/>
      <c r="G13" s="4"/>
      <c r="H13" s="4"/>
      <c r="I13" s="4"/>
      <c r="J13" s="79"/>
      <c r="K13" s="4"/>
      <c r="L13" s="4"/>
      <c r="M13" s="4"/>
      <c r="N13" s="4"/>
    </row>
    <row r="14" spans="1:14" x14ac:dyDescent="0.25">
      <c r="A14" s="2" t="s">
        <v>3</v>
      </c>
      <c r="B14" s="14" t="s">
        <v>2</v>
      </c>
      <c r="C14" s="25">
        <v>50000</v>
      </c>
      <c r="D14" s="21"/>
      <c r="E14" s="26"/>
      <c r="F14" s="4"/>
      <c r="G14" s="34"/>
      <c r="H14" s="4"/>
      <c r="I14" s="4"/>
      <c r="J14" s="79"/>
      <c r="K14" s="4"/>
      <c r="L14" s="4"/>
      <c r="M14" s="4"/>
      <c r="N14" s="4"/>
    </row>
    <row r="15" spans="1:14" x14ac:dyDescent="0.25">
      <c r="A15" s="2" t="s">
        <v>67</v>
      </c>
      <c r="B15" s="14" t="s">
        <v>2</v>
      </c>
      <c r="C15" s="25">
        <v>600000</v>
      </c>
      <c r="D15" s="21"/>
      <c r="E15" s="26"/>
      <c r="F15" s="4"/>
      <c r="G15" s="34"/>
      <c r="H15" s="4"/>
      <c r="I15" s="4"/>
      <c r="J15" s="4"/>
      <c r="K15" s="4"/>
      <c r="L15" s="4"/>
      <c r="M15" s="4"/>
      <c r="N15" s="4"/>
    </row>
    <row r="16" spans="1:14" x14ac:dyDescent="0.25">
      <c r="A16" s="28" t="s">
        <v>17</v>
      </c>
      <c r="B16" s="14"/>
      <c r="C16" s="25"/>
      <c r="D16" s="21"/>
      <c r="E16" s="26"/>
      <c r="F16" s="4"/>
      <c r="G16" s="106"/>
      <c r="H16" s="100"/>
      <c r="I16" s="100"/>
      <c r="J16" s="100"/>
      <c r="K16" s="4"/>
      <c r="L16" s="4"/>
      <c r="M16" s="4"/>
      <c r="N16" s="4"/>
    </row>
    <row r="17" spans="1:14" x14ac:dyDescent="0.25">
      <c r="A17" s="2" t="s">
        <v>77</v>
      </c>
      <c r="B17" s="14"/>
      <c r="C17" s="25">
        <f>C11</f>
        <v>77500000</v>
      </c>
      <c r="D17" s="21"/>
      <c r="E17" s="26"/>
      <c r="F17" s="4"/>
      <c r="G17" s="4"/>
      <c r="H17" s="4"/>
      <c r="I17" s="4"/>
      <c r="J17" s="43"/>
      <c r="K17" s="4"/>
      <c r="L17" s="4"/>
      <c r="M17" s="4"/>
      <c r="N17" s="4"/>
    </row>
    <row r="18" spans="1:14" x14ac:dyDescent="0.25">
      <c r="A18" s="2" t="s">
        <v>5</v>
      </c>
      <c r="B18" s="14"/>
      <c r="C18" s="25">
        <f>C10*C12</f>
        <v>269702783.99999994</v>
      </c>
      <c r="D18" s="21"/>
      <c r="E18" s="26"/>
      <c r="F18" s="34"/>
      <c r="G18" s="43"/>
      <c r="H18" s="4"/>
      <c r="I18" s="4"/>
      <c r="J18" s="4"/>
      <c r="K18" s="4"/>
      <c r="L18" s="4"/>
      <c r="M18" s="4"/>
      <c r="N18" s="4"/>
    </row>
    <row r="19" spans="1:14" x14ac:dyDescent="0.25">
      <c r="A19" s="30" t="s">
        <v>18</v>
      </c>
      <c r="B19" s="14"/>
      <c r="C19" s="31">
        <f>C13*C5</f>
        <v>30000000</v>
      </c>
      <c r="D19" s="21"/>
      <c r="E19" s="26"/>
      <c r="F19" s="4"/>
      <c r="G19" s="4"/>
      <c r="H19" s="4"/>
      <c r="I19" s="4"/>
      <c r="J19" s="34"/>
      <c r="K19" s="4"/>
      <c r="L19" s="4"/>
      <c r="M19" s="4"/>
      <c r="N19" s="4"/>
    </row>
    <row r="20" spans="1:14" x14ac:dyDescent="0.25">
      <c r="A20" s="30" t="s">
        <v>65</v>
      </c>
      <c r="B20" s="14"/>
      <c r="C20" s="31">
        <f>C14*C6</f>
        <v>46400000</v>
      </c>
      <c r="D20" s="21"/>
      <c r="E20" s="26"/>
      <c r="F20" s="4"/>
      <c r="G20" s="4"/>
      <c r="H20" s="4"/>
      <c r="I20" s="4"/>
      <c r="J20" s="4"/>
      <c r="K20" s="4"/>
      <c r="L20" s="4"/>
      <c r="M20" s="4"/>
      <c r="N20" s="4"/>
    </row>
    <row r="21" spans="1:14" x14ac:dyDescent="0.25">
      <c r="A21" s="30" t="s">
        <v>76</v>
      </c>
      <c r="B21" s="14"/>
      <c r="C21" s="31">
        <f>M44</f>
        <v>20625000</v>
      </c>
      <c r="D21" s="21"/>
      <c r="E21" s="26"/>
      <c r="F21" s="4"/>
      <c r="G21" s="4"/>
      <c r="H21" s="4"/>
      <c r="I21" s="4"/>
      <c r="J21" s="4"/>
      <c r="K21" s="4"/>
      <c r="L21" s="4"/>
      <c r="M21" s="4"/>
      <c r="N21" s="4"/>
    </row>
    <row r="22" spans="1:14" x14ac:dyDescent="0.25">
      <c r="A22" s="32" t="s">
        <v>19</v>
      </c>
      <c r="B22" s="14" t="s">
        <v>9</v>
      </c>
      <c r="C22" s="25"/>
      <c r="D22" s="25">
        <f>SUM(C17:C22)</f>
        <v>444227783.99999994</v>
      </c>
      <c r="E22" s="33"/>
      <c r="F22" s="4"/>
      <c r="G22" s="3"/>
      <c r="H22" s="4"/>
      <c r="I22" s="4"/>
      <c r="J22" s="4"/>
      <c r="K22" s="4"/>
      <c r="L22" s="4"/>
      <c r="M22" s="4"/>
      <c r="N22" s="4"/>
    </row>
    <row r="23" spans="1:14" x14ac:dyDescent="0.25">
      <c r="A23" s="2" t="s">
        <v>74</v>
      </c>
      <c r="B23" s="14"/>
      <c r="C23" s="19">
        <f>C15*C6</f>
        <v>556800000</v>
      </c>
      <c r="D23" s="25"/>
      <c r="E23" s="26"/>
      <c r="F23" s="4"/>
      <c r="G23" s="34"/>
      <c r="H23" s="4"/>
      <c r="I23" s="4"/>
      <c r="J23" s="4"/>
      <c r="K23" s="34"/>
      <c r="L23" s="4"/>
      <c r="M23" s="4"/>
      <c r="N23" s="4"/>
    </row>
    <row r="24" spans="1:14" ht="15.75" thickBot="1" x14ac:dyDescent="0.3">
      <c r="A24" s="30" t="s">
        <v>75</v>
      </c>
      <c r="B24" s="10"/>
      <c r="C24" s="35">
        <v>40000000</v>
      </c>
      <c r="D24" s="35">
        <f>SUM(C23:C24)</f>
        <v>596800000</v>
      </c>
      <c r="E24" s="37"/>
      <c r="F24" s="38"/>
      <c r="G24" s="4"/>
      <c r="H24" s="4"/>
      <c r="I24" s="4"/>
      <c r="J24" s="4"/>
      <c r="K24" s="4"/>
      <c r="L24" s="4"/>
      <c r="M24" s="4"/>
      <c r="N24" s="4"/>
    </row>
    <row r="25" spans="1:14" ht="15.75" thickBot="1" x14ac:dyDescent="0.3">
      <c r="A25" s="39" t="s">
        <v>20</v>
      </c>
      <c r="B25" s="40"/>
      <c r="C25" s="40"/>
      <c r="D25" s="40"/>
      <c r="E25" s="42">
        <f>D24-D22</f>
        <v>152572216.00000006</v>
      </c>
      <c r="F25" s="4"/>
      <c r="G25" s="4"/>
      <c r="H25" s="4"/>
      <c r="I25" s="4"/>
      <c r="J25" s="4"/>
      <c r="K25" s="34"/>
      <c r="L25" s="4"/>
      <c r="M25" s="4"/>
      <c r="N25" s="4"/>
    </row>
    <row r="26" spans="1:14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7" spans="1:14" x14ac:dyDescent="0.25">
      <c r="A27" s="4" t="s">
        <v>72</v>
      </c>
      <c r="B27" s="38">
        <v>0.1</v>
      </c>
      <c r="C27" s="4"/>
      <c r="D27" s="4"/>
      <c r="E27" s="4"/>
      <c r="F27" s="4"/>
      <c r="G27" s="4"/>
      <c r="H27" s="4"/>
      <c r="I27" s="4"/>
      <c r="J27" s="4"/>
      <c r="K27" s="43"/>
      <c r="L27" s="4"/>
      <c r="M27" s="4"/>
      <c r="N27" s="4"/>
    </row>
    <row r="28" spans="1:14" ht="15.75" thickBot="1" x14ac:dyDescent="0.3">
      <c r="A28" s="4"/>
      <c r="B28" s="4"/>
      <c r="C28" s="4"/>
      <c r="D28" s="4"/>
      <c r="E28" s="4"/>
      <c r="F28" s="4"/>
      <c r="G28" s="4"/>
      <c r="H28" s="4"/>
      <c r="I28" s="43"/>
      <c r="J28" s="4"/>
      <c r="K28" s="4"/>
      <c r="L28" s="4"/>
      <c r="M28" s="4"/>
      <c r="N28" s="4"/>
    </row>
    <row r="29" spans="1:14" ht="15.75" thickBot="1" x14ac:dyDescent="0.3">
      <c r="A29" s="44"/>
      <c r="B29" s="101" t="s">
        <v>59</v>
      </c>
      <c r="C29" s="102"/>
      <c r="D29" s="103"/>
      <c r="E29" s="101" t="s">
        <v>60</v>
      </c>
      <c r="F29" s="102"/>
      <c r="G29" s="102"/>
      <c r="H29" s="103"/>
      <c r="I29" s="101" t="s">
        <v>61</v>
      </c>
      <c r="J29" s="102"/>
      <c r="K29" s="102"/>
      <c r="L29" s="102"/>
      <c r="M29" s="76"/>
    </row>
    <row r="30" spans="1:14" ht="15.75" thickBot="1" x14ac:dyDescent="0.3">
      <c r="A30" s="45" t="s">
        <v>21</v>
      </c>
      <c r="B30" s="47" t="s">
        <v>82</v>
      </c>
      <c r="C30" s="47" t="s">
        <v>24</v>
      </c>
      <c r="D30" s="48" t="s">
        <v>25</v>
      </c>
      <c r="E30" s="46" t="s">
        <v>22</v>
      </c>
      <c r="F30" s="47" t="s">
        <v>23</v>
      </c>
      <c r="G30" s="47" t="s">
        <v>24</v>
      </c>
      <c r="H30" s="48" t="s">
        <v>26</v>
      </c>
      <c r="I30" s="46" t="s">
        <v>22</v>
      </c>
      <c r="J30" s="48" t="s">
        <v>23</v>
      </c>
      <c r="K30" s="47" t="s">
        <v>24</v>
      </c>
      <c r="L30" s="48" t="s">
        <v>26</v>
      </c>
      <c r="M30" s="49" t="s">
        <v>27</v>
      </c>
    </row>
    <row r="31" spans="1:14" ht="15.75" thickBot="1" x14ac:dyDescent="0.3">
      <c r="A31" s="81" t="s">
        <v>40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14" x14ac:dyDescent="0.25">
      <c r="A32" s="29" t="s">
        <v>28</v>
      </c>
      <c r="B32" s="50">
        <v>363640</v>
      </c>
      <c r="C32" s="50"/>
      <c r="D32" s="50"/>
      <c r="E32" s="50">
        <v>0</v>
      </c>
      <c r="F32" s="50"/>
      <c r="G32" s="50">
        <v>0</v>
      </c>
      <c r="H32" s="50">
        <v>0</v>
      </c>
      <c r="I32" s="50">
        <v>0</v>
      </c>
      <c r="J32" s="50">
        <v>0</v>
      </c>
      <c r="K32" s="50"/>
      <c r="L32" s="50">
        <f>-SUM(B32:K32)</f>
        <v>-363640</v>
      </c>
      <c r="M32" s="51">
        <f t="shared" ref="M32:M38" si="0">SUM(B32:L32)</f>
        <v>0</v>
      </c>
    </row>
    <row r="33" spans="1:15" x14ac:dyDescent="0.25">
      <c r="A33" s="9" t="s">
        <v>70</v>
      </c>
      <c r="B33" s="31">
        <v>54000000</v>
      </c>
      <c r="C33" s="31"/>
      <c r="D33" s="19"/>
      <c r="E33" s="19"/>
      <c r="F33" s="19"/>
      <c r="G33" s="19"/>
      <c r="H33" s="19"/>
      <c r="I33" s="19"/>
      <c r="J33" s="19"/>
      <c r="K33" s="19"/>
      <c r="L33" s="19">
        <f>-SUM(B33:K33)</f>
        <v>-54000000</v>
      </c>
      <c r="M33" s="27">
        <f t="shared" si="0"/>
        <v>0</v>
      </c>
    </row>
    <row r="34" spans="1:15" x14ac:dyDescent="0.25">
      <c r="A34" s="2" t="s">
        <v>29</v>
      </c>
      <c r="B34" s="31"/>
      <c r="C34" s="31">
        <v>30000000</v>
      </c>
      <c r="D34" s="31">
        <v>50000000</v>
      </c>
      <c r="E34" s="31">
        <v>50000000</v>
      </c>
      <c r="F34" s="31"/>
      <c r="G34" s="31"/>
      <c r="H34" s="31"/>
      <c r="I34" s="31">
        <f>-SUM($B$34:$H$34)/4</f>
        <v>-32500000</v>
      </c>
      <c r="J34" s="31">
        <f>-SUM($B$34:$H$34)/4</f>
        <v>-32500000</v>
      </c>
      <c r="K34" s="31">
        <f>-SUM($B$34:$H$34)/4</f>
        <v>-32500000</v>
      </c>
      <c r="L34" s="31">
        <f>-SUM($B$34:$H$34)/4</f>
        <v>-32500000</v>
      </c>
      <c r="M34" s="27">
        <f t="shared" si="0"/>
        <v>0</v>
      </c>
    </row>
    <row r="35" spans="1:15" x14ac:dyDescent="0.25">
      <c r="A35" s="2" t="s">
        <v>81</v>
      </c>
      <c r="B35" s="31">
        <v>496500</v>
      </c>
      <c r="C35" s="31"/>
      <c r="D35" s="31"/>
      <c r="E35" s="31"/>
      <c r="F35" s="31"/>
      <c r="G35" s="31"/>
      <c r="H35" s="31"/>
      <c r="I35" s="31"/>
      <c r="J35" s="31"/>
      <c r="K35" s="31"/>
      <c r="L35" s="31">
        <v>-496500</v>
      </c>
      <c r="M35" s="27"/>
    </row>
    <row r="36" spans="1:15" x14ac:dyDescent="0.25">
      <c r="A36" s="2" t="s">
        <v>41</v>
      </c>
      <c r="B36" s="31">
        <f t="shared" ref="B36:L36" si="1">+B118</f>
        <v>0</v>
      </c>
      <c r="C36" s="31">
        <f t="shared" si="1"/>
        <v>4640000</v>
      </c>
      <c r="D36" s="31">
        <f t="shared" si="1"/>
        <v>16640000</v>
      </c>
      <c r="E36" s="31">
        <f t="shared" si="1"/>
        <v>42448000</v>
      </c>
      <c r="F36" s="31">
        <f t="shared" si="1"/>
        <v>89712000</v>
      </c>
      <c r="G36" s="31">
        <f t="shared" si="1"/>
        <v>73072000</v>
      </c>
      <c r="H36" s="31">
        <f t="shared" si="1"/>
        <v>106480000</v>
      </c>
      <c r="I36" s="31">
        <f t="shared" si="1"/>
        <v>84640000</v>
      </c>
      <c r="J36" s="31">
        <f t="shared" si="1"/>
        <v>72352000</v>
      </c>
      <c r="K36" s="31">
        <f t="shared" si="1"/>
        <v>33408000</v>
      </c>
      <c r="L36" s="31">
        <f t="shared" si="1"/>
        <v>33408000</v>
      </c>
      <c r="M36" s="27">
        <f t="shared" si="0"/>
        <v>556800000</v>
      </c>
    </row>
    <row r="37" spans="1:15" ht="15.75" thickBot="1" x14ac:dyDescent="0.3">
      <c r="A37" s="30" t="s">
        <v>42</v>
      </c>
      <c r="B37" s="52"/>
      <c r="C37" s="52"/>
      <c r="D37" s="52"/>
      <c r="E37" s="52"/>
      <c r="F37" s="52"/>
      <c r="G37" s="52"/>
      <c r="H37" s="52"/>
      <c r="I37" s="52"/>
      <c r="J37" s="87"/>
      <c r="K37" s="87"/>
      <c r="L37" s="87">
        <f>$C$24</f>
        <v>40000000</v>
      </c>
      <c r="M37" s="53">
        <f t="shared" si="0"/>
        <v>40000000</v>
      </c>
    </row>
    <row r="38" spans="1:15" ht="15.75" thickBot="1" x14ac:dyDescent="0.3">
      <c r="A38" s="54" t="s">
        <v>0</v>
      </c>
      <c r="B38" s="55">
        <f t="shared" ref="B38:L38" si="2">SUM(B32:B37)</f>
        <v>54860140</v>
      </c>
      <c r="C38" s="55">
        <f t="shared" si="2"/>
        <v>34640000</v>
      </c>
      <c r="D38" s="55">
        <f t="shared" si="2"/>
        <v>66640000</v>
      </c>
      <c r="E38" s="55">
        <f t="shared" si="2"/>
        <v>92448000</v>
      </c>
      <c r="F38" s="55">
        <f t="shared" si="2"/>
        <v>89712000</v>
      </c>
      <c r="G38" s="55">
        <f t="shared" si="2"/>
        <v>73072000</v>
      </c>
      <c r="H38" s="55">
        <f t="shared" si="2"/>
        <v>106480000</v>
      </c>
      <c r="I38" s="55">
        <f t="shared" si="2"/>
        <v>52140000</v>
      </c>
      <c r="J38" s="55">
        <f t="shared" si="2"/>
        <v>39852000</v>
      </c>
      <c r="K38" s="55">
        <f t="shared" si="2"/>
        <v>908000</v>
      </c>
      <c r="L38" s="55">
        <f t="shared" si="2"/>
        <v>-13952140</v>
      </c>
      <c r="M38" s="56">
        <f t="shared" si="0"/>
        <v>596800000</v>
      </c>
    </row>
    <row r="39" spans="1:15" ht="15.75" thickBot="1" x14ac:dyDescent="0.3">
      <c r="A39" s="81" t="s">
        <v>30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1:15" x14ac:dyDescent="0.25">
      <c r="A40" s="29" t="s">
        <v>69</v>
      </c>
      <c r="B40" s="50">
        <f t="shared" ref="B40:L40" si="3">$C17*B55</f>
        <v>26776249.999999996</v>
      </c>
      <c r="C40" s="50">
        <f t="shared" si="3"/>
        <v>25575000</v>
      </c>
      <c r="D40" s="50">
        <f t="shared" si="3"/>
        <v>25148750</v>
      </c>
      <c r="E40" s="50">
        <f t="shared" si="3"/>
        <v>0</v>
      </c>
      <c r="F40" s="50">
        <f t="shared" si="3"/>
        <v>0</v>
      </c>
      <c r="G40" s="50">
        <f t="shared" si="3"/>
        <v>0</v>
      </c>
      <c r="H40" s="50">
        <f t="shared" si="3"/>
        <v>0</v>
      </c>
      <c r="I40" s="50">
        <f t="shared" si="3"/>
        <v>0</v>
      </c>
      <c r="J40" s="50">
        <f t="shared" si="3"/>
        <v>0</v>
      </c>
      <c r="K40" s="50">
        <f t="shared" si="3"/>
        <v>0</v>
      </c>
      <c r="L40" s="50">
        <f t="shared" si="3"/>
        <v>0</v>
      </c>
      <c r="M40" s="51">
        <f>SUM(B40:L40)</f>
        <v>77500000</v>
      </c>
    </row>
    <row r="41" spans="1:15" x14ac:dyDescent="0.25">
      <c r="A41" s="2" t="s">
        <v>5</v>
      </c>
      <c r="B41" s="25">
        <f t="shared" ref="B41:L41" si="4">+B92</f>
        <v>13309470.719999999</v>
      </c>
      <c r="C41" s="25">
        <f t="shared" si="4"/>
        <v>3306700.7999999998</v>
      </c>
      <c r="D41" s="25">
        <f t="shared" si="4"/>
        <v>31537658.879999999</v>
      </c>
      <c r="E41" s="25">
        <f t="shared" si="4"/>
        <v>57453926.399999991</v>
      </c>
      <c r="F41" s="25">
        <f t="shared" si="4"/>
        <v>44433792</v>
      </c>
      <c r="G41" s="25">
        <f t="shared" si="4"/>
        <v>40300416</v>
      </c>
      <c r="H41" s="25">
        <f t="shared" si="4"/>
        <v>39267072</v>
      </c>
      <c r="I41" s="25">
        <f t="shared" si="4"/>
        <v>29553638.399999999</v>
      </c>
      <c r="J41" s="25">
        <f t="shared" si="4"/>
        <v>10540108.799999999</v>
      </c>
      <c r="K41" s="25">
        <f t="shared" si="4"/>
        <v>0</v>
      </c>
      <c r="L41" s="25">
        <f t="shared" si="4"/>
        <v>0</v>
      </c>
      <c r="M41" s="27">
        <f>SUM(B41:L41)</f>
        <v>269702784</v>
      </c>
    </row>
    <row r="42" spans="1:15" x14ac:dyDescent="0.25">
      <c r="A42" s="2" t="s">
        <v>18</v>
      </c>
      <c r="B42" s="25">
        <v>0</v>
      </c>
      <c r="C42" s="25">
        <f t="shared" ref="C42:L42" si="5">$C19*C56</f>
        <v>0</v>
      </c>
      <c r="D42" s="25">
        <f t="shared" si="5"/>
        <v>1500000</v>
      </c>
      <c r="E42" s="25">
        <f t="shared" si="5"/>
        <v>1500000</v>
      </c>
      <c r="F42" s="25">
        <f t="shared" si="5"/>
        <v>3000000</v>
      </c>
      <c r="G42" s="25">
        <f t="shared" si="5"/>
        <v>3000000</v>
      </c>
      <c r="H42" s="25">
        <f t="shared" si="5"/>
        <v>3000000</v>
      </c>
      <c r="I42" s="25">
        <f t="shared" si="5"/>
        <v>3000000</v>
      </c>
      <c r="J42" s="25">
        <f t="shared" si="5"/>
        <v>4500000</v>
      </c>
      <c r="K42" s="25">
        <f t="shared" si="5"/>
        <v>6000000</v>
      </c>
      <c r="L42" s="25">
        <f t="shared" si="5"/>
        <v>4499999.9999999972</v>
      </c>
      <c r="M42" s="27">
        <f>SUM(B42:L42)</f>
        <v>29999999.999999996</v>
      </c>
    </row>
    <row r="43" spans="1:15" x14ac:dyDescent="0.25">
      <c r="A43" s="2" t="s">
        <v>65</v>
      </c>
      <c r="B43" s="25">
        <f t="shared" ref="B43:L43" si="6">B57*$C20</f>
        <v>14421120.000000002</v>
      </c>
      <c r="C43" s="25">
        <f t="shared" si="6"/>
        <v>4640000</v>
      </c>
      <c r="D43" s="25">
        <f t="shared" si="6"/>
        <v>4640000</v>
      </c>
      <c r="E43" s="25">
        <f t="shared" si="6"/>
        <v>4640000</v>
      </c>
      <c r="F43" s="25">
        <f t="shared" si="6"/>
        <v>4640000</v>
      </c>
      <c r="G43" s="25">
        <f t="shared" si="6"/>
        <v>2320000</v>
      </c>
      <c r="H43" s="25">
        <f t="shared" si="6"/>
        <v>2320000</v>
      </c>
      <c r="I43" s="25">
        <f t="shared" si="6"/>
        <v>2320000</v>
      </c>
      <c r="J43" s="25">
        <f t="shared" si="6"/>
        <v>2320000</v>
      </c>
      <c r="K43" s="25">
        <f t="shared" si="6"/>
        <v>2320000</v>
      </c>
      <c r="L43" s="25">
        <f t="shared" si="6"/>
        <v>1818879.9999999902</v>
      </c>
      <c r="M43" s="27">
        <f>SUM(B43:L43)</f>
        <v>46399999.999999993</v>
      </c>
    </row>
    <row r="44" spans="1:15" x14ac:dyDescent="0.25">
      <c r="A44" s="2" t="s">
        <v>71</v>
      </c>
      <c r="B44" s="25">
        <f>SUM($B$34:B34)*$B$27/4</f>
        <v>0</v>
      </c>
      <c r="C44" s="25">
        <f>SUM($B$34:C34)*$B$27/4</f>
        <v>750000</v>
      </c>
      <c r="D44" s="25">
        <f>SUM($B$34:D34)*$B$27/4</f>
        <v>2000000</v>
      </c>
      <c r="E44" s="25">
        <f>SUM($B$34:E34)*$B$27/4</f>
        <v>3250000</v>
      </c>
      <c r="F44" s="25">
        <f>SUM($B$34:F34)*$B$27/4</f>
        <v>3250000</v>
      </c>
      <c r="G44" s="25">
        <f>SUM($B$34:G34)*$B$27/4</f>
        <v>3250000</v>
      </c>
      <c r="H44" s="25">
        <f>SUM($B$34:H34)*$B$27/4</f>
        <v>3250000</v>
      </c>
      <c r="I44" s="25">
        <f>SUM($B$34:I34)*$B$27/4</f>
        <v>2437500</v>
      </c>
      <c r="J44" s="25">
        <f>SUM($B$34:J34)*$B$27/4</f>
        <v>1625000</v>
      </c>
      <c r="K44" s="25">
        <f>SUM($B$34:K34)*$B$27/4</f>
        <v>812500</v>
      </c>
      <c r="L44" s="25">
        <f>SUM($B$34:L34)*$B$27/4</f>
        <v>0</v>
      </c>
      <c r="M44" s="27">
        <f>SUM(B44:L44)</f>
        <v>20625000</v>
      </c>
    </row>
    <row r="45" spans="1:15" ht="15.75" thickBot="1" x14ac:dyDescent="0.3">
      <c r="A45" s="57" t="s">
        <v>27</v>
      </c>
      <c r="B45" s="58">
        <f t="shared" ref="B45:M45" si="7">SUM(B40:B44)</f>
        <v>54506840.719999999</v>
      </c>
      <c r="C45" s="58">
        <f t="shared" si="7"/>
        <v>34271700.799999997</v>
      </c>
      <c r="D45" s="58">
        <f t="shared" si="7"/>
        <v>64826408.879999995</v>
      </c>
      <c r="E45" s="58">
        <f t="shared" si="7"/>
        <v>66843926.399999991</v>
      </c>
      <c r="F45" s="58">
        <f t="shared" si="7"/>
        <v>55323792</v>
      </c>
      <c r="G45" s="58">
        <f t="shared" si="7"/>
        <v>48870416</v>
      </c>
      <c r="H45" s="58">
        <f t="shared" si="7"/>
        <v>47837072</v>
      </c>
      <c r="I45" s="58">
        <f t="shared" si="7"/>
        <v>37311138.399999999</v>
      </c>
      <c r="J45" s="58">
        <f t="shared" si="7"/>
        <v>18985108.799999997</v>
      </c>
      <c r="K45" s="58">
        <f t="shared" si="7"/>
        <v>9132500</v>
      </c>
      <c r="L45" s="58">
        <f t="shared" si="7"/>
        <v>6318879.999999987</v>
      </c>
      <c r="M45" s="42">
        <f t="shared" si="7"/>
        <v>444227784</v>
      </c>
      <c r="O45" s="1"/>
    </row>
    <row r="46" spans="1:15" ht="15.75" thickBot="1" x14ac:dyDescent="0.3">
      <c r="A46" s="81" t="s">
        <v>32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O46" s="1"/>
    </row>
    <row r="47" spans="1:15" x14ac:dyDescent="0.25">
      <c r="A47" s="29" t="s">
        <v>33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59"/>
    </row>
    <row r="48" spans="1:15" x14ac:dyDescent="0.25">
      <c r="A48" s="2" t="s">
        <v>34</v>
      </c>
      <c r="B48" s="31">
        <v>0</v>
      </c>
      <c r="C48" s="31">
        <f t="shared" ref="C48:L48" si="8">B50</f>
        <v>353299.28000000119</v>
      </c>
      <c r="D48" s="31">
        <f t="shared" si="8"/>
        <v>721598.48000000417</v>
      </c>
      <c r="E48" s="31">
        <f>D50</f>
        <v>2535189.6000000089</v>
      </c>
      <c r="F48" s="31">
        <f t="shared" si="8"/>
        <v>28139263.200000018</v>
      </c>
      <c r="G48" s="31">
        <f t="shared" si="8"/>
        <v>62527471.200000018</v>
      </c>
      <c r="H48" s="31">
        <f t="shared" si="8"/>
        <v>86729055.200000018</v>
      </c>
      <c r="I48" s="31">
        <f t="shared" si="8"/>
        <v>145371983.20000002</v>
      </c>
      <c r="J48" s="31">
        <f t="shared" si="8"/>
        <v>160200844.80000001</v>
      </c>
      <c r="K48" s="31">
        <f t="shared" si="8"/>
        <v>181067736</v>
      </c>
      <c r="L48" s="31">
        <f t="shared" si="8"/>
        <v>172843236</v>
      </c>
      <c r="M48" s="33">
        <f>L50</f>
        <v>152572216</v>
      </c>
      <c r="N48" s="1"/>
      <c r="O48" s="1"/>
    </row>
    <row r="49" spans="1:14" x14ac:dyDescent="0.25">
      <c r="A49" s="2" t="s">
        <v>35</v>
      </c>
      <c r="B49" s="31">
        <f t="shared" ref="B49:L49" si="9">B38-B45</f>
        <v>353299.28000000119</v>
      </c>
      <c r="C49" s="31">
        <f t="shared" si="9"/>
        <v>368299.20000000298</v>
      </c>
      <c r="D49" s="31">
        <f t="shared" si="9"/>
        <v>1813591.1200000048</v>
      </c>
      <c r="E49" s="31">
        <f t="shared" si="9"/>
        <v>25604073.600000009</v>
      </c>
      <c r="F49" s="31">
        <f t="shared" si="9"/>
        <v>34388208</v>
      </c>
      <c r="G49" s="31">
        <f t="shared" si="9"/>
        <v>24201584</v>
      </c>
      <c r="H49" s="31">
        <f t="shared" si="9"/>
        <v>58642928</v>
      </c>
      <c r="I49" s="31">
        <f t="shared" si="9"/>
        <v>14828861.600000001</v>
      </c>
      <c r="J49" s="31">
        <f t="shared" si="9"/>
        <v>20866891.200000003</v>
      </c>
      <c r="K49" s="31">
        <f t="shared" si="9"/>
        <v>-8224500</v>
      </c>
      <c r="L49" s="31">
        <f t="shared" si="9"/>
        <v>-20271019.999999985</v>
      </c>
      <c r="M49" s="33"/>
      <c r="N49" s="1"/>
    </row>
    <row r="50" spans="1:14" ht="15.75" thickBot="1" x14ac:dyDescent="0.3">
      <c r="A50" s="16" t="s">
        <v>36</v>
      </c>
      <c r="B50" s="41">
        <f t="shared" ref="B50:L50" si="10">B48+B49</f>
        <v>353299.28000000119</v>
      </c>
      <c r="C50" s="41">
        <f t="shared" si="10"/>
        <v>721598.48000000417</v>
      </c>
      <c r="D50" s="41">
        <f t="shared" si="10"/>
        <v>2535189.6000000089</v>
      </c>
      <c r="E50" s="41">
        <f t="shared" si="10"/>
        <v>28139263.200000018</v>
      </c>
      <c r="F50" s="41">
        <f t="shared" si="10"/>
        <v>62527471.200000018</v>
      </c>
      <c r="G50" s="41">
        <f t="shared" si="10"/>
        <v>86729055.200000018</v>
      </c>
      <c r="H50" s="41">
        <f t="shared" si="10"/>
        <v>145371983.20000002</v>
      </c>
      <c r="I50" s="41">
        <f t="shared" si="10"/>
        <v>160200844.80000001</v>
      </c>
      <c r="J50" s="41">
        <f t="shared" si="10"/>
        <v>181067736</v>
      </c>
      <c r="K50" s="41">
        <f t="shared" si="10"/>
        <v>172843236</v>
      </c>
      <c r="L50" s="41">
        <f t="shared" si="10"/>
        <v>152572216</v>
      </c>
      <c r="M50" s="37"/>
      <c r="N50" s="1"/>
    </row>
    <row r="51" spans="1:14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4" x14ac:dyDescent="0.25">
      <c r="A52" s="82" t="s">
        <v>73</v>
      </c>
      <c r="B52" s="83">
        <f>+(M48+M44+B32+B33+B35)/(M44+SUM(B34:G34))</f>
        <v>1.5140737327800831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4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</row>
    <row r="54" spans="1:14" ht="15.75" thickBot="1" x14ac:dyDescent="0.3">
      <c r="A54" s="3" t="s">
        <v>37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4" x14ac:dyDescent="0.25">
      <c r="A55" s="29" t="s">
        <v>31</v>
      </c>
      <c r="B55" s="60">
        <v>0.34549999999999997</v>
      </c>
      <c r="C55" s="60">
        <v>0.33</v>
      </c>
      <c r="D55" s="60">
        <f>1-SUM(B55:C55)</f>
        <v>0.32450000000000001</v>
      </c>
      <c r="E55" s="60">
        <v>0</v>
      </c>
      <c r="F55" s="60">
        <v>0</v>
      </c>
      <c r="G55" s="60">
        <f>1-SUM(B55:F55)</f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1">
        <f>SUM(B55:L55)</f>
        <v>1</v>
      </c>
    </row>
    <row r="56" spans="1:14" x14ac:dyDescent="0.25">
      <c r="A56" s="30" t="s">
        <v>18</v>
      </c>
      <c r="B56" s="62">
        <v>0</v>
      </c>
      <c r="C56" s="62">
        <v>0</v>
      </c>
      <c r="D56" s="62">
        <v>0.05</v>
      </c>
      <c r="E56" s="62">
        <v>0.05</v>
      </c>
      <c r="F56" s="62">
        <v>0.1</v>
      </c>
      <c r="G56" s="62">
        <v>0.1</v>
      </c>
      <c r="H56" s="62">
        <v>0.1</v>
      </c>
      <c r="I56" s="62">
        <v>0.1</v>
      </c>
      <c r="J56" s="62">
        <v>0.15</v>
      </c>
      <c r="K56" s="62">
        <v>0.2</v>
      </c>
      <c r="L56" s="62">
        <f>1-SUM(B56:K56)</f>
        <v>0.14999999999999991</v>
      </c>
      <c r="M56" s="63">
        <f>SUM(B56:L56)</f>
        <v>1</v>
      </c>
    </row>
    <row r="57" spans="1:14" x14ac:dyDescent="0.25">
      <c r="A57" s="2" t="s">
        <v>3</v>
      </c>
      <c r="B57" s="62">
        <v>0.31080000000000002</v>
      </c>
      <c r="C57" s="62">
        <v>0.1</v>
      </c>
      <c r="D57" s="62">
        <v>0.1</v>
      </c>
      <c r="E57" s="62">
        <v>0.1</v>
      </c>
      <c r="F57" s="62">
        <v>0.1</v>
      </c>
      <c r="G57" s="62">
        <v>0.05</v>
      </c>
      <c r="H57" s="62">
        <v>0.05</v>
      </c>
      <c r="I57" s="62">
        <v>0.05</v>
      </c>
      <c r="J57" s="62">
        <v>0.05</v>
      </c>
      <c r="K57" s="62">
        <v>0.05</v>
      </c>
      <c r="L57" s="62">
        <f>1-SUM(B57:K57)</f>
        <v>3.9199999999999791E-2</v>
      </c>
      <c r="M57" s="63">
        <f>SUM(B57:L57)</f>
        <v>1</v>
      </c>
    </row>
    <row r="58" spans="1:14" ht="15.75" thickBot="1" x14ac:dyDescent="0.3">
      <c r="A58" s="16" t="s">
        <v>68</v>
      </c>
      <c r="B58" s="88">
        <v>0</v>
      </c>
      <c r="C58" s="88">
        <v>0</v>
      </c>
      <c r="D58" s="88">
        <v>0.08</v>
      </c>
      <c r="E58" s="88">
        <v>0.1</v>
      </c>
      <c r="F58" s="88">
        <v>0.1</v>
      </c>
      <c r="G58" s="88">
        <v>0.1</v>
      </c>
      <c r="H58" s="88">
        <v>0.1</v>
      </c>
      <c r="I58" s="88">
        <v>0.1</v>
      </c>
      <c r="J58" s="88">
        <v>0.1</v>
      </c>
      <c r="K58" s="88">
        <v>0.1</v>
      </c>
      <c r="L58" s="88">
        <f>1-SUM(B58:K58)</f>
        <v>0.22000000000000008</v>
      </c>
      <c r="M58" s="89">
        <f>SUM(B58:L58)</f>
        <v>1</v>
      </c>
    </row>
    <row r="59" spans="1:14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4" ht="15.75" thickBot="1" x14ac:dyDescent="0.3">
      <c r="A60" s="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3"/>
    </row>
    <row r="61" spans="1:14" x14ac:dyDescent="0.25">
      <c r="A61" s="29" t="s">
        <v>43</v>
      </c>
      <c r="B61" s="64">
        <f>+C6</f>
        <v>928</v>
      </c>
      <c r="C61" s="8"/>
      <c r="D61" s="8"/>
      <c r="E61" s="8"/>
      <c r="F61" s="8"/>
      <c r="G61" s="8"/>
      <c r="H61" s="8"/>
      <c r="I61" s="8"/>
      <c r="J61" s="8"/>
      <c r="K61" s="8"/>
      <c r="L61" s="8"/>
      <c r="M61" s="59"/>
    </row>
    <row r="62" spans="1:14" x14ac:dyDescent="0.25">
      <c r="A62" s="2" t="s">
        <v>62</v>
      </c>
      <c r="B62" s="65"/>
      <c r="C62" s="65">
        <f t="shared" ref="C62:L62" si="11">+B121</f>
        <v>0</v>
      </c>
      <c r="D62" s="65">
        <f t="shared" si="11"/>
        <v>0</v>
      </c>
      <c r="E62" s="65">
        <f t="shared" si="11"/>
        <v>128</v>
      </c>
      <c r="F62" s="65">
        <f t="shared" si="11"/>
        <v>256</v>
      </c>
      <c r="G62" s="65">
        <f t="shared" si="11"/>
        <v>544</v>
      </c>
      <c r="H62" s="65">
        <f t="shared" si="11"/>
        <v>0</v>
      </c>
      <c r="I62" s="65">
        <f t="shared" si="11"/>
        <v>0</v>
      </c>
      <c r="J62" s="65">
        <f t="shared" si="11"/>
        <v>0</v>
      </c>
      <c r="K62" s="65">
        <f t="shared" si="11"/>
        <v>0</v>
      </c>
      <c r="L62" s="65">
        <f t="shared" si="11"/>
        <v>0</v>
      </c>
      <c r="M62" s="66">
        <f>SUM(B62:L62)</f>
        <v>928</v>
      </c>
    </row>
    <row r="63" spans="1:14" x14ac:dyDescent="0.25">
      <c r="A63" s="2" t="s">
        <v>44</v>
      </c>
      <c r="B63" s="31"/>
      <c r="C63" s="31">
        <f t="shared" ref="C63:L63" si="12">+($C$9*$B$10)*C62</f>
        <v>0</v>
      </c>
      <c r="D63" s="31">
        <f t="shared" si="12"/>
        <v>0</v>
      </c>
      <c r="E63" s="31">
        <f t="shared" si="12"/>
        <v>41333.759999999995</v>
      </c>
      <c r="F63" s="31">
        <f t="shared" si="12"/>
        <v>82667.51999999999</v>
      </c>
      <c r="G63" s="31">
        <f t="shared" si="12"/>
        <v>175668.47999999998</v>
      </c>
      <c r="H63" s="31">
        <f t="shared" si="12"/>
        <v>0</v>
      </c>
      <c r="I63" s="31">
        <f t="shared" si="12"/>
        <v>0</v>
      </c>
      <c r="J63" s="31">
        <f t="shared" si="12"/>
        <v>0</v>
      </c>
      <c r="K63" s="31">
        <f t="shared" si="12"/>
        <v>0</v>
      </c>
      <c r="L63" s="31">
        <f t="shared" si="12"/>
        <v>0</v>
      </c>
      <c r="M63" s="33">
        <f>SUM(B63:L63)</f>
        <v>299669.75999999995</v>
      </c>
    </row>
    <row r="64" spans="1:14" x14ac:dyDescent="0.25">
      <c r="A64" s="2" t="s">
        <v>5</v>
      </c>
      <c r="B64" s="25">
        <v>900</v>
      </c>
      <c r="C64" s="14"/>
      <c r="D64" s="14"/>
      <c r="E64" s="67"/>
      <c r="F64" s="67"/>
      <c r="G64" s="67"/>
      <c r="H64" s="67"/>
      <c r="I64" s="67"/>
      <c r="J64" s="67"/>
      <c r="K64" s="67"/>
      <c r="L64" s="67"/>
      <c r="M64" s="66"/>
    </row>
    <row r="65" spans="1:13" x14ac:dyDescent="0.25">
      <c r="A65" s="2" t="s">
        <v>45</v>
      </c>
      <c r="B65" s="25">
        <v>200</v>
      </c>
      <c r="C65" s="67">
        <f>+$B$64</f>
        <v>900</v>
      </c>
      <c r="D65" s="68">
        <f>+B65/C65</f>
        <v>0.22222222222222221</v>
      </c>
      <c r="E65" s="14"/>
      <c r="F65" s="14"/>
      <c r="G65" s="14"/>
      <c r="H65" s="14"/>
      <c r="I65" s="14"/>
      <c r="J65" s="14"/>
      <c r="K65" s="14"/>
      <c r="L65" s="14"/>
      <c r="M65" s="26"/>
    </row>
    <row r="66" spans="1:13" x14ac:dyDescent="0.25">
      <c r="A66" s="2" t="s">
        <v>46</v>
      </c>
      <c r="B66" s="25">
        <v>400</v>
      </c>
      <c r="C66" s="67">
        <f>+$B$64</f>
        <v>900</v>
      </c>
      <c r="D66" s="68">
        <f t="shared" ref="D66:D67" si="13">+B66/C66</f>
        <v>0.44444444444444442</v>
      </c>
      <c r="E66" s="14"/>
      <c r="F66" s="14"/>
      <c r="G66" s="14"/>
      <c r="H66" s="14"/>
      <c r="I66" s="14"/>
      <c r="J66" s="14"/>
      <c r="K66" s="14"/>
      <c r="L66" s="14"/>
      <c r="M66" s="26"/>
    </row>
    <row r="67" spans="1:13" ht="15.75" thickBot="1" x14ac:dyDescent="0.3">
      <c r="A67" s="16" t="s">
        <v>47</v>
      </c>
      <c r="B67" s="35">
        <f>+B64-SUM(B65:B66)</f>
        <v>300</v>
      </c>
      <c r="C67" s="69">
        <f>+$B$64</f>
        <v>900</v>
      </c>
      <c r="D67" s="70">
        <f t="shared" si="13"/>
        <v>0.33333333333333331</v>
      </c>
      <c r="E67" s="17"/>
      <c r="F67" s="17"/>
      <c r="G67" s="17"/>
      <c r="H67" s="17"/>
      <c r="I67" s="17"/>
      <c r="J67" s="17"/>
      <c r="K67" s="17"/>
      <c r="L67" s="17"/>
      <c r="M67" s="71"/>
    </row>
    <row r="68" spans="1:13" ht="15.75" thickBot="1" x14ac:dyDescent="0.3">
      <c r="A68" s="72"/>
      <c r="B68" s="47" t="str">
        <f t="shared" ref="B68:M68" si="14">B30</f>
        <v>As on Date</v>
      </c>
      <c r="C68" s="48" t="str">
        <f t="shared" si="14"/>
        <v>3rd Qt</v>
      </c>
      <c r="D68" s="46" t="str">
        <f t="shared" si="14"/>
        <v>4th Qt</v>
      </c>
      <c r="E68" s="47" t="str">
        <f t="shared" si="14"/>
        <v>1st Qtr</v>
      </c>
      <c r="F68" s="47" t="str">
        <f t="shared" si="14"/>
        <v>2nd Qt</v>
      </c>
      <c r="G68" s="48" t="str">
        <f t="shared" si="14"/>
        <v>3rd Qt</v>
      </c>
      <c r="H68" s="46" t="str">
        <f t="shared" si="14"/>
        <v>4th Qtr</v>
      </c>
      <c r="I68" s="47" t="str">
        <f t="shared" si="14"/>
        <v>1st Qtr</v>
      </c>
      <c r="J68" s="47" t="str">
        <f t="shared" si="14"/>
        <v>2nd Qt</v>
      </c>
      <c r="K68" s="48" t="str">
        <f t="shared" si="14"/>
        <v>3rd Qt</v>
      </c>
      <c r="L68" s="46" t="str">
        <f t="shared" si="14"/>
        <v>4th Qtr</v>
      </c>
      <c r="M68" s="49" t="str">
        <f t="shared" si="14"/>
        <v>TOTAL</v>
      </c>
    </row>
    <row r="69" spans="1:13" x14ac:dyDescent="0.25">
      <c r="A69" s="9" t="s">
        <v>45</v>
      </c>
      <c r="B69" s="19">
        <f>+($C$63*$B$65)</f>
        <v>0</v>
      </c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77">
        <f>SUM(B69:L69)</f>
        <v>0</v>
      </c>
    </row>
    <row r="70" spans="1:13" x14ac:dyDescent="0.25">
      <c r="A70" s="2" t="s">
        <v>45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7">
        <f t="shared" ref="M70:M75" si="15">SUM(B70:J70)</f>
        <v>0</v>
      </c>
    </row>
    <row r="71" spans="1:13" x14ac:dyDescent="0.25">
      <c r="A71" s="2" t="s">
        <v>45</v>
      </c>
      <c r="B71" s="25">
        <f>+($E$63*$B$65)</f>
        <v>8266751.9999999991</v>
      </c>
      <c r="C71" s="25"/>
      <c r="D71" s="25"/>
      <c r="E71" s="25"/>
      <c r="F71" s="36"/>
      <c r="G71" s="36"/>
      <c r="H71" s="36"/>
      <c r="I71" s="36"/>
      <c r="J71" s="36"/>
      <c r="K71" s="36"/>
      <c r="L71" s="36"/>
      <c r="M71" s="53">
        <f t="shared" si="15"/>
        <v>8266751.9999999991</v>
      </c>
    </row>
    <row r="72" spans="1:13" x14ac:dyDescent="0.25">
      <c r="A72" s="2" t="s">
        <v>45</v>
      </c>
      <c r="B72" s="25">
        <f>+($F$63*$B$65)*30.5%</f>
        <v>5042718.7199999997</v>
      </c>
      <c r="C72" s="25">
        <f>+($F$63*$B$65)*10%</f>
        <v>1653350.3999999999</v>
      </c>
      <c r="D72" s="25">
        <f>+($F$63*$B$65)*59.5%</f>
        <v>9837434.879999999</v>
      </c>
      <c r="E72" s="25"/>
      <c r="F72" s="25"/>
      <c r="G72" s="36"/>
      <c r="H72" s="36"/>
      <c r="I72" s="36"/>
      <c r="J72" s="36"/>
      <c r="K72" s="36"/>
      <c r="L72" s="36"/>
      <c r="M72" s="53">
        <f t="shared" si="15"/>
        <v>16533503.999999998</v>
      </c>
    </row>
    <row r="73" spans="1:13" x14ac:dyDescent="0.25">
      <c r="A73" s="2" t="s">
        <v>45</v>
      </c>
      <c r="B73" s="36"/>
      <c r="C73" s="36"/>
      <c r="D73" s="25">
        <f>+($G$63*$B$65)*40%</f>
        <v>14053478.4</v>
      </c>
      <c r="E73" s="25">
        <f>+($G$63*$B$65)*60%</f>
        <v>21080217.599999998</v>
      </c>
      <c r="F73" s="25"/>
      <c r="G73" s="25"/>
      <c r="H73" s="36"/>
      <c r="I73" s="36"/>
      <c r="J73" s="36"/>
      <c r="K73" s="36"/>
      <c r="L73" s="36"/>
      <c r="M73" s="53">
        <f t="shared" si="15"/>
        <v>35133696</v>
      </c>
    </row>
    <row r="74" spans="1:13" x14ac:dyDescent="0.25">
      <c r="A74" s="2" t="s">
        <v>45</v>
      </c>
      <c r="B74" s="36"/>
      <c r="C74" s="36"/>
      <c r="D74" s="36"/>
      <c r="E74" s="25">
        <f>+($H$63*$B$65)</f>
        <v>0</v>
      </c>
      <c r="F74" s="25"/>
      <c r="G74" s="36"/>
      <c r="H74" s="36"/>
      <c r="I74" s="36"/>
      <c r="J74" s="36"/>
      <c r="K74" s="36"/>
      <c r="L74" s="36"/>
      <c r="M74" s="53">
        <f t="shared" si="15"/>
        <v>0</v>
      </c>
    </row>
    <row r="75" spans="1:13" ht="15.75" thickBot="1" x14ac:dyDescent="0.3">
      <c r="A75" s="2" t="s">
        <v>45</v>
      </c>
      <c r="B75" s="36"/>
      <c r="C75" s="36"/>
      <c r="D75" s="36"/>
      <c r="E75" s="36"/>
      <c r="F75" s="25">
        <f>+($I$63*$B$65)</f>
        <v>0</v>
      </c>
      <c r="G75" s="25"/>
      <c r="H75" s="36"/>
      <c r="I75" s="36"/>
      <c r="J75" s="36"/>
      <c r="K75" s="36"/>
      <c r="L75" s="36"/>
      <c r="M75" s="53">
        <f t="shared" si="15"/>
        <v>0</v>
      </c>
    </row>
    <row r="76" spans="1:13" ht="15.75" thickBot="1" x14ac:dyDescent="0.3">
      <c r="A76" s="54" t="s">
        <v>48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6">
        <f>SUM(M69:M75)</f>
        <v>59933952</v>
      </c>
    </row>
    <row r="77" spans="1:13" x14ac:dyDescent="0.25">
      <c r="A77" s="9" t="s">
        <v>46</v>
      </c>
      <c r="B77" s="19"/>
      <c r="C77" s="19">
        <f>+($C$63*$B$66)/4</f>
        <v>0</v>
      </c>
      <c r="D77" s="19">
        <f>+($C$63*$B$66)/4</f>
        <v>0</v>
      </c>
      <c r="E77" s="19"/>
      <c r="F77" s="19"/>
      <c r="G77" s="19"/>
      <c r="H77" s="19"/>
      <c r="I77" s="19"/>
      <c r="J77" s="19"/>
      <c r="K77" s="19"/>
      <c r="L77" s="19"/>
      <c r="M77" s="77">
        <f t="shared" ref="M77:M83" si="16">SUM(B77:J77)</f>
        <v>0</v>
      </c>
    </row>
    <row r="78" spans="1:13" x14ac:dyDescent="0.25">
      <c r="A78" s="2" t="s">
        <v>46</v>
      </c>
      <c r="B78" s="25"/>
      <c r="C78" s="25">
        <f>+($D$63*$B$66)*30%</f>
        <v>0</v>
      </c>
      <c r="D78" s="25">
        <f>+($D$63*$B$66)*20%</f>
        <v>0</v>
      </c>
      <c r="E78" s="25">
        <f>+($D$63*$B$66)*30%</f>
        <v>0</v>
      </c>
      <c r="F78" s="25"/>
      <c r="G78" s="25"/>
      <c r="H78" s="25"/>
      <c r="I78" s="25"/>
      <c r="J78" s="25"/>
      <c r="K78" s="25"/>
      <c r="L78" s="25"/>
      <c r="M78" s="27">
        <f t="shared" si="16"/>
        <v>0</v>
      </c>
    </row>
    <row r="79" spans="1:13" x14ac:dyDescent="0.25">
      <c r="A79" s="2" t="s">
        <v>46</v>
      </c>
      <c r="B79" s="36"/>
      <c r="C79" s="25">
        <f>+($E$63*$B$66)*10%</f>
        <v>1653350.3999999999</v>
      </c>
      <c r="D79" s="25">
        <f t="shared" ref="D79:F79" si="17">+($E$63*$B$66)*25%</f>
        <v>4133375.9999999995</v>
      </c>
      <c r="E79" s="25">
        <f>+($E$63*$B$66)*40%</f>
        <v>6613401.5999999996</v>
      </c>
      <c r="F79" s="25">
        <f t="shared" si="17"/>
        <v>4133375.9999999995</v>
      </c>
      <c r="G79" s="25"/>
      <c r="H79" s="36"/>
      <c r="I79" s="36"/>
      <c r="J79" s="36"/>
      <c r="K79" s="36"/>
      <c r="L79" s="36"/>
      <c r="M79" s="27">
        <f t="shared" si="16"/>
        <v>16533504</v>
      </c>
    </row>
    <row r="80" spans="1:13" x14ac:dyDescent="0.25">
      <c r="A80" s="2" t="s">
        <v>46</v>
      </c>
      <c r="B80" s="36"/>
      <c r="C80" s="36"/>
      <c r="D80" s="25">
        <f>+($F$63*$B$66)*5%</f>
        <v>1653350.3999999999</v>
      </c>
      <c r="E80" s="25">
        <f>+($F$63*$B$66)*25%</f>
        <v>8266751.9999999991</v>
      </c>
      <c r="F80" s="25">
        <f>+($F$63*$B$66)*25%</f>
        <v>8266751.9999999991</v>
      </c>
      <c r="G80" s="25">
        <f>+($F$63*$B$66)*25%</f>
        <v>8266751.9999999991</v>
      </c>
      <c r="H80" s="25">
        <f>+($F$63*$B$66)*20%</f>
        <v>6613401.5999999996</v>
      </c>
      <c r="I80" s="36"/>
      <c r="J80" s="36"/>
      <c r="K80" s="36"/>
      <c r="L80" s="36"/>
      <c r="M80" s="27">
        <f t="shared" si="16"/>
        <v>33067008</v>
      </c>
    </row>
    <row r="81" spans="1:13" x14ac:dyDescent="0.25">
      <c r="A81" s="2" t="s">
        <v>46</v>
      </c>
      <c r="B81" s="36"/>
      <c r="C81" s="36"/>
      <c r="D81" s="36"/>
      <c r="E81" s="25">
        <f>+($G$63*$B$66)/5</f>
        <v>14053478.4</v>
      </c>
      <c r="F81" s="25">
        <f t="shared" ref="F81:I81" si="18">+($G$63*$B$66)/5</f>
        <v>14053478.4</v>
      </c>
      <c r="G81" s="25">
        <f t="shared" si="18"/>
        <v>14053478.4</v>
      </c>
      <c r="H81" s="25">
        <f t="shared" si="18"/>
        <v>14053478.4</v>
      </c>
      <c r="I81" s="25">
        <f t="shared" si="18"/>
        <v>14053478.4</v>
      </c>
      <c r="J81" s="36"/>
      <c r="K81" s="36"/>
      <c r="L81" s="36"/>
      <c r="M81" s="27">
        <f t="shared" si="16"/>
        <v>70267392</v>
      </c>
    </row>
    <row r="82" spans="1:13" x14ac:dyDescent="0.25">
      <c r="A82" s="2" t="s">
        <v>46</v>
      </c>
      <c r="B82" s="36"/>
      <c r="C82" s="36"/>
      <c r="D82" s="36"/>
      <c r="E82" s="36"/>
      <c r="F82" s="25">
        <f>+($H$63*$B$66)/4</f>
        <v>0</v>
      </c>
      <c r="G82" s="25">
        <f>+($H$63*$B$66)/4</f>
        <v>0</v>
      </c>
      <c r="H82" s="25">
        <f>+($H$63*$B$66)/4</f>
        <v>0</v>
      </c>
      <c r="I82" s="25">
        <f>+($H$63*$B$66)/4</f>
        <v>0</v>
      </c>
      <c r="J82" s="36"/>
      <c r="K82" s="36"/>
      <c r="L82" s="36"/>
      <c r="M82" s="27">
        <f t="shared" si="16"/>
        <v>0</v>
      </c>
    </row>
    <row r="83" spans="1:13" ht="15.75" thickBot="1" x14ac:dyDescent="0.3">
      <c r="A83" s="2" t="s">
        <v>46</v>
      </c>
      <c r="B83" s="36"/>
      <c r="C83" s="36"/>
      <c r="D83" s="36"/>
      <c r="E83" s="36"/>
      <c r="F83" s="36"/>
      <c r="G83" s="25">
        <f>+($I$63*$B$66)/4</f>
        <v>0</v>
      </c>
      <c r="H83" s="25">
        <f>+($I$63*$B$66)/4</f>
        <v>0</v>
      </c>
      <c r="I83" s="25">
        <f>+($I$63*$B$66)/4</f>
        <v>0</v>
      </c>
      <c r="J83" s="25">
        <f>+($I$63*$B$66)/4</f>
        <v>0</v>
      </c>
      <c r="K83" s="25"/>
      <c r="L83" s="25"/>
      <c r="M83" s="27">
        <f t="shared" si="16"/>
        <v>0</v>
      </c>
    </row>
    <row r="84" spans="1:13" ht="15.75" thickBot="1" x14ac:dyDescent="0.3">
      <c r="A84" s="54" t="s">
        <v>49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6">
        <f>SUM(M77:M83)</f>
        <v>119867904</v>
      </c>
    </row>
    <row r="85" spans="1:13" x14ac:dyDescent="0.25">
      <c r="A85" s="9" t="s">
        <v>47</v>
      </c>
      <c r="B85" s="19"/>
      <c r="C85" s="19">
        <f>+($C$63*$B$67)/5</f>
        <v>0</v>
      </c>
      <c r="D85" s="19">
        <f>+($C$63*$B$67)/5</f>
        <v>0</v>
      </c>
      <c r="E85" s="19">
        <f>+($C$63*$B$67)/5</f>
        <v>0</v>
      </c>
      <c r="F85" s="19">
        <f>+($C$63*$B$67)/5</f>
        <v>0</v>
      </c>
      <c r="G85" s="19"/>
      <c r="H85" s="19"/>
      <c r="I85" s="19"/>
      <c r="J85" s="19"/>
      <c r="K85" s="19"/>
      <c r="L85" s="19"/>
      <c r="M85" s="77">
        <f t="shared" ref="M85:M90" si="19">SUM(B85:J85)</f>
        <v>0</v>
      </c>
    </row>
    <row r="86" spans="1:13" x14ac:dyDescent="0.25">
      <c r="A86" s="2" t="s">
        <v>47</v>
      </c>
      <c r="B86" s="25"/>
      <c r="C86" s="25">
        <f>+($D$63*$B$67)*15%</f>
        <v>0</v>
      </c>
      <c r="D86" s="25">
        <f>+($D$63*$B$67)*20%</f>
        <v>0</v>
      </c>
      <c r="E86" s="25">
        <f>+($D$63*$B$67)*20%</f>
        <v>0</v>
      </c>
      <c r="F86" s="25">
        <f>+($D$63*$B$67)*20%</f>
        <v>0</v>
      </c>
      <c r="G86" s="25">
        <f>+($D$63*$B$67)*25%</f>
        <v>0</v>
      </c>
      <c r="H86" s="25"/>
      <c r="I86" s="25"/>
      <c r="J86" s="25"/>
      <c r="K86" s="25"/>
      <c r="L86" s="25"/>
      <c r="M86" s="27">
        <f t="shared" si="19"/>
        <v>0</v>
      </c>
    </row>
    <row r="87" spans="1:13" x14ac:dyDescent="0.25">
      <c r="A87" s="2" t="s">
        <v>47</v>
      </c>
      <c r="B87" s="36"/>
      <c r="C87" s="36"/>
      <c r="D87" s="25">
        <f>+($E$63*$B$67)*15%</f>
        <v>1860019.1999999997</v>
      </c>
      <c r="E87" s="25">
        <f>+($E$63*$B$67)*20%</f>
        <v>2480025.5999999996</v>
      </c>
      <c r="F87" s="25">
        <f>+($E$63*$B$67)*20%</f>
        <v>2480025.5999999996</v>
      </c>
      <c r="G87" s="25">
        <f>+($E$63*$B$67)*20%</f>
        <v>2480025.5999999996</v>
      </c>
      <c r="H87" s="25">
        <f>+($E$63*$B$67)*25%</f>
        <v>3100031.9999999995</v>
      </c>
      <c r="I87" s="25"/>
      <c r="J87" s="36"/>
      <c r="K87" s="36"/>
      <c r="L87" s="36"/>
      <c r="M87" s="27">
        <f t="shared" si="19"/>
        <v>12400127.999999998</v>
      </c>
    </row>
    <row r="88" spans="1:13" x14ac:dyDescent="0.25">
      <c r="A88" s="2" t="s">
        <v>47</v>
      </c>
      <c r="B88" s="36"/>
      <c r="C88" s="36"/>
      <c r="D88" s="36"/>
      <c r="E88" s="25">
        <f>+($F$63*$B$67)/5</f>
        <v>4960051.1999999993</v>
      </c>
      <c r="F88" s="25">
        <f>+($F$63*$B$67)/5</f>
        <v>4960051.1999999993</v>
      </c>
      <c r="G88" s="25">
        <f>+($F$63*$B$67)/5</f>
        <v>4960051.1999999993</v>
      </c>
      <c r="H88" s="25">
        <f>+($F$63*$B$67)/5</f>
        <v>4960051.1999999993</v>
      </c>
      <c r="I88" s="25">
        <f>+($F$63*$B$67)/5</f>
        <v>4960051.1999999993</v>
      </c>
      <c r="J88" s="25"/>
      <c r="K88" s="25"/>
      <c r="L88" s="25"/>
      <c r="M88" s="27">
        <f t="shared" si="19"/>
        <v>24800255.999999996</v>
      </c>
    </row>
    <row r="89" spans="1:13" x14ac:dyDescent="0.25">
      <c r="A89" s="2" t="s">
        <v>47</v>
      </c>
      <c r="B89" s="36"/>
      <c r="C89" s="36"/>
      <c r="D89" s="36"/>
      <c r="E89" s="36"/>
      <c r="F89" s="25">
        <f>+($G$63*$B$67)/5</f>
        <v>10540108.799999999</v>
      </c>
      <c r="G89" s="25">
        <f>+($G$63*$B$67)/5</f>
        <v>10540108.799999999</v>
      </c>
      <c r="H89" s="25">
        <f>+($G$63*$B$67)/5</f>
        <v>10540108.799999999</v>
      </c>
      <c r="I89" s="25">
        <f>+($G$63*$B$67)/5</f>
        <v>10540108.799999999</v>
      </c>
      <c r="J89" s="25">
        <f>+($G$63*$B$67)/5</f>
        <v>10540108.799999999</v>
      </c>
      <c r="K89" s="25"/>
      <c r="L89" s="25"/>
      <c r="M89" s="27">
        <f t="shared" si="19"/>
        <v>52700543.999999993</v>
      </c>
    </row>
    <row r="90" spans="1:13" ht="15.75" thickBot="1" x14ac:dyDescent="0.3">
      <c r="A90" s="30" t="s">
        <v>47</v>
      </c>
      <c r="B90" s="36"/>
      <c r="C90" s="36"/>
      <c r="D90" s="36"/>
      <c r="E90" s="36"/>
      <c r="F90" s="36"/>
      <c r="G90" s="25">
        <f>+($H$63*$B$67)/5</f>
        <v>0</v>
      </c>
      <c r="H90" s="25">
        <f>+($H$63*$B$67)/5</f>
        <v>0</v>
      </c>
      <c r="I90" s="25">
        <f>+($H$63*$B$67)/5</f>
        <v>0</v>
      </c>
      <c r="J90" s="25">
        <f>+($H$63*$B$67)/5</f>
        <v>0</v>
      </c>
      <c r="K90" s="25"/>
      <c r="L90" s="25"/>
      <c r="M90" s="27">
        <f t="shared" si="19"/>
        <v>0</v>
      </c>
    </row>
    <row r="91" spans="1:13" ht="15.75" thickBot="1" x14ac:dyDescent="0.3">
      <c r="A91" s="54" t="s">
        <v>50</v>
      </c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6">
        <f>SUM(M85:M90)</f>
        <v>89900927.999999985</v>
      </c>
    </row>
    <row r="92" spans="1:13" ht="15.75" thickBot="1" x14ac:dyDescent="0.3">
      <c r="A92" s="54" t="s">
        <v>51</v>
      </c>
      <c r="B92" s="55">
        <f t="shared" ref="B92:L92" si="20">SUM(B69:B91)</f>
        <v>13309470.719999999</v>
      </c>
      <c r="C92" s="55">
        <f t="shared" si="20"/>
        <v>3306700.7999999998</v>
      </c>
      <c r="D92" s="55">
        <f t="shared" si="20"/>
        <v>31537658.879999999</v>
      </c>
      <c r="E92" s="55">
        <f>SUM(E69:E91)</f>
        <v>57453926.399999991</v>
      </c>
      <c r="F92" s="55">
        <f t="shared" si="20"/>
        <v>44433792</v>
      </c>
      <c r="G92" s="55">
        <f t="shared" si="20"/>
        <v>40300416</v>
      </c>
      <c r="H92" s="55">
        <f t="shared" si="20"/>
        <v>39267072</v>
      </c>
      <c r="I92" s="55">
        <f t="shared" si="20"/>
        <v>29553638.399999999</v>
      </c>
      <c r="J92" s="55">
        <f t="shared" si="20"/>
        <v>10540108.799999999</v>
      </c>
      <c r="K92" s="55">
        <f t="shared" si="20"/>
        <v>0</v>
      </c>
      <c r="L92" s="55">
        <f t="shared" si="20"/>
        <v>0</v>
      </c>
      <c r="M92" s="56">
        <f>SUM(B92:L92)</f>
        <v>269702784</v>
      </c>
    </row>
    <row r="93" spans="1:13" x14ac:dyDescent="0.25">
      <c r="A93" s="29" t="s">
        <v>52</v>
      </c>
      <c r="B93" s="59" t="s">
        <v>63</v>
      </c>
      <c r="C93" s="59" t="s">
        <v>64</v>
      </c>
      <c r="D93" s="80"/>
      <c r="E93" s="4"/>
      <c r="F93" s="4"/>
      <c r="G93" s="4"/>
      <c r="H93" s="4"/>
      <c r="I93" s="4"/>
      <c r="J93" s="4"/>
      <c r="K93" s="4"/>
      <c r="L93" s="4"/>
      <c r="M93" s="4"/>
    </row>
    <row r="94" spans="1:13" x14ac:dyDescent="0.25">
      <c r="A94" s="2" t="s">
        <v>53</v>
      </c>
      <c r="B94" s="27">
        <v>5000</v>
      </c>
      <c r="C94" s="27"/>
      <c r="D94" s="4"/>
      <c r="E94" s="34">
        <f>$M$120*SUM(B94+C94)</f>
        <v>4640000</v>
      </c>
      <c r="F94" s="4"/>
      <c r="G94" s="4"/>
      <c r="H94" s="4"/>
      <c r="I94" s="4"/>
      <c r="J94" s="4"/>
      <c r="K94" s="4"/>
      <c r="L94" s="4"/>
      <c r="M94" s="4"/>
    </row>
    <row r="95" spans="1:13" x14ac:dyDescent="0.25">
      <c r="A95" s="2" t="s">
        <v>54</v>
      </c>
      <c r="B95" s="27">
        <v>70000</v>
      </c>
      <c r="C95" s="27">
        <v>60000</v>
      </c>
      <c r="D95" s="34"/>
      <c r="E95" s="34">
        <f>$M$120*SUM(B95+C95)</f>
        <v>120640000</v>
      </c>
      <c r="F95" s="4"/>
      <c r="G95" s="4"/>
      <c r="H95" s="4"/>
      <c r="I95" s="4"/>
      <c r="J95" s="4"/>
      <c r="K95" s="4"/>
      <c r="L95" s="4"/>
      <c r="M95" s="4"/>
    </row>
    <row r="96" spans="1:13" x14ac:dyDescent="0.25">
      <c r="A96" s="2" t="s">
        <v>46</v>
      </c>
      <c r="B96" s="27">
        <v>70000</v>
      </c>
      <c r="C96" s="27">
        <v>60000</v>
      </c>
      <c r="D96" s="34"/>
      <c r="E96" s="34">
        <f>$M$120*SUM(B96+C96)</f>
        <v>120640000</v>
      </c>
      <c r="F96" s="4"/>
      <c r="G96" s="4"/>
      <c r="H96" s="4"/>
      <c r="I96" s="4"/>
      <c r="J96" s="4"/>
      <c r="K96" s="4"/>
      <c r="L96" s="4"/>
      <c r="M96" s="4"/>
    </row>
    <row r="97" spans="1:13" x14ac:dyDescent="0.25">
      <c r="A97" s="2" t="s">
        <v>55</v>
      </c>
      <c r="B97" s="27">
        <v>105000</v>
      </c>
      <c r="C97" s="27">
        <v>50000</v>
      </c>
      <c r="D97" s="34"/>
      <c r="E97" s="34">
        <f>$M$120*SUM(B97+C97)</f>
        <v>143840000</v>
      </c>
      <c r="F97" s="34"/>
      <c r="G97" s="4"/>
      <c r="H97" s="4"/>
      <c r="I97" s="4"/>
      <c r="J97" s="4"/>
      <c r="K97" s="4"/>
      <c r="L97" s="4"/>
      <c r="M97" s="4"/>
    </row>
    <row r="98" spans="1:13" ht="15.75" thickBot="1" x14ac:dyDescent="0.3">
      <c r="A98" s="16" t="s">
        <v>56</v>
      </c>
      <c r="B98" s="73">
        <v>100000</v>
      </c>
      <c r="C98" s="73">
        <v>80000</v>
      </c>
      <c r="D98" s="34"/>
      <c r="E98" s="34">
        <f>$M$120*SUM(B98+C98)</f>
        <v>167040000</v>
      </c>
      <c r="F98" s="4"/>
      <c r="G98" s="4"/>
      <c r="H98" s="4"/>
      <c r="I98" s="4"/>
      <c r="J98" s="4"/>
      <c r="K98" s="4"/>
      <c r="L98" s="4"/>
      <c r="M98" s="4"/>
    </row>
    <row r="99" spans="1:13" x14ac:dyDescent="0.25">
      <c r="A99" s="23" t="s">
        <v>57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1"/>
    </row>
    <row r="100" spans="1:13" x14ac:dyDescent="0.25">
      <c r="A100" s="2" t="s">
        <v>53</v>
      </c>
      <c r="B100" s="25"/>
      <c r="C100" s="25">
        <f>$B$94*(E121+D121+F121)</f>
        <v>4640000</v>
      </c>
      <c r="D100" s="25"/>
      <c r="E100" s="25"/>
      <c r="F100" s="25"/>
      <c r="G100" s="25"/>
      <c r="H100" s="25"/>
      <c r="I100" s="25"/>
      <c r="J100" s="25"/>
      <c r="K100" s="25"/>
      <c r="L100" s="25"/>
      <c r="M100" s="27">
        <f>SUM(B100:L100)</f>
        <v>4640000</v>
      </c>
    </row>
    <row r="101" spans="1:13" x14ac:dyDescent="0.25">
      <c r="A101" s="2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7"/>
    </row>
    <row r="102" spans="1:13" x14ac:dyDescent="0.25">
      <c r="A102" s="2" t="s">
        <v>54</v>
      </c>
      <c r="B102" s="25"/>
      <c r="C102" s="25"/>
      <c r="D102" s="25">
        <f>(($B$95+$C$95)*$D$121)/3</f>
        <v>5546666.666666667</v>
      </c>
      <c r="E102" s="25">
        <f>(($B$95+$C$95)*$D$121)/3</f>
        <v>5546666.666666667</v>
      </c>
      <c r="F102" s="25">
        <f>(($B$95+$C$95)*$D$121)/3</f>
        <v>5546666.666666667</v>
      </c>
      <c r="G102" s="25"/>
      <c r="H102" s="25"/>
      <c r="I102" s="25"/>
      <c r="J102" s="25"/>
      <c r="K102" s="25"/>
      <c r="L102" s="25"/>
      <c r="M102" s="27">
        <f>SUM(B102:L102)</f>
        <v>16640000</v>
      </c>
    </row>
    <row r="103" spans="1:13" x14ac:dyDescent="0.25">
      <c r="A103" s="2" t="s">
        <v>54</v>
      </c>
      <c r="B103" s="25"/>
      <c r="C103" s="25"/>
      <c r="D103" s="25">
        <f>(($B$95+$C$95)*$E$121)/3</f>
        <v>11093333.333333334</v>
      </c>
      <c r="E103" s="25">
        <f>(($B$95+$C$95)*$E$121)/3</f>
        <v>11093333.333333334</v>
      </c>
      <c r="F103" s="25">
        <f>(($B$95+$C$95)*$E$121)/3</f>
        <v>11093333.333333334</v>
      </c>
      <c r="G103" s="25"/>
      <c r="H103" s="25"/>
      <c r="I103" s="25"/>
      <c r="J103" s="25"/>
      <c r="K103" s="25"/>
      <c r="L103" s="25"/>
      <c r="M103" s="27">
        <f>SUM(B103:L103)</f>
        <v>33280000</v>
      </c>
    </row>
    <row r="104" spans="1:13" x14ac:dyDescent="0.25">
      <c r="A104" s="2" t="s">
        <v>54</v>
      </c>
      <c r="B104" s="25"/>
      <c r="C104" s="25"/>
      <c r="D104" s="25"/>
      <c r="E104" s="25">
        <f>(($B$95+$C$95)*$F$121)/4</f>
        <v>17680000</v>
      </c>
      <c r="F104" s="25">
        <f>(($B$95+$C$95)*$F$121)/4</f>
        <v>17680000</v>
      </c>
      <c r="G104" s="25">
        <f>(($B$95+$C$95)*$F$121)/4</f>
        <v>17680000</v>
      </c>
      <c r="H104" s="25">
        <f>(($B$95+$C$95)*$F$121)/4</f>
        <v>17680000</v>
      </c>
      <c r="I104" s="25"/>
      <c r="J104" s="25"/>
      <c r="K104" s="25"/>
      <c r="L104" s="25"/>
      <c r="M104" s="27">
        <f>SUM(B104:L104)</f>
        <v>70720000</v>
      </c>
    </row>
    <row r="105" spans="1:13" x14ac:dyDescent="0.25">
      <c r="A105" s="2" t="s">
        <v>54</v>
      </c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7">
        <f>SUM(B105:L105)</f>
        <v>0</v>
      </c>
    </row>
    <row r="106" spans="1:13" x14ac:dyDescent="0.25">
      <c r="A106" s="2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7"/>
    </row>
    <row r="107" spans="1:13" x14ac:dyDescent="0.25">
      <c r="A107" s="2" t="s">
        <v>46</v>
      </c>
      <c r="B107" s="25"/>
      <c r="C107" s="25"/>
      <c r="D107" s="25"/>
      <c r="E107" s="25">
        <f>(($B$96+$C$96)*$D$121)/4</f>
        <v>4160000</v>
      </c>
      <c r="F107" s="25">
        <f>(($B$96+$C$96)*$D$121)/4</f>
        <v>4160000</v>
      </c>
      <c r="G107" s="25">
        <f>(($B$96+$C$96)*$D$121)/4</f>
        <v>4160000</v>
      </c>
      <c r="H107" s="25">
        <f>(($B$96+$C$96)*$D$121)/4</f>
        <v>4160000</v>
      </c>
      <c r="I107" s="25"/>
      <c r="J107" s="25"/>
      <c r="K107" s="25"/>
      <c r="L107" s="25"/>
      <c r="M107" s="27">
        <f>SUM(B107:L107)</f>
        <v>16640000</v>
      </c>
    </row>
    <row r="108" spans="1:13" x14ac:dyDescent="0.25">
      <c r="A108" s="2" t="s">
        <v>46</v>
      </c>
      <c r="B108" s="25"/>
      <c r="C108" s="25"/>
      <c r="D108" s="25"/>
      <c r="E108" s="25"/>
      <c r="F108" s="25">
        <f>(($B$96+$C$96)*$E$121)/4</f>
        <v>8320000</v>
      </c>
      <c r="G108" s="25">
        <f>(($B$96+$C$96)*$E$121)/4</f>
        <v>8320000</v>
      </c>
      <c r="H108" s="25">
        <f>(($B$96+$C$96)*$E$121)/4</f>
        <v>8320000</v>
      </c>
      <c r="I108" s="25">
        <f>(($B$96+$C$96)*$E$121)/4</f>
        <v>8320000</v>
      </c>
      <c r="J108" s="25"/>
      <c r="K108" s="25"/>
      <c r="L108" s="25"/>
      <c r="M108" s="27">
        <f>SUM(B108:L108)</f>
        <v>33280000</v>
      </c>
    </row>
    <row r="109" spans="1:13" x14ac:dyDescent="0.25">
      <c r="A109" s="2" t="s">
        <v>46</v>
      </c>
      <c r="B109" s="25"/>
      <c r="C109" s="25"/>
      <c r="D109" s="25"/>
      <c r="E109" s="25"/>
      <c r="F109" s="25">
        <f>(($B$96+$C$96)*$F$121)/5</f>
        <v>14144000</v>
      </c>
      <c r="G109" s="25">
        <f>(($B$96+$C$96)*$F$121)/5</f>
        <v>14144000</v>
      </c>
      <c r="H109" s="25">
        <f>(($B$96+$C$96)*$F$121)/5</f>
        <v>14144000</v>
      </c>
      <c r="I109" s="25">
        <f>(($B$96+$C$96)*$F$121)/5</f>
        <v>14144000</v>
      </c>
      <c r="J109" s="25">
        <f>(($B$96+$C$96)*$F$121)/5</f>
        <v>14144000</v>
      </c>
      <c r="K109" s="25"/>
      <c r="L109" s="25"/>
      <c r="M109" s="27">
        <f>SUM(B109:L109)</f>
        <v>70720000</v>
      </c>
    </row>
    <row r="110" spans="1:13" x14ac:dyDescent="0.25">
      <c r="A110" s="2" t="s">
        <v>46</v>
      </c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7">
        <f>SUM(B110:L110)</f>
        <v>0</v>
      </c>
    </row>
    <row r="111" spans="1:13" x14ac:dyDescent="0.25">
      <c r="A111" s="2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7"/>
    </row>
    <row r="112" spans="1:13" x14ac:dyDescent="0.25">
      <c r="A112" s="2" t="s">
        <v>55</v>
      </c>
      <c r="B112" s="36"/>
      <c r="C112" s="36"/>
      <c r="D112" s="36"/>
      <c r="E112" s="25">
        <f>(($B$97+$C$97)*$D$121)/5</f>
        <v>3968000</v>
      </c>
      <c r="F112" s="25">
        <f>(($B$97+$C$97)*$D$121)/5</f>
        <v>3968000</v>
      </c>
      <c r="G112" s="25">
        <f>(($B$97+$C$97)*$D$121)/5</f>
        <v>3968000</v>
      </c>
      <c r="H112" s="25">
        <f>(($B$97+$C$97)*$D$121)/5</f>
        <v>3968000</v>
      </c>
      <c r="I112" s="25">
        <f>(($B$97+$C$97)*$D$121)/5</f>
        <v>3968000</v>
      </c>
      <c r="J112" s="25"/>
      <c r="K112" s="25"/>
      <c r="L112" s="25"/>
      <c r="M112" s="27">
        <f>SUM(B112:L112)</f>
        <v>19840000</v>
      </c>
    </row>
    <row r="113" spans="1:13" x14ac:dyDescent="0.25">
      <c r="A113" s="2" t="s">
        <v>55</v>
      </c>
      <c r="B113" s="36"/>
      <c r="C113" s="36"/>
      <c r="D113" s="36"/>
      <c r="E113" s="36"/>
      <c r="F113" s="25">
        <f>(($B$97+$C$97)*$E$121)/5</f>
        <v>7936000</v>
      </c>
      <c r="G113" s="25">
        <f>(($B$97+$C$97)*$E$121)/5</f>
        <v>7936000</v>
      </c>
      <c r="H113" s="25">
        <f>(($B$97+$C$97)*$E$121)/5</f>
        <v>7936000</v>
      </c>
      <c r="I113" s="25">
        <f>(($B$97+$C$97)*$E$121)/5</f>
        <v>7936000</v>
      </c>
      <c r="J113" s="25">
        <f>(($B$97+$C$97)*$E$121)/5</f>
        <v>7936000</v>
      </c>
      <c r="K113" s="25"/>
      <c r="L113" s="25"/>
      <c r="M113" s="27">
        <f>SUM(B113:L113)</f>
        <v>39680000</v>
      </c>
    </row>
    <row r="114" spans="1:13" x14ac:dyDescent="0.25">
      <c r="A114" s="2" t="s">
        <v>55</v>
      </c>
      <c r="B114" s="36"/>
      <c r="C114" s="36"/>
      <c r="D114" s="36"/>
      <c r="E114" s="36"/>
      <c r="F114" s="25">
        <f>(($B$97+$C$97)*$F$121)/5</f>
        <v>16864000</v>
      </c>
      <c r="G114" s="25">
        <f>(($B$97+$C$97)*$F$121)/5</f>
        <v>16864000</v>
      </c>
      <c r="H114" s="25">
        <f>(($B$97+$C$97)*$F$121)/5</f>
        <v>16864000</v>
      </c>
      <c r="I114" s="25">
        <f>(($B$97+$C$97)*$F$121)/5</f>
        <v>16864000</v>
      </c>
      <c r="J114" s="25">
        <f>(($B$97+$C$97)*$F$121)/5</f>
        <v>16864000</v>
      </c>
      <c r="K114" s="25"/>
      <c r="L114" s="25"/>
      <c r="M114" s="27">
        <f>SUM(B114:L114)</f>
        <v>84320000</v>
      </c>
    </row>
    <row r="115" spans="1:13" x14ac:dyDescent="0.25">
      <c r="A115" s="2" t="s">
        <v>55</v>
      </c>
      <c r="B115" s="36"/>
      <c r="C115" s="36"/>
      <c r="D115" s="36"/>
      <c r="E115" s="36"/>
      <c r="F115" s="36"/>
      <c r="G115" s="36"/>
      <c r="H115" s="36"/>
      <c r="I115" s="25"/>
      <c r="J115" s="25"/>
      <c r="K115" s="25"/>
      <c r="L115" s="25"/>
      <c r="M115" s="27">
        <f>SUM(B115:L115)</f>
        <v>0</v>
      </c>
    </row>
    <row r="116" spans="1:13" x14ac:dyDescent="0.25">
      <c r="A116" s="2"/>
      <c r="B116" s="36"/>
      <c r="C116" s="36"/>
      <c r="D116" s="36"/>
      <c r="E116" s="36"/>
      <c r="F116" s="36"/>
      <c r="G116" s="36"/>
      <c r="H116" s="36"/>
      <c r="I116" s="36"/>
      <c r="J116" s="25"/>
      <c r="K116" s="25"/>
      <c r="L116" s="25"/>
      <c r="M116" s="27"/>
    </row>
    <row r="117" spans="1:13" ht="15.75" thickBot="1" x14ac:dyDescent="0.3">
      <c r="A117" s="30" t="s">
        <v>56</v>
      </c>
      <c r="B117" s="36"/>
      <c r="C117" s="36"/>
      <c r="D117" s="36"/>
      <c r="E117" s="36"/>
      <c r="F117" s="36"/>
      <c r="G117" s="36"/>
      <c r="H117" s="25">
        <f>(($B$98+$C$98)*($D$121+$E$121+$F$121))/5</f>
        <v>33408000</v>
      </c>
      <c r="I117" s="25">
        <f>(($B$98+$C$98)*($D$121+$E$121+$F$121))/5</f>
        <v>33408000</v>
      </c>
      <c r="J117" s="25">
        <f>(($B$98+$C$98)*($D$121+$E$121+$F$121))/5</f>
        <v>33408000</v>
      </c>
      <c r="K117" s="25">
        <f>(($B$98+$C$98)*($D$121+$E$121+$F$121))/5</f>
        <v>33408000</v>
      </c>
      <c r="L117" s="25">
        <f>(($B$98+$C$98)*($D$121+$E$121+$F$121))/5</f>
        <v>33408000</v>
      </c>
      <c r="M117" s="53">
        <f>SUM(B117:L117)</f>
        <v>167040000</v>
      </c>
    </row>
    <row r="118" spans="1:13" ht="15.75" thickBot="1" x14ac:dyDescent="0.3">
      <c r="A118" s="54" t="s">
        <v>58</v>
      </c>
      <c r="B118" s="55">
        <f t="shared" ref="B118:M118" si="21">SUM(B100:B117)</f>
        <v>0</v>
      </c>
      <c r="C118" s="55">
        <f>SUM(C100:C117)</f>
        <v>4640000</v>
      </c>
      <c r="D118" s="55">
        <f t="shared" ref="D118:L118" si="22">SUM(D100:D117)</f>
        <v>16640000</v>
      </c>
      <c r="E118" s="55">
        <f t="shared" si="22"/>
        <v>42448000</v>
      </c>
      <c r="F118" s="55">
        <f t="shared" si="22"/>
        <v>89712000</v>
      </c>
      <c r="G118" s="55">
        <f t="shared" si="22"/>
        <v>73072000</v>
      </c>
      <c r="H118" s="55">
        <f t="shared" si="22"/>
        <v>106480000</v>
      </c>
      <c r="I118" s="55">
        <f t="shared" si="22"/>
        <v>84640000</v>
      </c>
      <c r="J118" s="55">
        <f t="shared" si="22"/>
        <v>72352000</v>
      </c>
      <c r="K118" s="55">
        <f t="shared" si="22"/>
        <v>33408000</v>
      </c>
      <c r="L118" s="55">
        <f t="shared" si="22"/>
        <v>33408000</v>
      </c>
      <c r="M118" s="56">
        <f t="shared" si="21"/>
        <v>556800000</v>
      </c>
    </row>
    <row r="119" spans="1:13" ht="15.75" thickBot="1" x14ac:dyDescent="0.3">
      <c r="A119" s="54" t="s">
        <v>43</v>
      </c>
      <c r="B119" s="6" t="str">
        <f t="shared" ref="B119:M119" si="23">B30</f>
        <v>As on Date</v>
      </c>
      <c r="C119" s="6" t="str">
        <f t="shared" si="23"/>
        <v>3rd Qt</v>
      </c>
      <c r="D119" s="6" t="str">
        <f t="shared" si="23"/>
        <v>4th Qt</v>
      </c>
      <c r="E119" s="6" t="str">
        <f t="shared" si="23"/>
        <v>1st Qtr</v>
      </c>
      <c r="F119" s="6" t="str">
        <f t="shared" si="23"/>
        <v>2nd Qt</v>
      </c>
      <c r="G119" s="6" t="str">
        <f t="shared" si="23"/>
        <v>3rd Qt</v>
      </c>
      <c r="H119" s="6" t="str">
        <f t="shared" si="23"/>
        <v>4th Qtr</v>
      </c>
      <c r="I119" s="6" t="str">
        <f t="shared" si="23"/>
        <v>1st Qtr</v>
      </c>
      <c r="J119" s="6" t="str">
        <f t="shared" si="23"/>
        <v>2nd Qt</v>
      </c>
      <c r="K119" s="6" t="str">
        <f t="shared" si="23"/>
        <v>3rd Qt</v>
      </c>
      <c r="L119" s="6" t="str">
        <f t="shared" si="23"/>
        <v>4th Qtr</v>
      </c>
      <c r="M119" s="7" t="str">
        <f t="shared" si="23"/>
        <v>TOTAL</v>
      </c>
    </row>
    <row r="120" spans="1:13" x14ac:dyDescent="0.25">
      <c r="A120" s="2" t="s">
        <v>79</v>
      </c>
      <c r="B120" s="14"/>
      <c r="C120" s="14"/>
      <c r="D120" s="14">
        <v>128</v>
      </c>
      <c r="E120" s="14">
        <v>256</v>
      </c>
      <c r="F120" s="86">
        <f>C6-D120-E120</f>
        <v>544</v>
      </c>
      <c r="G120" s="14"/>
      <c r="H120" s="14"/>
      <c r="I120" s="14"/>
      <c r="J120" s="14"/>
      <c r="K120" s="14"/>
      <c r="L120" s="14"/>
      <c r="M120" s="26">
        <f>SUM(B120:L120)</f>
        <v>928</v>
      </c>
    </row>
    <row r="121" spans="1:13" ht="15.75" thickBot="1" x14ac:dyDescent="0.3">
      <c r="A121" s="57" t="s">
        <v>0</v>
      </c>
      <c r="B121" s="74">
        <f t="shared" ref="B121:M121" si="24">SUM(B120:B120)</f>
        <v>0</v>
      </c>
      <c r="C121" s="74">
        <f t="shared" si="24"/>
        <v>0</v>
      </c>
      <c r="D121" s="74">
        <f t="shared" si="24"/>
        <v>128</v>
      </c>
      <c r="E121" s="74">
        <f t="shared" si="24"/>
        <v>256</v>
      </c>
      <c r="F121" s="74">
        <f t="shared" si="24"/>
        <v>544</v>
      </c>
      <c r="G121" s="74">
        <f t="shared" si="24"/>
        <v>0</v>
      </c>
      <c r="H121" s="74">
        <f t="shared" si="24"/>
        <v>0</v>
      </c>
      <c r="I121" s="74">
        <f t="shared" si="24"/>
        <v>0</v>
      </c>
      <c r="J121" s="74">
        <f t="shared" si="24"/>
        <v>0</v>
      </c>
      <c r="K121" s="74">
        <f t="shared" si="24"/>
        <v>0</v>
      </c>
      <c r="L121" s="74">
        <f t="shared" si="24"/>
        <v>0</v>
      </c>
      <c r="M121" s="75">
        <f t="shared" si="24"/>
        <v>928</v>
      </c>
    </row>
  </sheetData>
  <mergeCells count="6">
    <mergeCell ref="A1:E1"/>
    <mergeCell ref="G7:J7"/>
    <mergeCell ref="G16:J16"/>
    <mergeCell ref="B29:D29"/>
    <mergeCell ref="E29:H29"/>
    <mergeCell ref="I29:L29"/>
  </mergeCells>
  <printOptions horizontalCentered="1"/>
  <pageMargins left="0.70866141732283472" right="0.70866141732283472" top="0.35433070866141736" bottom="0.35433070866141736" header="0.31496062992125984" footer="0.31496062992125984"/>
  <pageSetup paperSize="9" scale="66" fitToHeight="0" orientation="landscape" horizontalDpi="300" verticalDpi="300" r:id="rId1"/>
  <rowBreaks count="2" manualBreakCount="2">
    <brk id="38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abSelected="1" workbookViewId="0">
      <selection activeCell="C2" sqref="C2"/>
    </sheetView>
  </sheetViews>
  <sheetFormatPr defaultRowHeight="16.5" x14ac:dyDescent="0.3"/>
  <cols>
    <col min="1" max="1" width="9.140625" style="91"/>
    <col min="2" max="2" width="41.85546875" style="91" bestFit="1" customWidth="1"/>
    <col min="3" max="3" width="16.5703125" style="91" bestFit="1" customWidth="1"/>
    <col min="4" max="16384" width="9.140625" style="91"/>
  </cols>
  <sheetData>
    <row r="1" spans="1:4" x14ac:dyDescent="0.3">
      <c r="A1" s="90" t="s">
        <v>83</v>
      </c>
      <c r="B1" s="90" t="s">
        <v>84</v>
      </c>
      <c r="C1" s="90" t="s">
        <v>85</v>
      </c>
      <c r="D1" s="90" t="s">
        <v>86</v>
      </c>
    </row>
    <row r="2" spans="1:4" x14ac:dyDescent="0.3">
      <c r="A2" s="92"/>
      <c r="B2" s="90" t="s">
        <v>87</v>
      </c>
      <c r="C2" s="92"/>
      <c r="D2" s="92"/>
    </row>
    <row r="3" spans="1:4" x14ac:dyDescent="0.3">
      <c r="A3" s="92">
        <f>1</f>
        <v>1</v>
      </c>
      <c r="B3" s="92" t="s">
        <v>69</v>
      </c>
      <c r="C3" s="93">
        <f>'CASH FLOW'!C17</f>
        <v>77500000</v>
      </c>
      <c r="D3" s="94">
        <f>C3/C8*100</f>
        <v>17.446004683038918</v>
      </c>
    </row>
    <row r="4" spans="1:4" x14ac:dyDescent="0.3">
      <c r="A4" s="92">
        <f>A3+1</f>
        <v>2</v>
      </c>
      <c r="B4" s="92" t="s">
        <v>5</v>
      </c>
      <c r="C4" s="93">
        <f>'CASH FLOW'!C18</f>
        <v>269702783.99999994</v>
      </c>
      <c r="D4" s="94">
        <f>C4/C8*100</f>
        <v>60.712723002485582</v>
      </c>
    </row>
    <row r="5" spans="1:4" x14ac:dyDescent="0.3">
      <c r="A5" s="92">
        <f t="shared" ref="A5:A7" si="0">A4+1</f>
        <v>3</v>
      </c>
      <c r="B5" s="92" t="s">
        <v>18</v>
      </c>
      <c r="C5" s="93">
        <f>'CASH FLOW'!C19</f>
        <v>30000000</v>
      </c>
      <c r="D5" s="94">
        <f>C5/C8*100</f>
        <v>6.7532921353699038</v>
      </c>
    </row>
    <row r="6" spans="1:4" x14ac:dyDescent="0.3">
      <c r="A6" s="92">
        <f t="shared" si="0"/>
        <v>4</v>
      </c>
      <c r="B6" s="92" t="s">
        <v>65</v>
      </c>
      <c r="C6" s="93">
        <f>'CASH FLOW'!C20</f>
        <v>46400000</v>
      </c>
      <c r="D6" s="94">
        <f>C6/C8*100</f>
        <v>10.445091836038785</v>
      </c>
    </row>
    <row r="7" spans="1:4" x14ac:dyDescent="0.3">
      <c r="A7" s="92">
        <f t="shared" si="0"/>
        <v>5</v>
      </c>
      <c r="B7" s="92" t="s">
        <v>71</v>
      </c>
      <c r="C7" s="93">
        <f>'CASH FLOW'!C21</f>
        <v>20625000</v>
      </c>
      <c r="D7" s="94">
        <f>C7/C8*100</f>
        <v>4.6428883430668089</v>
      </c>
    </row>
    <row r="8" spans="1:4" x14ac:dyDescent="0.3">
      <c r="A8" s="92"/>
      <c r="B8" s="90" t="s">
        <v>0</v>
      </c>
      <c r="C8" s="95">
        <f>SUM(C3:C7)</f>
        <v>444227783.99999994</v>
      </c>
      <c r="D8" s="96">
        <f>SUM(D3:D7)</f>
        <v>100</v>
      </c>
    </row>
    <row r="9" spans="1:4" x14ac:dyDescent="0.3">
      <c r="A9" s="92"/>
      <c r="B9" s="90" t="s">
        <v>88</v>
      </c>
      <c r="C9" s="93"/>
      <c r="D9" s="94"/>
    </row>
    <row r="10" spans="1:4" x14ac:dyDescent="0.3">
      <c r="A10" s="92">
        <f>1</f>
        <v>1</v>
      </c>
      <c r="B10" s="92" t="s">
        <v>28</v>
      </c>
      <c r="C10" s="93">
        <f>'CASH FLOW'!B32+'CASH FLOW'!B35</f>
        <v>860140</v>
      </c>
      <c r="D10" s="94">
        <f>C10/C14*100</f>
        <v>0.19362588991056898</v>
      </c>
    </row>
    <row r="11" spans="1:4" x14ac:dyDescent="0.3">
      <c r="A11" s="92">
        <f>A10+1</f>
        <v>2</v>
      </c>
      <c r="B11" s="92" t="s">
        <v>70</v>
      </c>
      <c r="C11" s="93">
        <f>'CASH FLOW'!B33</f>
        <v>54000000</v>
      </c>
      <c r="D11" s="94">
        <f>C11/C14*100</f>
        <v>12.155925843665827</v>
      </c>
    </row>
    <row r="12" spans="1:4" x14ac:dyDescent="0.3">
      <c r="A12" s="92">
        <f t="shared" ref="A12:A13" si="1">A11+1</f>
        <v>3</v>
      </c>
      <c r="B12" s="92" t="s">
        <v>29</v>
      </c>
      <c r="C12" s="93">
        <f>'[1]CF Shimla'!C34+'[1]CF Shimla'!D34+'[1]CF Shimla'!E34</f>
        <v>130000000</v>
      </c>
      <c r="D12" s="94">
        <f>C12/C14*100</f>
        <v>29.26426591993625</v>
      </c>
    </row>
    <row r="13" spans="1:4" x14ac:dyDescent="0.3">
      <c r="A13" s="92">
        <f t="shared" si="1"/>
        <v>4</v>
      </c>
      <c r="B13" s="92" t="s">
        <v>41</v>
      </c>
      <c r="C13" s="93">
        <f>C14-C10-C11-C12</f>
        <v>259367643.99999994</v>
      </c>
      <c r="D13" s="94">
        <f>C13/C14*100</f>
        <v>58.386182346487359</v>
      </c>
    </row>
    <row r="14" spans="1:4" x14ac:dyDescent="0.3">
      <c r="A14" s="92"/>
      <c r="B14" s="90" t="s">
        <v>0</v>
      </c>
      <c r="C14" s="95">
        <f>C8</f>
        <v>444227783.99999994</v>
      </c>
      <c r="D14" s="96">
        <f>SUM(D10:D13)</f>
        <v>100</v>
      </c>
    </row>
    <row r="15" spans="1:4" x14ac:dyDescent="0.3">
      <c r="C15" s="97"/>
    </row>
    <row r="16" spans="1:4" x14ac:dyDescent="0.3">
      <c r="C16" s="97"/>
    </row>
    <row r="17" spans="3:3" x14ac:dyDescent="0.3">
      <c r="C17" s="97"/>
    </row>
    <row r="18" spans="3:3" x14ac:dyDescent="0.3">
      <c r="C18" s="97"/>
    </row>
    <row r="19" spans="3:3" x14ac:dyDescent="0.3">
      <c r="C19" s="97"/>
    </row>
    <row r="20" spans="3:3" x14ac:dyDescent="0.3">
      <c r="C20" s="97"/>
    </row>
    <row r="21" spans="3:3" x14ac:dyDescent="0.3">
      <c r="C21" s="97"/>
    </row>
    <row r="22" spans="3:3" x14ac:dyDescent="0.3">
      <c r="C22" s="97"/>
    </row>
    <row r="23" spans="3:3" x14ac:dyDescent="0.3">
      <c r="C23" s="97"/>
    </row>
    <row r="24" spans="3:3" x14ac:dyDescent="0.3">
      <c r="C24" s="97"/>
    </row>
    <row r="25" spans="3:3" x14ac:dyDescent="0.3">
      <c r="C25" s="97"/>
    </row>
    <row r="26" spans="3:3" x14ac:dyDescent="0.3">
      <c r="C26" s="9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CASH FLOW</vt:lpstr>
      <vt:lpstr>COP MOF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mohd shahid</cp:lastModifiedBy>
  <cp:lastPrinted>2023-01-17T07:06:16Z</cp:lastPrinted>
  <dcterms:created xsi:type="dcterms:W3CDTF">2021-03-09T23:59:53Z</dcterms:created>
  <dcterms:modified xsi:type="dcterms:W3CDTF">2023-02-01T11:44:55Z</dcterms:modified>
</cp:coreProperties>
</file>