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Bank Documents\"/>
    </mc:Choice>
  </mc:AlternateContent>
  <bookViews>
    <workbookView xWindow="0" yWindow="0" windowWidth="20490" windowHeight="7755" tabRatio="756"/>
  </bookViews>
  <sheets>
    <sheet name="CF Kanakpur" sheetId="13" r:id="rId1"/>
    <sheet name="COP MOF" sheetId="14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4" l="1"/>
  <c r="B57" i="13" l="1"/>
  <c r="L38" i="13" l="1"/>
  <c r="B106" i="13"/>
  <c r="C75" i="13"/>
  <c r="B74" i="13"/>
  <c r="D44" i="13"/>
  <c r="L48" i="13"/>
  <c r="A13" i="14" l="1"/>
  <c r="A14" i="14" s="1"/>
  <c r="A12" i="14"/>
  <c r="A11" i="14"/>
  <c r="C13" i="14"/>
  <c r="C12" i="14"/>
  <c r="C11" i="14"/>
  <c r="A3" i="14"/>
  <c r="A4" i="14" s="1"/>
  <c r="A5" i="14" s="1"/>
  <c r="A6" i="14" s="1"/>
  <c r="A7" i="14" s="1"/>
  <c r="A8" i="14" s="1"/>
  <c r="L62" i="13" l="1"/>
  <c r="L36" i="13"/>
  <c r="L37" i="13"/>
  <c r="I39" i="13"/>
  <c r="I61" i="13"/>
  <c r="J61" i="13" s="1"/>
  <c r="M72" i="13" l="1"/>
  <c r="L72" i="13"/>
  <c r="K72" i="13"/>
  <c r="J72" i="13"/>
  <c r="I72" i="13"/>
  <c r="H72" i="13"/>
  <c r="G72" i="13"/>
  <c r="F72" i="13"/>
  <c r="E72" i="13"/>
  <c r="D72" i="13"/>
  <c r="C72" i="13"/>
  <c r="B72" i="13"/>
  <c r="M125" i="13"/>
  <c r="L125" i="13"/>
  <c r="K125" i="13"/>
  <c r="J125" i="13"/>
  <c r="I125" i="13"/>
  <c r="H125" i="13"/>
  <c r="G125" i="13"/>
  <c r="F125" i="13"/>
  <c r="E125" i="13"/>
  <c r="D125" i="13"/>
  <c r="C125" i="13"/>
  <c r="B125" i="13"/>
  <c r="I49" i="13" l="1"/>
  <c r="H49" i="13"/>
  <c r="G49" i="13"/>
  <c r="F49" i="13"/>
  <c r="E49" i="13"/>
  <c r="D49" i="13"/>
  <c r="C49" i="13"/>
  <c r="B49" i="13"/>
  <c r="B71" i="13"/>
  <c r="B30" i="13"/>
  <c r="C22" i="13"/>
  <c r="K61" i="13"/>
  <c r="C23" i="13"/>
  <c r="D127" i="13"/>
  <c r="C127" i="13"/>
  <c r="C10" i="13"/>
  <c r="B47" i="13" l="1"/>
  <c r="J47" i="13"/>
  <c r="C47" i="13"/>
  <c r="G47" i="13"/>
  <c r="K47" i="13"/>
  <c r="E47" i="13"/>
  <c r="I47" i="13"/>
  <c r="F47" i="13"/>
  <c r="D47" i="13"/>
  <c r="H47" i="13"/>
  <c r="C5" i="13" l="1"/>
  <c r="C21" i="13" s="1"/>
  <c r="C4" i="13"/>
  <c r="C19" i="13"/>
  <c r="C20" i="13"/>
  <c r="B60" i="13" l="1"/>
  <c r="D60" i="13" s="1"/>
  <c r="E60" i="13" s="1"/>
  <c r="F60" i="13" s="1"/>
  <c r="D26" i="13"/>
  <c r="L47" i="13" l="1"/>
  <c r="M62" i="13"/>
  <c r="M61" i="13"/>
  <c r="M60" i="13" l="1"/>
  <c r="M37" i="13" l="1"/>
  <c r="J44" i="13" l="1"/>
  <c r="B65" i="13"/>
  <c r="L129" i="13"/>
  <c r="K129" i="13"/>
  <c r="L66" i="13" s="1"/>
  <c r="J129" i="13"/>
  <c r="I129" i="13"/>
  <c r="J66" i="13" s="1"/>
  <c r="H129" i="13"/>
  <c r="G129" i="13"/>
  <c r="F129" i="13"/>
  <c r="B129" i="13"/>
  <c r="C71" i="13"/>
  <c r="C70" i="13"/>
  <c r="D70" i="13" s="1"/>
  <c r="C69" i="13"/>
  <c r="D69" i="13" s="1"/>
  <c r="L39" i="13"/>
  <c r="K39" i="13"/>
  <c r="J39" i="13"/>
  <c r="M36" i="13"/>
  <c r="K49" i="13" l="1"/>
  <c r="L49" i="13"/>
  <c r="J49" i="13"/>
  <c r="C66" i="13"/>
  <c r="C67" i="13" s="1"/>
  <c r="B73" i="13" s="1"/>
  <c r="M73" i="13" s="1"/>
  <c r="E129" i="13"/>
  <c r="F66" i="13" s="1"/>
  <c r="F67" i="13" s="1"/>
  <c r="M127" i="13"/>
  <c r="H44" i="13"/>
  <c r="L44" i="13"/>
  <c r="G66" i="13"/>
  <c r="G67" i="13" s="1"/>
  <c r="J46" i="13"/>
  <c r="K66" i="13"/>
  <c r="K67" i="13" s="1"/>
  <c r="M114" i="13"/>
  <c r="H66" i="13"/>
  <c r="H67" i="13" s="1"/>
  <c r="F46" i="13"/>
  <c r="F44" i="13"/>
  <c r="L67" i="13"/>
  <c r="J67" i="13"/>
  <c r="M39" i="13"/>
  <c r="G44" i="13"/>
  <c r="K44" i="13"/>
  <c r="C46" i="13"/>
  <c r="G46" i="13"/>
  <c r="K46" i="13"/>
  <c r="D46" i="13"/>
  <c r="H46" i="13"/>
  <c r="L46" i="13"/>
  <c r="I66" i="13"/>
  <c r="I67" i="13" s="1"/>
  <c r="E44" i="13"/>
  <c r="I44" i="13"/>
  <c r="E46" i="13"/>
  <c r="I46" i="13"/>
  <c r="D71" i="13"/>
  <c r="D129" i="13"/>
  <c r="F107" i="13" l="1"/>
  <c r="D107" i="13"/>
  <c r="E107" i="13"/>
  <c r="I117" i="13"/>
  <c r="J117" i="13"/>
  <c r="L117" i="13"/>
  <c r="H117" i="13"/>
  <c r="K117" i="13"/>
  <c r="G117" i="13"/>
  <c r="H109" i="13"/>
  <c r="M119" i="13"/>
  <c r="J112" i="13"/>
  <c r="G109" i="13"/>
  <c r="I112" i="13"/>
  <c r="H112" i="13"/>
  <c r="G112" i="13"/>
  <c r="M49" i="13"/>
  <c r="M113" i="13"/>
  <c r="I87" i="13"/>
  <c r="L87" i="13"/>
  <c r="H79" i="13"/>
  <c r="K87" i="13"/>
  <c r="J87" i="13"/>
  <c r="I84" i="13"/>
  <c r="H84" i="13"/>
  <c r="G84" i="13"/>
  <c r="F84" i="13"/>
  <c r="E76" i="13"/>
  <c r="C129" i="13"/>
  <c r="M129" i="13"/>
  <c r="E81" i="13"/>
  <c r="D81" i="13"/>
  <c r="C81" i="13"/>
  <c r="F81" i="13"/>
  <c r="I86" i="13"/>
  <c r="H86" i="13"/>
  <c r="K86" i="13"/>
  <c r="J86" i="13"/>
  <c r="G78" i="13"/>
  <c r="E66" i="13"/>
  <c r="E67" i="13" s="1"/>
  <c r="I85" i="13"/>
  <c r="H85" i="13"/>
  <c r="F77" i="13"/>
  <c r="G85" i="13"/>
  <c r="J85" i="13"/>
  <c r="M47" i="13"/>
  <c r="C6" i="14" s="1"/>
  <c r="M44" i="13"/>
  <c r="C3" i="14" s="1"/>
  <c r="C106" i="13" l="1"/>
  <c r="E108" i="13"/>
  <c r="F108" i="13"/>
  <c r="G108" i="13"/>
  <c r="B105" i="13"/>
  <c r="B122" i="13" s="1"/>
  <c r="B40" i="13" s="1"/>
  <c r="C24" i="13"/>
  <c r="D25" i="13" s="1"/>
  <c r="E28" i="13" s="1"/>
  <c r="C8" i="14"/>
  <c r="K91" i="13"/>
  <c r="D75" i="13"/>
  <c r="J91" i="13"/>
  <c r="I91" i="13"/>
  <c r="H91" i="13"/>
  <c r="F91" i="13"/>
  <c r="G91" i="13"/>
  <c r="H121" i="13"/>
  <c r="J116" i="13"/>
  <c r="F116" i="13"/>
  <c r="G116" i="13"/>
  <c r="I116" i="13"/>
  <c r="H116" i="13"/>
  <c r="K116" i="13"/>
  <c r="E83" i="13"/>
  <c r="I83" i="13"/>
  <c r="I111" i="13"/>
  <c r="G111" i="13"/>
  <c r="H111" i="13"/>
  <c r="F111" i="13"/>
  <c r="E122" i="13"/>
  <c r="M76" i="13"/>
  <c r="G83" i="13"/>
  <c r="F83" i="13"/>
  <c r="H83" i="13"/>
  <c r="K121" i="13"/>
  <c r="I121" i="13"/>
  <c r="J121" i="13"/>
  <c r="L121" i="13"/>
  <c r="M109" i="13"/>
  <c r="M118" i="13"/>
  <c r="K96" i="13"/>
  <c r="K45" i="13" s="1"/>
  <c r="M85" i="13"/>
  <c r="L96" i="13"/>
  <c r="L45" i="13" s="1"/>
  <c r="M79" i="13"/>
  <c r="M93" i="13"/>
  <c r="M94" i="13"/>
  <c r="M81" i="13"/>
  <c r="M84" i="13"/>
  <c r="M87" i="13"/>
  <c r="M77" i="13"/>
  <c r="M92" i="13"/>
  <c r="M117" i="13"/>
  <c r="M112" i="13"/>
  <c r="M78" i="13"/>
  <c r="M86" i="13"/>
  <c r="M89" i="13"/>
  <c r="D66" i="13"/>
  <c r="B42" i="13" l="1"/>
  <c r="B48" i="13"/>
  <c r="C105" i="13"/>
  <c r="C122" i="13" s="1"/>
  <c r="C40" i="13" s="1"/>
  <c r="C48" i="13" s="1"/>
  <c r="K122" i="13"/>
  <c r="K40" i="13" s="1"/>
  <c r="I122" i="13"/>
  <c r="I40" i="13" s="1"/>
  <c r="I48" i="13" s="1"/>
  <c r="H122" i="13"/>
  <c r="H40" i="13" s="1"/>
  <c r="H48" i="13" s="1"/>
  <c r="F122" i="13"/>
  <c r="F40" i="13" s="1"/>
  <c r="F48" i="13" s="1"/>
  <c r="J122" i="13"/>
  <c r="J40" i="13" s="1"/>
  <c r="G122" i="13"/>
  <c r="G40" i="13" s="1"/>
  <c r="G48" i="13" s="1"/>
  <c r="L122" i="13"/>
  <c r="L40" i="13" s="1"/>
  <c r="D122" i="13"/>
  <c r="D40" i="13" s="1"/>
  <c r="D48" i="13" s="1"/>
  <c r="M106" i="13"/>
  <c r="M108" i="13"/>
  <c r="M121" i="13"/>
  <c r="E40" i="13"/>
  <c r="E48" i="13" s="1"/>
  <c r="M91" i="13"/>
  <c r="M111" i="13"/>
  <c r="M116" i="13"/>
  <c r="M66" i="13"/>
  <c r="D67" i="13"/>
  <c r="M107" i="13"/>
  <c r="M105" i="13" l="1"/>
  <c r="E82" i="13"/>
  <c r="I90" i="13"/>
  <c r="D82" i="13"/>
  <c r="H90" i="13"/>
  <c r="G90" i="13"/>
  <c r="F90" i="13"/>
  <c r="E90" i="13"/>
  <c r="G82" i="13"/>
  <c r="F82" i="13"/>
  <c r="J90" i="13"/>
  <c r="J96" i="13" s="1"/>
  <c r="J45" i="13" s="1"/>
  <c r="B96" i="13"/>
  <c r="B45" i="13" s="1"/>
  <c r="B50" i="13" s="1"/>
  <c r="B54" i="13" s="1"/>
  <c r="I96" i="13"/>
  <c r="I45" i="13" s="1"/>
  <c r="L42" i="13"/>
  <c r="J42" i="13"/>
  <c r="J48" i="13"/>
  <c r="K42" i="13"/>
  <c r="K48" i="13"/>
  <c r="K50" i="13" s="1"/>
  <c r="M41" i="13"/>
  <c r="M83" i="13"/>
  <c r="D42" i="13"/>
  <c r="I42" i="13"/>
  <c r="E42" i="13"/>
  <c r="G42" i="13"/>
  <c r="F42" i="13"/>
  <c r="H42" i="13"/>
  <c r="C42" i="13"/>
  <c r="M40" i="13"/>
  <c r="M75" i="13"/>
  <c r="M67" i="13"/>
  <c r="M122" i="13"/>
  <c r="J50" i="13" l="1"/>
  <c r="B55" i="13"/>
  <c r="C53" i="13" s="1"/>
  <c r="E96" i="13"/>
  <c r="E45" i="13" s="1"/>
  <c r="J54" i="13"/>
  <c r="K54" i="13"/>
  <c r="H96" i="13"/>
  <c r="H45" i="13" s="1"/>
  <c r="H50" i="13" s="1"/>
  <c r="H54" i="13" s="1"/>
  <c r="I50" i="13"/>
  <c r="I54" i="13" s="1"/>
  <c r="G96" i="13"/>
  <c r="G45" i="13" s="1"/>
  <c r="F96" i="13"/>
  <c r="F45" i="13" s="1"/>
  <c r="M82" i="13"/>
  <c r="M88" i="13" s="1"/>
  <c r="D96" i="13"/>
  <c r="D45" i="13" s="1"/>
  <c r="M42" i="13"/>
  <c r="M74" i="13"/>
  <c r="M80" i="13" s="1"/>
  <c r="C96" i="13"/>
  <c r="M90" i="13"/>
  <c r="M95" i="13" s="1"/>
  <c r="L50" i="13" l="1"/>
  <c r="L54" i="13" s="1"/>
  <c r="M48" i="13"/>
  <c r="C7" i="14" s="1"/>
  <c r="G50" i="13"/>
  <c r="G54" i="13" s="1"/>
  <c r="F50" i="13"/>
  <c r="F54" i="13" s="1"/>
  <c r="D50" i="13"/>
  <c r="D54" i="13" s="1"/>
  <c r="E50" i="13"/>
  <c r="E54" i="13" s="1"/>
  <c r="C45" i="13"/>
  <c r="M46" i="13" s="1"/>
  <c r="C5" i="14" s="1"/>
  <c r="M96" i="13"/>
  <c r="C50" i="13" l="1"/>
  <c r="C54" i="13" s="1"/>
  <c r="M45" i="13"/>
  <c r="M50" i="13" l="1"/>
  <c r="C4" i="14"/>
  <c r="C55" i="13"/>
  <c r="D53" i="13" s="1"/>
  <c r="D55" i="13" s="1"/>
  <c r="C9" i="14" l="1"/>
  <c r="E53" i="13"/>
  <c r="E55" i="13" s="1"/>
  <c r="C15" i="14" l="1"/>
  <c r="D6" i="14"/>
  <c r="D3" i="14"/>
  <c r="D8" i="14"/>
  <c r="D5" i="14"/>
  <c r="D7" i="14"/>
  <c r="D4" i="14"/>
  <c r="F53" i="13"/>
  <c r="F55" i="13" s="1"/>
  <c r="D9" i="14" l="1"/>
  <c r="D11" i="14"/>
  <c r="C14" i="14"/>
  <c r="D14" i="14" s="1"/>
  <c r="D12" i="14"/>
  <c r="D13" i="14"/>
  <c r="G53" i="13"/>
  <c r="G55" i="13" s="1"/>
  <c r="D15" i="14" l="1"/>
  <c r="H53" i="13"/>
  <c r="H55" i="13" s="1"/>
  <c r="I53" i="13" l="1"/>
  <c r="I55" i="13" s="1"/>
  <c r="J53" i="13" l="1"/>
  <c r="J55" i="13" s="1"/>
  <c r="K53" i="13" l="1"/>
  <c r="K55" i="13" s="1"/>
  <c r="L53" i="13" l="1"/>
  <c r="L55" i="13" s="1"/>
  <c r="M53" i="13" s="1"/>
</calcChain>
</file>

<file path=xl/sharedStrings.xml><?xml version="1.0" encoding="utf-8"?>
<sst xmlns="http://schemas.openxmlformats.org/spreadsheetml/2006/main" count="160" uniqueCount="90">
  <si>
    <t>Total</t>
  </si>
  <si>
    <t>Sq Mtrs</t>
  </si>
  <si>
    <t>Per Unit</t>
  </si>
  <si>
    <t>Overheads</t>
  </si>
  <si>
    <t>EWS Units</t>
  </si>
  <si>
    <t>Cost of Construction</t>
  </si>
  <si>
    <t>Built Up Area Per Unit</t>
  </si>
  <si>
    <t xml:space="preserve">Land </t>
  </si>
  <si>
    <t>Total No Of Units</t>
  </si>
  <si>
    <t>INR</t>
  </si>
  <si>
    <t>Project Life</t>
  </si>
  <si>
    <t>Months</t>
  </si>
  <si>
    <t>Carpet Area</t>
  </si>
  <si>
    <t>Total Built up Area</t>
  </si>
  <si>
    <t xml:space="preserve">Cost of Construction </t>
  </si>
  <si>
    <t xml:space="preserve">Infrastructure Development </t>
  </si>
  <si>
    <t>Per Acre</t>
  </si>
  <si>
    <t xml:space="preserve">COST OF THE PROJECT </t>
  </si>
  <si>
    <t>Infrastructure Development</t>
  </si>
  <si>
    <t>TOTAL COST</t>
  </si>
  <si>
    <t>REVENUE FROM THE PROJECT</t>
  </si>
  <si>
    <t>SURPLUS</t>
  </si>
  <si>
    <t>Cash Flow</t>
  </si>
  <si>
    <t>1st Qtr</t>
  </si>
  <si>
    <t>2nd Qt</t>
  </si>
  <si>
    <t>3rd Qt</t>
  </si>
  <si>
    <t>4th Qt</t>
  </si>
  <si>
    <t>4th Qtr</t>
  </si>
  <si>
    <t>TOTAL</t>
  </si>
  <si>
    <t xml:space="preserve">Capital </t>
  </si>
  <si>
    <t xml:space="preserve">Loan </t>
  </si>
  <si>
    <t>COST OF PROJECT</t>
  </si>
  <si>
    <t>Land Payments</t>
  </si>
  <si>
    <t>CASH FLOW</t>
  </si>
  <si>
    <t>Cash in Hand</t>
  </si>
  <si>
    <t>Opening Balance</t>
  </si>
  <si>
    <t>Surplus during the Period</t>
  </si>
  <si>
    <t>Closing balance</t>
  </si>
  <si>
    <t>EXPENSES</t>
  </si>
  <si>
    <t>Land in Hectare</t>
  </si>
  <si>
    <t>Hectare</t>
  </si>
  <si>
    <t>REVENUE FROM THE PROJECTS</t>
  </si>
  <si>
    <t xml:space="preserve">Sale Proceeds </t>
  </si>
  <si>
    <t>Commercial</t>
  </si>
  <si>
    <t>No of Units to Construct</t>
  </si>
  <si>
    <t>Area to be Construct</t>
  </si>
  <si>
    <t>Plinth Level</t>
  </si>
  <si>
    <t>Slabs</t>
  </si>
  <si>
    <t>Internal Develepment</t>
  </si>
  <si>
    <t>Total Plinth</t>
  </si>
  <si>
    <t>Total Slabs</t>
  </si>
  <si>
    <t>Total Internal Development</t>
  </si>
  <si>
    <t xml:space="preserve">Grand Total </t>
  </si>
  <si>
    <t>Receipt</t>
  </si>
  <si>
    <t>Booking</t>
  </si>
  <si>
    <t>Plinth</t>
  </si>
  <si>
    <t>Internal &amp; Extrernal Development</t>
  </si>
  <si>
    <t>Completion</t>
  </si>
  <si>
    <t>Recovery</t>
  </si>
  <si>
    <t xml:space="preserve">Total Recovery </t>
  </si>
  <si>
    <t>2022-23</t>
  </si>
  <si>
    <t>2023-24</t>
  </si>
  <si>
    <t>2024-25</t>
  </si>
  <si>
    <t>Qtrly Units to Construct</t>
  </si>
  <si>
    <t>Cash Flow and time line planning for Kanakpur projects of EWS Housing in UK</t>
  </si>
  <si>
    <t>Beneficiary</t>
  </si>
  <si>
    <t>State &amp; Center</t>
  </si>
  <si>
    <t xml:space="preserve">Overheads </t>
  </si>
  <si>
    <t>Land in Acres</t>
  </si>
  <si>
    <t>Selling price</t>
  </si>
  <si>
    <t>Kanakpur</t>
  </si>
  <si>
    <t>Total Land Cost including Stamp Papers</t>
  </si>
  <si>
    <t>Sanctioned and Other Cost</t>
  </si>
  <si>
    <t>License Holder Share</t>
  </si>
  <si>
    <t>Land Cost including stamp paper Exp</t>
  </si>
  <si>
    <t>License Holder Revenue Percentage</t>
  </si>
  <si>
    <t>OCD from Share Holders</t>
  </si>
  <si>
    <t>Interest on Loan @10%</t>
  </si>
  <si>
    <t>Interest on Loan</t>
  </si>
  <si>
    <t>Interest rate for loan</t>
  </si>
  <si>
    <t>PROJECT DSCR</t>
  </si>
  <si>
    <t>p</t>
  </si>
  <si>
    <t>S. No.</t>
  </si>
  <si>
    <t>Particulars</t>
  </si>
  <si>
    <t>Amount (Rs.)</t>
  </si>
  <si>
    <t>Cost of the Project at Kashipur</t>
  </si>
  <si>
    <t>Means of Finance of project at Kashipur</t>
  </si>
  <si>
    <t>%</t>
  </si>
  <si>
    <t>Unsecured Loan</t>
  </si>
  <si>
    <t>As 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</si>
</sst>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"/>
    <numFmt numFmtId="168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165" fontId="0" fillId="0" borderId="0" xfId="0" applyNumberFormat="1"/>
    <xf numFmtId="0" fontId="2" fillId="0" borderId="11" xfId="0" applyFont="1" applyBorder="1"/>
    <xf numFmtId="0" fontId="3" fillId="0" borderId="0" xfId="0" applyFont="1" applyAlignment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5" xfId="0" applyFont="1" applyBorder="1"/>
    <xf numFmtId="0" fontId="2" fillId="0" borderId="3" xfId="0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166" fontId="2" fillId="0" borderId="16" xfId="0" applyNumberFormat="1" applyFont="1" applyBorder="1"/>
    <xf numFmtId="0" fontId="2" fillId="0" borderId="1" xfId="0" applyFont="1" applyBorder="1"/>
    <xf numFmtId="2" fontId="2" fillId="0" borderId="16" xfId="0" applyNumberFormat="1" applyFont="1" applyBorder="1"/>
    <xf numFmtId="0" fontId="2" fillId="0" borderId="17" xfId="0" applyFont="1" applyBorder="1"/>
    <xf numFmtId="0" fontId="2" fillId="0" borderId="18" xfId="0" applyFont="1" applyBorder="1"/>
    <xf numFmtId="1" fontId="2" fillId="0" borderId="1" xfId="1" applyNumberFormat="1" applyFont="1" applyBorder="1"/>
    <xf numFmtId="165" fontId="2" fillId="0" borderId="3" xfId="1" applyNumberFormat="1" applyFont="1" applyBorder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1" fontId="2" fillId="0" borderId="3" xfId="1" applyNumberFormat="1" applyFont="1" applyBorder="1"/>
    <xf numFmtId="0" fontId="3" fillId="0" borderId="8" xfId="0" applyFont="1" applyBorder="1"/>
    <xf numFmtId="9" fontId="2" fillId="0" borderId="1" xfId="0" applyNumberFormat="1" applyFont="1" applyBorder="1"/>
    <xf numFmtId="165" fontId="2" fillId="0" borderId="1" xfId="1" applyNumberFormat="1" applyFont="1" applyBorder="1"/>
    <xf numFmtId="0" fontId="2" fillId="0" borderId="12" xfId="0" applyFont="1" applyBorder="1"/>
    <xf numFmtId="165" fontId="2" fillId="0" borderId="12" xfId="1" applyNumberFormat="1" applyFont="1" applyBorder="1"/>
    <xf numFmtId="0" fontId="3" fillId="0" borderId="11" xfId="0" applyFont="1" applyBorder="1"/>
    <xf numFmtId="0" fontId="2" fillId="0" borderId="8" xfId="0" applyFont="1" applyBorder="1"/>
    <xf numFmtId="0" fontId="2" fillId="0" borderId="13" xfId="0" applyFont="1" applyBorder="1"/>
    <xf numFmtId="165" fontId="2" fillId="0" borderId="1" xfId="0" applyNumberFormat="1" applyFont="1" applyBorder="1"/>
    <xf numFmtId="0" fontId="3" fillId="0" borderId="13" xfId="0" applyFont="1" applyBorder="1"/>
    <xf numFmtId="165" fontId="2" fillId="0" borderId="12" xfId="0" applyNumberFormat="1" applyFont="1" applyBorder="1"/>
    <xf numFmtId="0" fontId="3" fillId="0" borderId="0" xfId="0" applyFont="1"/>
    <xf numFmtId="165" fontId="2" fillId="0" borderId="0" xfId="0" applyNumberFormat="1" applyFont="1"/>
    <xf numFmtId="165" fontId="2" fillId="0" borderId="18" xfId="1" applyNumberFormat="1" applyFont="1" applyBorder="1"/>
    <xf numFmtId="165" fontId="2" fillId="0" borderId="2" xfId="1" applyNumberFormat="1" applyFont="1" applyBorder="1"/>
    <xf numFmtId="165" fontId="2" fillId="0" borderId="19" xfId="0" applyNumberFormat="1" applyFont="1" applyBorder="1"/>
    <xf numFmtId="10" fontId="2" fillId="0" borderId="0" xfId="2" applyNumberFormat="1" applyFont="1"/>
    <xf numFmtId="0" fontId="3" fillId="0" borderId="17" xfId="0" applyFont="1" applyBorder="1"/>
    <xf numFmtId="165" fontId="2" fillId="0" borderId="20" xfId="0" applyNumberFormat="1" applyFont="1" applyBorder="1"/>
    <xf numFmtId="165" fontId="2" fillId="0" borderId="18" xfId="0" applyNumberFormat="1" applyFont="1" applyBorder="1"/>
    <xf numFmtId="165" fontId="3" fillId="0" borderId="21" xfId="0" applyNumberFormat="1" applyFont="1" applyBorder="1"/>
    <xf numFmtId="43" fontId="2" fillId="0" borderId="0" xfId="0" applyNumberFormat="1" applyFont="1"/>
    <xf numFmtId="0" fontId="2" fillId="0" borderId="7" xfId="0" applyFont="1" applyBorder="1"/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2" fillId="0" borderId="9" xfId="1" applyNumberFormat="1" applyFont="1" applyBorder="1"/>
    <xf numFmtId="165" fontId="2" fillId="0" borderId="10" xfId="1" applyNumberFormat="1" applyFont="1" applyBorder="1"/>
    <xf numFmtId="0" fontId="2" fillId="0" borderId="2" xfId="0" applyFont="1" applyBorder="1"/>
    <xf numFmtId="165" fontId="2" fillId="0" borderId="14" xfId="1" applyNumberFormat="1" applyFont="1" applyBorder="1"/>
    <xf numFmtId="0" fontId="3" fillId="0" borderId="4" xfId="0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0" fontId="3" fillId="0" borderId="23" xfId="0" applyFont="1" applyBorder="1"/>
    <xf numFmtId="165" fontId="3" fillId="0" borderId="20" xfId="0" applyNumberFormat="1" applyFont="1" applyBorder="1"/>
    <xf numFmtId="0" fontId="2" fillId="0" borderId="10" xfId="0" applyFont="1" applyBorder="1"/>
    <xf numFmtId="10" fontId="2" fillId="0" borderId="9" xfId="2" applyNumberFormat="1" applyFont="1" applyBorder="1"/>
    <xf numFmtId="10" fontId="2" fillId="0" borderId="10" xfId="2" applyNumberFormat="1" applyFont="1" applyBorder="1"/>
    <xf numFmtId="10" fontId="2" fillId="0" borderId="1" xfId="2" applyNumberFormat="1" applyFont="1" applyBorder="1"/>
    <xf numFmtId="10" fontId="2" fillId="0" borderId="12" xfId="2" applyNumberFormat="1" applyFont="1" applyBorder="1"/>
    <xf numFmtId="1" fontId="2" fillId="0" borderId="9" xfId="0" applyNumberFormat="1" applyFont="1" applyBorder="1"/>
    <xf numFmtId="43" fontId="2" fillId="0" borderId="1" xfId="1" applyFont="1" applyFill="1" applyBorder="1"/>
    <xf numFmtId="43" fontId="2" fillId="0" borderId="12" xfId="0" applyNumberFormat="1" applyFont="1" applyBorder="1"/>
    <xf numFmtId="43" fontId="2" fillId="0" borderId="1" xfId="0" applyNumberFormat="1" applyFont="1" applyBorder="1"/>
    <xf numFmtId="9" fontId="2" fillId="0" borderId="1" xfId="2" applyFont="1" applyBorder="1"/>
    <xf numFmtId="43" fontId="2" fillId="0" borderId="18" xfId="0" applyNumberFormat="1" applyFont="1" applyBorder="1"/>
    <xf numFmtId="9" fontId="2" fillId="0" borderId="18" xfId="2" applyFont="1" applyBorder="1"/>
    <xf numFmtId="0" fontId="2" fillId="0" borderId="19" xfId="0" applyFont="1" applyBorder="1"/>
    <xf numFmtId="0" fontId="2" fillId="0" borderId="4" xfId="0" applyFont="1" applyBorder="1"/>
    <xf numFmtId="165" fontId="2" fillId="0" borderId="19" xfId="1" applyNumberFormat="1" applyFont="1" applyBorder="1"/>
    <xf numFmtId="0" fontId="2" fillId="0" borderId="16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5" xfId="0" applyFont="1" applyBorder="1" applyAlignment="1">
      <alignment horizontal="center"/>
    </xf>
    <xf numFmtId="165" fontId="2" fillId="0" borderId="16" xfId="1" applyNumberFormat="1" applyFont="1" applyBorder="1"/>
    <xf numFmtId="167" fontId="2" fillId="0" borderId="3" xfId="0" applyNumberFormat="1" applyFont="1" applyBorder="1"/>
    <xf numFmtId="0" fontId="2" fillId="0" borderId="0" xfId="0" applyFont="1" applyBorder="1"/>
    <xf numFmtId="43" fontId="2" fillId="0" borderId="0" xfId="1" applyFont="1" applyBorder="1"/>
    <xf numFmtId="165" fontId="2" fillId="0" borderId="0" xfId="0" applyNumberFormat="1" applyFont="1" applyBorder="1"/>
    <xf numFmtId="168" fontId="2" fillId="0" borderId="0" xfId="2" applyNumberFormat="1" applyFont="1"/>
    <xf numFmtId="0" fontId="3" fillId="0" borderId="22" xfId="0" applyFont="1" applyBorder="1" applyAlignment="1"/>
    <xf numFmtId="0" fontId="4" fillId="0" borderId="1" xfId="0" applyFont="1" applyBorder="1"/>
    <xf numFmtId="43" fontId="4" fillId="0" borderId="1" xfId="1" applyFont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43" fontId="2" fillId="0" borderId="0" xfId="1" applyFont="1" applyBorder="1" applyAlignment="1">
      <alignment horizontal="right"/>
    </xf>
    <xf numFmtId="43" fontId="2" fillId="0" borderId="0" xfId="0" applyNumberFormat="1" applyFont="1" applyBorder="1"/>
    <xf numFmtId="164" fontId="2" fillId="0" borderId="0" xfId="0" applyNumberFormat="1" applyFont="1" applyBorder="1"/>
    <xf numFmtId="0" fontId="5" fillId="0" borderId="0" xfId="0" applyFont="1" applyBorder="1"/>
    <xf numFmtId="165" fontId="5" fillId="0" borderId="0" xfId="1" applyNumberFormat="1" applyFont="1" applyBorder="1"/>
    <xf numFmtId="0" fontId="5" fillId="0" borderId="1" xfId="0" applyFont="1" applyBorder="1"/>
    <xf numFmtId="0" fontId="6" fillId="0" borderId="1" xfId="0" applyFont="1" applyBorder="1"/>
    <xf numFmtId="165" fontId="5" fillId="0" borderId="1" xfId="1" applyNumberFormat="1" applyFont="1" applyBorder="1"/>
    <xf numFmtId="165" fontId="6" fillId="0" borderId="1" xfId="1" applyNumberFormat="1" applyFont="1" applyBorder="1"/>
    <xf numFmtId="43" fontId="5" fillId="0" borderId="1" xfId="1" applyFont="1" applyBorder="1"/>
    <xf numFmtId="0" fontId="6" fillId="0" borderId="1" xfId="0" applyFont="1" applyFill="1" applyBorder="1"/>
    <xf numFmtId="43" fontId="6" fillId="0" borderId="1" xfId="1" applyFont="1" applyBorder="1"/>
    <xf numFmtId="43" fontId="2" fillId="0" borderId="1" xfId="1" applyNumberFormat="1" applyFont="1" applyBorder="1"/>
    <xf numFmtId="43" fontId="0" fillId="0" borderId="0" xfId="1" applyFont="1"/>
    <xf numFmtId="165" fontId="5" fillId="0" borderId="0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9"/>
  <sheetViews>
    <sheetView tabSelected="1" topLeftCell="D34" zoomScaleNormal="100" workbookViewId="0">
      <selection activeCell="M49" activeCellId="1" sqref="M47 M49"/>
    </sheetView>
  </sheetViews>
  <sheetFormatPr defaultRowHeight="15" x14ac:dyDescent="0.25"/>
  <cols>
    <col min="1" max="1" width="39.42578125" bestFit="1" customWidth="1"/>
    <col min="2" max="4" width="17.28515625" bestFit="1" customWidth="1"/>
    <col min="5" max="5" width="17.7109375" bestFit="1" customWidth="1"/>
    <col min="6" max="6" width="17" bestFit="1" customWidth="1"/>
    <col min="7" max="7" width="18" bestFit="1" customWidth="1"/>
    <col min="8" max="8" width="17.5703125" bestFit="1" customWidth="1"/>
    <col min="9" max="9" width="17.28515625" bestFit="1" customWidth="1"/>
    <col min="10" max="10" width="16.85546875" bestFit="1" customWidth="1"/>
    <col min="11" max="11" width="16.5703125" bestFit="1" customWidth="1"/>
    <col min="12" max="12" width="17.5703125" bestFit="1" customWidth="1"/>
    <col min="13" max="13" width="18.28515625" bestFit="1" customWidth="1"/>
    <col min="14" max="14" width="13.7109375" bestFit="1" customWidth="1"/>
    <col min="15" max="15" width="15.42578125" bestFit="1" customWidth="1"/>
    <col min="17" max="17" width="12.28515625" bestFit="1" customWidth="1"/>
  </cols>
  <sheetData>
    <row r="1" spans="1:14" ht="15.75" thickBot="1" x14ac:dyDescent="0.3">
      <c r="A1" s="106" t="s">
        <v>64</v>
      </c>
      <c r="B1" s="106"/>
      <c r="C1" s="106"/>
      <c r="D1" s="106"/>
      <c r="E1" s="106"/>
      <c r="F1" s="3"/>
      <c r="G1" s="88"/>
      <c r="H1" s="81"/>
      <c r="I1" s="81"/>
      <c r="J1" s="81"/>
      <c r="K1" s="4"/>
      <c r="L1" s="4"/>
      <c r="M1" s="4"/>
      <c r="N1" s="4"/>
    </row>
    <row r="2" spans="1:14" ht="15.75" thickBot="1" x14ac:dyDescent="0.3">
      <c r="A2" s="5"/>
      <c r="B2" s="6"/>
      <c r="C2" s="6" t="s">
        <v>4</v>
      </c>
      <c r="D2" s="6"/>
      <c r="E2" s="7"/>
      <c r="F2" s="4"/>
      <c r="G2" s="89"/>
      <c r="H2" s="89"/>
      <c r="I2" s="81"/>
      <c r="J2" s="82"/>
      <c r="K2" s="4"/>
      <c r="L2" s="4"/>
      <c r="M2" s="4"/>
      <c r="N2" s="4"/>
    </row>
    <row r="3" spans="1:14" x14ac:dyDescent="0.25">
      <c r="A3" s="9" t="s">
        <v>7</v>
      </c>
      <c r="B3" s="10" t="s">
        <v>1</v>
      </c>
      <c r="C3" s="11">
        <v>28330</v>
      </c>
      <c r="D3" s="12"/>
      <c r="E3" s="13"/>
      <c r="F3" s="4"/>
      <c r="G3" s="89"/>
      <c r="H3" s="89"/>
      <c r="I3" s="81"/>
      <c r="J3" s="82"/>
      <c r="K3" s="4"/>
      <c r="L3" s="4"/>
      <c r="M3" s="4"/>
      <c r="N3" s="4"/>
    </row>
    <row r="4" spans="1:14" x14ac:dyDescent="0.25">
      <c r="A4" s="9" t="s">
        <v>39</v>
      </c>
      <c r="B4" s="10" t="s">
        <v>40</v>
      </c>
      <c r="C4" s="80">
        <f>C3/10000</f>
        <v>2.8330000000000002</v>
      </c>
      <c r="D4" s="12"/>
      <c r="E4" s="15"/>
      <c r="F4" s="4"/>
      <c r="G4" s="89"/>
      <c r="H4" s="89"/>
      <c r="I4" s="81"/>
      <c r="J4" s="82"/>
      <c r="K4" s="4"/>
      <c r="L4" s="4"/>
      <c r="M4" s="4"/>
      <c r="N4" s="4"/>
    </row>
    <row r="5" spans="1:14" x14ac:dyDescent="0.25">
      <c r="A5" s="9" t="s">
        <v>68</v>
      </c>
      <c r="B5" s="10"/>
      <c r="C5" s="11">
        <f>C3/4047</f>
        <v>7.0002470966147765</v>
      </c>
      <c r="D5" s="12"/>
      <c r="E5" s="15"/>
      <c r="F5" s="4"/>
      <c r="G5" s="81"/>
      <c r="H5" s="81"/>
      <c r="I5" s="81"/>
      <c r="J5" s="82"/>
      <c r="K5" s="4"/>
      <c r="L5" s="4"/>
      <c r="M5" s="4"/>
      <c r="N5" s="4"/>
    </row>
    <row r="6" spans="1:14" x14ac:dyDescent="0.25">
      <c r="A6" s="2" t="s">
        <v>8</v>
      </c>
      <c r="B6" s="14" t="s">
        <v>9</v>
      </c>
      <c r="C6" s="18">
        <v>1256</v>
      </c>
      <c r="D6" s="12"/>
      <c r="E6" s="15"/>
      <c r="F6" s="4"/>
      <c r="G6" s="81"/>
      <c r="H6" s="81"/>
      <c r="I6" s="81"/>
      <c r="J6" s="82"/>
      <c r="K6" s="4"/>
      <c r="L6" s="4"/>
      <c r="M6" s="4"/>
      <c r="N6" s="4"/>
    </row>
    <row r="7" spans="1:14" x14ac:dyDescent="0.25">
      <c r="A7" s="2" t="s">
        <v>10</v>
      </c>
      <c r="B7" s="14" t="s">
        <v>11</v>
      </c>
      <c r="C7" s="18">
        <v>30</v>
      </c>
      <c r="D7" s="19"/>
      <c r="E7" s="13"/>
      <c r="F7" s="4"/>
      <c r="G7" s="107"/>
      <c r="H7" s="107"/>
      <c r="I7" s="107"/>
      <c r="J7" s="107"/>
      <c r="K7" s="4"/>
      <c r="L7" s="20"/>
      <c r="M7" s="4"/>
      <c r="N7" s="4"/>
    </row>
    <row r="8" spans="1:14" x14ac:dyDescent="0.25">
      <c r="A8" s="2" t="s">
        <v>12</v>
      </c>
      <c r="B8" s="14" t="s">
        <v>2</v>
      </c>
      <c r="C8" s="21">
        <v>24.22</v>
      </c>
      <c r="D8" s="22"/>
      <c r="E8" s="13"/>
      <c r="F8" s="4"/>
      <c r="G8" s="90"/>
      <c r="H8" s="81"/>
      <c r="I8" s="81"/>
      <c r="J8" s="82"/>
      <c r="K8" s="4"/>
      <c r="L8" s="4"/>
      <c r="M8" s="4"/>
      <c r="N8" s="4"/>
    </row>
    <row r="9" spans="1:14" x14ac:dyDescent="0.25">
      <c r="A9" s="2" t="s">
        <v>6</v>
      </c>
      <c r="B9" s="24"/>
      <c r="C9" s="21">
        <v>30</v>
      </c>
      <c r="D9" s="22"/>
      <c r="E9" s="13"/>
      <c r="F9" s="4"/>
      <c r="G9" s="81"/>
      <c r="H9" s="81"/>
      <c r="I9" s="81"/>
      <c r="J9" s="91"/>
      <c r="K9" s="4"/>
      <c r="L9" s="4"/>
      <c r="M9" s="4"/>
      <c r="N9" s="4"/>
    </row>
    <row r="10" spans="1:14" x14ac:dyDescent="0.25">
      <c r="A10" s="2" t="s">
        <v>13</v>
      </c>
      <c r="B10" s="14">
        <v>10.763999999999999</v>
      </c>
      <c r="C10" s="25">
        <f>C9*B10*C6</f>
        <v>405587.51999999996</v>
      </c>
      <c r="D10" s="25"/>
      <c r="E10" s="26"/>
      <c r="F10" s="4"/>
      <c r="G10" s="81"/>
      <c r="H10" s="81"/>
      <c r="I10" s="81"/>
      <c r="J10" s="91"/>
      <c r="K10" s="4"/>
      <c r="L10" s="4"/>
      <c r="M10" s="4"/>
      <c r="N10" s="4"/>
    </row>
    <row r="11" spans="1:14" x14ac:dyDescent="0.25">
      <c r="A11" s="2" t="s">
        <v>71</v>
      </c>
      <c r="B11" s="14"/>
      <c r="C11" s="25">
        <v>38500000</v>
      </c>
      <c r="D11" s="18"/>
      <c r="E11" s="26"/>
      <c r="F11" s="4"/>
      <c r="G11" s="81"/>
      <c r="H11" s="81"/>
      <c r="I11" s="81"/>
      <c r="J11" s="91"/>
      <c r="K11" s="4"/>
      <c r="L11" s="4"/>
      <c r="M11" s="4"/>
      <c r="N11" s="4"/>
    </row>
    <row r="12" spans="1:14" x14ac:dyDescent="0.25">
      <c r="A12" s="2" t="s">
        <v>14</v>
      </c>
      <c r="B12" s="14" t="s">
        <v>9</v>
      </c>
      <c r="C12" s="18">
        <v>900</v>
      </c>
      <c r="D12" s="18"/>
      <c r="E12" s="27"/>
      <c r="F12" s="4"/>
      <c r="G12" s="81"/>
      <c r="H12" s="81"/>
      <c r="I12" s="81"/>
      <c r="J12" s="91"/>
      <c r="K12" s="4"/>
      <c r="L12" s="4"/>
      <c r="M12" s="4"/>
      <c r="N12" s="4"/>
    </row>
    <row r="13" spans="1:14" x14ac:dyDescent="0.25">
      <c r="A13" s="2" t="s">
        <v>15</v>
      </c>
      <c r="B13" s="14" t="s">
        <v>16</v>
      </c>
      <c r="C13" s="25">
        <v>6000000</v>
      </c>
      <c r="D13" s="21"/>
      <c r="E13" s="26"/>
      <c r="F13" s="4"/>
      <c r="G13" s="81"/>
      <c r="H13" s="81"/>
      <c r="I13" s="81"/>
      <c r="J13" s="82"/>
      <c r="K13" s="4"/>
      <c r="L13" s="4"/>
      <c r="M13" s="4"/>
      <c r="N13" s="4"/>
    </row>
    <row r="14" spans="1:14" x14ac:dyDescent="0.25">
      <c r="A14" s="2" t="s">
        <v>72</v>
      </c>
      <c r="B14" s="14" t="s">
        <v>2</v>
      </c>
      <c r="C14" s="25">
        <v>25000</v>
      </c>
      <c r="D14" s="21"/>
      <c r="E14" s="26"/>
      <c r="F14" s="4"/>
      <c r="G14" s="81"/>
      <c r="H14" s="81"/>
      <c r="I14" s="81"/>
      <c r="J14" s="82"/>
      <c r="K14" s="4"/>
      <c r="L14" s="4"/>
      <c r="M14" s="4"/>
      <c r="N14" s="4"/>
    </row>
    <row r="15" spans="1:14" x14ac:dyDescent="0.25">
      <c r="A15" s="2" t="s">
        <v>3</v>
      </c>
      <c r="B15" s="14" t="s">
        <v>2</v>
      </c>
      <c r="C15" s="25">
        <v>25000</v>
      </c>
      <c r="D15" s="21"/>
      <c r="E15" s="26"/>
      <c r="F15" s="4"/>
      <c r="G15" s="81"/>
      <c r="H15" s="81"/>
      <c r="I15" s="81"/>
      <c r="J15" s="82"/>
      <c r="K15" s="4"/>
      <c r="L15" s="4"/>
      <c r="M15" s="4"/>
      <c r="N15" s="4"/>
    </row>
    <row r="16" spans="1:14" x14ac:dyDescent="0.25">
      <c r="A16" s="2" t="s">
        <v>73</v>
      </c>
      <c r="B16" s="14" t="s">
        <v>2</v>
      </c>
      <c r="C16" s="25">
        <v>35000</v>
      </c>
      <c r="D16" s="21"/>
      <c r="E16" s="26"/>
      <c r="F16" s="4"/>
      <c r="G16" s="81"/>
      <c r="H16" s="81"/>
      <c r="I16" s="81"/>
      <c r="J16" s="82"/>
      <c r="K16" s="4"/>
      <c r="L16" s="4"/>
      <c r="M16" s="4"/>
      <c r="N16" s="4"/>
    </row>
    <row r="17" spans="1:14" x14ac:dyDescent="0.25">
      <c r="A17" s="2" t="s">
        <v>69</v>
      </c>
      <c r="B17" s="14" t="s">
        <v>2</v>
      </c>
      <c r="C17" s="25">
        <v>590000</v>
      </c>
      <c r="D17" s="21"/>
      <c r="E17" s="26"/>
      <c r="F17" s="4"/>
      <c r="G17" s="81"/>
      <c r="H17" s="81"/>
      <c r="I17" s="81"/>
      <c r="J17" s="81"/>
      <c r="K17" s="4"/>
      <c r="L17" s="4"/>
      <c r="M17" s="4"/>
      <c r="N17" s="4"/>
    </row>
    <row r="18" spans="1:14" x14ac:dyDescent="0.25">
      <c r="A18" s="28" t="s">
        <v>17</v>
      </c>
      <c r="B18" s="14"/>
      <c r="C18" s="25"/>
      <c r="D18" s="21"/>
      <c r="E18" s="26"/>
      <c r="F18" s="4"/>
      <c r="G18" s="108"/>
      <c r="H18" s="108"/>
      <c r="I18" s="108"/>
      <c r="J18" s="108"/>
      <c r="K18" s="4"/>
      <c r="L18" s="4"/>
      <c r="M18" s="4"/>
      <c r="N18" s="4"/>
    </row>
    <row r="19" spans="1:14" x14ac:dyDescent="0.25">
      <c r="A19" s="2" t="s">
        <v>71</v>
      </c>
      <c r="B19" s="14"/>
      <c r="C19" s="25">
        <f>C11</f>
        <v>38500000</v>
      </c>
      <c r="D19" s="21"/>
      <c r="E19" s="26"/>
      <c r="F19" s="4"/>
      <c r="G19" s="81"/>
      <c r="H19" s="81"/>
      <c r="I19" s="81"/>
      <c r="J19" s="92"/>
      <c r="K19" s="4"/>
      <c r="L19" s="4"/>
      <c r="M19" s="4"/>
      <c r="N19" s="4"/>
    </row>
    <row r="20" spans="1:14" x14ac:dyDescent="0.25">
      <c r="A20" s="2" t="s">
        <v>5</v>
      </c>
      <c r="B20" s="14"/>
      <c r="C20" s="25">
        <f>C10*C12</f>
        <v>365028767.99999994</v>
      </c>
      <c r="D20" s="21"/>
      <c r="E20" s="26"/>
      <c r="F20" s="4"/>
      <c r="G20" s="81"/>
      <c r="H20" s="81"/>
      <c r="I20" s="81"/>
      <c r="J20" s="81"/>
      <c r="K20" s="4"/>
      <c r="L20" s="4"/>
      <c r="M20" s="4"/>
      <c r="N20" s="4"/>
    </row>
    <row r="21" spans="1:14" x14ac:dyDescent="0.25">
      <c r="A21" s="30" t="s">
        <v>18</v>
      </c>
      <c r="B21" s="14"/>
      <c r="C21" s="31">
        <f>C13*C5</f>
        <v>42001482.579688661</v>
      </c>
      <c r="D21" s="21"/>
      <c r="E21" s="26"/>
      <c r="F21" s="4"/>
      <c r="G21" s="81"/>
      <c r="H21" s="81"/>
      <c r="I21" s="81"/>
      <c r="J21" s="83"/>
      <c r="K21" s="4"/>
      <c r="L21" s="4"/>
      <c r="M21" s="4"/>
      <c r="N21" s="4"/>
    </row>
    <row r="22" spans="1:14" x14ac:dyDescent="0.25">
      <c r="A22" s="30" t="s">
        <v>67</v>
      </c>
      <c r="B22" s="14"/>
      <c r="C22" s="31">
        <f>C15*C6</f>
        <v>31400000</v>
      </c>
      <c r="D22" s="21"/>
      <c r="E22" s="26"/>
      <c r="F22" s="4"/>
      <c r="G22" s="81"/>
      <c r="H22" s="81"/>
      <c r="I22" s="81"/>
      <c r="J22" s="81"/>
      <c r="K22" s="4"/>
      <c r="L22" s="4"/>
      <c r="M22" s="4"/>
      <c r="N22" s="4"/>
    </row>
    <row r="23" spans="1:14" x14ac:dyDescent="0.25">
      <c r="A23" s="2" t="s">
        <v>73</v>
      </c>
      <c r="B23" s="14"/>
      <c r="C23" s="31">
        <f>C16*C6</f>
        <v>43960000</v>
      </c>
      <c r="D23" s="21"/>
      <c r="E23" s="26"/>
      <c r="F23" s="4"/>
      <c r="G23" s="93"/>
      <c r="H23" s="81"/>
      <c r="I23" s="81"/>
      <c r="J23" s="81"/>
      <c r="K23" s="4"/>
      <c r="L23" s="4"/>
      <c r="M23" s="4"/>
      <c r="N23" s="4"/>
    </row>
    <row r="24" spans="1:14" x14ac:dyDescent="0.25">
      <c r="A24" s="30" t="s">
        <v>77</v>
      </c>
      <c r="B24" s="14"/>
      <c r="C24" s="31">
        <f>M49</f>
        <v>20625000</v>
      </c>
      <c r="D24" s="21"/>
      <c r="E24" s="26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5">
      <c r="A25" s="32" t="s">
        <v>19</v>
      </c>
      <c r="B25" s="14" t="s">
        <v>9</v>
      </c>
      <c r="C25" s="25"/>
      <c r="D25" s="25">
        <f>SUM(C19:C24)</f>
        <v>541515250.57968855</v>
      </c>
      <c r="E25" s="33"/>
      <c r="F25" s="4"/>
      <c r="G25" s="34"/>
      <c r="H25" s="4"/>
      <c r="I25" s="4"/>
      <c r="J25" s="4"/>
      <c r="K25" s="4"/>
      <c r="L25" s="4"/>
      <c r="M25" s="4"/>
      <c r="N25" s="4"/>
    </row>
    <row r="26" spans="1:14" x14ac:dyDescent="0.25">
      <c r="A26" s="2" t="s">
        <v>20</v>
      </c>
      <c r="B26" s="14"/>
      <c r="C26" s="19"/>
      <c r="D26" s="25">
        <f>C17*C6</f>
        <v>741040000</v>
      </c>
      <c r="E26" s="26"/>
      <c r="F26" s="4"/>
      <c r="G26" s="35"/>
      <c r="H26" s="4"/>
      <c r="I26" s="4"/>
      <c r="J26" s="4"/>
      <c r="K26" s="35"/>
      <c r="L26" s="4"/>
      <c r="M26" s="4"/>
      <c r="N26" s="4"/>
    </row>
    <row r="27" spans="1:14" ht="15.75" thickBot="1" x14ac:dyDescent="0.3">
      <c r="A27" s="30"/>
      <c r="B27" s="10"/>
      <c r="C27" s="36"/>
      <c r="D27" s="37"/>
      <c r="E27" s="38"/>
      <c r="F27" s="39"/>
      <c r="G27" s="4"/>
      <c r="H27" s="4"/>
      <c r="I27" s="4"/>
      <c r="J27" s="4"/>
      <c r="K27" s="4"/>
      <c r="L27" s="4"/>
      <c r="M27" s="4"/>
      <c r="N27" s="4"/>
    </row>
    <row r="28" spans="1:14" ht="15.75" thickBot="1" x14ac:dyDescent="0.3">
      <c r="A28" s="40" t="s">
        <v>21</v>
      </c>
      <c r="B28" s="41"/>
      <c r="C28" s="41"/>
      <c r="D28" s="42"/>
      <c r="E28" s="43">
        <f>D26-D25</f>
        <v>199524749.42031145</v>
      </c>
      <c r="F28" s="4"/>
      <c r="G28" s="4"/>
      <c r="H28" s="4"/>
      <c r="I28" s="4"/>
      <c r="J28" s="4"/>
      <c r="K28" s="35"/>
      <c r="L28" s="4"/>
      <c r="M28" s="4"/>
      <c r="N28" s="4"/>
    </row>
    <row r="29" spans="1:14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5">
      <c r="A30" s="4" t="s">
        <v>75</v>
      </c>
      <c r="B30" s="39">
        <f>+C16/C17</f>
        <v>5.9322033898305086E-2</v>
      </c>
      <c r="C30" s="4"/>
      <c r="D30" s="4"/>
      <c r="E30" s="4"/>
      <c r="F30" s="4"/>
      <c r="G30" s="4"/>
      <c r="H30" s="4"/>
      <c r="I30" s="4"/>
      <c r="J30" s="4"/>
      <c r="K30" s="44"/>
      <c r="L30" s="4"/>
      <c r="M30" s="4"/>
      <c r="N30" s="4"/>
    </row>
    <row r="31" spans="1:14" x14ac:dyDescent="0.25">
      <c r="A31" s="4" t="s">
        <v>79</v>
      </c>
      <c r="B31" s="39">
        <v>0.1</v>
      </c>
      <c r="C31" s="4"/>
      <c r="D31" s="4"/>
      <c r="E31" s="4"/>
      <c r="F31" s="4"/>
      <c r="G31" s="4"/>
      <c r="H31" s="4"/>
      <c r="I31" s="4"/>
      <c r="J31" s="4"/>
      <c r="K31" s="44"/>
      <c r="L31" s="4"/>
      <c r="M31" s="4"/>
      <c r="N31" s="4"/>
    </row>
    <row r="32" spans="1:14" ht="15.75" thickBot="1" x14ac:dyDescent="0.3">
      <c r="A32" s="4"/>
      <c r="B32" s="4"/>
      <c r="C32" s="4"/>
      <c r="D32" s="4"/>
      <c r="E32" s="4"/>
      <c r="F32" s="4"/>
      <c r="G32" s="4"/>
      <c r="H32" s="4"/>
      <c r="I32" s="44"/>
      <c r="J32" s="4"/>
      <c r="K32" s="4"/>
      <c r="L32" s="4"/>
      <c r="M32" s="4"/>
      <c r="N32" s="4"/>
    </row>
    <row r="33" spans="1:13" ht="15.75" thickBot="1" x14ac:dyDescent="0.3">
      <c r="A33" s="45"/>
      <c r="B33" s="109" t="s">
        <v>60</v>
      </c>
      <c r="C33" s="110"/>
      <c r="D33" s="111"/>
      <c r="E33" s="109" t="s">
        <v>61</v>
      </c>
      <c r="F33" s="110"/>
      <c r="G33" s="110"/>
      <c r="H33" s="111"/>
      <c r="I33" s="109" t="s">
        <v>62</v>
      </c>
      <c r="J33" s="110"/>
      <c r="K33" s="110"/>
      <c r="L33" s="110"/>
      <c r="M33" s="78"/>
    </row>
    <row r="34" spans="1:13" ht="15.75" thickBot="1" x14ac:dyDescent="0.3">
      <c r="A34" s="46" t="s">
        <v>22</v>
      </c>
      <c r="B34" s="48" t="s">
        <v>89</v>
      </c>
      <c r="C34" s="48" t="s">
        <v>25</v>
      </c>
      <c r="D34" s="49" t="s">
        <v>26</v>
      </c>
      <c r="E34" s="47" t="s">
        <v>23</v>
      </c>
      <c r="F34" s="48" t="s">
        <v>24</v>
      </c>
      <c r="G34" s="48" t="s">
        <v>25</v>
      </c>
      <c r="H34" s="49" t="s">
        <v>27</v>
      </c>
      <c r="I34" s="47" t="s">
        <v>23</v>
      </c>
      <c r="J34" s="49" t="s">
        <v>24</v>
      </c>
      <c r="K34" s="48" t="s">
        <v>25</v>
      </c>
      <c r="L34" s="49" t="s">
        <v>27</v>
      </c>
      <c r="M34" s="50" t="s">
        <v>28</v>
      </c>
    </row>
    <row r="35" spans="1:13" ht="15.75" thickBot="1" x14ac:dyDescent="0.3">
      <c r="A35" s="85" t="s">
        <v>41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25">
      <c r="A36" s="29" t="s">
        <v>29</v>
      </c>
      <c r="B36" s="51">
        <v>1000000</v>
      </c>
      <c r="C36" s="51"/>
      <c r="D36" s="51"/>
      <c r="E36" s="51">
        <v>0</v>
      </c>
      <c r="F36" s="51"/>
      <c r="G36" s="51">
        <v>0</v>
      </c>
      <c r="H36" s="51">
        <v>0</v>
      </c>
      <c r="I36" s="51">
        <v>0</v>
      </c>
      <c r="J36" s="51">
        <v>0</v>
      </c>
      <c r="K36" s="51"/>
      <c r="L36" s="51">
        <f>-SUM(B36:K36)</f>
        <v>-1000000</v>
      </c>
      <c r="M36" s="52">
        <f t="shared" ref="M36:M42" si="0">SUM(B36:L36)</f>
        <v>0</v>
      </c>
    </row>
    <row r="37" spans="1:13" x14ac:dyDescent="0.25">
      <c r="A37" s="9" t="s">
        <v>76</v>
      </c>
      <c r="B37" s="31">
        <v>42500000</v>
      </c>
      <c r="C37" s="31"/>
      <c r="D37" s="19"/>
      <c r="E37" s="19"/>
      <c r="F37" s="19"/>
      <c r="G37" s="19"/>
      <c r="H37" s="19"/>
      <c r="I37" s="19"/>
      <c r="J37" s="19"/>
      <c r="K37" s="19"/>
      <c r="L37" s="19">
        <f>-SUM(B37:K37)</f>
        <v>-42500000</v>
      </c>
      <c r="M37" s="27">
        <f t="shared" si="0"/>
        <v>0</v>
      </c>
    </row>
    <row r="38" spans="1:13" x14ac:dyDescent="0.25">
      <c r="A38" s="9" t="s">
        <v>88</v>
      </c>
      <c r="B38" s="31">
        <v>21445700</v>
      </c>
      <c r="C38" s="31"/>
      <c r="D38" s="19"/>
      <c r="E38" s="19"/>
      <c r="F38" s="19"/>
      <c r="G38" s="19"/>
      <c r="H38" s="19"/>
      <c r="I38" s="19"/>
      <c r="J38" s="19"/>
      <c r="K38" s="19"/>
      <c r="L38" s="19">
        <f>-B38</f>
        <v>-21445700</v>
      </c>
      <c r="M38" s="27"/>
    </row>
    <row r="39" spans="1:13" x14ac:dyDescent="0.25">
      <c r="A39" s="2" t="s">
        <v>30</v>
      </c>
      <c r="B39" s="31"/>
      <c r="C39" s="31">
        <v>30000000</v>
      </c>
      <c r="D39" s="31">
        <v>50000000</v>
      </c>
      <c r="E39" s="31">
        <v>50000000</v>
      </c>
      <c r="F39" s="31"/>
      <c r="G39" s="31"/>
      <c r="H39" s="31"/>
      <c r="I39" s="31">
        <f>-SUM($B$39:$E$39)/4</f>
        <v>-32500000</v>
      </c>
      <c r="J39" s="31">
        <f>-SUM($B$39:$E$39)/4</f>
        <v>-32500000</v>
      </c>
      <c r="K39" s="31">
        <f>-SUM($B$39:$E$39)/4</f>
        <v>-32500000</v>
      </c>
      <c r="L39" s="31">
        <f>-SUM($B$39:$E$39)/4</f>
        <v>-32500000</v>
      </c>
      <c r="M39" s="27">
        <f t="shared" si="0"/>
        <v>0</v>
      </c>
    </row>
    <row r="40" spans="1:13" x14ac:dyDescent="0.25">
      <c r="A40" s="2" t="s">
        <v>42</v>
      </c>
      <c r="B40" s="31">
        <f t="shared" ref="B40:L40" si="1">+B122</f>
        <v>23929939.999999978</v>
      </c>
      <c r="C40" s="31">
        <f t="shared" si="1"/>
        <v>19402059.999999978</v>
      </c>
      <c r="D40" s="31">
        <f t="shared" si="1"/>
        <v>14444000</v>
      </c>
      <c r="E40" s="31">
        <f t="shared" si="1"/>
        <v>26794666.666666649</v>
      </c>
      <c r="F40" s="31">
        <f t="shared" si="1"/>
        <v>66819199.99999997</v>
      </c>
      <c r="G40" s="31">
        <f t="shared" si="1"/>
        <v>106027333.33333328</v>
      </c>
      <c r="H40" s="31">
        <f t="shared" si="1"/>
        <v>138139066.66666663</v>
      </c>
      <c r="I40" s="31">
        <f t="shared" si="1"/>
        <v>112453866.66666666</v>
      </c>
      <c r="J40" s="31">
        <f t="shared" si="1"/>
        <v>96377066.666666657</v>
      </c>
      <c r="K40" s="31">
        <f t="shared" si="1"/>
        <v>76281066.666666672</v>
      </c>
      <c r="L40" s="31">
        <f t="shared" si="1"/>
        <v>60371733.333333336</v>
      </c>
      <c r="M40" s="27">
        <f t="shared" si="0"/>
        <v>741039999.99999976</v>
      </c>
    </row>
    <row r="41" spans="1:13" ht="15.75" thickBot="1" x14ac:dyDescent="0.3">
      <c r="A41" s="30" t="s">
        <v>43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4">
        <f t="shared" si="0"/>
        <v>0</v>
      </c>
    </row>
    <row r="42" spans="1:13" ht="15.75" thickBot="1" x14ac:dyDescent="0.3">
      <c r="A42" s="55" t="s">
        <v>0</v>
      </c>
      <c r="B42" s="56">
        <f t="shared" ref="B42:L42" si="2">SUM(B36:B41)</f>
        <v>88875639.99999997</v>
      </c>
      <c r="C42" s="56">
        <f t="shared" si="2"/>
        <v>49402059.999999978</v>
      </c>
      <c r="D42" s="56">
        <f t="shared" si="2"/>
        <v>64444000</v>
      </c>
      <c r="E42" s="56">
        <f t="shared" si="2"/>
        <v>76794666.666666657</v>
      </c>
      <c r="F42" s="56">
        <f t="shared" si="2"/>
        <v>66819199.99999997</v>
      </c>
      <c r="G42" s="56">
        <f t="shared" si="2"/>
        <v>106027333.33333328</v>
      </c>
      <c r="H42" s="56">
        <f t="shared" si="2"/>
        <v>138139066.66666663</v>
      </c>
      <c r="I42" s="56">
        <f t="shared" si="2"/>
        <v>79953866.666666657</v>
      </c>
      <c r="J42" s="56">
        <f t="shared" si="2"/>
        <v>63877066.666666657</v>
      </c>
      <c r="K42" s="56">
        <f t="shared" si="2"/>
        <v>43781066.666666672</v>
      </c>
      <c r="L42" s="56">
        <f t="shared" si="2"/>
        <v>-37073966.666666664</v>
      </c>
      <c r="M42" s="57">
        <f t="shared" si="0"/>
        <v>741039999.99999976</v>
      </c>
    </row>
    <row r="43" spans="1:13" ht="15.75" thickBot="1" x14ac:dyDescent="0.3">
      <c r="A43" s="85" t="s">
        <v>31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</row>
    <row r="44" spans="1:13" x14ac:dyDescent="0.25">
      <c r="A44" s="29" t="s">
        <v>74</v>
      </c>
      <c r="B44" s="51">
        <v>27590000</v>
      </c>
      <c r="C44" s="51">
        <v>0</v>
      </c>
      <c r="D44" s="51">
        <f>38500000-B44</f>
        <v>10910000</v>
      </c>
      <c r="E44" s="51">
        <f t="shared" ref="E44:L44" si="3">$C19*E60</f>
        <v>0</v>
      </c>
      <c r="F44" s="51">
        <f t="shared" si="3"/>
        <v>0</v>
      </c>
      <c r="G44" s="51">
        <f t="shared" si="3"/>
        <v>0</v>
      </c>
      <c r="H44" s="51">
        <f t="shared" si="3"/>
        <v>0</v>
      </c>
      <c r="I44" s="51">
        <f t="shared" si="3"/>
        <v>0</v>
      </c>
      <c r="J44" s="51">
        <f t="shared" si="3"/>
        <v>0</v>
      </c>
      <c r="K44" s="51">
        <f t="shared" si="3"/>
        <v>0</v>
      </c>
      <c r="L44" s="51">
        <f t="shared" si="3"/>
        <v>0</v>
      </c>
      <c r="M44" s="52">
        <f t="shared" ref="M44:M49" si="4">SUM(B44:L44)</f>
        <v>38500000</v>
      </c>
    </row>
    <row r="45" spans="1:13" x14ac:dyDescent="0.25">
      <c r="A45" s="2" t="s">
        <v>5</v>
      </c>
      <c r="B45" s="25">
        <f t="shared" ref="B45:L45" si="5">+B96</f>
        <v>50210494.999999993</v>
      </c>
      <c r="C45" s="25">
        <f t="shared" si="5"/>
        <v>14683508.199999996</v>
      </c>
      <c r="D45" s="25">
        <f t="shared" si="5"/>
        <v>36502876.799999997</v>
      </c>
      <c r="E45" s="25">
        <f t="shared" si="5"/>
        <v>46642564.799999997</v>
      </c>
      <c r="F45" s="25">
        <f t="shared" si="5"/>
        <v>56782252.799999997</v>
      </c>
      <c r="G45" s="25">
        <f t="shared" si="5"/>
        <v>56782252.799999997</v>
      </c>
      <c r="H45" s="25">
        <f t="shared" si="5"/>
        <v>36502876.799999997</v>
      </c>
      <c r="I45" s="25">
        <f t="shared" si="5"/>
        <v>36502876.799999997</v>
      </c>
      <c r="J45" s="25">
        <f t="shared" si="5"/>
        <v>20279375.999999996</v>
      </c>
      <c r="K45" s="25">
        <f t="shared" si="5"/>
        <v>10139687.999999998</v>
      </c>
      <c r="L45" s="25">
        <f t="shared" si="5"/>
        <v>0</v>
      </c>
      <c r="M45" s="27">
        <f t="shared" si="4"/>
        <v>365028768</v>
      </c>
    </row>
    <row r="46" spans="1:13" x14ac:dyDescent="0.25">
      <c r="A46" s="2" t="s">
        <v>18</v>
      </c>
      <c r="B46" s="25">
        <v>0</v>
      </c>
      <c r="C46" s="25">
        <f t="shared" ref="C46:L46" si="6">$C21*C61</f>
        <v>6510229.7998517426</v>
      </c>
      <c r="D46" s="25">
        <f t="shared" si="6"/>
        <v>6300222.3869532989</v>
      </c>
      <c r="E46" s="25">
        <f t="shared" si="6"/>
        <v>6300222.3869532989</v>
      </c>
      <c r="F46" s="25">
        <f t="shared" si="6"/>
        <v>6300222.3869532989</v>
      </c>
      <c r="G46" s="25">
        <f t="shared" si="6"/>
        <v>4200148.2579688663</v>
      </c>
      <c r="H46" s="25">
        <f t="shared" si="6"/>
        <v>4200148.2579688663</v>
      </c>
      <c r="I46" s="25">
        <f t="shared" si="6"/>
        <v>8190289.1030392917</v>
      </c>
      <c r="J46" s="25">
        <f t="shared" si="6"/>
        <v>0</v>
      </c>
      <c r="K46" s="25">
        <f t="shared" si="6"/>
        <v>0</v>
      </c>
      <c r="L46" s="25">
        <f t="shared" si="6"/>
        <v>0</v>
      </c>
      <c r="M46" s="27">
        <f t="shared" si="4"/>
        <v>42001482.579688668</v>
      </c>
    </row>
    <row r="47" spans="1:13" x14ac:dyDescent="0.25">
      <c r="A47" s="2" t="s">
        <v>67</v>
      </c>
      <c r="B47" s="25">
        <f t="shared" ref="B47:L47" si="7">B62*$C22</f>
        <v>9341500</v>
      </c>
      <c r="C47" s="25">
        <f t="shared" si="7"/>
        <v>1570000</v>
      </c>
      <c r="D47" s="25">
        <f t="shared" si="7"/>
        <v>1570000</v>
      </c>
      <c r="E47" s="25">
        <f t="shared" si="7"/>
        <v>2512000</v>
      </c>
      <c r="F47" s="25">
        <f t="shared" si="7"/>
        <v>2512000</v>
      </c>
      <c r="G47" s="25">
        <f t="shared" si="7"/>
        <v>2512000</v>
      </c>
      <c r="H47" s="25">
        <f t="shared" si="7"/>
        <v>2512000</v>
      </c>
      <c r="I47" s="25">
        <f t="shared" si="7"/>
        <v>2512000</v>
      </c>
      <c r="J47" s="25">
        <f t="shared" si="7"/>
        <v>2512000</v>
      </c>
      <c r="K47" s="25">
        <f t="shared" si="7"/>
        <v>2512000</v>
      </c>
      <c r="L47" s="25">
        <f t="shared" si="7"/>
        <v>1334500.0000000065</v>
      </c>
      <c r="M47" s="27">
        <f t="shared" si="4"/>
        <v>31400000.000000007</v>
      </c>
    </row>
    <row r="48" spans="1:13" x14ac:dyDescent="0.25">
      <c r="A48" s="2" t="s">
        <v>73</v>
      </c>
      <c r="B48" s="25">
        <f t="shared" ref="B48:K48" si="8">B40*$B$30</f>
        <v>1419572.7118644055</v>
      </c>
      <c r="C48" s="25">
        <f t="shared" si="8"/>
        <v>1150969.6610169478</v>
      </c>
      <c r="D48" s="25">
        <f t="shared" si="8"/>
        <v>856847.45762711868</v>
      </c>
      <c r="E48" s="25">
        <f t="shared" si="8"/>
        <v>1589514.1242937844</v>
      </c>
      <c r="F48" s="25">
        <f t="shared" si="8"/>
        <v>3963850.8474576254</v>
      </c>
      <c r="G48" s="25">
        <f t="shared" si="8"/>
        <v>6289757.06214689</v>
      </c>
      <c r="H48" s="25">
        <f t="shared" si="8"/>
        <v>8194690.3954802239</v>
      </c>
      <c r="I48" s="25">
        <f t="shared" si="8"/>
        <v>6670992.0903954795</v>
      </c>
      <c r="J48" s="25">
        <f t="shared" si="8"/>
        <v>5717283.6158192083</v>
      </c>
      <c r="K48" s="25">
        <f t="shared" si="8"/>
        <v>4525148.0225988701</v>
      </c>
      <c r="L48" s="25">
        <f>L40*$B$30</f>
        <v>3581374.011299435</v>
      </c>
      <c r="M48" s="27">
        <f t="shared" si="4"/>
        <v>43959999.999999985</v>
      </c>
    </row>
    <row r="49" spans="1:15" x14ac:dyDescent="0.25">
      <c r="A49" s="2" t="s">
        <v>78</v>
      </c>
      <c r="B49" s="25">
        <f>SUM($B$39:B39)*$B$31/4</f>
        <v>0</v>
      </c>
      <c r="C49" s="25">
        <f>SUM($B$39:C39)*$B$31/4</f>
        <v>750000</v>
      </c>
      <c r="D49" s="25">
        <f>SUM($B$39:D39)*$B$31/4</f>
        <v>2000000</v>
      </c>
      <c r="E49" s="25">
        <f>SUM($B$39:E39)*$B$31/4</f>
        <v>3250000</v>
      </c>
      <c r="F49" s="25">
        <f>SUM($B$39:F39)*$B$31/4</f>
        <v>3250000</v>
      </c>
      <c r="G49" s="25">
        <f>SUM($B$39:G39)*$B$31/4</f>
        <v>3250000</v>
      </c>
      <c r="H49" s="25">
        <f>SUM($B$39:H39)*$B$31/4</f>
        <v>3250000</v>
      </c>
      <c r="I49" s="25">
        <f>SUM($B$39:I39)*$B$31/4</f>
        <v>2437500</v>
      </c>
      <c r="J49" s="25">
        <f>SUM($B$39:J39)*$B$31/4</f>
        <v>1625000</v>
      </c>
      <c r="K49" s="25">
        <f>SUM($B$39:K39)*$B$31/4</f>
        <v>812500</v>
      </c>
      <c r="L49" s="25">
        <f>SUM($B$39:L39)*$B$31/4</f>
        <v>0</v>
      </c>
      <c r="M49" s="27">
        <f t="shared" si="4"/>
        <v>20625000</v>
      </c>
    </row>
    <row r="50" spans="1:15" ht="15.75" thickBot="1" x14ac:dyDescent="0.3">
      <c r="A50" s="58" t="s">
        <v>28</v>
      </c>
      <c r="B50" s="59">
        <f t="shared" ref="B50:M50" si="9">SUM(B44:B49)</f>
        <v>88561567.711864412</v>
      </c>
      <c r="C50" s="59">
        <f t="shared" si="9"/>
        <v>24664707.660868686</v>
      </c>
      <c r="D50" s="59">
        <f t="shared" si="9"/>
        <v>58139946.644580416</v>
      </c>
      <c r="E50" s="59">
        <f t="shared" si="9"/>
        <v>60294301.311247081</v>
      </c>
      <c r="F50" s="59">
        <f t="shared" si="9"/>
        <v>72808326.034410924</v>
      </c>
      <c r="G50" s="59">
        <f t="shared" si="9"/>
        <v>73034158.120115757</v>
      </c>
      <c r="H50" s="59">
        <f t="shared" si="9"/>
        <v>54659715.453449085</v>
      </c>
      <c r="I50" s="59">
        <f t="shared" si="9"/>
        <v>56313657.993434772</v>
      </c>
      <c r="J50" s="59">
        <f t="shared" si="9"/>
        <v>30133659.615819205</v>
      </c>
      <c r="K50" s="59">
        <f t="shared" si="9"/>
        <v>17989336.02259887</v>
      </c>
      <c r="L50" s="59">
        <f t="shared" si="9"/>
        <v>4915874.0112994416</v>
      </c>
      <c r="M50" s="43">
        <f t="shared" si="9"/>
        <v>541515250.57968867</v>
      </c>
      <c r="O50" s="1"/>
    </row>
    <row r="51" spans="1:15" ht="15.75" thickBot="1" x14ac:dyDescent="0.3">
      <c r="A51" s="85" t="s">
        <v>33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O51" s="1"/>
    </row>
    <row r="52" spans="1:15" x14ac:dyDescent="0.25">
      <c r="A52" s="29" t="s">
        <v>34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60"/>
    </row>
    <row r="53" spans="1:15" x14ac:dyDescent="0.25">
      <c r="A53" s="2" t="s">
        <v>35</v>
      </c>
      <c r="B53" s="31">
        <v>0</v>
      </c>
      <c r="C53" s="31">
        <f t="shared" ref="C53:L53" si="10">B55</f>
        <v>314072.28813555837</v>
      </c>
      <c r="D53" s="31">
        <f t="shared" si="10"/>
        <v>25051424.62726685</v>
      </c>
      <c r="E53" s="31">
        <f>D55</f>
        <v>31355477.982686434</v>
      </c>
      <c r="F53" s="31">
        <f t="shared" si="10"/>
        <v>47855843.338106006</v>
      </c>
      <c r="G53" s="31">
        <f t="shared" si="10"/>
        <v>41866717.303695053</v>
      </c>
      <c r="H53" s="31">
        <f t="shared" si="10"/>
        <v>74859892.51691258</v>
      </c>
      <c r="I53" s="31">
        <f t="shared" si="10"/>
        <v>158339243.73013014</v>
      </c>
      <c r="J53" s="31">
        <f t="shared" si="10"/>
        <v>181979452.40336204</v>
      </c>
      <c r="K53" s="31">
        <f t="shared" si="10"/>
        <v>215722859.45420951</v>
      </c>
      <c r="L53" s="31">
        <f t="shared" si="10"/>
        <v>241514590.0982773</v>
      </c>
      <c r="M53" s="33">
        <f>L55</f>
        <v>199524749.42031121</v>
      </c>
      <c r="N53" s="1"/>
      <c r="O53" s="104"/>
    </row>
    <row r="54" spans="1:15" x14ac:dyDescent="0.25">
      <c r="A54" s="2" t="s">
        <v>36</v>
      </c>
      <c r="B54" s="31">
        <f t="shared" ref="B54:L54" si="11">B42-B50</f>
        <v>314072.28813555837</v>
      </c>
      <c r="C54" s="31">
        <f t="shared" si="11"/>
        <v>24737352.339131292</v>
      </c>
      <c r="D54" s="31">
        <f t="shared" si="11"/>
        <v>6304053.3554195836</v>
      </c>
      <c r="E54" s="31">
        <f t="shared" si="11"/>
        <v>16500365.355419576</v>
      </c>
      <c r="F54" s="31">
        <f t="shared" si="11"/>
        <v>-5989126.0344109535</v>
      </c>
      <c r="G54" s="31">
        <f t="shared" si="11"/>
        <v>32993175.213217527</v>
      </c>
      <c r="H54" s="31">
        <f t="shared" si="11"/>
        <v>83479351.213217542</v>
      </c>
      <c r="I54" s="31">
        <f t="shared" si="11"/>
        <v>23640208.673231885</v>
      </c>
      <c r="J54" s="31">
        <f t="shared" si="11"/>
        <v>33743407.050847456</v>
      </c>
      <c r="K54" s="31">
        <f t="shared" si="11"/>
        <v>25791730.644067802</v>
      </c>
      <c r="L54" s="31">
        <f t="shared" si="11"/>
        <v>-41989840.677966103</v>
      </c>
      <c r="M54" s="33"/>
      <c r="N54" s="1"/>
    </row>
    <row r="55" spans="1:15" ht="15.75" thickBot="1" x14ac:dyDescent="0.3">
      <c r="A55" s="16" t="s">
        <v>37</v>
      </c>
      <c r="B55" s="42">
        <f t="shared" ref="B55:L55" si="12">B53+B54</f>
        <v>314072.28813555837</v>
      </c>
      <c r="C55" s="42">
        <f t="shared" si="12"/>
        <v>25051424.62726685</v>
      </c>
      <c r="D55" s="42">
        <f t="shared" si="12"/>
        <v>31355477.982686434</v>
      </c>
      <c r="E55" s="42">
        <f t="shared" si="12"/>
        <v>47855843.338106006</v>
      </c>
      <c r="F55" s="42">
        <f t="shared" si="12"/>
        <v>41866717.303695053</v>
      </c>
      <c r="G55" s="42">
        <f t="shared" si="12"/>
        <v>74859892.51691258</v>
      </c>
      <c r="H55" s="42">
        <f t="shared" si="12"/>
        <v>158339243.73013014</v>
      </c>
      <c r="I55" s="42">
        <f t="shared" si="12"/>
        <v>181979452.40336204</v>
      </c>
      <c r="J55" s="42">
        <f t="shared" si="12"/>
        <v>215722859.45420951</v>
      </c>
      <c r="K55" s="42">
        <f t="shared" si="12"/>
        <v>241514590.0982773</v>
      </c>
      <c r="L55" s="42">
        <f t="shared" si="12"/>
        <v>199524749.42031121</v>
      </c>
      <c r="M55" s="38"/>
      <c r="N55" s="1"/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5" x14ac:dyDescent="0.25">
      <c r="A57" s="86" t="s">
        <v>80</v>
      </c>
      <c r="B57" s="87">
        <f>+(M53+M49+B36+C36+B37+B38)/(M49+SUM(B39:G39))</f>
        <v>1.8927498716701159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5" ht="15.75" thickBot="1" x14ac:dyDescent="0.3">
      <c r="A59" s="34" t="s">
        <v>38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5" x14ac:dyDescent="0.25">
      <c r="A60" s="29" t="s">
        <v>32</v>
      </c>
      <c r="B60" s="61">
        <f>+$B$44/$C$19</f>
        <v>0.71662337662337661</v>
      </c>
      <c r="C60" s="61">
        <v>0.18</v>
      </c>
      <c r="D60" s="61">
        <f>1-SUM(B60:C60)</f>
        <v>0.10337662337662334</v>
      </c>
      <c r="E60" s="61">
        <f>1-SUM(B60:D60)</f>
        <v>0</v>
      </c>
      <c r="F60" s="61">
        <f>1-SUM(B60:E60)</f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2">
        <f>SUM(B60:L60)</f>
        <v>1</v>
      </c>
    </row>
    <row r="61" spans="1:15" x14ac:dyDescent="0.25">
      <c r="A61" s="30" t="s">
        <v>18</v>
      </c>
      <c r="B61" s="63">
        <v>0</v>
      </c>
      <c r="C61" s="63">
        <v>0.155</v>
      </c>
      <c r="D61" s="63">
        <v>0.15</v>
      </c>
      <c r="E61" s="63">
        <v>0.15</v>
      </c>
      <c r="F61" s="63">
        <v>0.15</v>
      </c>
      <c r="G61" s="63">
        <v>0.1</v>
      </c>
      <c r="H61" s="63">
        <v>0.1</v>
      </c>
      <c r="I61" s="63">
        <f>1-SUM(B61:H61)</f>
        <v>0.19500000000000006</v>
      </c>
      <c r="J61" s="63">
        <f>1-SUM(B61:I61)</f>
        <v>0</v>
      </c>
      <c r="K61" s="63">
        <f>1-SUM(B61:J61)</f>
        <v>0</v>
      </c>
      <c r="L61" s="63">
        <v>0</v>
      </c>
      <c r="M61" s="64">
        <f>SUM(B61:L61)</f>
        <v>1</v>
      </c>
    </row>
    <row r="62" spans="1:15" x14ac:dyDescent="0.25">
      <c r="A62" s="2" t="s">
        <v>3</v>
      </c>
      <c r="B62" s="63">
        <v>0.29749999999999999</v>
      </c>
      <c r="C62" s="63">
        <v>0.05</v>
      </c>
      <c r="D62" s="63">
        <v>0.05</v>
      </c>
      <c r="E62" s="63">
        <v>0.08</v>
      </c>
      <c r="F62" s="63">
        <v>0.08</v>
      </c>
      <c r="G62" s="63">
        <v>0.08</v>
      </c>
      <c r="H62" s="63">
        <v>0.08</v>
      </c>
      <c r="I62" s="63">
        <v>0.08</v>
      </c>
      <c r="J62" s="63">
        <v>0.08</v>
      </c>
      <c r="K62" s="63">
        <v>0.08</v>
      </c>
      <c r="L62" s="63">
        <f>1-SUM(B62:K62)</f>
        <v>4.2500000000000204E-2</v>
      </c>
      <c r="M62" s="64">
        <f>SUM(B62:L62)</f>
        <v>1</v>
      </c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5" ht="15.75" thickBot="1" x14ac:dyDescent="0.3">
      <c r="A64" s="2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4"/>
    </row>
    <row r="65" spans="1:13" x14ac:dyDescent="0.25">
      <c r="A65" s="29" t="s">
        <v>44</v>
      </c>
      <c r="B65" s="65">
        <f>+C6</f>
        <v>1256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60"/>
    </row>
    <row r="66" spans="1:13" x14ac:dyDescent="0.25">
      <c r="A66" s="2" t="s">
        <v>63</v>
      </c>
      <c r="B66" s="66"/>
      <c r="C66" s="66">
        <f t="shared" ref="C66:L66" si="13">+B129</f>
        <v>0</v>
      </c>
      <c r="D66" s="66">
        <f t="shared" si="13"/>
        <v>628</v>
      </c>
      <c r="E66" s="66">
        <f t="shared" si="13"/>
        <v>628</v>
      </c>
      <c r="F66" s="66">
        <f t="shared" si="13"/>
        <v>0</v>
      </c>
      <c r="G66" s="66">
        <f t="shared" si="13"/>
        <v>0</v>
      </c>
      <c r="H66" s="66">
        <f t="shared" si="13"/>
        <v>0</v>
      </c>
      <c r="I66" s="66">
        <f t="shared" si="13"/>
        <v>0</v>
      </c>
      <c r="J66" s="66">
        <f t="shared" si="13"/>
        <v>0</v>
      </c>
      <c r="K66" s="66">
        <f t="shared" si="13"/>
        <v>0</v>
      </c>
      <c r="L66" s="66">
        <f t="shared" si="13"/>
        <v>0</v>
      </c>
      <c r="M66" s="67">
        <f>SUM(B66:L66)</f>
        <v>1256</v>
      </c>
    </row>
    <row r="67" spans="1:13" x14ac:dyDescent="0.25">
      <c r="A67" s="2" t="s">
        <v>45</v>
      </c>
      <c r="B67" s="31"/>
      <c r="C67" s="31">
        <f t="shared" ref="C67:L67" si="14">+($C$9*$B$10)*C66</f>
        <v>0</v>
      </c>
      <c r="D67" s="31">
        <f t="shared" si="14"/>
        <v>202793.75999999998</v>
      </c>
      <c r="E67" s="31">
        <f t="shared" si="14"/>
        <v>202793.75999999998</v>
      </c>
      <c r="F67" s="31">
        <f t="shared" si="14"/>
        <v>0</v>
      </c>
      <c r="G67" s="31">
        <f t="shared" si="14"/>
        <v>0</v>
      </c>
      <c r="H67" s="31">
        <f t="shared" si="14"/>
        <v>0</v>
      </c>
      <c r="I67" s="31">
        <f t="shared" si="14"/>
        <v>0</v>
      </c>
      <c r="J67" s="31">
        <f t="shared" si="14"/>
        <v>0</v>
      </c>
      <c r="K67" s="31">
        <f t="shared" si="14"/>
        <v>0</v>
      </c>
      <c r="L67" s="31">
        <f t="shared" si="14"/>
        <v>0</v>
      </c>
      <c r="M67" s="33">
        <f>SUM(B67:L67)</f>
        <v>405587.51999999996</v>
      </c>
    </row>
    <row r="68" spans="1:13" x14ac:dyDescent="0.25">
      <c r="A68" s="2" t="s">
        <v>5</v>
      </c>
      <c r="B68" s="25">
        <v>900</v>
      </c>
      <c r="C68" s="14"/>
      <c r="D68" s="14"/>
      <c r="E68" s="68"/>
      <c r="F68" s="68"/>
      <c r="G68" s="68"/>
      <c r="H68" s="68"/>
      <c r="I68" s="68"/>
      <c r="J68" s="68"/>
      <c r="K68" s="68"/>
      <c r="L68" s="68"/>
      <c r="M68" s="67"/>
    </row>
    <row r="69" spans="1:13" x14ac:dyDescent="0.25">
      <c r="A69" s="2" t="s">
        <v>46</v>
      </c>
      <c r="B69" s="25">
        <v>200</v>
      </c>
      <c r="C69" s="68">
        <f>+$B$68</f>
        <v>900</v>
      </c>
      <c r="D69" s="69">
        <f>+B69/C69</f>
        <v>0.22222222222222221</v>
      </c>
      <c r="E69" s="14"/>
      <c r="F69" s="14"/>
      <c r="G69" s="14"/>
      <c r="H69" s="14"/>
      <c r="I69" s="14"/>
      <c r="J69" s="14"/>
      <c r="K69" s="14"/>
      <c r="L69" s="14"/>
      <c r="M69" s="26"/>
    </row>
    <row r="70" spans="1:13" x14ac:dyDescent="0.25">
      <c r="A70" s="2" t="s">
        <v>47</v>
      </c>
      <c r="B70" s="25">
        <v>400</v>
      </c>
      <c r="C70" s="68">
        <f>+$B$68</f>
        <v>900</v>
      </c>
      <c r="D70" s="69">
        <f t="shared" ref="D70:D71" si="15">+B70/C70</f>
        <v>0.44444444444444442</v>
      </c>
      <c r="E70" s="14"/>
      <c r="F70" s="14"/>
      <c r="G70" s="14"/>
      <c r="H70" s="14"/>
      <c r="I70" s="14"/>
      <c r="J70" s="14"/>
      <c r="K70" s="14"/>
      <c r="L70" s="14"/>
      <c r="M70" s="26"/>
    </row>
    <row r="71" spans="1:13" ht="15.75" thickBot="1" x14ac:dyDescent="0.3">
      <c r="A71" s="16" t="s">
        <v>48</v>
      </c>
      <c r="B71" s="36">
        <f>+B68-SUM(B69:B70)</f>
        <v>300</v>
      </c>
      <c r="C71" s="70">
        <f>+$B$68</f>
        <v>900</v>
      </c>
      <c r="D71" s="71">
        <f t="shared" si="15"/>
        <v>0.33333333333333331</v>
      </c>
      <c r="E71" s="17"/>
      <c r="F71" s="17"/>
      <c r="G71" s="17" t="s">
        <v>81</v>
      </c>
      <c r="H71" s="17"/>
      <c r="I71" s="17"/>
      <c r="J71" s="17"/>
      <c r="K71" s="17"/>
      <c r="L71" s="17"/>
      <c r="M71" s="72"/>
    </row>
    <row r="72" spans="1:13" ht="15.75" thickBot="1" x14ac:dyDescent="0.3">
      <c r="A72" s="73"/>
      <c r="B72" s="48" t="str">
        <f t="shared" ref="B72:M72" si="16">B34</f>
        <v>As on Date</v>
      </c>
      <c r="C72" s="49" t="str">
        <f t="shared" si="16"/>
        <v>3rd Qt</v>
      </c>
      <c r="D72" s="47" t="str">
        <f t="shared" si="16"/>
        <v>4th Qt</v>
      </c>
      <c r="E72" s="48" t="str">
        <f t="shared" si="16"/>
        <v>1st Qtr</v>
      </c>
      <c r="F72" s="48" t="str">
        <f t="shared" si="16"/>
        <v>2nd Qt</v>
      </c>
      <c r="G72" s="49" t="str">
        <f t="shared" si="16"/>
        <v>3rd Qt</v>
      </c>
      <c r="H72" s="47" t="str">
        <f t="shared" si="16"/>
        <v>4th Qtr</v>
      </c>
      <c r="I72" s="48" t="str">
        <f t="shared" si="16"/>
        <v>1st Qtr</v>
      </c>
      <c r="J72" s="48" t="str">
        <f t="shared" si="16"/>
        <v>2nd Qt</v>
      </c>
      <c r="K72" s="49" t="str">
        <f t="shared" si="16"/>
        <v>3rd Qt</v>
      </c>
      <c r="L72" s="47" t="str">
        <f t="shared" si="16"/>
        <v>4th Qtr</v>
      </c>
      <c r="M72" s="50" t="str">
        <f t="shared" si="16"/>
        <v>TOTAL</v>
      </c>
    </row>
    <row r="73" spans="1:13" x14ac:dyDescent="0.25">
      <c r="A73" s="9" t="s">
        <v>46</v>
      </c>
      <c r="B73" s="19">
        <f>+($C$67*$B$69)</f>
        <v>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79">
        <f t="shared" ref="M73:M79" si="17">SUM(B73:L73)</f>
        <v>0</v>
      </c>
    </row>
    <row r="74" spans="1:13" x14ac:dyDescent="0.25">
      <c r="A74" s="2" t="s">
        <v>46</v>
      </c>
      <c r="B74" s="25">
        <f>+($D$67*$B$69)*100%</f>
        <v>40558751.999999993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7">
        <f t="shared" si="17"/>
        <v>40558751.999999993</v>
      </c>
    </row>
    <row r="75" spans="1:13" x14ac:dyDescent="0.25">
      <c r="A75" s="2" t="s">
        <v>46</v>
      </c>
      <c r="B75" s="25">
        <v>9651743</v>
      </c>
      <c r="C75" s="103">
        <f>+($E$67*$B$69)*60%-B75</f>
        <v>14683508.199999996</v>
      </c>
      <c r="D75" s="25">
        <f>+($E$67*$B$69)*40%</f>
        <v>16223500.799999997</v>
      </c>
      <c r="E75" s="25"/>
      <c r="F75" s="37"/>
      <c r="G75" s="37"/>
      <c r="H75" s="37"/>
      <c r="I75" s="37"/>
      <c r="J75" s="37"/>
      <c r="K75" s="37"/>
      <c r="L75" s="37"/>
      <c r="M75" s="54">
        <f t="shared" si="17"/>
        <v>40558751.999999993</v>
      </c>
    </row>
    <row r="76" spans="1:13" x14ac:dyDescent="0.25">
      <c r="A76" s="2" t="s">
        <v>46</v>
      </c>
      <c r="B76" s="37"/>
      <c r="C76" s="37"/>
      <c r="D76" s="37"/>
      <c r="E76" s="25">
        <f>+($F$67*$B$69)</f>
        <v>0</v>
      </c>
      <c r="F76" s="25"/>
      <c r="G76" s="37"/>
      <c r="H76" s="37"/>
      <c r="I76" s="37"/>
      <c r="J76" s="37"/>
      <c r="K76" s="37"/>
      <c r="L76" s="37"/>
      <c r="M76" s="54">
        <f t="shared" si="17"/>
        <v>0</v>
      </c>
    </row>
    <row r="77" spans="1:13" x14ac:dyDescent="0.25">
      <c r="A77" s="2" t="s">
        <v>46</v>
      </c>
      <c r="B77" s="37"/>
      <c r="C77" s="37"/>
      <c r="D77" s="37"/>
      <c r="E77" s="37"/>
      <c r="F77" s="25">
        <f>+($G$67*$B$69)</f>
        <v>0</v>
      </c>
      <c r="G77" s="25"/>
      <c r="H77" s="37"/>
      <c r="I77" s="37"/>
      <c r="J77" s="37"/>
      <c r="K77" s="37"/>
      <c r="L77" s="37"/>
      <c r="M77" s="54">
        <f t="shared" si="17"/>
        <v>0</v>
      </c>
    </row>
    <row r="78" spans="1:13" x14ac:dyDescent="0.25">
      <c r="A78" s="2" t="s">
        <v>46</v>
      </c>
      <c r="B78" s="37"/>
      <c r="C78" s="37"/>
      <c r="D78" s="37"/>
      <c r="E78" s="37"/>
      <c r="F78" s="37"/>
      <c r="G78" s="25">
        <f>+($H$67*$B$69)</f>
        <v>0</v>
      </c>
      <c r="H78" s="25"/>
      <c r="I78" s="37"/>
      <c r="J78" s="37"/>
      <c r="K78" s="37"/>
      <c r="L78" s="37"/>
      <c r="M78" s="54">
        <f t="shared" si="17"/>
        <v>0</v>
      </c>
    </row>
    <row r="79" spans="1:13" ht="15.75" thickBot="1" x14ac:dyDescent="0.3">
      <c r="A79" s="2" t="s">
        <v>46</v>
      </c>
      <c r="B79" s="37"/>
      <c r="C79" s="37"/>
      <c r="D79" s="37"/>
      <c r="E79" s="37"/>
      <c r="F79" s="37"/>
      <c r="G79" s="37"/>
      <c r="H79" s="25">
        <f>+($I$67*$B$69)</f>
        <v>0</v>
      </c>
      <c r="I79" s="25"/>
      <c r="J79" s="37"/>
      <c r="K79" s="37"/>
      <c r="L79" s="37"/>
      <c r="M79" s="54">
        <f t="shared" si="17"/>
        <v>0</v>
      </c>
    </row>
    <row r="80" spans="1:13" ht="15.75" thickBot="1" x14ac:dyDescent="0.3">
      <c r="A80" s="55" t="s">
        <v>49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7">
        <f>SUM(M73:M79)</f>
        <v>81117503.999999985</v>
      </c>
    </row>
    <row r="81" spans="1:13" x14ac:dyDescent="0.25">
      <c r="A81" s="9" t="s">
        <v>47</v>
      </c>
      <c r="B81" s="19"/>
      <c r="C81" s="19">
        <f>+($C$67*$B$70)/4</f>
        <v>0</v>
      </c>
      <c r="D81" s="19">
        <f>+($C$67*$B$70)/4</f>
        <v>0</v>
      </c>
      <c r="E81" s="19">
        <f>+($C$67*$B$70)/4</f>
        <v>0</v>
      </c>
      <c r="F81" s="19">
        <f>+($C$67*$B$70)/4</f>
        <v>0</v>
      </c>
      <c r="G81" s="19"/>
      <c r="H81" s="19"/>
      <c r="I81" s="19"/>
      <c r="J81" s="19"/>
      <c r="K81" s="19"/>
      <c r="L81" s="19"/>
      <c r="M81" s="79">
        <f t="shared" ref="M81:M87" si="18">SUM(B81:L81)</f>
        <v>0</v>
      </c>
    </row>
    <row r="82" spans="1:13" x14ac:dyDescent="0.25">
      <c r="A82" s="2" t="s">
        <v>47</v>
      </c>
      <c r="B82" s="25"/>
      <c r="C82" s="25"/>
      <c r="D82" s="25">
        <f>+($D$67*$B$70)*25%</f>
        <v>20279375.999999996</v>
      </c>
      <c r="E82" s="25">
        <f t="shared" ref="E82:G82" si="19">+($D$67*$B$70)*25%</f>
        <v>20279375.999999996</v>
      </c>
      <c r="F82" s="25">
        <f t="shared" si="19"/>
        <v>20279375.999999996</v>
      </c>
      <c r="G82" s="25">
        <f t="shared" si="19"/>
        <v>20279375.999999996</v>
      </c>
      <c r="H82" s="25"/>
      <c r="I82" s="25"/>
      <c r="J82" s="25"/>
      <c r="K82" s="25"/>
      <c r="L82" s="25"/>
      <c r="M82" s="27">
        <f t="shared" si="18"/>
        <v>81117503.999999985</v>
      </c>
    </row>
    <row r="83" spans="1:13" x14ac:dyDescent="0.25">
      <c r="A83" s="2" t="s">
        <v>47</v>
      </c>
      <c r="B83" s="37"/>
      <c r="C83" s="37"/>
      <c r="D83" s="37"/>
      <c r="E83" s="25">
        <f>+($E$67*$B$70)*20%</f>
        <v>16223500.799999997</v>
      </c>
      <c r="F83" s="25">
        <f>+($E$67*$B$70)*20%</f>
        <v>16223500.799999997</v>
      </c>
      <c r="G83" s="25">
        <f>+($E$67*$B$70)*20%</f>
        <v>16223500.799999997</v>
      </c>
      <c r="H83" s="25">
        <f>+($E$67*$B$70)*20%</f>
        <v>16223500.799999997</v>
      </c>
      <c r="I83" s="25">
        <f>+($E$67*$B$70)*20%</f>
        <v>16223500.799999997</v>
      </c>
      <c r="J83" s="37"/>
      <c r="K83" s="37"/>
      <c r="L83" s="37"/>
      <c r="M83" s="27">
        <f t="shared" si="18"/>
        <v>81117503.999999985</v>
      </c>
    </row>
    <row r="84" spans="1:13" x14ac:dyDescent="0.25">
      <c r="A84" s="2" t="s">
        <v>47</v>
      </c>
      <c r="B84" s="37"/>
      <c r="C84" s="37"/>
      <c r="D84" s="37"/>
      <c r="E84" s="37"/>
      <c r="F84" s="25">
        <f>+($F$67*$B$70)/4</f>
        <v>0</v>
      </c>
      <c r="G84" s="25">
        <f>+($F$67*$B$70)/4</f>
        <v>0</v>
      </c>
      <c r="H84" s="25">
        <f>+($F$67*$B$70)/4</f>
        <v>0</v>
      </c>
      <c r="I84" s="25">
        <f>+($F$67*$B$70)/4</f>
        <v>0</v>
      </c>
      <c r="J84" s="37"/>
      <c r="K84" s="37"/>
      <c r="L84" s="37"/>
      <c r="M84" s="27">
        <f t="shared" si="18"/>
        <v>0</v>
      </c>
    </row>
    <row r="85" spans="1:13" x14ac:dyDescent="0.25">
      <c r="A85" s="2" t="s">
        <v>47</v>
      </c>
      <c r="B85" s="37"/>
      <c r="C85" s="37"/>
      <c r="D85" s="37"/>
      <c r="E85" s="37"/>
      <c r="F85" s="37"/>
      <c r="G85" s="25">
        <f>+($G$67*$B$70)/4</f>
        <v>0</v>
      </c>
      <c r="H85" s="25">
        <f>+($G$67*$B$70)/4</f>
        <v>0</v>
      </c>
      <c r="I85" s="25">
        <f>+($G$67*$B$70)/4</f>
        <v>0</v>
      </c>
      <c r="J85" s="25">
        <f>+($G$67*$B$70)/4</f>
        <v>0</v>
      </c>
      <c r="K85" s="37"/>
      <c r="L85" s="37"/>
      <c r="M85" s="27">
        <f t="shared" si="18"/>
        <v>0</v>
      </c>
    </row>
    <row r="86" spans="1:13" x14ac:dyDescent="0.25">
      <c r="A86" s="2" t="s">
        <v>47</v>
      </c>
      <c r="B86" s="37"/>
      <c r="C86" s="37"/>
      <c r="D86" s="37"/>
      <c r="E86" s="37"/>
      <c r="F86" s="37"/>
      <c r="G86" s="37"/>
      <c r="H86" s="25">
        <f>+($H$67*$B$70)/4</f>
        <v>0</v>
      </c>
      <c r="I86" s="25">
        <f>+($H$67*$B$70)/4</f>
        <v>0</v>
      </c>
      <c r="J86" s="25">
        <f>+($H$67*$B$70)/4</f>
        <v>0</v>
      </c>
      <c r="K86" s="25">
        <f>+($H$67*$B$70)/4</f>
        <v>0</v>
      </c>
      <c r="L86" s="37"/>
      <c r="M86" s="27">
        <f t="shared" si="18"/>
        <v>0</v>
      </c>
    </row>
    <row r="87" spans="1:13" ht="15.75" thickBot="1" x14ac:dyDescent="0.3">
      <c r="A87" s="2" t="s">
        <v>47</v>
      </c>
      <c r="B87" s="37"/>
      <c r="C87" s="37"/>
      <c r="D87" s="37"/>
      <c r="E87" s="37"/>
      <c r="F87" s="37"/>
      <c r="G87" s="37"/>
      <c r="H87" s="37"/>
      <c r="I87" s="25">
        <f>+($I$67*$B$70)/4</f>
        <v>0</v>
      </c>
      <c r="J87" s="25">
        <f>+($I$67*$B$70)/4</f>
        <v>0</v>
      </c>
      <c r="K87" s="25">
        <f>+($I$67*$B$70)/4</f>
        <v>0</v>
      </c>
      <c r="L87" s="25">
        <f>+($I$67*$B$70)/4</f>
        <v>0</v>
      </c>
      <c r="M87" s="27">
        <f t="shared" si="18"/>
        <v>0</v>
      </c>
    </row>
    <row r="88" spans="1:13" ht="15.75" thickBot="1" x14ac:dyDescent="0.3">
      <c r="A88" s="55" t="s">
        <v>50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7">
        <f>SUM(M81:M87)</f>
        <v>162235007.99999997</v>
      </c>
    </row>
    <row r="89" spans="1:13" x14ac:dyDescent="0.25">
      <c r="A89" s="9" t="s">
        <v>48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79">
        <f t="shared" ref="M89:M94" si="20">SUM(B89:L89)</f>
        <v>0</v>
      </c>
    </row>
    <row r="90" spans="1:13" x14ac:dyDescent="0.25">
      <c r="A90" s="2" t="s">
        <v>48</v>
      </c>
      <c r="B90" s="25"/>
      <c r="C90" s="25"/>
      <c r="D90" s="25"/>
      <c r="E90" s="25">
        <f>+($D$67*$B$71)/6</f>
        <v>10139687.999999998</v>
      </c>
      <c r="F90" s="25">
        <f t="shared" ref="F90:J90" si="21">+($D$67*$B$71)/6</f>
        <v>10139687.999999998</v>
      </c>
      <c r="G90" s="25">
        <f t="shared" si="21"/>
        <v>10139687.999999998</v>
      </c>
      <c r="H90" s="25">
        <f t="shared" si="21"/>
        <v>10139687.999999998</v>
      </c>
      <c r="I90" s="25">
        <f t="shared" si="21"/>
        <v>10139687.999999998</v>
      </c>
      <c r="J90" s="25">
        <f t="shared" si="21"/>
        <v>10139687.999999998</v>
      </c>
      <c r="K90" s="25"/>
      <c r="L90" s="25"/>
      <c r="M90" s="27">
        <f t="shared" si="20"/>
        <v>60838127.999999993</v>
      </c>
    </row>
    <row r="91" spans="1:13" x14ac:dyDescent="0.25">
      <c r="A91" s="2" t="s">
        <v>48</v>
      </c>
      <c r="B91" s="37"/>
      <c r="C91" s="37"/>
      <c r="D91" s="37"/>
      <c r="E91" s="37"/>
      <c r="F91" s="25">
        <f>+($E$67*$B$71)/6</f>
        <v>10139687.999999998</v>
      </c>
      <c r="G91" s="25">
        <f t="shared" ref="G91:K91" si="22">+($E$67*$B$71)/6</f>
        <v>10139687.999999998</v>
      </c>
      <c r="H91" s="25">
        <f t="shared" si="22"/>
        <v>10139687.999999998</v>
      </c>
      <c r="I91" s="25">
        <f t="shared" si="22"/>
        <v>10139687.999999998</v>
      </c>
      <c r="J91" s="25">
        <f t="shared" si="22"/>
        <v>10139687.999999998</v>
      </c>
      <c r="K91" s="25">
        <f t="shared" si="22"/>
        <v>10139687.999999998</v>
      </c>
      <c r="L91" s="37"/>
      <c r="M91" s="27">
        <f t="shared" si="20"/>
        <v>60838127.999999993</v>
      </c>
    </row>
    <row r="92" spans="1:13" x14ac:dyDescent="0.25">
      <c r="A92" s="2" t="s">
        <v>48</v>
      </c>
      <c r="B92" s="37"/>
      <c r="C92" s="37"/>
      <c r="D92" s="37"/>
      <c r="E92" s="37"/>
      <c r="F92" s="37"/>
      <c r="G92" s="25"/>
      <c r="H92" s="25"/>
      <c r="I92" s="25"/>
      <c r="J92" s="25"/>
      <c r="K92" s="25"/>
      <c r="L92" s="25"/>
      <c r="M92" s="27">
        <f t="shared" si="20"/>
        <v>0</v>
      </c>
    </row>
    <row r="93" spans="1:13" x14ac:dyDescent="0.25">
      <c r="A93" s="2" t="s">
        <v>48</v>
      </c>
      <c r="B93" s="37"/>
      <c r="C93" s="37"/>
      <c r="D93" s="37"/>
      <c r="E93" s="37"/>
      <c r="F93" s="37"/>
      <c r="G93" s="37"/>
      <c r="H93" s="25"/>
      <c r="I93" s="25"/>
      <c r="J93" s="25"/>
      <c r="K93" s="25"/>
      <c r="L93" s="25"/>
      <c r="M93" s="27">
        <f t="shared" si="20"/>
        <v>0</v>
      </c>
    </row>
    <row r="94" spans="1:13" ht="15.75" thickBot="1" x14ac:dyDescent="0.3">
      <c r="A94" s="30" t="s">
        <v>48</v>
      </c>
      <c r="B94" s="37"/>
      <c r="C94" s="37"/>
      <c r="D94" s="37"/>
      <c r="E94" s="37"/>
      <c r="F94" s="37"/>
      <c r="G94" s="37"/>
      <c r="H94" s="37"/>
      <c r="I94" s="25"/>
      <c r="J94" s="25"/>
      <c r="K94" s="25"/>
      <c r="L94" s="25"/>
      <c r="M94" s="27">
        <f t="shared" si="20"/>
        <v>0</v>
      </c>
    </row>
    <row r="95" spans="1:13" ht="15.75" thickBot="1" x14ac:dyDescent="0.3">
      <c r="A95" s="55" t="s">
        <v>51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7">
        <f>SUM(M89:M94)</f>
        <v>121676255.99999999</v>
      </c>
    </row>
    <row r="96" spans="1:13" ht="15.75" thickBot="1" x14ac:dyDescent="0.3">
      <c r="A96" s="55" t="s">
        <v>52</v>
      </c>
      <c r="B96" s="56">
        <f t="shared" ref="B96:L96" si="23">SUM(B73:B95)</f>
        <v>50210494.999999993</v>
      </c>
      <c r="C96" s="56">
        <f t="shared" si="23"/>
        <v>14683508.199999996</v>
      </c>
      <c r="D96" s="56">
        <f t="shared" si="23"/>
        <v>36502876.799999997</v>
      </c>
      <c r="E96" s="56">
        <f>SUM(E73:E95)</f>
        <v>46642564.799999997</v>
      </c>
      <c r="F96" s="56">
        <f t="shared" si="23"/>
        <v>56782252.799999997</v>
      </c>
      <c r="G96" s="56">
        <f t="shared" si="23"/>
        <v>56782252.799999997</v>
      </c>
      <c r="H96" s="56">
        <f t="shared" si="23"/>
        <v>36502876.799999997</v>
      </c>
      <c r="I96" s="56">
        <f t="shared" si="23"/>
        <v>36502876.799999997</v>
      </c>
      <c r="J96" s="56">
        <f t="shared" si="23"/>
        <v>20279375.999999996</v>
      </c>
      <c r="K96" s="56">
        <f t="shared" si="23"/>
        <v>10139687.999999998</v>
      </c>
      <c r="L96" s="56">
        <f t="shared" si="23"/>
        <v>0</v>
      </c>
      <c r="M96" s="57">
        <f>SUM(B96:L96)</f>
        <v>365028768</v>
      </c>
    </row>
    <row r="97" spans="1:13" ht="15.75" thickBo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x14ac:dyDescent="0.25">
      <c r="A98" s="29" t="s">
        <v>53</v>
      </c>
      <c r="B98" s="60" t="s">
        <v>65</v>
      </c>
      <c r="C98" s="60" t="s">
        <v>66</v>
      </c>
      <c r="D98" s="84"/>
      <c r="E98" s="4"/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2" t="s">
        <v>54</v>
      </c>
      <c r="B99" s="27">
        <v>5000</v>
      </c>
      <c r="C99" s="27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x14ac:dyDescent="0.25">
      <c r="A100" s="2" t="s">
        <v>55</v>
      </c>
      <c r="B100" s="27">
        <v>69000</v>
      </c>
      <c r="C100" s="27">
        <v>58999.999999999927</v>
      </c>
      <c r="D100" s="35"/>
      <c r="E100" s="35"/>
      <c r="F100" s="4"/>
      <c r="G100" s="4"/>
      <c r="H100" s="4"/>
      <c r="I100" s="4"/>
      <c r="J100" s="4"/>
      <c r="K100" s="4"/>
      <c r="L100" s="4"/>
      <c r="M100" s="4"/>
    </row>
    <row r="101" spans="1:13" x14ac:dyDescent="0.25">
      <c r="A101" s="2" t="s">
        <v>47</v>
      </c>
      <c r="B101" s="27">
        <v>69000</v>
      </c>
      <c r="C101" s="27">
        <v>58999.999999999927</v>
      </c>
      <c r="D101" s="35"/>
      <c r="E101" s="35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2" t="s">
        <v>56</v>
      </c>
      <c r="B102" s="27">
        <v>103000</v>
      </c>
      <c r="C102" s="27">
        <v>49000</v>
      </c>
      <c r="D102" s="35"/>
      <c r="E102" s="35"/>
      <c r="F102" s="35"/>
      <c r="G102" s="4"/>
      <c r="H102" s="4"/>
      <c r="I102" s="4"/>
      <c r="J102" s="4"/>
      <c r="K102" s="4"/>
      <c r="L102" s="4"/>
      <c r="M102" s="4"/>
    </row>
    <row r="103" spans="1:13" ht="15.75" thickBot="1" x14ac:dyDescent="0.3">
      <c r="A103" s="16" t="s">
        <v>57</v>
      </c>
      <c r="B103" s="74">
        <v>98000</v>
      </c>
      <c r="C103" s="74">
        <v>79000</v>
      </c>
      <c r="D103" s="35"/>
      <c r="E103" s="35"/>
      <c r="F103" s="4"/>
      <c r="G103" s="4"/>
      <c r="H103" s="4"/>
      <c r="I103" s="4"/>
      <c r="J103" s="4"/>
      <c r="K103" s="4"/>
      <c r="L103" s="4"/>
      <c r="M103" s="4"/>
    </row>
    <row r="104" spans="1:13" x14ac:dyDescent="0.25">
      <c r="A104" s="23" t="s">
        <v>58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2"/>
    </row>
    <row r="105" spans="1:13" x14ac:dyDescent="0.25">
      <c r="A105" s="2" t="s">
        <v>54</v>
      </c>
      <c r="B105" s="25">
        <f>($B$99*(C129+D129))*89%</f>
        <v>5589200</v>
      </c>
      <c r="C105" s="25">
        <f>($B$99*(C129+D129))-B105</f>
        <v>690800</v>
      </c>
      <c r="E105" s="25"/>
      <c r="F105" s="25"/>
      <c r="G105" s="25"/>
      <c r="H105" s="25"/>
      <c r="I105" s="25"/>
      <c r="J105" s="25"/>
      <c r="K105" s="25"/>
      <c r="L105" s="25"/>
      <c r="M105" s="27">
        <f>SUM(B105:L105)</f>
        <v>6280000</v>
      </c>
    </row>
    <row r="106" spans="1:13" x14ac:dyDescent="0.25">
      <c r="A106" s="2" t="s">
        <v>55</v>
      </c>
      <c r="B106" s="25">
        <f>($C$100*$C$129)*49.5%</f>
        <v>18340739.999999978</v>
      </c>
      <c r="C106" s="25">
        <f>($C$100*$C$129)-B106</f>
        <v>18711259.999999978</v>
      </c>
      <c r="D106" s="25"/>
      <c r="F106" s="25"/>
      <c r="G106" s="25"/>
      <c r="H106" s="25"/>
      <c r="I106" s="25"/>
      <c r="J106" s="25"/>
      <c r="K106" s="25"/>
      <c r="L106" s="25"/>
      <c r="M106" s="27">
        <f>SUM(B106:L106)</f>
        <v>37051999.999999955</v>
      </c>
    </row>
    <row r="107" spans="1:13" x14ac:dyDescent="0.25">
      <c r="A107" s="2" t="s">
        <v>55</v>
      </c>
      <c r="B107" s="25"/>
      <c r="C107" s="25"/>
      <c r="D107" s="25">
        <f t="shared" ref="D107" si="24">($B$100*$D$129)/3</f>
        <v>14444000</v>
      </c>
      <c r="E107" s="25">
        <f>($B$100*$D$129)/3</f>
        <v>14444000</v>
      </c>
      <c r="F107" s="25">
        <f t="shared" ref="F107" si="25">($B$100*$D$129)/3</f>
        <v>14444000</v>
      </c>
      <c r="G107" s="25"/>
      <c r="H107" s="25"/>
      <c r="I107" s="25"/>
      <c r="J107" s="25"/>
      <c r="K107" s="25"/>
      <c r="L107" s="25"/>
      <c r="M107" s="27">
        <f>SUM(B107:L107)</f>
        <v>43332000</v>
      </c>
    </row>
    <row r="108" spans="1:13" x14ac:dyDescent="0.25">
      <c r="A108" s="2" t="s">
        <v>55</v>
      </c>
      <c r="B108" s="25"/>
      <c r="C108" s="25"/>
      <c r="D108" s="25"/>
      <c r="E108" s="25">
        <f t="shared" ref="E108" si="26">($C$100*$C$129)/3</f>
        <v>12350666.666666651</v>
      </c>
      <c r="F108" s="25">
        <f>($C$100*$C$129)/3</f>
        <v>12350666.666666651</v>
      </c>
      <c r="G108" s="25">
        <f t="shared" ref="G108" si="27">($C$100*$C$129)/3</f>
        <v>12350666.666666651</v>
      </c>
      <c r="H108" s="25"/>
      <c r="I108" s="25"/>
      <c r="J108" s="25"/>
      <c r="K108" s="25"/>
      <c r="L108" s="25"/>
      <c r="M108" s="27">
        <f>SUM(B108:L108)</f>
        <v>37051999.999999955</v>
      </c>
    </row>
    <row r="109" spans="1:13" x14ac:dyDescent="0.25">
      <c r="A109" s="2" t="s">
        <v>55</v>
      </c>
      <c r="B109" s="25"/>
      <c r="C109" s="25"/>
      <c r="D109" s="25"/>
      <c r="E109" s="25"/>
      <c r="F109" s="25"/>
      <c r="G109" s="25">
        <f>($B$100*$D$129)/2</f>
        <v>21666000</v>
      </c>
      <c r="H109" s="25">
        <f>($B$100*$D$129)/2</f>
        <v>21666000</v>
      </c>
      <c r="I109" s="25"/>
      <c r="J109" s="25"/>
      <c r="K109" s="25"/>
      <c r="L109" s="25"/>
      <c r="M109" s="27">
        <f>SUM(B109:L109)</f>
        <v>43332000</v>
      </c>
    </row>
    <row r="110" spans="1:13" x14ac:dyDescent="0.25">
      <c r="A110" s="2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7"/>
    </row>
    <row r="111" spans="1:13" x14ac:dyDescent="0.25">
      <c r="A111" s="2" t="s">
        <v>47</v>
      </c>
      <c r="B111" s="25"/>
      <c r="C111" s="25"/>
      <c r="D111" s="25"/>
      <c r="E111" s="25"/>
      <c r="F111" s="25">
        <f>(($B$101+$C$101)*$C$129)*30%</f>
        <v>24115199.999999985</v>
      </c>
      <c r="G111" s="25">
        <f>(($B$101+$C$101)*$C$129)*25%</f>
        <v>20095999.999999989</v>
      </c>
      <c r="H111" s="25">
        <f>(($B$101+$C$101)*$C$129)*25%</f>
        <v>20095999.999999989</v>
      </c>
      <c r="I111" s="25">
        <f>(($B$101+$C$101)*$C$129)*20%</f>
        <v>16076799.999999993</v>
      </c>
      <c r="J111" s="25"/>
      <c r="K111" s="25"/>
      <c r="L111" s="25"/>
      <c r="M111" s="27">
        <f>SUM(B111:L111)</f>
        <v>80383999.99999994</v>
      </c>
    </row>
    <row r="112" spans="1:13" x14ac:dyDescent="0.25">
      <c r="A112" s="2" t="s">
        <v>47</v>
      </c>
      <c r="B112" s="25"/>
      <c r="C112" s="25"/>
      <c r="D112" s="25"/>
      <c r="E112" s="25"/>
      <c r="F112" s="25"/>
      <c r="G112" s="25">
        <f>(($B$101+$C$101)*$D$129)/4</f>
        <v>20095999.999999989</v>
      </c>
      <c r="H112" s="25">
        <f>(($B$101+$C$101)*$D$129)/4</f>
        <v>20095999.999999989</v>
      </c>
      <c r="I112" s="25">
        <f>(($B$101+$C$101)*$D$129)/4</f>
        <v>20095999.999999989</v>
      </c>
      <c r="J112" s="25">
        <f>(($B$101+$C$101)*$D$129)/4</f>
        <v>20095999.999999989</v>
      </c>
      <c r="K112" s="25"/>
      <c r="L112" s="25"/>
      <c r="M112" s="27">
        <f>SUM(B112:L112)</f>
        <v>80383999.999999955</v>
      </c>
    </row>
    <row r="113" spans="1:13" x14ac:dyDescent="0.25">
      <c r="A113" s="2" t="s">
        <v>47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7">
        <f>SUM(B113:L113)</f>
        <v>0</v>
      </c>
    </row>
    <row r="114" spans="1:13" x14ac:dyDescent="0.25">
      <c r="A114" s="2" t="s">
        <v>47</v>
      </c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7">
        <f>SUM(B114:L114)</f>
        <v>0</v>
      </c>
    </row>
    <row r="115" spans="1:13" x14ac:dyDescent="0.25">
      <c r="A115" s="2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7"/>
    </row>
    <row r="116" spans="1:13" x14ac:dyDescent="0.25">
      <c r="A116" s="2" t="s">
        <v>56</v>
      </c>
      <c r="B116" s="37"/>
      <c r="C116" s="37"/>
      <c r="D116" s="37"/>
      <c r="E116" s="37"/>
      <c r="F116" s="25">
        <f>(($B$102+$C$102)*$C$129)/6</f>
        <v>15909333.333333334</v>
      </c>
      <c r="G116" s="25">
        <f t="shared" ref="G116:K116" si="28">(($B$102+$C$102)*$C$129)/6</f>
        <v>15909333.333333334</v>
      </c>
      <c r="H116" s="25">
        <f t="shared" si="28"/>
        <v>15909333.333333334</v>
      </c>
      <c r="I116" s="25">
        <f t="shared" si="28"/>
        <v>15909333.333333334</v>
      </c>
      <c r="J116" s="25">
        <f t="shared" si="28"/>
        <v>15909333.333333334</v>
      </c>
      <c r="K116" s="25">
        <f t="shared" si="28"/>
        <v>15909333.333333334</v>
      </c>
      <c r="L116" s="25"/>
      <c r="M116" s="27">
        <f>SUM(B116:L116)</f>
        <v>95456000</v>
      </c>
    </row>
    <row r="117" spans="1:13" x14ac:dyDescent="0.25">
      <c r="A117" s="2" t="s">
        <v>56</v>
      </c>
      <c r="B117" s="37"/>
      <c r="C117" s="37"/>
      <c r="D117" s="37"/>
      <c r="E117" s="37"/>
      <c r="F117" s="37"/>
      <c r="G117" s="25">
        <f>(($B$102+$C$102)*$D$129)/6</f>
        <v>15909333.333333334</v>
      </c>
      <c r="H117" s="25">
        <f t="shared" ref="H117:L117" si="29">(($B$102+$C$102)*$D$129)/6</f>
        <v>15909333.333333334</v>
      </c>
      <c r="I117" s="25">
        <f t="shared" si="29"/>
        <v>15909333.333333334</v>
      </c>
      <c r="J117" s="25">
        <f t="shared" si="29"/>
        <v>15909333.333333334</v>
      </c>
      <c r="K117" s="25">
        <f t="shared" si="29"/>
        <v>15909333.333333334</v>
      </c>
      <c r="L117" s="25">
        <f t="shared" si="29"/>
        <v>15909333.333333334</v>
      </c>
      <c r="M117" s="27">
        <f>SUM(B117:L117)</f>
        <v>95456000</v>
      </c>
    </row>
    <row r="118" spans="1:13" x14ac:dyDescent="0.25">
      <c r="A118" s="2" t="s">
        <v>56</v>
      </c>
      <c r="B118" s="37"/>
      <c r="C118" s="37"/>
      <c r="D118" s="37"/>
      <c r="E118" s="37"/>
      <c r="F118" s="37"/>
      <c r="G118" s="37"/>
      <c r="H118" s="37"/>
      <c r="I118" s="25"/>
      <c r="J118" s="25"/>
      <c r="K118" s="25"/>
      <c r="L118" s="25"/>
      <c r="M118" s="27">
        <f>SUM(B118:L118)</f>
        <v>0</v>
      </c>
    </row>
    <row r="119" spans="1:13" x14ac:dyDescent="0.25">
      <c r="A119" s="2" t="s">
        <v>56</v>
      </c>
      <c r="B119" s="37"/>
      <c r="C119" s="37"/>
      <c r="D119" s="37"/>
      <c r="E119" s="37"/>
      <c r="F119" s="37"/>
      <c r="G119" s="37"/>
      <c r="H119" s="37"/>
      <c r="I119" s="37"/>
      <c r="J119" s="25"/>
      <c r="K119" s="25"/>
      <c r="L119" s="25"/>
      <c r="M119" s="27">
        <f>SUM(B119:L119)</f>
        <v>0</v>
      </c>
    </row>
    <row r="120" spans="1:13" x14ac:dyDescent="0.25">
      <c r="A120" s="2"/>
      <c r="B120" s="37"/>
      <c r="C120" s="37"/>
      <c r="D120" s="37"/>
      <c r="E120" s="37"/>
      <c r="F120" s="37"/>
      <c r="G120" s="37"/>
      <c r="H120" s="37"/>
      <c r="I120" s="37"/>
      <c r="J120" s="37"/>
      <c r="K120" s="25"/>
      <c r="L120" s="25"/>
      <c r="M120" s="27"/>
    </row>
    <row r="121" spans="1:13" ht="15.75" thickBot="1" x14ac:dyDescent="0.3">
      <c r="A121" s="30" t="s">
        <v>57</v>
      </c>
      <c r="B121" s="37"/>
      <c r="C121" s="37"/>
      <c r="D121" s="37"/>
      <c r="E121" s="37"/>
      <c r="F121" s="37"/>
      <c r="G121" s="37"/>
      <c r="H121" s="25">
        <f>(($B$103+$C$103)*($C$129+$D$129))/5</f>
        <v>44462400</v>
      </c>
      <c r="I121" s="25">
        <f>(($B$103+$C$103)*($C$129+$D$129))/5</f>
        <v>44462400</v>
      </c>
      <c r="J121" s="25">
        <f>(($B$103+$C$103)*($C$129+$D$129))/5</f>
        <v>44462400</v>
      </c>
      <c r="K121" s="25">
        <f>(($B$103+$C$103)*($C$129+$D$129))/5</f>
        <v>44462400</v>
      </c>
      <c r="L121" s="25">
        <f>(($B$103+$C$103)*($C$129+$D$129))/5</f>
        <v>44462400</v>
      </c>
      <c r="M121" s="54">
        <f>SUM(B121:L121)</f>
        <v>222312000</v>
      </c>
    </row>
    <row r="122" spans="1:13" ht="15.75" thickBot="1" x14ac:dyDescent="0.3">
      <c r="A122" s="55" t="s">
        <v>59</v>
      </c>
      <c r="B122" s="56">
        <f>SUM(B105:B121)</f>
        <v>23929939.999999978</v>
      </c>
      <c r="C122" s="56">
        <f t="shared" ref="C122" si="30">SUM(C105:C121)</f>
        <v>19402059.999999978</v>
      </c>
      <c r="D122" s="56">
        <f>SUM(D105:D121)</f>
        <v>14444000</v>
      </c>
      <c r="E122" s="56">
        <f t="shared" ref="E122:L122" si="31">SUM(E105:E121)</f>
        <v>26794666.666666649</v>
      </c>
      <c r="F122" s="56">
        <f t="shared" si="31"/>
        <v>66819199.99999997</v>
      </c>
      <c r="G122" s="56">
        <f t="shared" si="31"/>
        <v>106027333.33333328</v>
      </c>
      <c r="H122" s="56">
        <f t="shared" si="31"/>
        <v>138139066.66666663</v>
      </c>
      <c r="I122" s="56">
        <f t="shared" si="31"/>
        <v>112453866.66666666</v>
      </c>
      <c r="J122" s="56">
        <f t="shared" si="31"/>
        <v>96377066.666666657</v>
      </c>
      <c r="K122" s="56">
        <f t="shared" si="31"/>
        <v>76281066.666666672</v>
      </c>
      <c r="L122" s="56">
        <f t="shared" si="31"/>
        <v>60371733.333333336</v>
      </c>
      <c r="M122" s="57">
        <f t="shared" ref="M122" si="32">SUM(M105:M121)</f>
        <v>741039999.99999976</v>
      </c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5.75" thickBo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5.75" thickBot="1" x14ac:dyDescent="0.3">
      <c r="A125" s="55" t="s">
        <v>44</v>
      </c>
      <c r="B125" s="6" t="str">
        <f t="shared" ref="B125:M125" si="33">B34</f>
        <v>As on Date</v>
      </c>
      <c r="C125" s="6" t="str">
        <f t="shared" si="33"/>
        <v>3rd Qt</v>
      </c>
      <c r="D125" s="6" t="str">
        <f t="shared" si="33"/>
        <v>4th Qt</v>
      </c>
      <c r="E125" s="6" t="str">
        <f t="shared" si="33"/>
        <v>1st Qtr</v>
      </c>
      <c r="F125" s="6" t="str">
        <f t="shared" si="33"/>
        <v>2nd Qt</v>
      </c>
      <c r="G125" s="6" t="str">
        <f t="shared" si="33"/>
        <v>3rd Qt</v>
      </c>
      <c r="H125" s="6" t="str">
        <f t="shared" si="33"/>
        <v>4th Qtr</v>
      </c>
      <c r="I125" s="6" t="str">
        <f t="shared" si="33"/>
        <v>1st Qtr</v>
      </c>
      <c r="J125" s="6" t="str">
        <f t="shared" si="33"/>
        <v>2nd Qt</v>
      </c>
      <c r="K125" s="6" t="str">
        <f t="shared" si="33"/>
        <v>3rd Qt</v>
      </c>
      <c r="L125" s="6" t="str">
        <f t="shared" si="33"/>
        <v>4th Qtr</v>
      </c>
      <c r="M125" s="7" t="str">
        <f t="shared" si="33"/>
        <v>TOTAL</v>
      </c>
    </row>
    <row r="126" spans="1:13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75"/>
    </row>
    <row r="127" spans="1:13" x14ac:dyDescent="0.25">
      <c r="A127" s="2" t="s">
        <v>70</v>
      </c>
      <c r="B127" s="14"/>
      <c r="C127" s="14">
        <f>+$C$6/2</f>
        <v>628</v>
      </c>
      <c r="D127" s="14">
        <f>+$C$6/2</f>
        <v>628</v>
      </c>
      <c r="E127" s="14"/>
      <c r="F127" s="14"/>
      <c r="G127" s="14"/>
      <c r="H127" s="14"/>
      <c r="I127" s="14"/>
      <c r="J127" s="14"/>
      <c r="K127" s="14"/>
      <c r="L127" s="14"/>
      <c r="M127" s="26">
        <f>SUM(B127:L127)</f>
        <v>1256</v>
      </c>
    </row>
    <row r="128" spans="1:13" ht="15.75" thickBot="1" x14ac:dyDescent="0.3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72"/>
    </row>
    <row r="129" spans="1:13" ht="15.75" thickBot="1" x14ac:dyDescent="0.3">
      <c r="A129" s="58" t="s">
        <v>0</v>
      </c>
      <c r="B129" s="76">
        <f t="shared" ref="B129:M129" si="34">SUM(B127:B128)</f>
        <v>0</v>
      </c>
      <c r="C129" s="76">
        <f t="shared" si="34"/>
        <v>628</v>
      </c>
      <c r="D129" s="76">
        <f t="shared" si="34"/>
        <v>628</v>
      </c>
      <c r="E129" s="76">
        <f t="shared" si="34"/>
        <v>0</v>
      </c>
      <c r="F129" s="76">
        <f t="shared" si="34"/>
        <v>0</v>
      </c>
      <c r="G129" s="76">
        <f t="shared" si="34"/>
        <v>0</v>
      </c>
      <c r="H129" s="76">
        <f t="shared" si="34"/>
        <v>0</v>
      </c>
      <c r="I129" s="76">
        <f t="shared" si="34"/>
        <v>0</v>
      </c>
      <c r="J129" s="76">
        <f t="shared" si="34"/>
        <v>0</v>
      </c>
      <c r="K129" s="76">
        <f t="shared" si="34"/>
        <v>0</v>
      </c>
      <c r="L129" s="76">
        <f t="shared" si="34"/>
        <v>0</v>
      </c>
      <c r="M129" s="77">
        <f t="shared" si="34"/>
        <v>1256</v>
      </c>
    </row>
  </sheetData>
  <mergeCells count="6">
    <mergeCell ref="A1:E1"/>
    <mergeCell ref="G7:J7"/>
    <mergeCell ref="G18:J18"/>
    <mergeCell ref="B33:D33"/>
    <mergeCell ref="E33:H33"/>
    <mergeCell ref="I33:L33"/>
  </mergeCells>
  <pageMargins left="0.7" right="0.7" top="0.75" bottom="0.75" header="0.3" footer="0.3"/>
  <pageSetup paperSize="9" scale="52" fitToHeight="0" orientation="landscape" horizontalDpi="300" verticalDpi="300" r:id="rId1"/>
  <rowBreaks count="2" manualBreakCount="2">
    <brk id="50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14" sqref="F14"/>
    </sheetView>
  </sheetViews>
  <sheetFormatPr defaultColWidth="9.140625" defaultRowHeight="16.5" x14ac:dyDescent="0.3"/>
  <cols>
    <col min="1" max="1" width="9.140625" style="94"/>
    <col min="2" max="2" width="41.85546875" style="94" bestFit="1" customWidth="1"/>
    <col min="3" max="3" width="16.5703125" style="94" bestFit="1" customWidth="1"/>
    <col min="4" max="4" width="9.140625" style="94"/>
    <col min="5" max="5" width="10.140625" style="94" bestFit="1" customWidth="1"/>
    <col min="6" max="6" width="14.28515625" style="94" bestFit="1" customWidth="1"/>
    <col min="7" max="16384" width="9.140625" style="94"/>
  </cols>
  <sheetData>
    <row r="1" spans="1:6" x14ac:dyDescent="0.3">
      <c r="A1" s="97" t="s">
        <v>82</v>
      </c>
      <c r="B1" s="97" t="s">
        <v>83</v>
      </c>
      <c r="C1" s="97" t="s">
        <v>84</v>
      </c>
      <c r="D1" s="97" t="s">
        <v>87</v>
      </c>
    </row>
    <row r="2" spans="1:6" x14ac:dyDescent="0.3">
      <c r="A2" s="96"/>
      <c r="B2" s="97" t="s">
        <v>85</v>
      </c>
      <c r="C2" s="96"/>
      <c r="D2" s="96"/>
    </row>
    <row r="3" spans="1:6" x14ac:dyDescent="0.3">
      <c r="A3" s="96">
        <f>1</f>
        <v>1</v>
      </c>
      <c r="B3" s="96" t="s">
        <v>74</v>
      </c>
      <c r="C3" s="98">
        <f>'CF Kanakpur'!M44</f>
        <v>38500000</v>
      </c>
      <c r="D3" s="100">
        <f>C3/C9*100</f>
        <v>7.1096797290170493</v>
      </c>
    </row>
    <row r="4" spans="1:6" x14ac:dyDescent="0.3">
      <c r="A4" s="96">
        <f>A3+1</f>
        <v>2</v>
      </c>
      <c r="B4" s="96" t="s">
        <v>5</v>
      </c>
      <c r="C4" s="98">
        <f>'CF Kanakpur'!M45</f>
        <v>365028768</v>
      </c>
      <c r="D4" s="100">
        <f>C4/C9*100</f>
        <v>67.408769671627709</v>
      </c>
    </row>
    <row r="5" spans="1:6" x14ac:dyDescent="0.3">
      <c r="A5" s="96">
        <f t="shared" ref="A5:A8" si="0">A4+1</f>
        <v>3</v>
      </c>
      <c r="B5" s="96" t="s">
        <v>18</v>
      </c>
      <c r="C5" s="98">
        <f>'CF Kanakpur'!M46</f>
        <v>42001482.579688668</v>
      </c>
      <c r="D5" s="100">
        <f>C5/C9*100</f>
        <v>7.7562880333889668</v>
      </c>
    </row>
    <row r="6" spans="1:6" x14ac:dyDescent="0.3">
      <c r="A6" s="96">
        <f t="shared" si="0"/>
        <v>4</v>
      </c>
      <c r="B6" s="96" t="s">
        <v>67</v>
      </c>
      <c r="C6" s="98">
        <f>'CF Kanakpur'!M47</f>
        <v>31400000.000000007</v>
      </c>
      <c r="D6" s="100">
        <f>C6/C9*100</f>
        <v>5.7985439867827369</v>
      </c>
    </row>
    <row r="7" spans="1:6" x14ac:dyDescent="0.3">
      <c r="A7" s="96">
        <f t="shared" si="0"/>
        <v>5</v>
      </c>
      <c r="B7" s="96" t="s">
        <v>73</v>
      </c>
      <c r="C7" s="98">
        <f>'CF Kanakpur'!M48</f>
        <v>43959999.999999985</v>
      </c>
      <c r="D7" s="100">
        <f>C7/C9*100</f>
        <v>8.1179615814958268</v>
      </c>
    </row>
    <row r="8" spans="1:6" x14ac:dyDescent="0.3">
      <c r="A8" s="96">
        <f t="shared" si="0"/>
        <v>6</v>
      </c>
      <c r="B8" s="96" t="s">
        <v>78</v>
      </c>
      <c r="C8" s="98">
        <f>'CF Kanakpur'!M49</f>
        <v>20625000</v>
      </c>
      <c r="D8" s="100">
        <f>C8/C9*100</f>
        <v>3.8087569976877047</v>
      </c>
    </row>
    <row r="9" spans="1:6" x14ac:dyDescent="0.3">
      <c r="A9" s="96"/>
      <c r="B9" s="101" t="s">
        <v>0</v>
      </c>
      <c r="C9" s="99">
        <f>SUM(C3:C8)</f>
        <v>541515250.57968867</v>
      </c>
      <c r="D9" s="102">
        <f>SUM(D3:D8)</f>
        <v>100</v>
      </c>
    </row>
    <row r="10" spans="1:6" x14ac:dyDescent="0.3">
      <c r="A10" s="96"/>
      <c r="B10" s="97" t="s">
        <v>86</v>
      </c>
      <c r="C10" s="98"/>
      <c r="D10" s="100"/>
    </row>
    <row r="11" spans="1:6" x14ac:dyDescent="0.3">
      <c r="A11" s="96">
        <f>1</f>
        <v>1</v>
      </c>
      <c r="B11" s="96" t="s">
        <v>29</v>
      </c>
      <c r="C11" s="98">
        <f>'CF Kanakpur'!B36+'CF Kanakpur'!C36</f>
        <v>1000000</v>
      </c>
      <c r="D11" s="100">
        <f>C11/C15*100</f>
        <v>0.18466700594849478</v>
      </c>
    </row>
    <row r="12" spans="1:6" x14ac:dyDescent="0.3">
      <c r="A12" s="96">
        <f>A11+1</f>
        <v>2</v>
      </c>
      <c r="B12" s="96" t="s">
        <v>76</v>
      </c>
      <c r="C12" s="98">
        <f>'CF Kanakpur'!B37</f>
        <v>42500000</v>
      </c>
      <c r="D12" s="100">
        <f>C12/C15*100</f>
        <v>7.8483477528110273</v>
      </c>
    </row>
    <row r="13" spans="1:6" x14ac:dyDescent="0.3">
      <c r="A13" s="96">
        <f t="shared" ref="A13:A14" si="1">A12+1</f>
        <v>3</v>
      </c>
      <c r="B13" s="96" t="s">
        <v>30</v>
      </c>
      <c r="C13" s="98">
        <f>'CF Kanakpur'!C39+'CF Kanakpur'!D39+'CF Kanakpur'!E39</f>
        <v>130000000</v>
      </c>
      <c r="D13" s="100">
        <f>C13/C15*100</f>
        <v>24.00671077330432</v>
      </c>
    </row>
    <row r="14" spans="1:6" x14ac:dyDescent="0.3">
      <c r="A14" s="96">
        <f t="shared" si="1"/>
        <v>4</v>
      </c>
      <c r="B14" s="96" t="s">
        <v>42</v>
      </c>
      <c r="C14" s="98">
        <f>C15-C11-C12-C13</f>
        <v>368015250.57968867</v>
      </c>
      <c r="D14" s="100">
        <f>C14/C15*100</f>
        <v>67.960274467936159</v>
      </c>
      <c r="E14" s="94">
        <v>23929940</v>
      </c>
      <c r="F14" s="105">
        <f>C14-E14</f>
        <v>344085310.57968867</v>
      </c>
    </row>
    <row r="15" spans="1:6" x14ac:dyDescent="0.3">
      <c r="A15" s="96"/>
      <c r="B15" s="97" t="s">
        <v>0</v>
      </c>
      <c r="C15" s="99">
        <f>C9</f>
        <v>541515250.57968867</v>
      </c>
      <c r="D15" s="102">
        <f>SUM(D11:D14)</f>
        <v>100</v>
      </c>
    </row>
    <row r="16" spans="1:6" x14ac:dyDescent="0.3">
      <c r="C16" s="95"/>
    </row>
    <row r="17" spans="3:3" x14ac:dyDescent="0.3">
      <c r="C17" s="95"/>
    </row>
    <row r="18" spans="3:3" x14ac:dyDescent="0.3">
      <c r="C18" s="95"/>
    </row>
    <row r="19" spans="3:3" x14ac:dyDescent="0.3">
      <c r="C19" s="95"/>
    </row>
    <row r="20" spans="3:3" x14ac:dyDescent="0.3">
      <c r="C20" s="95"/>
    </row>
    <row r="21" spans="3:3" x14ac:dyDescent="0.3">
      <c r="C21" s="95"/>
    </row>
    <row r="22" spans="3:3" x14ac:dyDescent="0.3">
      <c r="C22" s="95"/>
    </row>
    <row r="23" spans="3:3" x14ac:dyDescent="0.3">
      <c r="C23" s="95"/>
    </row>
    <row r="24" spans="3:3" x14ac:dyDescent="0.3">
      <c r="C24" s="95"/>
    </row>
    <row r="25" spans="3:3" x14ac:dyDescent="0.3">
      <c r="C25" s="95"/>
    </row>
    <row r="26" spans="3:3" x14ac:dyDescent="0.3">
      <c r="C26" s="95"/>
    </row>
    <row r="27" spans="3:3" x14ac:dyDescent="0.3">
      <c r="C27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 Kanakpur</vt:lpstr>
      <vt:lpstr>COP MOF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OWNER</cp:lastModifiedBy>
  <cp:lastPrinted>2022-11-25T11:29:12Z</cp:lastPrinted>
  <dcterms:created xsi:type="dcterms:W3CDTF">2021-03-09T23:59:53Z</dcterms:created>
  <dcterms:modified xsi:type="dcterms:W3CDTF">2023-01-17T11:14:09Z</dcterms:modified>
</cp:coreProperties>
</file>