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Bank Documents\"/>
    </mc:Choice>
  </mc:AlternateContent>
  <bookViews>
    <workbookView xWindow="0" yWindow="0" windowWidth="20490" windowHeight="7755" tabRatio="756"/>
  </bookViews>
  <sheets>
    <sheet name="CF Annekhi" sheetId="13" r:id="rId1"/>
    <sheet name="Cop MOF" sheetId="1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4" l="1"/>
  <c r="L30" i="13" l="1"/>
  <c r="G66" i="13"/>
  <c r="F66" i="13"/>
  <c r="B64" i="13"/>
  <c r="C10" i="14" l="1"/>
  <c r="C12" i="14"/>
  <c r="A10" i="14"/>
  <c r="A11" i="14" s="1"/>
  <c r="A12" i="14" s="1"/>
  <c r="A13" i="14" s="1"/>
  <c r="A3" i="14"/>
  <c r="A4" i="14" s="1"/>
  <c r="A5" i="14" s="1"/>
  <c r="A6" i="14" s="1"/>
  <c r="A7" i="14" s="1"/>
  <c r="M115" i="13" l="1"/>
  <c r="L115" i="13"/>
  <c r="K115" i="13"/>
  <c r="J115" i="13"/>
  <c r="I115" i="13"/>
  <c r="H115" i="13"/>
  <c r="G115" i="13"/>
  <c r="F115" i="13"/>
  <c r="E115" i="13"/>
  <c r="D115" i="13"/>
  <c r="C115" i="13"/>
  <c r="M61" i="13"/>
  <c r="L61" i="13"/>
  <c r="K61" i="13"/>
  <c r="J61" i="13"/>
  <c r="I61" i="13"/>
  <c r="H61" i="13"/>
  <c r="G61" i="13"/>
  <c r="F61" i="13"/>
  <c r="E61" i="13"/>
  <c r="D61" i="13"/>
  <c r="C61" i="13"/>
  <c r="E49" i="13"/>
  <c r="C40" i="13"/>
  <c r="J50" i="13"/>
  <c r="K33" i="13"/>
  <c r="L33" i="13" s="1"/>
  <c r="L29" i="13"/>
  <c r="I31" i="13"/>
  <c r="J31" i="13" s="1"/>
  <c r="K31" i="13" s="1"/>
  <c r="L31" i="13" s="1"/>
  <c r="G49" i="13" l="1"/>
  <c r="M52" i="13"/>
  <c r="N52" i="13" s="1"/>
  <c r="F117" i="13"/>
  <c r="N31" i="13" l="1"/>
  <c r="L50" i="13"/>
  <c r="C22" i="13"/>
  <c r="D23" i="13" s="1"/>
  <c r="N61" i="13" l="1"/>
  <c r="B61" i="13"/>
  <c r="N115" i="13"/>
  <c r="B115" i="13"/>
  <c r="J40" i="13" l="1"/>
  <c r="I40" i="13"/>
  <c r="H40" i="13"/>
  <c r="G40" i="13"/>
  <c r="F40" i="13"/>
  <c r="E40" i="13"/>
  <c r="D40" i="13"/>
  <c r="B40" i="13"/>
  <c r="B60" i="13"/>
  <c r="C19" i="13"/>
  <c r="M51" i="13"/>
  <c r="M39" i="13" s="1"/>
  <c r="C9" i="13"/>
  <c r="I39" i="13" l="1"/>
  <c r="E39" i="13"/>
  <c r="L39" i="13"/>
  <c r="H39" i="13"/>
  <c r="D39" i="13"/>
  <c r="G39" i="13"/>
  <c r="F39" i="13"/>
  <c r="K39" i="13"/>
  <c r="C39" i="13"/>
  <c r="J39" i="13"/>
  <c r="B39" i="13"/>
  <c r="C4" i="13"/>
  <c r="C18" i="13" s="1"/>
  <c r="C16" i="13"/>
  <c r="C17" i="13"/>
  <c r="J38" i="13" l="1"/>
  <c r="F38" i="13"/>
  <c r="B38" i="13"/>
  <c r="M38" i="13"/>
  <c r="I38" i="13"/>
  <c r="E38" i="13"/>
  <c r="H38" i="13"/>
  <c r="D38" i="13"/>
  <c r="K38" i="13"/>
  <c r="C38" i="13"/>
  <c r="L38" i="13"/>
  <c r="G38" i="13"/>
  <c r="B36" i="13"/>
  <c r="E36" i="13"/>
  <c r="C36" i="13"/>
  <c r="D36" i="13"/>
  <c r="N51" i="13"/>
  <c r="N50" i="13"/>
  <c r="N49" i="13" l="1"/>
  <c r="N30" i="13" l="1"/>
  <c r="K36" i="13" l="1"/>
  <c r="B54" i="13"/>
  <c r="M119" i="13"/>
  <c r="L119" i="13"/>
  <c r="M55" i="13" s="1"/>
  <c r="K119" i="13"/>
  <c r="L55" i="13" s="1"/>
  <c r="J119" i="13"/>
  <c r="I119" i="13"/>
  <c r="J55" i="13" s="1"/>
  <c r="H119" i="13"/>
  <c r="G119" i="13"/>
  <c r="F119" i="13"/>
  <c r="B119" i="13"/>
  <c r="C60" i="13"/>
  <c r="C59" i="13"/>
  <c r="D59" i="13" s="1"/>
  <c r="C58" i="13"/>
  <c r="D58" i="13" s="1"/>
  <c r="N29" i="13"/>
  <c r="K108" i="13" l="1"/>
  <c r="G108" i="13"/>
  <c r="I103" i="13"/>
  <c r="J98" i="13"/>
  <c r="J108" i="13"/>
  <c r="F108" i="13"/>
  <c r="H103" i="13"/>
  <c r="I108" i="13"/>
  <c r="K103" i="13"/>
  <c r="G103" i="13"/>
  <c r="H108" i="13"/>
  <c r="J103" i="13"/>
  <c r="F103" i="13"/>
  <c r="G98" i="13"/>
  <c r="I98" i="13"/>
  <c r="H98" i="13"/>
  <c r="E98" i="13"/>
  <c r="F98" i="13"/>
  <c r="L40" i="13"/>
  <c r="M40" i="13"/>
  <c r="K40" i="13"/>
  <c r="C55" i="13"/>
  <c r="C56" i="13" s="1"/>
  <c r="B62" i="13" s="1"/>
  <c r="N62" i="13" s="1"/>
  <c r="E119" i="13"/>
  <c r="N117" i="13"/>
  <c r="I36" i="13"/>
  <c r="M36" i="13"/>
  <c r="G55" i="13"/>
  <c r="G56" i="13" s="1"/>
  <c r="K55" i="13"/>
  <c r="K56" i="13" s="1"/>
  <c r="N104" i="13"/>
  <c r="H55" i="13"/>
  <c r="H56" i="13" s="1"/>
  <c r="L56" i="13"/>
  <c r="J56" i="13"/>
  <c r="L36" i="13"/>
  <c r="B112" i="13"/>
  <c r="B32" i="13" s="1"/>
  <c r="I55" i="13"/>
  <c r="I56" i="13" s="1"/>
  <c r="J36" i="13"/>
  <c r="M56" i="13"/>
  <c r="D60" i="13"/>
  <c r="D119" i="13"/>
  <c r="G74" i="13" l="1"/>
  <c r="J82" i="13"/>
  <c r="F82" i="13"/>
  <c r="J74" i="13"/>
  <c r="F74" i="13"/>
  <c r="I82" i="13"/>
  <c r="G82" i="13"/>
  <c r="I74" i="13"/>
  <c r="E74" i="13"/>
  <c r="H82" i="13"/>
  <c r="H74" i="13"/>
  <c r="K82" i="13"/>
  <c r="E107" i="13"/>
  <c r="D97" i="13"/>
  <c r="E102" i="13"/>
  <c r="I111" i="13"/>
  <c r="E96" i="13"/>
  <c r="D96" i="13"/>
  <c r="G96" i="13"/>
  <c r="F96" i="13"/>
  <c r="C94" i="13"/>
  <c r="C112" i="13" s="1"/>
  <c r="C32" i="13" s="1"/>
  <c r="C34" i="13" s="1"/>
  <c r="F97" i="13"/>
  <c r="E97" i="13"/>
  <c r="G97" i="13"/>
  <c r="M111" i="13"/>
  <c r="L111" i="13"/>
  <c r="F55" i="13"/>
  <c r="F56" i="13" s="1"/>
  <c r="G81" i="13" s="1"/>
  <c r="H107" i="13"/>
  <c r="G107" i="13"/>
  <c r="H102" i="13"/>
  <c r="F107" i="13"/>
  <c r="G102" i="13"/>
  <c r="F102" i="13"/>
  <c r="I107" i="13"/>
  <c r="J111" i="13"/>
  <c r="H101" i="13"/>
  <c r="F106" i="13"/>
  <c r="E106" i="13"/>
  <c r="H106" i="13"/>
  <c r="G106" i="13"/>
  <c r="F101" i="13"/>
  <c r="I106" i="13"/>
  <c r="G101" i="13"/>
  <c r="E101" i="13"/>
  <c r="E92" i="13"/>
  <c r="E91" i="13"/>
  <c r="E90" i="13"/>
  <c r="E89" i="13"/>
  <c r="E88" i="13"/>
  <c r="K111" i="13"/>
  <c r="N109" i="13"/>
  <c r="B34" i="13"/>
  <c r="N40" i="13"/>
  <c r="C7" i="14" s="1"/>
  <c r="N103" i="13"/>
  <c r="G76" i="13"/>
  <c r="J76" i="13"/>
  <c r="F68" i="13"/>
  <c r="I76" i="13"/>
  <c r="H76" i="13"/>
  <c r="C119" i="13"/>
  <c r="N119" i="13"/>
  <c r="D78" i="13"/>
  <c r="C70" i="13"/>
  <c r="C78" i="13"/>
  <c r="F78" i="13"/>
  <c r="E78" i="13"/>
  <c r="D70" i="13"/>
  <c r="M85" i="13"/>
  <c r="M37" i="13" s="1"/>
  <c r="I83" i="13"/>
  <c r="G75" i="13"/>
  <c r="F75" i="13"/>
  <c r="I75" i="13"/>
  <c r="H75" i="13"/>
  <c r="E67" i="13"/>
  <c r="J83" i="13"/>
  <c r="E55" i="13"/>
  <c r="E56" i="13" s="1"/>
  <c r="N39" i="13"/>
  <c r="C6" i="14" s="1"/>
  <c r="N36" i="13"/>
  <c r="C3" i="14" s="1"/>
  <c r="E65" i="13" l="1"/>
  <c r="N65" i="13" s="1"/>
  <c r="E81" i="13"/>
  <c r="I81" i="13"/>
  <c r="K85" i="13" s="1"/>
  <c r="K37" i="13" s="1"/>
  <c r="N97" i="13"/>
  <c r="H81" i="13"/>
  <c r="F73" i="13"/>
  <c r="D73" i="13"/>
  <c r="H73" i="13"/>
  <c r="G73" i="13"/>
  <c r="E73" i="13"/>
  <c r="F81" i="13"/>
  <c r="C20" i="13"/>
  <c r="D21" i="13" s="1"/>
  <c r="E24" i="13" s="1"/>
  <c r="C72" i="13"/>
  <c r="D80" i="13"/>
  <c r="H80" i="13"/>
  <c r="G72" i="13"/>
  <c r="E112" i="13"/>
  <c r="E32" i="13" s="1"/>
  <c r="F80" i="13"/>
  <c r="E80" i="13"/>
  <c r="E72" i="13"/>
  <c r="G80" i="13"/>
  <c r="D72" i="13"/>
  <c r="F72" i="13"/>
  <c r="N99" i="13"/>
  <c r="N108" i="13"/>
  <c r="N74" i="13"/>
  <c r="L85" i="13"/>
  <c r="L37" i="13" s="1"/>
  <c r="N68" i="13"/>
  <c r="N82" i="13"/>
  <c r="N83" i="13"/>
  <c r="N70" i="13"/>
  <c r="N76" i="13"/>
  <c r="N66" i="13"/>
  <c r="B85" i="13"/>
  <c r="B37" i="13" s="1"/>
  <c r="N107" i="13"/>
  <c r="N102" i="13"/>
  <c r="N67" i="13"/>
  <c r="N75" i="13"/>
  <c r="N78" i="13"/>
  <c r="D55" i="13"/>
  <c r="N81" i="13" l="1"/>
  <c r="N73" i="13"/>
  <c r="J85" i="13"/>
  <c r="J37" i="13" s="1"/>
  <c r="K112" i="13"/>
  <c r="K32" i="13" s="1"/>
  <c r="I112" i="13"/>
  <c r="I32" i="13" s="1"/>
  <c r="H112" i="13"/>
  <c r="H32" i="13" s="1"/>
  <c r="F112" i="13"/>
  <c r="F32" i="13" s="1"/>
  <c r="J112" i="13"/>
  <c r="J32" i="13" s="1"/>
  <c r="G112" i="13"/>
  <c r="G32" i="13" s="1"/>
  <c r="M112" i="13"/>
  <c r="M32" i="13" s="1"/>
  <c r="L112" i="13"/>
  <c r="L32" i="13" s="1"/>
  <c r="D112" i="13"/>
  <c r="D32" i="13" s="1"/>
  <c r="D34" i="13" s="1"/>
  <c r="N98" i="13"/>
  <c r="N111" i="13"/>
  <c r="N80" i="13"/>
  <c r="N101" i="13"/>
  <c r="N106" i="13"/>
  <c r="N55" i="13"/>
  <c r="D56" i="13"/>
  <c r="N96" i="13"/>
  <c r="N94" i="13"/>
  <c r="E71" i="13" l="1"/>
  <c r="D71" i="13"/>
  <c r="C71" i="13"/>
  <c r="G79" i="13"/>
  <c r="I85" i="13" s="1"/>
  <c r="I37" i="13" s="1"/>
  <c r="C79" i="13"/>
  <c r="M34" i="13"/>
  <c r="K34" i="13"/>
  <c r="K41" i="13"/>
  <c r="L34" i="13"/>
  <c r="L41" i="13"/>
  <c r="N33" i="13"/>
  <c r="F79" i="13"/>
  <c r="H85" i="13" s="1"/>
  <c r="H37" i="13" s="1"/>
  <c r="E79" i="13"/>
  <c r="D79" i="13"/>
  <c r="N72" i="13"/>
  <c r="E34" i="13"/>
  <c r="J34" i="13"/>
  <c r="F34" i="13"/>
  <c r="H34" i="13"/>
  <c r="G34" i="13"/>
  <c r="I34" i="13"/>
  <c r="N32" i="13"/>
  <c r="B41" i="13"/>
  <c r="B45" i="13" s="1"/>
  <c r="N64" i="13"/>
  <c r="N56" i="13"/>
  <c r="N112" i="13"/>
  <c r="B46" i="13" l="1"/>
  <c r="C44" i="13" s="1"/>
  <c r="E85" i="13"/>
  <c r="E37" i="13" s="1"/>
  <c r="K45" i="13"/>
  <c r="L45" i="13"/>
  <c r="I41" i="13"/>
  <c r="I45" i="13" s="1"/>
  <c r="J41" i="13"/>
  <c r="J45" i="13" s="1"/>
  <c r="G85" i="13"/>
  <c r="G37" i="13" s="1"/>
  <c r="F85" i="13"/>
  <c r="F37" i="13" s="1"/>
  <c r="N71" i="13"/>
  <c r="N77" i="13" s="1"/>
  <c r="D85" i="13"/>
  <c r="D37" i="13" s="1"/>
  <c r="N34" i="13"/>
  <c r="N63" i="13"/>
  <c r="N69" i="13" s="1"/>
  <c r="C85" i="13"/>
  <c r="C37" i="13" s="1"/>
  <c r="C41" i="13" s="1"/>
  <c r="C45" i="13" s="1"/>
  <c r="N79" i="13"/>
  <c r="N84" i="13" s="1"/>
  <c r="C46" i="13" l="1"/>
  <c r="D44" i="13" s="1"/>
  <c r="M41" i="13"/>
  <c r="M45" i="13" s="1"/>
  <c r="H41" i="13"/>
  <c r="H45" i="13" s="1"/>
  <c r="G41" i="13"/>
  <c r="G45" i="13" s="1"/>
  <c r="E41" i="13"/>
  <c r="E45" i="13" s="1"/>
  <c r="F41" i="13"/>
  <c r="F45" i="13" s="1"/>
  <c r="N38" i="13"/>
  <c r="C5" i="14" s="1"/>
  <c r="N85" i="13"/>
  <c r="D41" i="13" l="1"/>
  <c r="D45" i="13" s="1"/>
  <c r="D46" i="13" s="1"/>
  <c r="E44" i="13" s="1"/>
  <c r="E46" i="13" s="1"/>
  <c r="N37" i="13"/>
  <c r="N41" i="13" l="1"/>
  <c r="C4" i="14"/>
  <c r="F44" i="13"/>
  <c r="F46" i="13" s="1"/>
  <c r="C8" i="14" l="1"/>
  <c r="G44" i="13"/>
  <c r="G46" i="13" s="1"/>
  <c r="C14" i="14" l="1"/>
  <c r="D7" i="14"/>
  <c r="D3" i="14"/>
  <c r="D6" i="14"/>
  <c r="D5" i="14"/>
  <c r="D4" i="14"/>
  <c r="H44" i="13"/>
  <c r="H46" i="13" s="1"/>
  <c r="D8" i="14" l="1"/>
  <c r="D12" i="14"/>
  <c r="D11" i="14"/>
  <c r="C13" i="14"/>
  <c r="D13" i="14" s="1"/>
  <c r="D10" i="14"/>
  <c r="I44" i="13"/>
  <c r="I46" i="13" s="1"/>
  <c r="D14" i="14" l="1"/>
  <c r="J44" i="13"/>
  <c r="J46" i="13" s="1"/>
  <c r="K44" i="13" l="1"/>
  <c r="K46" i="13" s="1"/>
  <c r="L44" i="13" l="1"/>
  <c r="L46" i="13" s="1"/>
  <c r="M44" i="13" l="1"/>
  <c r="M46" i="13" s="1"/>
  <c r="N44" i="13" s="1"/>
  <c r="B47" i="13" s="1"/>
</calcChain>
</file>

<file path=xl/sharedStrings.xml><?xml version="1.0" encoding="utf-8"?>
<sst xmlns="http://schemas.openxmlformats.org/spreadsheetml/2006/main" count="152" uniqueCount="88">
  <si>
    <t>Total</t>
  </si>
  <si>
    <t>Sq Mtrs</t>
  </si>
  <si>
    <t>Per Unit</t>
  </si>
  <si>
    <t>Overheads</t>
  </si>
  <si>
    <t>EWS Units</t>
  </si>
  <si>
    <t>Cost of Construction</t>
  </si>
  <si>
    <t>Built Up Area Per Unit</t>
  </si>
  <si>
    <t xml:space="preserve">Land </t>
  </si>
  <si>
    <t>Total No Of Units</t>
  </si>
  <si>
    <t>INR</t>
  </si>
  <si>
    <t>Project Life</t>
  </si>
  <si>
    <t>Months</t>
  </si>
  <si>
    <t>Carpet Area</t>
  </si>
  <si>
    <t>Total Built up Area</t>
  </si>
  <si>
    <t xml:space="preserve">Cost of Construction </t>
  </si>
  <si>
    <t xml:space="preserve">Infrastructure Development </t>
  </si>
  <si>
    <t>Per Acre</t>
  </si>
  <si>
    <t xml:space="preserve">COST OF THE PROJECT </t>
  </si>
  <si>
    <t>Infrastructure Development</t>
  </si>
  <si>
    <t>TOTAL COST</t>
  </si>
  <si>
    <t>SURPLUS</t>
  </si>
  <si>
    <t>Cash Flow</t>
  </si>
  <si>
    <t>1st Qtr</t>
  </si>
  <si>
    <t>2nd Qt</t>
  </si>
  <si>
    <t>3rd Qt</t>
  </si>
  <si>
    <t>4th Qt</t>
  </si>
  <si>
    <t>4th Qtr</t>
  </si>
  <si>
    <t>TOTAL</t>
  </si>
  <si>
    <t xml:space="preserve">Capital </t>
  </si>
  <si>
    <t xml:space="preserve">Loan </t>
  </si>
  <si>
    <t>COST OF PROJECT</t>
  </si>
  <si>
    <t>Land Payments</t>
  </si>
  <si>
    <t>CASH FLOW</t>
  </si>
  <si>
    <t>Cash in Hand</t>
  </si>
  <si>
    <t>Opening Balance</t>
  </si>
  <si>
    <t>Surplus during the Period</t>
  </si>
  <si>
    <t>Closing balance</t>
  </si>
  <si>
    <t>EXPENSES</t>
  </si>
  <si>
    <t>REVENUE FROM THE PROJECTS</t>
  </si>
  <si>
    <t xml:space="preserve">Sale Proceeds </t>
  </si>
  <si>
    <t>Commercial</t>
  </si>
  <si>
    <t>No of Units to Construct</t>
  </si>
  <si>
    <t>Area to be Construct</t>
  </si>
  <si>
    <t>Plinth Level</t>
  </si>
  <si>
    <t>Slabs</t>
  </si>
  <si>
    <t>Internal Develepment</t>
  </si>
  <si>
    <t>Total Plinth</t>
  </si>
  <si>
    <t>Total Slabs</t>
  </si>
  <si>
    <t>Total Internal Development</t>
  </si>
  <si>
    <t xml:space="preserve">Grand Total </t>
  </si>
  <si>
    <t>Receipt</t>
  </si>
  <si>
    <t>Booking</t>
  </si>
  <si>
    <t>Plinth</t>
  </si>
  <si>
    <t>Internal &amp; Extrernal Development</t>
  </si>
  <si>
    <t>Completion</t>
  </si>
  <si>
    <t>Recovery</t>
  </si>
  <si>
    <t xml:space="preserve">Total Recovery </t>
  </si>
  <si>
    <t>2022-23</t>
  </si>
  <si>
    <t>2023-24</t>
  </si>
  <si>
    <t>2024-25</t>
  </si>
  <si>
    <t>Qtrly Units to Construct</t>
  </si>
  <si>
    <t>Beneficiary</t>
  </si>
  <si>
    <t>State &amp; Center</t>
  </si>
  <si>
    <t xml:space="preserve">Overheads </t>
  </si>
  <si>
    <t>Land in Acres</t>
  </si>
  <si>
    <t>Selling price</t>
  </si>
  <si>
    <t>Sanctioned and Other Cost</t>
  </si>
  <si>
    <t>Land Cost including stamp paper Exp</t>
  </si>
  <si>
    <t>OCD from Share Holders</t>
  </si>
  <si>
    <t>Interest on Loan</t>
  </si>
  <si>
    <t>Interest rate for loan</t>
  </si>
  <si>
    <t>PROJECT DSCR</t>
  </si>
  <si>
    <t>p</t>
  </si>
  <si>
    <t>Revenue from the Residential Area</t>
  </si>
  <si>
    <t>Revenue from the Commercial</t>
  </si>
  <si>
    <t>Interst on Bank Loan</t>
  </si>
  <si>
    <t>Revenue Share of Land Owner</t>
  </si>
  <si>
    <t>Revenue Share of Land owner</t>
  </si>
  <si>
    <t>3rd Qtr</t>
  </si>
  <si>
    <t>Annekhi Hetampur</t>
  </si>
  <si>
    <t>Cash Flow and time line planning for Annekhi Hetampur project of EWS Housing in UK</t>
  </si>
  <si>
    <t>S. No.</t>
  </si>
  <si>
    <t>Particulars</t>
  </si>
  <si>
    <t>Amount (Rs.)</t>
  </si>
  <si>
    <t>%</t>
  </si>
  <si>
    <t>Cost of the Project at Annekhi Hetampur</t>
  </si>
  <si>
    <t>Means of Finance of project at Annekhi Hetampur</t>
  </si>
  <si>
    <t>As 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</si>
</sst>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/>
    <xf numFmtId="0" fontId="2" fillId="0" borderId="11" xfId="0" applyFont="1" applyBorder="1"/>
    <xf numFmtId="0" fontId="3" fillId="0" borderId="0" xfId="0" applyFont="1" applyAlignment="1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15" xfId="0" applyFont="1" applyBorder="1"/>
    <xf numFmtId="0" fontId="2" fillId="0" borderId="3" xfId="0" applyFont="1" applyBorder="1"/>
    <xf numFmtId="2" fontId="2" fillId="0" borderId="3" xfId="0" applyNumberFormat="1" applyFont="1" applyBorder="1"/>
    <xf numFmtId="1" fontId="2" fillId="0" borderId="3" xfId="0" applyNumberFormat="1" applyFont="1" applyBorder="1"/>
    <xf numFmtId="165" fontId="2" fillId="0" borderId="16" xfId="0" applyNumberFormat="1" applyFont="1" applyBorder="1"/>
    <xf numFmtId="0" fontId="2" fillId="0" borderId="1" xfId="0" applyFont="1" applyBorder="1"/>
    <xf numFmtId="2" fontId="2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/>
    <xf numFmtId="1" fontId="2" fillId="0" borderId="1" xfId="1" applyNumberFormat="1" applyFont="1" applyBorder="1"/>
    <xf numFmtId="164" fontId="2" fillId="0" borderId="3" xfId="1" applyNumberFormat="1" applyFont="1" applyBorder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1" fontId="2" fillId="0" borderId="3" xfId="1" applyNumberFormat="1" applyFont="1" applyBorder="1"/>
    <xf numFmtId="0" fontId="3" fillId="0" borderId="8" xfId="0" applyFont="1" applyBorder="1"/>
    <xf numFmtId="9" fontId="2" fillId="0" borderId="1" xfId="0" applyNumberFormat="1" applyFont="1" applyBorder="1"/>
    <xf numFmtId="164" fontId="2" fillId="0" borderId="1" xfId="1" applyNumberFormat="1" applyFont="1" applyBorder="1"/>
    <xf numFmtId="0" fontId="2" fillId="0" borderId="12" xfId="0" applyFont="1" applyBorder="1"/>
    <xf numFmtId="164" fontId="2" fillId="0" borderId="12" xfId="1" applyNumberFormat="1" applyFont="1" applyBorder="1"/>
    <xf numFmtId="0" fontId="3" fillId="0" borderId="11" xfId="0" applyFont="1" applyBorder="1"/>
    <xf numFmtId="0" fontId="2" fillId="0" borderId="8" xfId="0" applyFont="1" applyBorder="1"/>
    <xf numFmtId="0" fontId="2" fillId="0" borderId="13" xfId="0" applyFont="1" applyBorder="1"/>
    <xf numFmtId="164" fontId="2" fillId="0" borderId="1" xfId="0" applyNumberFormat="1" applyFont="1" applyBorder="1"/>
    <xf numFmtId="0" fontId="3" fillId="0" borderId="13" xfId="0" applyFont="1" applyBorder="1"/>
    <xf numFmtId="164" fontId="2" fillId="0" borderId="12" xfId="0" applyNumberFormat="1" applyFont="1" applyBorder="1"/>
    <xf numFmtId="0" fontId="3" fillId="0" borderId="0" xfId="0" applyFont="1"/>
    <xf numFmtId="164" fontId="2" fillId="0" borderId="0" xfId="0" applyNumberFormat="1" applyFont="1"/>
    <xf numFmtId="164" fontId="2" fillId="0" borderId="18" xfId="1" applyNumberFormat="1" applyFont="1" applyBorder="1"/>
    <xf numFmtId="164" fontId="2" fillId="0" borderId="2" xfId="1" applyNumberFormat="1" applyFont="1" applyBorder="1"/>
    <xf numFmtId="164" fontId="2" fillId="0" borderId="19" xfId="0" applyNumberFormat="1" applyFont="1" applyBorder="1"/>
    <xf numFmtId="10" fontId="2" fillId="0" borderId="0" xfId="2" applyNumberFormat="1" applyFont="1"/>
    <xf numFmtId="0" fontId="3" fillId="0" borderId="17" xfId="0" applyFont="1" applyBorder="1"/>
    <xf numFmtId="164" fontId="2" fillId="0" borderId="20" xfId="0" applyNumberFormat="1" applyFont="1" applyBorder="1"/>
    <xf numFmtId="164" fontId="2" fillId="0" borderId="18" xfId="0" applyNumberFormat="1" applyFont="1" applyBorder="1"/>
    <xf numFmtId="164" fontId="3" fillId="0" borderId="21" xfId="0" applyNumberFormat="1" applyFont="1" applyBorder="1"/>
    <xf numFmtId="43" fontId="2" fillId="0" borderId="0" xfId="0" applyNumberFormat="1" applyFont="1"/>
    <xf numFmtId="0" fontId="2" fillId="0" borderId="7" xfId="0" applyFont="1" applyBorder="1"/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4" fontId="2" fillId="0" borderId="9" xfId="1" applyNumberFormat="1" applyFont="1" applyBorder="1"/>
    <xf numFmtId="164" fontId="2" fillId="0" borderId="10" xfId="1" applyNumberFormat="1" applyFont="1" applyBorder="1"/>
    <xf numFmtId="0" fontId="2" fillId="0" borderId="2" xfId="0" applyFont="1" applyBorder="1"/>
    <xf numFmtId="164" fontId="2" fillId="0" borderId="14" xfId="1" applyNumberFormat="1" applyFont="1" applyBorder="1"/>
    <xf numFmtId="0" fontId="3" fillId="0" borderId="4" xfId="0" applyFont="1" applyBorder="1"/>
    <xf numFmtId="164" fontId="3" fillId="0" borderId="5" xfId="1" applyNumberFormat="1" applyFont="1" applyBorder="1"/>
    <xf numFmtId="164" fontId="3" fillId="0" borderId="6" xfId="1" applyNumberFormat="1" applyFont="1" applyBorder="1"/>
    <xf numFmtId="0" fontId="3" fillId="0" borderId="23" xfId="0" applyFont="1" applyBorder="1"/>
    <xf numFmtId="0" fontId="2" fillId="0" borderId="10" xfId="0" applyFont="1" applyBorder="1"/>
    <xf numFmtId="10" fontId="2" fillId="0" borderId="9" xfId="2" applyNumberFormat="1" applyFont="1" applyBorder="1"/>
    <xf numFmtId="10" fontId="2" fillId="0" borderId="10" xfId="2" applyNumberFormat="1" applyFont="1" applyBorder="1"/>
    <xf numFmtId="10" fontId="2" fillId="0" borderId="1" xfId="2" applyNumberFormat="1" applyFont="1" applyBorder="1"/>
    <xf numFmtId="10" fontId="2" fillId="0" borderId="12" xfId="2" applyNumberFormat="1" applyFont="1" applyBorder="1"/>
    <xf numFmtId="1" fontId="2" fillId="0" borderId="9" xfId="0" applyNumberFormat="1" applyFont="1" applyBorder="1"/>
    <xf numFmtId="43" fontId="2" fillId="0" borderId="1" xfId="1" applyFont="1" applyFill="1" applyBorder="1"/>
    <xf numFmtId="43" fontId="2" fillId="0" borderId="12" xfId="0" applyNumberFormat="1" applyFont="1" applyBorder="1"/>
    <xf numFmtId="43" fontId="2" fillId="0" borderId="1" xfId="0" applyNumberFormat="1" applyFont="1" applyBorder="1"/>
    <xf numFmtId="9" fontId="2" fillId="0" borderId="1" xfId="2" applyFont="1" applyBorder="1"/>
    <xf numFmtId="43" fontId="2" fillId="0" borderId="18" xfId="0" applyNumberFormat="1" applyFont="1" applyBorder="1"/>
    <xf numFmtId="9" fontId="2" fillId="0" borderId="18" xfId="2" applyFont="1" applyBorder="1"/>
    <xf numFmtId="0" fontId="2" fillId="0" borderId="19" xfId="0" applyFont="1" applyBorder="1"/>
    <xf numFmtId="0" fontId="2" fillId="0" borderId="4" xfId="0" applyFont="1" applyBorder="1"/>
    <xf numFmtId="164" fontId="2" fillId="0" borderId="19" xfId="1" applyNumberFormat="1" applyFont="1" applyBorder="1"/>
    <xf numFmtId="0" fontId="2" fillId="0" borderId="16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 applyAlignment="1">
      <alignment horizontal="center"/>
    </xf>
    <xf numFmtId="164" fontId="2" fillId="0" borderId="16" xfId="1" applyNumberFormat="1" applyFont="1" applyBorder="1"/>
    <xf numFmtId="0" fontId="2" fillId="0" borderId="0" xfId="0" applyFont="1" applyBorder="1"/>
    <xf numFmtId="43" fontId="2" fillId="0" borderId="0" xfId="1" applyFont="1" applyBorder="1"/>
    <xf numFmtId="164" fontId="2" fillId="0" borderId="0" xfId="0" applyNumberFormat="1" applyFont="1" applyBorder="1"/>
    <xf numFmtId="166" fontId="2" fillId="0" borderId="0" xfId="2" applyNumberFormat="1" applyFont="1"/>
    <xf numFmtId="0" fontId="3" fillId="0" borderId="22" xfId="0" applyFont="1" applyBorder="1" applyAlignment="1"/>
    <xf numFmtId="0" fontId="4" fillId="0" borderId="1" xfId="0" applyFont="1" applyBorder="1"/>
    <xf numFmtId="43" fontId="4" fillId="0" borderId="1" xfId="1" applyFont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43" fontId="2" fillId="0" borderId="0" xfId="1" applyFont="1" applyBorder="1" applyAlignment="1">
      <alignment horizontal="right"/>
    </xf>
    <xf numFmtId="43" fontId="2" fillId="0" borderId="0" xfId="0" applyNumberFormat="1" applyFont="1" applyBorder="1"/>
    <xf numFmtId="1" fontId="2" fillId="0" borderId="1" xfId="0" applyNumberFormat="1" applyFont="1" applyBorder="1"/>
    <xf numFmtId="164" fontId="2" fillId="0" borderId="2" xfId="0" applyNumberFormat="1" applyFont="1" applyBorder="1"/>
    <xf numFmtId="10" fontId="2" fillId="0" borderId="18" xfId="2" applyNumberFormat="1" applyFont="1" applyBorder="1"/>
    <xf numFmtId="10" fontId="2" fillId="0" borderId="19" xfId="2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0" borderId="28" xfId="0" applyFont="1" applyBorder="1" applyAlignment="1">
      <alignment horizontal="center"/>
    </xf>
    <xf numFmtId="43" fontId="4" fillId="0" borderId="0" xfId="1" applyFont="1" applyBorder="1"/>
    <xf numFmtId="0" fontId="3" fillId="0" borderId="7" xfId="0" applyFont="1" applyBorder="1" applyAlignment="1"/>
    <xf numFmtId="0" fontId="5" fillId="0" borderId="1" xfId="0" applyFont="1" applyBorder="1"/>
    <xf numFmtId="0" fontId="6" fillId="0" borderId="0" xfId="0" applyFont="1" applyBorder="1"/>
    <xf numFmtId="0" fontId="6" fillId="0" borderId="1" xfId="0" applyFont="1" applyBorder="1"/>
    <xf numFmtId="164" fontId="6" fillId="0" borderId="1" xfId="1" applyNumberFormat="1" applyFont="1" applyBorder="1"/>
    <xf numFmtId="43" fontId="6" fillId="0" borderId="1" xfId="1" applyFont="1" applyBorder="1"/>
    <xf numFmtId="0" fontId="5" fillId="0" borderId="1" xfId="0" applyFont="1" applyFill="1" applyBorder="1"/>
    <xf numFmtId="164" fontId="5" fillId="0" borderId="1" xfId="1" applyNumberFormat="1" applyFont="1" applyBorder="1"/>
    <xf numFmtId="43" fontId="5" fillId="0" borderId="1" xfId="1" applyFont="1" applyBorder="1"/>
    <xf numFmtId="164" fontId="6" fillId="0" borderId="0" xfId="1" applyNumberFormat="1" applyFont="1" applyBorder="1"/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%20drive\Practice%20Documents\Ojas%20PNB\OTPL\Fresh%20Docs\Financials%20Banking%20Shimla%201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Shimla"/>
      <sheetName val="COP MOF"/>
    </sheetNames>
    <sheetDataSet>
      <sheetData sheetId="0">
        <row r="33">
          <cell r="B33">
            <v>39000000</v>
          </cell>
        </row>
        <row r="34">
          <cell r="C34">
            <v>40000000</v>
          </cell>
          <cell r="D34">
            <v>40000000</v>
          </cell>
          <cell r="E34">
            <v>50000000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"/>
  <sheetViews>
    <sheetView tabSelected="1" topLeftCell="E31" zoomScaleNormal="100" workbookViewId="0">
      <selection activeCell="N40" sqref="N40"/>
    </sheetView>
  </sheetViews>
  <sheetFormatPr defaultRowHeight="15" x14ac:dyDescent="0.25"/>
  <cols>
    <col min="1" max="1" width="39.42578125" bestFit="1" customWidth="1"/>
    <col min="2" max="2" width="16.85546875" bestFit="1" customWidth="1"/>
    <col min="3" max="3" width="17" bestFit="1" customWidth="1"/>
    <col min="4" max="4" width="16.85546875" bestFit="1" customWidth="1"/>
    <col min="5" max="5" width="18" bestFit="1" customWidth="1"/>
    <col min="6" max="7" width="17.28515625" bestFit="1" customWidth="1"/>
    <col min="8" max="8" width="16.5703125" customWidth="1"/>
    <col min="9" max="9" width="17" bestFit="1" customWidth="1"/>
    <col min="10" max="10" width="17.28515625" bestFit="1" customWidth="1"/>
    <col min="11" max="11" width="16.85546875" bestFit="1" customWidth="1"/>
    <col min="12" max="12" width="14.85546875" bestFit="1" customWidth="1"/>
    <col min="13" max="13" width="15.85546875" bestFit="1" customWidth="1"/>
    <col min="14" max="14" width="18" bestFit="1" customWidth="1"/>
    <col min="15" max="16" width="13.7109375" bestFit="1" customWidth="1"/>
    <col min="17" max="17" width="15.42578125" bestFit="1" customWidth="1"/>
    <col min="19" max="19" width="12.28515625" bestFit="1" customWidth="1"/>
  </cols>
  <sheetData>
    <row r="1" spans="1:16" ht="15.75" thickBot="1" x14ac:dyDescent="0.3">
      <c r="A1" s="109" t="s">
        <v>80</v>
      </c>
      <c r="B1" s="109"/>
      <c r="C1" s="109"/>
      <c r="D1" s="109"/>
      <c r="E1" s="109"/>
      <c r="F1" s="4"/>
      <c r="G1" s="3"/>
      <c r="H1" s="86"/>
      <c r="I1" s="79"/>
      <c r="J1" s="79"/>
      <c r="K1" s="79"/>
      <c r="L1" s="4"/>
      <c r="M1" s="4"/>
      <c r="N1" s="4"/>
      <c r="O1" s="4"/>
      <c r="P1" s="4"/>
    </row>
    <row r="2" spans="1:16" ht="15.75" thickBot="1" x14ac:dyDescent="0.3">
      <c r="A2" s="5"/>
      <c r="B2" s="6"/>
      <c r="C2" s="6" t="s">
        <v>4</v>
      </c>
      <c r="D2" s="6"/>
      <c r="E2" s="7"/>
      <c r="F2" s="4"/>
      <c r="G2" s="87"/>
      <c r="H2" s="87"/>
      <c r="I2" s="79"/>
      <c r="J2" s="80"/>
      <c r="K2" s="4"/>
      <c r="L2" s="4"/>
      <c r="M2" s="4"/>
      <c r="N2" s="4"/>
      <c r="O2" s="4"/>
    </row>
    <row r="3" spans="1:16" x14ac:dyDescent="0.25">
      <c r="A3" s="9" t="s">
        <v>7</v>
      </c>
      <c r="B3" s="10" t="s">
        <v>1</v>
      </c>
      <c r="C3" s="19">
        <v>24800</v>
      </c>
      <c r="D3" s="12"/>
      <c r="E3" s="13"/>
      <c r="F3" s="4"/>
      <c r="G3" s="87"/>
      <c r="H3" s="87"/>
      <c r="I3" s="79"/>
      <c r="J3" s="80"/>
      <c r="K3" s="4"/>
      <c r="L3" s="4"/>
      <c r="M3" s="4"/>
      <c r="N3" s="4"/>
      <c r="O3" s="4"/>
    </row>
    <row r="4" spans="1:16" x14ac:dyDescent="0.25">
      <c r="A4" s="9" t="s">
        <v>64</v>
      </c>
      <c r="B4" s="10"/>
      <c r="C4" s="11">
        <f>C3/4047</f>
        <v>6.1279960464541636</v>
      </c>
      <c r="D4" s="12"/>
      <c r="E4" s="15"/>
      <c r="F4" s="4"/>
      <c r="G4" s="79"/>
      <c r="H4" s="79"/>
      <c r="I4" s="79"/>
      <c r="J4" s="80"/>
      <c r="K4" s="4"/>
      <c r="L4" s="4"/>
      <c r="M4" s="4"/>
      <c r="N4" s="4"/>
      <c r="O4" s="4"/>
    </row>
    <row r="5" spans="1:16" x14ac:dyDescent="0.25">
      <c r="A5" s="2" t="s">
        <v>8</v>
      </c>
      <c r="B5" s="14" t="s">
        <v>9</v>
      </c>
      <c r="C5" s="18">
        <v>1152</v>
      </c>
      <c r="D5" s="12"/>
      <c r="E5" s="15"/>
      <c r="F5" s="4"/>
      <c r="G5" s="79"/>
      <c r="H5" s="79"/>
      <c r="I5" s="79"/>
      <c r="J5" s="80"/>
      <c r="K5" s="4"/>
      <c r="L5" s="4"/>
      <c r="M5" s="4"/>
      <c r="N5" s="4"/>
      <c r="O5" s="4"/>
    </row>
    <row r="6" spans="1:16" x14ac:dyDescent="0.25">
      <c r="A6" s="2" t="s">
        <v>10</v>
      </c>
      <c r="B6" s="14" t="s">
        <v>11</v>
      </c>
      <c r="C6" s="18">
        <v>30</v>
      </c>
      <c r="D6" s="19"/>
      <c r="E6" s="13"/>
      <c r="F6" s="4"/>
      <c r="G6" s="113"/>
      <c r="H6" s="113"/>
      <c r="I6" s="113"/>
      <c r="J6" s="113"/>
      <c r="K6" s="4"/>
      <c r="L6" s="20"/>
      <c r="M6" s="4"/>
      <c r="N6" s="4"/>
      <c r="O6" s="4"/>
    </row>
    <row r="7" spans="1:16" x14ac:dyDescent="0.25">
      <c r="A7" s="2" t="s">
        <v>12</v>
      </c>
      <c r="B7" s="14" t="s">
        <v>2</v>
      </c>
      <c r="C7" s="21">
        <v>24.22</v>
      </c>
      <c r="D7" s="22"/>
      <c r="E7" s="13"/>
      <c r="F7" s="4"/>
      <c r="G7" s="88"/>
      <c r="H7" s="79"/>
      <c r="I7" s="79"/>
      <c r="J7" s="80"/>
      <c r="K7" s="4"/>
      <c r="L7" s="4"/>
      <c r="M7" s="4"/>
      <c r="N7" s="4"/>
      <c r="O7" s="4"/>
    </row>
    <row r="8" spans="1:16" x14ac:dyDescent="0.25">
      <c r="A8" s="2" t="s">
        <v>6</v>
      </c>
      <c r="B8" s="24"/>
      <c r="C8" s="21">
        <v>30</v>
      </c>
      <c r="D8" s="22"/>
      <c r="E8" s="13"/>
      <c r="F8" s="4"/>
      <c r="G8" s="79"/>
      <c r="H8" s="79"/>
      <c r="I8" s="79"/>
      <c r="J8" s="89"/>
      <c r="K8" s="4"/>
      <c r="L8" s="4"/>
      <c r="M8" s="4"/>
      <c r="N8" s="4"/>
      <c r="O8" s="4"/>
    </row>
    <row r="9" spans="1:16" x14ac:dyDescent="0.25">
      <c r="A9" s="2" t="s">
        <v>13</v>
      </c>
      <c r="B9" s="14">
        <v>10.763999999999999</v>
      </c>
      <c r="C9" s="25">
        <f>C8*B9*C5</f>
        <v>372003.83999999997</v>
      </c>
      <c r="D9" s="25"/>
      <c r="E9" s="26"/>
      <c r="F9" s="4"/>
      <c r="G9" s="79"/>
      <c r="H9" s="79"/>
      <c r="I9" s="79"/>
      <c r="J9" s="89"/>
      <c r="K9" s="4"/>
      <c r="L9" s="4"/>
      <c r="M9" s="4"/>
      <c r="N9" s="4"/>
      <c r="O9" s="4"/>
    </row>
    <row r="10" spans="1:16" x14ac:dyDescent="0.25">
      <c r="A10" s="2" t="s">
        <v>77</v>
      </c>
      <c r="B10" s="14"/>
      <c r="C10" s="25">
        <v>75300000</v>
      </c>
      <c r="D10" s="18"/>
      <c r="E10" s="26"/>
      <c r="F10" s="4"/>
      <c r="G10" s="79"/>
      <c r="H10" s="79"/>
      <c r="I10" s="79"/>
      <c r="J10" s="89"/>
      <c r="K10" s="4"/>
      <c r="L10" s="4"/>
      <c r="M10" s="4"/>
      <c r="N10" s="4"/>
      <c r="O10" s="4"/>
    </row>
    <row r="11" spans="1:16" x14ac:dyDescent="0.25">
      <c r="A11" s="2" t="s">
        <v>14</v>
      </c>
      <c r="B11" s="14" t="s">
        <v>9</v>
      </c>
      <c r="C11" s="18">
        <v>900</v>
      </c>
      <c r="D11" s="18"/>
      <c r="E11" s="27"/>
      <c r="F11" s="4"/>
      <c r="G11" s="79"/>
      <c r="H11" s="79"/>
      <c r="I11" s="79"/>
      <c r="J11" s="89"/>
      <c r="K11" s="4"/>
      <c r="L11" s="4"/>
      <c r="M11" s="4"/>
      <c r="N11" s="4"/>
      <c r="O11" s="4"/>
    </row>
    <row r="12" spans="1:16" x14ac:dyDescent="0.25">
      <c r="A12" s="2" t="s">
        <v>15</v>
      </c>
      <c r="B12" s="14" t="s">
        <v>16</v>
      </c>
      <c r="C12" s="25">
        <v>6000000</v>
      </c>
      <c r="D12" s="21"/>
      <c r="E12" s="26"/>
      <c r="F12" s="4"/>
      <c r="G12" s="79"/>
      <c r="H12" s="79"/>
      <c r="I12" s="79"/>
      <c r="J12" s="80"/>
      <c r="K12" s="4"/>
      <c r="L12" s="4"/>
      <c r="M12" s="4"/>
      <c r="N12" s="4"/>
      <c r="O12" s="4"/>
    </row>
    <row r="13" spans="1:16" x14ac:dyDescent="0.25">
      <c r="A13" s="2" t="s">
        <v>3</v>
      </c>
      <c r="B13" s="14" t="s">
        <v>2</v>
      </c>
      <c r="C13" s="25">
        <v>50000</v>
      </c>
      <c r="D13" s="21"/>
      <c r="E13" s="26"/>
      <c r="F13" s="4"/>
      <c r="G13" s="79"/>
      <c r="H13" s="79"/>
      <c r="I13" s="79"/>
      <c r="J13" s="80"/>
      <c r="K13" s="4"/>
      <c r="L13" s="4"/>
      <c r="M13" s="4"/>
      <c r="N13" s="4"/>
      <c r="O13" s="4"/>
    </row>
    <row r="14" spans="1:16" x14ac:dyDescent="0.25">
      <c r="A14" s="2" t="s">
        <v>65</v>
      </c>
      <c r="B14" s="14" t="s">
        <v>2</v>
      </c>
      <c r="C14" s="25">
        <v>600000</v>
      </c>
      <c r="D14" s="21"/>
      <c r="E14" s="26"/>
      <c r="F14" s="4"/>
      <c r="G14" s="79"/>
      <c r="H14" s="79"/>
      <c r="I14" s="79"/>
      <c r="J14" s="79"/>
      <c r="K14" s="4"/>
      <c r="L14" s="4"/>
      <c r="M14" s="4"/>
      <c r="N14" s="4"/>
      <c r="O14" s="4"/>
    </row>
    <row r="15" spans="1:16" x14ac:dyDescent="0.25">
      <c r="A15" s="28" t="s">
        <v>17</v>
      </c>
      <c r="B15" s="14"/>
      <c r="C15" s="25"/>
      <c r="D15" s="21"/>
      <c r="E15" s="26"/>
      <c r="F15" s="4"/>
      <c r="G15" s="114"/>
      <c r="H15" s="114"/>
      <c r="I15" s="114"/>
      <c r="J15" s="114"/>
      <c r="K15" s="4"/>
      <c r="L15" s="4"/>
      <c r="M15" s="4"/>
      <c r="N15" s="4"/>
      <c r="O15" s="4"/>
    </row>
    <row r="16" spans="1:16" x14ac:dyDescent="0.25">
      <c r="A16" s="2" t="s">
        <v>76</v>
      </c>
      <c r="B16" s="14"/>
      <c r="C16" s="25">
        <f>C10</f>
        <v>75300000</v>
      </c>
      <c r="D16" s="21"/>
      <c r="E16" s="26"/>
      <c r="F16" s="4"/>
      <c r="G16" s="79"/>
      <c r="H16" s="79"/>
      <c r="I16" s="79"/>
      <c r="J16" s="90"/>
      <c r="K16" s="4"/>
      <c r="L16" s="4"/>
      <c r="M16" s="4"/>
      <c r="N16" s="4"/>
      <c r="O16" s="4"/>
    </row>
    <row r="17" spans="1:16" x14ac:dyDescent="0.25">
      <c r="A17" s="2" t="s">
        <v>5</v>
      </c>
      <c r="B17" s="14"/>
      <c r="C17" s="25">
        <f>C9*C11</f>
        <v>334803456</v>
      </c>
      <c r="D17" s="21"/>
      <c r="E17" s="26"/>
      <c r="F17" s="4"/>
      <c r="G17" s="79"/>
      <c r="H17" s="79"/>
      <c r="I17" s="79"/>
      <c r="J17" s="79"/>
      <c r="K17" s="4"/>
      <c r="L17" s="4"/>
      <c r="M17" s="4"/>
      <c r="N17" s="4"/>
      <c r="O17" s="4"/>
    </row>
    <row r="18" spans="1:16" x14ac:dyDescent="0.25">
      <c r="A18" s="30" t="s">
        <v>18</v>
      </c>
      <c r="B18" s="14"/>
      <c r="C18" s="31">
        <f>C12*C4</f>
        <v>36767976.278724983</v>
      </c>
      <c r="D18" s="21"/>
      <c r="E18" s="26"/>
      <c r="F18" s="4"/>
      <c r="G18" s="79"/>
      <c r="H18" s="79"/>
      <c r="I18" s="79"/>
      <c r="J18" s="81"/>
      <c r="K18" s="4"/>
      <c r="L18" s="4"/>
      <c r="M18" s="4"/>
      <c r="N18" s="4"/>
      <c r="O18" s="4"/>
    </row>
    <row r="19" spans="1:16" x14ac:dyDescent="0.25">
      <c r="A19" s="30" t="s">
        <v>63</v>
      </c>
      <c r="B19" s="14"/>
      <c r="C19" s="31">
        <f>C13*C5</f>
        <v>57600000</v>
      </c>
      <c r="D19" s="21"/>
      <c r="E19" s="26"/>
      <c r="F19" s="4"/>
      <c r="G19" s="79"/>
      <c r="H19" s="79"/>
      <c r="I19" s="79"/>
      <c r="J19" s="79"/>
      <c r="K19" s="4"/>
      <c r="L19" s="4"/>
      <c r="M19" s="4"/>
      <c r="N19" s="4"/>
      <c r="O19" s="4"/>
    </row>
    <row r="20" spans="1:16" x14ac:dyDescent="0.25">
      <c r="A20" s="30" t="s">
        <v>75</v>
      </c>
      <c r="B20" s="14"/>
      <c r="C20" s="31">
        <f>N40</f>
        <v>20750000</v>
      </c>
      <c r="D20" s="21"/>
      <c r="E20" s="26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6" x14ac:dyDescent="0.25">
      <c r="A21" s="32" t="s">
        <v>19</v>
      </c>
      <c r="B21" s="14" t="s">
        <v>9</v>
      </c>
      <c r="C21" s="25"/>
      <c r="D21" s="25">
        <f>SUM(C16:C21)</f>
        <v>525221432.27872497</v>
      </c>
      <c r="E21" s="33"/>
      <c r="F21" s="4"/>
      <c r="G21" s="34"/>
      <c r="H21" s="4"/>
      <c r="I21" s="4"/>
      <c r="J21" s="4"/>
      <c r="K21" s="4"/>
      <c r="L21" s="4"/>
      <c r="M21" s="4"/>
      <c r="N21" s="4"/>
      <c r="O21" s="4"/>
    </row>
    <row r="22" spans="1:16" x14ac:dyDescent="0.25">
      <c r="A22" s="2" t="s">
        <v>73</v>
      </c>
      <c r="B22" s="14"/>
      <c r="C22" s="19">
        <f>C14*C5</f>
        <v>691200000</v>
      </c>
      <c r="D22" s="25"/>
      <c r="E22" s="26"/>
      <c r="F22" s="4"/>
      <c r="G22" s="35"/>
      <c r="H22" s="4"/>
      <c r="I22" s="4"/>
      <c r="J22" s="4"/>
      <c r="K22" s="35"/>
      <c r="L22" s="4"/>
      <c r="M22" s="4"/>
      <c r="N22" s="4"/>
      <c r="O22" s="4"/>
    </row>
    <row r="23" spans="1:16" ht="15.75" thickBot="1" x14ac:dyDescent="0.3">
      <c r="A23" s="30" t="s">
        <v>74</v>
      </c>
      <c r="B23" s="10"/>
      <c r="C23" s="36">
        <v>40000000</v>
      </c>
      <c r="D23" s="36">
        <f>SUM(C22:C23)</f>
        <v>731200000</v>
      </c>
      <c r="E23" s="38"/>
      <c r="F23" s="39"/>
      <c r="G23" s="4"/>
      <c r="H23" s="4"/>
      <c r="I23" s="4"/>
      <c r="J23" s="4"/>
      <c r="K23" s="4"/>
      <c r="L23" s="4"/>
      <c r="M23" s="4"/>
      <c r="N23" s="4"/>
      <c r="O23" s="4"/>
    </row>
    <row r="24" spans="1:16" ht="15.75" thickBot="1" x14ac:dyDescent="0.3">
      <c r="A24" s="40" t="s">
        <v>20</v>
      </c>
      <c r="B24" s="41"/>
      <c r="C24" s="41"/>
      <c r="D24" s="41"/>
      <c r="E24" s="43">
        <f>D23-D21</f>
        <v>205978567.72127503</v>
      </c>
      <c r="F24" s="4"/>
      <c r="G24" s="4"/>
      <c r="H24" s="4"/>
      <c r="I24" s="4"/>
      <c r="J24" s="4"/>
      <c r="K24" s="35"/>
      <c r="L24" s="4"/>
      <c r="M24" s="4"/>
      <c r="N24" s="4"/>
      <c r="O24" s="4"/>
    </row>
    <row r="25" spans="1:16" ht="15.75" thickBot="1" x14ac:dyDescent="0.3">
      <c r="A25" s="4" t="s">
        <v>70</v>
      </c>
      <c r="B25" s="39">
        <v>0.1</v>
      </c>
      <c r="C25" s="39"/>
      <c r="D25" s="4"/>
      <c r="E25" s="4"/>
      <c r="F25" s="4"/>
      <c r="G25" s="4"/>
      <c r="H25" s="4"/>
      <c r="I25" s="4"/>
      <c r="J25" s="4"/>
      <c r="K25" s="4"/>
      <c r="L25" s="44"/>
      <c r="M25" s="4"/>
      <c r="N25" s="4"/>
      <c r="O25" s="4"/>
      <c r="P25" s="4"/>
    </row>
    <row r="26" spans="1:16" ht="15.75" thickBot="1" x14ac:dyDescent="0.3">
      <c r="A26" s="45"/>
      <c r="B26" s="110" t="s">
        <v>57</v>
      </c>
      <c r="C26" s="111"/>
      <c r="D26" s="112"/>
      <c r="E26" s="110" t="s">
        <v>58</v>
      </c>
      <c r="F26" s="111"/>
      <c r="G26" s="111"/>
      <c r="H26" s="112"/>
      <c r="I26" s="110" t="s">
        <v>59</v>
      </c>
      <c r="J26" s="111"/>
      <c r="K26" s="111"/>
      <c r="L26" s="112"/>
      <c r="M26" s="99"/>
      <c r="N26" s="77"/>
    </row>
    <row r="27" spans="1:16" ht="15.75" thickBot="1" x14ac:dyDescent="0.3">
      <c r="A27" s="46" t="s">
        <v>21</v>
      </c>
      <c r="B27" s="48" t="s">
        <v>87</v>
      </c>
      <c r="C27" s="97" t="s">
        <v>78</v>
      </c>
      <c r="D27" s="49" t="s">
        <v>26</v>
      </c>
      <c r="E27" s="47" t="s">
        <v>22</v>
      </c>
      <c r="F27" s="48" t="s">
        <v>23</v>
      </c>
      <c r="G27" s="48" t="s">
        <v>24</v>
      </c>
      <c r="H27" s="49" t="s">
        <v>25</v>
      </c>
      <c r="I27" s="47" t="s">
        <v>22</v>
      </c>
      <c r="J27" s="48" t="s">
        <v>23</v>
      </c>
      <c r="K27" s="48" t="s">
        <v>24</v>
      </c>
      <c r="L27" s="49" t="s">
        <v>26</v>
      </c>
      <c r="M27" s="47" t="s">
        <v>22</v>
      </c>
      <c r="N27" s="50" t="s">
        <v>27</v>
      </c>
    </row>
    <row r="28" spans="1:16" ht="15.75" thickBot="1" x14ac:dyDescent="0.3">
      <c r="A28" s="83" t="s">
        <v>38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1:16" x14ac:dyDescent="0.25">
      <c r="A29" s="29" t="s">
        <v>28</v>
      </c>
      <c r="B29" s="51">
        <v>1000000</v>
      </c>
      <c r="C29" s="51">
        <v>0</v>
      </c>
      <c r="D29" s="51"/>
      <c r="E29" s="51"/>
      <c r="F29" s="51">
        <v>0</v>
      </c>
      <c r="G29" s="51"/>
      <c r="H29" s="51">
        <v>0</v>
      </c>
      <c r="I29" s="51">
        <v>0</v>
      </c>
      <c r="J29" s="51">
        <v>0</v>
      </c>
      <c r="K29" s="51">
        <v>0</v>
      </c>
      <c r="L29" s="51">
        <f>-B29</f>
        <v>-1000000</v>
      </c>
      <c r="M29" s="51"/>
      <c r="N29" s="52">
        <f t="shared" ref="N29:N34" si="0">SUM(B29:M29)</f>
        <v>0</v>
      </c>
    </row>
    <row r="30" spans="1:16" x14ac:dyDescent="0.25">
      <c r="A30" s="9" t="s">
        <v>68</v>
      </c>
      <c r="B30" s="31">
        <v>51700000</v>
      </c>
      <c r="C30" s="31"/>
      <c r="D30" s="31">
        <v>0</v>
      </c>
      <c r="E30" s="19">
        <v>0</v>
      </c>
      <c r="F30" s="19">
        <v>0</v>
      </c>
      <c r="G30" s="19">
        <v>0</v>
      </c>
      <c r="H30" s="19">
        <v>0</v>
      </c>
      <c r="I30" s="19"/>
      <c r="J30" s="19"/>
      <c r="K30" s="19"/>
      <c r="L30" s="19">
        <f>-(C30+B30)+30000000</f>
        <v>-21700000</v>
      </c>
      <c r="M30" s="19">
        <v>-30000000</v>
      </c>
      <c r="N30" s="27">
        <f t="shared" si="0"/>
        <v>0</v>
      </c>
    </row>
    <row r="31" spans="1:16" x14ac:dyDescent="0.25">
      <c r="A31" s="2" t="s">
        <v>29</v>
      </c>
      <c r="B31" s="31"/>
      <c r="C31" s="31">
        <v>35000000</v>
      </c>
      <c r="D31" s="31">
        <v>45000000</v>
      </c>
      <c r="E31" s="31">
        <v>50000000</v>
      </c>
      <c r="F31" s="31"/>
      <c r="G31" s="31"/>
      <c r="H31" s="31"/>
      <c r="I31" s="31">
        <f>-(F31+E31+D31+C31)/4</f>
        <v>-32500000</v>
      </c>
      <c r="J31" s="31">
        <f>I31</f>
        <v>-32500000</v>
      </c>
      <c r="K31" s="31">
        <f>J31</f>
        <v>-32500000</v>
      </c>
      <c r="L31" s="31">
        <f>K31</f>
        <v>-32500000</v>
      </c>
      <c r="M31" s="31">
        <v>0</v>
      </c>
      <c r="N31" s="27">
        <f t="shared" si="0"/>
        <v>0</v>
      </c>
    </row>
    <row r="32" spans="1:16" x14ac:dyDescent="0.25">
      <c r="A32" s="2" t="s">
        <v>39</v>
      </c>
      <c r="B32" s="31">
        <f>+B112</f>
        <v>0</v>
      </c>
      <c r="C32" s="31">
        <f t="shared" ref="C32:M32" si="1">+C112</f>
        <v>5760000</v>
      </c>
      <c r="D32" s="31">
        <f t="shared" si="1"/>
        <v>12480000</v>
      </c>
      <c r="E32" s="31">
        <f t="shared" si="1"/>
        <v>53504000</v>
      </c>
      <c r="F32" s="31">
        <f t="shared" si="1"/>
        <v>89984000</v>
      </c>
      <c r="G32" s="31">
        <f t="shared" si="1"/>
        <v>89984000</v>
      </c>
      <c r="H32" s="31">
        <f t="shared" si="1"/>
        <v>77504000</v>
      </c>
      <c r="I32" s="31">
        <f t="shared" si="1"/>
        <v>106496000</v>
      </c>
      <c r="J32" s="31">
        <f t="shared" si="1"/>
        <v>94592000</v>
      </c>
      <c r="K32" s="31">
        <f t="shared" si="1"/>
        <v>77952000</v>
      </c>
      <c r="L32" s="31">
        <f t="shared" si="1"/>
        <v>41472000</v>
      </c>
      <c r="M32" s="31">
        <f t="shared" si="1"/>
        <v>41472000</v>
      </c>
      <c r="N32" s="27">
        <f t="shared" si="0"/>
        <v>691200000</v>
      </c>
    </row>
    <row r="33" spans="1:16" ht="15.75" thickBot="1" x14ac:dyDescent="0.3">
      <c r="A33" s="30" t="s">
        <v>40</v>
      </c>
      <c r="B33" s="53"/>
      <c r="C33" s="53"/>
      <c r="D33" s="53"/>
      <c r="E33" s="53"/>
      <c r="F33" s="53"/>
      <c r="G33" s="53"/>
      <c r="H33" s="53"/>
      <c r="I33" s="53"/>
      <c r="J33" s="53"/>
      <c r="K33" s="92">
        <f>C23/2</f>
        <v>20000000</v>
      </c>
      <c r="L33" s="92">
        <f>K33</f>
        <v>20000000</v>
      </c>
      <c r="M33" s="92"/>
      <c r="N33" s="54">
        <f t="shared" si="0"/>
        <v>40000000</v>
      </c>
    </row>
    <row r="34" spans="1:16" ht="15.75" thickBot="1" x14ac:dyDescent="0.3">
      <c r="A34" s="55" t="s">
        <v>0</v>
      </c>
      <c r="B34" s="56">
        <f t="shared" ref="B34:M34" si="2">SUM(B29:B33)</f>
        <v>52700000</v>
      </c>
      <c r="C34" s="56">
        <f t="shared" si="2"/>
        <v>40760000</v>
      </c>
      <c r="D34" s="56">
        <f t="shared" si="2"/>
        <v>57480000</v>
      </c>
      <c r="E34" s="56">
        <f t="shared" si="2"/>
        <v>103504000</v>
      </c>
      <c r="F34" s="56">
        <f t="shared" si="2"/>
        <v>89984000</v>
      </c>
      <c r="G34" s="56">
        <f t="shared" si="2"/>
        <v>89984000</v>
      </c>
      <c r="H34" s="56">
        <f t="shared" si="2"/>
        <v>77504000</v>
      </c>
      <c r="I34" s="56">
        <f t="shared" si="2"/>
        <v>73996000</v>
      </c>
      <c r="J34" s="56">
        <f t="shared" si="2"/>
        <v>62092000</v>
      </c>
      <c r="K34" s="56">
        <f t="shared" si="2"/>
        <v>65452000</v>
      </c>
      <c r="L34" s="56">
        <f t="shared" si="2"/>
        <v>6272000</v>
      </c>
      <c r="M34" s="56">
        <f t="shared" si="2"/>
        <v>11472000</v>
      </c>
      <c r="N34" s="57">
        <f t="shared" si="0"/>
        <v>731200000</v>
      </c>
    </row>
    <row r="35" spans="1:16" ht="15.75" thickBot="1" x14ac:dyDescent="0.3">
      <c r="A35" s="83" t="s">
        <v>30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6" x14ac:dyDescent="0.25">
      <c r="A36" s="29" t="s">
        <v>67</v>
      </c>
      <c r="B36" s="51">
        <f>B$49*$C$16</f>
        <v>12048000</v>
      </c>
      <c r="C36" s="51">
        <f>C$49*$C$16</f>
        <v>20993640</v>
      </c>
      <c r="D36" s="51">
        <f>D$49*$C$16</f>
        <v>20993640</v>
      </c>
      <c r="E36" s="51">
        <f>E$49*$C$16</f>
        <v>21264720</v>
      </c>
      <c r="F36" s="51"/>
      <c r="G36" s="51"/>
      <c r="H36" s="51"/>
      <c r="I36" s="51">
        <f>$C16*H49</f>
        <v>0</v>
      </c>
      <c r="J36" s="51">
        <f>$C16*I49</f>
        <v>0</v>
      </c>
      <c r="K36" s="51">
        <f>$C16*J49</f>
        <v>0</v>
      </c>
      <c r="L36" s="51">
        <f>$C16*K49</f>
        <v>0</v>
      </c>
      <c r="M36" s="51">
        <f>$C16*L49</f>
        <v>0</v>
      </c>
      <c r="N36" s="52">
        <f>SUM(B36:M36)</f>
        <v>75300000</v>
      </c>
    </row>
    <row r="37" spans="1:16" x14ac:dyDescent="0.25">
      <c r="A37" s="2" t="s">
        <v>5</v>
      </c>
      <c r="B37" s="25">
        <f t="shared" ref="B37:M37" si="3">+B85</f>
        <v>20398543</v>
      </c>
      <c r="C37" s="25">
        <f t="shared" si="3"/>
        <v>3306700.7999999998</v>
      </c>
      <c r="D37" s="25">
        <f t="shared" si="3"/>
        <v>11780121.599999998</v>
      </c>
      <c r="E37" s="25">
        <f t="shared" si="3"/>
        <v>50427187.200000003</v>
      </c>
      <c r="F37" s="25">
        <f t="shared" si="3"/>
        <v>65028171.200000003</v>
      </c>
      <c r="G37" s="25">
        <f t="shared" si="3"/>
        <v>65028172.200000003</v>
      </c>
      <c r="H37" s="25">
        <f t="shared" si="3"/>
        <v>43607116.799999997</v>
      </c>
      <c r="I37" s="25">
        <f t="shared" si="3"/>
        <v>33893683.199999996</v>
      </c>
      <c r="J37" s="25">
        <f t="shared" si="3"/>
        <v>28933631.999999996</v>
      </c>
      <c r="K37" s="25">
        <f t="shared" si="3"/>
        <v>12400127.999999998</v>
      </c>
      <c r="L37" s="25">
        <f t="shared" si="3"/>
        <v>0</v>
      </c>
      <c r="M37" s="25">
        <f t="shared" si="3"/>
        <v>0</v>
      </c>
      <c r="N37" s="27">
        <f>SUM(B37:M37)</f>
        <v>334803456</v>
      </c>
    </row>
    <row r="38" spans="1:16" x14ac:dyDescent="0.25">
      <c r="A38" s="2" t="s">
        <v>18</v>
      </c>
      <c r="B38" s="25">
        <f t="shared" ref="B38:M38" si="4">$C18*B50</f>
        <v>0</v>
      </c>
      <c r="C38" s="25">
        <f t="shared" si="4"/>
        <v>0</v>
      </c>
      <c r="D38" s="25">
        <f t="shared" si="4"/>
        <v>3676797.6278724987</v>
      </c>
      <c r="E38" s="25">
        <f t="shared" si="4"/>
        <v>3676797.6278724987</v>
      </c>
      <c r="F38" s="25">
        <f t="shared" si="4"/>
        <v>3676797.6278724987</v>
      </c>
      <c r="G38" s="25">
        <f t="shared" si="4"/>
        <v>3676797.6278724987</v>
      </c>
      <c r="H38" s="25">
        <f t="shared" si="4"/>
        <v>5515196.4418087471</v>
      </c>
      <c r="I38" s="25">
        <f t="shared" si="4"/>
        <v>7353595.2557449974</v>
      </c>
      <c r="J38" s="25">
        <f t="shared" si="4"/>
        <v>9191994.0696812458</v>
      </c>
      <c r="K38" s="25">
        <f t="shared" si="4"/>
        <v>0</v>
      </c>
      <c r="L38" s="25">
        <f t="shared" si="4"/>
        <v>0</v>
      </c>
      <c r="M38" s="25">
        <f t="shared" si="4"/>
        <v>0</v>
      </c>
      <c r="N38" s="27">
        <f>SUM(B38:M38)</f>
        <v>36767976.278724983</v>
      </c>
    </row>
    <row r="39" spans="1:16" x14ac:dyDescent="0.25">
      <c r="A39" s="2" t="s">
        <v>63</v>
      </c>
      <c r="B39" s="25">
        <f t="shared" ref="B39:M39" si="5">B51*$C19</f>
        <v>20016000</v>
      </c>
      <c r="C39" s="25">
        <f t="shared" si="5"/>
        <v>5760000</v>
      </c>
      <c r="D39" s="25">
        <f t="shared" si="5"/>
        <v>5760000</v>
      </c>
      <c r="E39" s="25">
        <f t="shared" si="5"/>
        <v>2880000</v>
      </c>
      <c r="F39" s="25">
        <f t="shared" si="5"/>
        <v>2880000</v>
      </c>
      <c r="G39" s="25">
        <f t="shared" si="5"/>
        <v>2880000</v>
      </c>
      <c r="H39" s="25">
        <f t="shared" si="5"/>
        <v>2880000</v>
      </c>
      <c r="I39" s="25">
        <f t="shared" si="5"/>
        <v>2880000</v>
      </c>
      <c r="J39" s="25">
        <f t="shared" si="5"/>
        <v>2880000</v>
      </c>
      <c r="K39" s="25">
        <f t="shared" si="5"/>
        <v>5760000</v>
      </c>
      <c r="L39" s="25">
        <f t="shared" si="5"/>
        <v>2880000</v>
      </c>
      <c r="M39" s="25">
        <f t="shared" si="5"/>
        <v>143999.99999998414</v>
      </c>
      <c r="N39" s="27">
        <f>SUM(B39:M39)</f>
        <v>57599999.999999985</v>
      </c>
    </row>
    <row r="40" spans="1:16" ht="15.75" thickBot="1" x14ac:dyDescent="0.3">
      <c r="A40" s="30" t="s">
        <v>69</v>
      </c>
      <c r="B40" s="37">
        <f>SUM($B$31:B31)*$B$25/4</f>
        <v>0</v>
      </c>
      <c r="C40" s="37">
        <f>SUM($B$31:C31)*$B$25/4</f>
        <v>875000</v>
      </c>
      <c r="D40" s="37">
        <f>SUM($B$31:D31)*$B$25/4</f>
        <v>2000000</v>
      </c>
      <c r="E40" s="37">
        <f>SUM($B$31:E31)*$B$25/4</f>
        <v>3250000</v>
      </c>
      <c r="F40" s="37">
        <f>SUM($B$31:F31)*$B$25/4</f>
        <v>3250000</v>
      </c>
      <c r="G40" s="37">
        <f>SUM($B$31:G31)*$B$25/4</f>
        <v>3250000</v>
      </c>
      <c r="H40" s="37">
        <f>SUM($B$31:H31)*$B$25/4</f>
        <v>3250000</v>
      </c>
      <c r="I40" s="37">
        <f>SUM($B$31:I31)*$B$25/4</f>
        <v>2437500</v>
      </c>
      <c r="J40" s="37">
        <f>SUM($B$31:J31)*$B$25/4</f>
        <v>1625000</v>
      </c>
      <c r="K40" s="37">
        <f>SUM($B$31:K31)*$B$25/4</f>
        <v>812500</v>
      </c>
      <c r="L40" s="37">
        <f>SUM($B$31:L31)*$B$25/4</f>
        <v>0</v>
      </c>
      <c r="M40" s="37">
        <f>SUM($B$31:M31)*$B$25/4</f>
        <v>0</v>
      </c>
      <c r="N40" s="54">
        <f>SUM(B40:M40)</f>
        <v>20750000</v>
      </c>
    </row>
    <row r="41" spans="1:16" ht="15.75" thickBot="1" x14ac:dyDescent="0.3">
      <c r="A41" s="55" t="s">
        <v>27</v>
      </c>
      <c r="B41" s="95">
        <f t="shared" ref="B41:N41" si="6">SUM(B36:B40)</f>
        <v>52462543</v>
      </c>
      <c r="C41" s="95">
        <f t="shared" si="6"/>
        <v>30935340.800000001</v>
      </c>
      <c r="D41" s="95">
        <f t="shared" si="6"/>
        <v>44210559.227872498</v>
      </c>
      <c r="E41" s="95">
        <f t="shared" si="6"/>
        <v>81498704.8278725</v>
      </c>
      <c r="F41" s="95">
        <f t="shared" si="6"/>
        <v>74834968.8278725</v>
      </c>
      <c r="G41" s="95">
        <f t="shared" si="6"/>
        <v>74834969.8278725</v>
      </c>
      <c r="H41" s="95">
        <f t="shared" si="6"/>
        <v>55252313.241808742</v>
      </c>
      <c r="I41" s="95">
        <f t="shared" si="6"/>
        <v>46564778.455744997</v>
      </c>
      <c r="J41" s="95">
        <f t="shared" si="6"/>
        <v>42630626.069681242</v>
      </c>
      <c r="K41" s="95">
        <f t="shared" si="6"/>
        <v>18972628</v>
      </c>
      <c r="L41" s="95">
        <f t="shared" si="6"/>
        <v>2880000</v>
      </c>
      <c r="M41" s="95">
        <f t="shared" si="6"/>
        <v>143999.99999998414</v>
      </c>
      <c r="N41" s="96">
        <f t="shared" si="6"/>
        <v>525221432.27872497</v>
      </c>
      <c r="P41" s="1"/>
    </row>
    <row r="42" spans="1:16" ht="15.75" thickBot="1" x14ac:dyDescent="0.3">
      <c r="A42" s="83" t="s">
        <v>32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P42" s="1"/>
    </row>
    <row r="43" spans="1:16" x14ac:dyDescent="0.25">
      <c r="A43" s="29" t="s">
        <v>33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59"/>
    </row>
    <row r="44" spans="1:16" x14ac:dyDescent="0.25">
      <c r="A44" s="2" t="s">
        <v>34</v>
      </c>
      <c r="B44" s="31">
        <v>0</v>
      </c>
      <c r="C44" s="31">
        <f t="shared" ref="C44:E44" si="7">B46</f>
        <v>237457</v>
      </c>
      <c r="D44" s="31">
        <f t="shared" si="7"/>
        <v>10062116.199999999</v>
      </c>
      <c r="E44" s="31">
        <f t="shared" si="7"/>
        <v>23331556.972127501</v>
      </c>
      <c r="F44" s="31">
        <f>E46</f>
        <v>45336852.144254997</v>
      </c>
      <c r="G44" s="31">
        <f t="shared" ref="G44:M44" si="8">F46</f>
        <v>60485883.316382498</v>
      </c>
      <c r="H44" s="31">
        <f t="shared" si="8"/>
        <v>75634913.488509998</v>
      </c>
      <c r="I44" s="31">
        <f t="shared" si="8"/>
        <v>97886600.246701255</v>
      </c>
      <c r="J44" s="31">
        <f t="shared" si="8"/>
        <v>125317821.79095626</v>
      </c>
      <c r="K44" s="31">
        <f t="shared" si="8"/>
        <v>144779195.72127503</v>
      </c>
      <c r="L44" s="31">
        <f t="shared" si="8"/>
        <v>191258567.72127503</v>
      </c>
      <c r="M44" s="31">
        <f t="shared" si="8"/>
        <v>194650567.72127503</v>
      </c>
      <c r="N44" s="33">
        <f>M46</f>
        <v>205978567.72127506</v>
      </c>
      <c r="O44" s="1"/>
      <c r="P44" s="1"/>
    </row>
    <row r="45" spans="1:16" x14ac:dyDescent="0.25">
      <c r="A45" s="2" t="s">
        <v>35</v>
      </c>
      <c r="B45" s="31">
        <f t="shared" ref="B45:M45" si="9">B34-B41</f>
        <v>237457</v>
      </c>
      <c r="C45" s="31">
        <f t="shared" si="9"/>
        <v>9824659.1999999993</v>
      </c>
      <c r="D45" s="31">
        <f t="shared" si="9"/>
        <v>13269440.772127502</v>
      </c>
      <c r="E45" s="31">
        <f t="shared" si="9"/>
        <v>22005295.1721275</v>
      </c>
      <c r="F45" s="31">
        <f t="shared" si="9"/>
        <v>15149031.1721275</v>
      </c>
      <c r="G45" s="31">
        <f t="shared" si="9"/>
        <v>15149030.1721275</v>
      </c>
      <c r="H45" s="31">
        <f t="shared" si="9"/>
        <v>22251686.758191258</v>
      </c>
      <c r="I45" s="31">
        <f t="shared" si="9"/>
        <v>27431221.544255003</v>
      </c>
      <c r="J45" s="31">
        <f t="shared" si="9"/>
        <v>19461373.930318758</v>
      </c>
      <c r="K45" s="31">
        <f t="shared" si="9"/>
        <v>46479372</v>
      </c>
      <c r="L45" s="31">
        <f t="shared" si="9"/>
        <v>3392000</v>
      </c>
      <c r="M45" s="31">
        <f t="shared" si="9"/>
        <v>11328000.000000017</v>
      </c>
      <c r="N45" s="33"/>
      <c r="O45" s="1"/>
    </row>
    <row r="46" spans="1:16" ht="15.75" thickBot="1" x14ac:dyDescent="0.3">
      <c r="A46" s="16" t="s">
        <v>36</v>
      </c>
      <c r="B46" s="42">
        <f t="shared" ref="B46:M46" si="10">B44+B45</f>
        <v>237457</v>
      </c>
      <c r="C46" s="42">
        <f t="shared" ref="C46:E46" si="11">C44+C45</f>
        <v>10062116.199999999</v>
      </c>
      <c r="D46" s="42">
        <f t="shared" si="11"/>
        <v>23331556.972127501</v>
      </c>
      <c r="E46" s="42">
        <f t="shared" si="11"/>
        <v>45336852.144254997</v>
      </c>
      <c r="F46" s="42">
        <f t="shared" si="10"/>
        <v>60485883.316382498</v>
      </c>
      <c r="G46" s="42">
        <f t="shared" si="10"/>
        <v>75634913.488509998</v>
      </c>
      <c r="H46" s="42">
        <f t="shared" si="10"/>
        <v>97886600.246701255</v>
      </c>
      <c r="I46" s="42">
        <f t="shared" si="10"/>
        <v>125317821.79095626</v>
      </c>
      <c r="J46" s="42">
        <f t="shared" si="10"/>
        <v>144779195.72127503</v>
      </c>
      <c r="K46" s="42">
        <f t="shared" si="10"/>
        <v>191258567.72127503</v>
      </c>
      <c r="L46" s="42">
        <f t="shared" si="10"/>
        <v>194650567.72127503</v>
      </c>
      <c r="M46" s="42">
        <f t="shared" si="10"/>
        <v>205978567.72127506</v>
      </c>
      <c r="N46" s="38"/>
      <c r="O46" s="1"/>
    </row>
    <row r="47" spans="1:16" x14ac:dyDescent="0.25">
      <c r="A47" s="84" t="s">
        <v>71</v>
      </c>
      <c r="B47" s="85">
        <f>+(N44+N40+B29+B30)/(N40+SUM(B31:H31))</f>
        <v>1.8535891722804319</v>
      </c>
      <c r="C47" s="9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6" ht="15.75" thickBot="1" x14ac:dyDescent="0.3">
      <c r="A48" s="34" t="s">
        <v>37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4" x14ac:dyDescent="0.25">
      <c r="A49" s="29" t="s">
        <v>31</v>
      </c>
      <c r="B49" s="60">
        <v>0.16</v>
      </c>
      <c r="C49" s="60">
        <v>0.27879999999999999</v>
      </c>
      <c r="D49" s="60">
        <v>0.27879999999999999</v>
      </c>
      <c r="E49" s="60">
        <f>1-SUM(B49:D49)</f>
        <v>0.28239999999999998</v>
      </c>
      <c r="F49" s="60">
        <v>0</v>
      </c>
      <c r="G49" s="60">
        <f>1-SUM(B49:F49)</f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1">
        <f>SUM(B49:M49)</f>
        <v>1</v>
      </c>
    </row>
    <row r="50" spans="1:14" x14ac:dyDescent="0.25">
      <c r="A50" s="30" t="s">
        <v>18</v>
      </c>
      <c r="B50" s="62">
        <v>0</v>
      </c>
      <c r="C50" s="62">
        <v>0</v>
      </c>
      <c r="D50" s="62">
        <v>0.1</v>
      </c>
      <c r="E50" s="62">
        <v>0.1</v>
      </c>
      <c r="F50" s="62">
        <v>0.1</v>
      </c>
      <c r="G50" s="62">
        <v>0.1</v>
      </c>
      <c r="H50" s="62">
        <v>0.15</v>
      </c>
      <c r="I50" s="62">
        <v>0.2</v>
      </c>
      <c r="J50" s="62">
        <f>1-SUM(B50:I50)</f>
        <v>0.25</v>
      </c>
      <c r="K50" s="62">
        <v>0</v>
      </c>
      <c r="L50" s="62">
        <f>1-SUM(B50:K50)</f>
        <v>0</v>
      </c>
      <c r="M50" s="62">
        <v>0</v>
      </c>
      <c r="N50" s="63">
        <f>SUM(B50:M50)</f>
        <v>1</v>
      </c>
    </row>
    <row r="51" spans="1:14" x14ac:dyDescent="0.25">
      <c r="A51" s="2" t="s">
        <v>3</v>
      </c>
      <c r="B51" s="62">
        <v>0.34749999999999998</v>
      </c>
      <c r="C51" s="62">
        <v>0.1</v>
      </c>
      <c r="D51" s="62">
        <v>0.1</v>
      </c>
      <c r="E51" s="62">
        <v>0.05</v>
      </c>
      <c r="F51" s="62">
        <v>0.05</v>
      </c>
      <c r="G51" s="62">
        <v>0.05</v>
      </c>
      <c r="H51" s="62">
        <v>0.05</v>
      </c>
      <c r="I51" s="62">
        <v>0.05</v>
      </c>
      <c r="J51" s="62">
        <v>0.05</v>
      </c>
      <c r="K51" s="62">
        <v>0.1</v>
      </c>
      <c r="L51" s="62">
        <v>0.05</v>
      </c>
      <c r="M51" s="62">
        <f>1-SUM(B51:L51)</f>
        <v>2.4999999999997247E-3</v>
      </c>
      <c r="N51" s="63">
        <f>SUM(B51:M51)</f>
        <v>1</v>
      </c>
    </row>
    <row r="52" spans="1:14" ht="15.75" thickBot="1" x14ac:dyDescent="0.3">
      <c r="A52" s="16" t="s">
        <v>66</v>
      </c>
      <c r="B52" s="93">
        <v>0</v>
      </c>
      <c r="C52" s="93">
        <v>0</v>
      </c>
      <c r="D52" s="93">
        <v>0.05</v>
      </c>
      <c r="E52" s="93">
        <v>0.1</v>
      </c>
      <c r="F52" s="93">
        <v>0.1</v>
      </c>
      <c r="G52" s="93">
        <v>0.1</v>
      </c>
      <c r="H52" s="93">
        <v>0.1</v>
      </c>
      <c r="I52" s="93">
        <v>0.1</v>
      </c>
      <c r="J52" s="93">
        <v>0.1</v>
      </c>
      <c r="K52" s="93">
        <v>0.1</v>
      </c>
      <c r="L52" s="93">
        <v>0.1</v>
      </c>
      <c r="M52" s="93">
        <f>1-SUM(B52:L52)</f>
        <v>0.15000000000000013</v>
      </c>
      <c r="N52" s="94">
        <f>SUM(B52:M52)</f>
        <v>1</v>
      </c>
    </row>
    <row r="53" spans="1:14" ht="15.75" thickBot="1" x14ac:dyDescent="0.3">
      <c r="A53" s="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29" t="s">
        <v>41</v>
      </c>
      <c r="B54" s="64">
        <f>+C5</f>
        <v>1152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59"/>
    </row>
    <row r="55" spans="1:14" x14ac:dyDescent="0.25">
      <c r="A55" s="2" t="s">
        <v>60</v>
      </c>
      <c r="B55" s="65"/>
      <c r="C55" s="65">
        <f>+B119</f>
        <v>0</v>
      </c>
      <c r="D55" s="65">
        <f t="shared" ref="D55:M55" si="12">+C119</f>
        <v>0</v>
      </c>
      <c r="E55" s="65">
        <f t="shared" si="12"/>
        <v>128</v>
      </c>
      <c r="F55" s="65">
        <f t="shared" si="12"/>
        <v>256</v>
      </c>
      <c r="G55" s="65">
        <f t="shared" si="12"/>
        <v>768</v>
      </c>
      <c r="H55" s="65">
        <f t="shared" si="12"/>
        <v>0</v>
      </c>
      <c r="I55" s="65">
        <f t="shared" si="12"/>
        <v>0</v>
      </c>
      <c r="J55" s="65">
        <f t="shared" si="12"/>
        <v>0</v>
      </c>
      <c r="K55" s="65">
        <f t="shared" si="12"/>
        <v>0</v>
      </c>
      <c r="L55" s="65">
        <f t="shared" si="12"/>
        <v>0</v>
      </c>
      <c r="M55" s="65">
        <f t="shared" si="12"/>
        <v>0</v>
      </c>
      <c r="N55" s="66">
        <f>SUM(B55:M55)</f>
        <v>1152</v>
      </c>
    </row>
    <row r="56" spans="1:14" x14ac:dyDescent="0.25">
      <c r="A56" s="2" t="s">
        <v>42</v>
      </c>
      <c r="B56" s="31"/>
      <c r="C56" s="31">
        <f t="shared" ref="C56:M56" si="13">+($C$8*$B$9)*C55</f>
        <v>0</v>
      </c>
      <c r="D56" s="31">
        <f t="shared" si="13"/>
        <v>0</v>
      </c>
      <c r="E56" s="31">
        <f t="shared" si="13"/>
        <v>41333.759999999995</v>
      </c>
      <c r="F56" s="31">
        <f t="shared" si="13"/>
        <v>82667.51999999999</v>
      </c>
      <c r="G56" s="31">
        <f t="shared" si="13"/>
        <v>248002.55999999997</v>
      </c>
      <c r="H56" s="31">
        <f t="shared" si="13"/>
        <v>0</v>
      </c>
      <c r="I56" s="31">
        <f t="shared" si="13"/>
        <v>0</v>
      </c>
      <c r="J56" s="31">
        <f t="shared" si="13"/>
        <v>0</v>
      </c>
      <c r="K56" s="31">
        <f t="shared" si="13"/>
        <v>0</v>
      </c>
      <c r="L56" s="31">
        <f t="shared" si="13"/>
        <v>0</v>
      </c>
      <c r="M56" s="31">
        <f t="shared" si="13"/>
        <v>0</v>
      </c>
      <c r="N56" s="33">
        <f>SUM(B56:M56)</f>
        <v>372003.83999999997</v>
      </c>
    </row>
    <row r="57" spans="1:14" x14ac:dyDescent="0.25">
      <c r="A57" s="2" t="s">
        <v>5</v>
      </c>
      <c r="B57" s="25">
        <v>900</v>
      </c>
      <c r="C57" s="14"/>
      <c r="D57" s="14"/>
      <c r="E57" s="67"/>
      <c r="F57" s="67"/>
      <c r="G57" s="67"/>
      <c r="H57" s="67"/>
      <c r="I57" s="67"/>
      <c r="J57" s="67"/>
      <c r="K57" s="67"/>
      <c r="L57" s="67"/>
      <c r="M57" s="67"/>
      <c r="N57" s="66"/>
    </row>
    <row r="58" spans="1:14" x14ac:dyDescent="0.25">
      <c r="A58" s="2" t="s">
        <v>43</v>
      </c>
      <c r="B58" s="25">
        <v>200</v>
      </c>
      <c r="C58" s="67">
        <f>+$B$57</f>
        <v>900</v>
      </c>
      <c r="D58" s="68">
        <f>+B58/C58</f>
        <v>0.22222222222222221</v>
      </c>
      <c r="E58" s="14"/>
      <c r="F58" s="14"/>
      <c r="G58" s="14"/>
      <c r="H58" s="14"/>
      <c r="I58" s="14"/>
      <c r="J58" s="14"/>
      <c r="K58" s="14"/>
      <c r="L58" s="14"/>
      <c r="M58" s="14"/>
      <c r="N58" s="26"/>
    </row>
    <row r="59" spans="1:14" x14ac:dyDescent="0.25">
      <c r="A59" s="2" t="s">
        <v>44</v>
      </c>
      <c r="B59" s="25">
        <v>400</v>
      </c>
      <c r="C59" s="67">
        <f>+$B$57</f>
        <v>900</v>
      </c>
      <c r="D59" s="68">
        <f>+B59/C59</f>
        <v>0.44444444444444442</v>
      </c>
      <c r="E59" s="14"/>
      <c r="F59" s="14"/>
      <c r="G59" s="14"/>
      <c r="H59" s="14"/>
      <c r="I59" s="14"/>
      <c r="J59" s="14"/>
      <c r="K59" s="14"/>
      <c r="L59" s="14"/>
      <c r="M59" s="14"/>
      <c r="N59" s="26"/>
    </row>
    <row r="60" spans="1:14" ht="15.75" thickBot="1" x14ac:dyDescent="0.3">
      <c r="A60" s="16" t="s">
        <v>45</v>
      </c>
      <c r="B60" s="36">
        <f>+B57-SUM(B58:B59)</f>
        <v>300</v>
      </c>
      <c r="C60" s="69">
        <f>+$B$57</f>
        <v>900</v>
      </c>
      <c r="D60" s="70">
        <f>+B60/C60</f>
        <v>0.33333333333333331</v>
      </c>
      <c r="E60" s="17"/>
      <c r="F60" s="17"/>
      <c r="G60" s="17" t="s">
        <v>72</v>
      </c>
      <c r="H60" s="17"/>
      <c r="I60" s="17"/>
      <c r="J60" s="17"/>
      <c r="K60" s="17"/>
      <c r="L60" s="17"/>
      <c r="M60" s="17"/>
      <c r="N60" s="71"/>
    </row>
    <row r="61" spans="1:14" ht="15.75" thickBot="1" x14ac:dyDescent="0.3">
      <c r="A61" s="72"/>
      <c r="B61" s="48" t="str">
        <f t="shared" ref="B61:N61" si="14">B27</f>
        <v>As on Date</v>
      </c>
      <c r="C61" s="48" t="str">
        <f t="shared" si="14"/>
        <v>3rd Qtr</v>
      </c>
      <c r="D61" s="48" t="str">
        <f t="shared" si="14"/>
        <v>4th Qtr</v>
      </c>
      <c r="E61" s="48" t="str">
        <f t="shared" si="14"/>
        <v>1st Qtr</v>
      </c>
      <c r="F61" s="48" t="str">
        <f t="shared" si="14"/>
        <v>2nd Qt</v>
      </c>
      <c r="G61" s="48" t="str">
        <f t="shared" si="14"/>
        <v>3rd Qt</v>
      </c>
      <c r="H61" s="48" t="str">
        <f t="shared" si="14"/>
        <v>4th Qt</v>
      </c>
      <c r="I61" s="48" t="str">
        <f t="shared" si="14"/>
        <v>1st Qtr</v>
      </c>
      <c r="J61" s="48" t="str">
        <f t="shared" si="14"/>
        <v>2nd Qt</v>
      </c>
      <c r="K61" s="48" t="str">
        <f t="shared" si="14"/>
        <v>3rd Qt</v>
      </c>
      <c r="L61" s="48" t="str">
        <f t="shared" si="14"/>
        <v>4th Qtr</v>
      </c>
      <c r="M61" s="48" t="str">
        <f t="shared" si="14"/>
        <v>1st Qtr</v>
      </c>
      <c r="N61" s="50" t="str">
        <f t="shared" si="14"/>
        <v>TOTAL</v>
      </c>
    </row>
    <row r="62" spans="1:14" x14ac:dyDescent="0.25">
      <c r="A62" s="9" t="s">
        <v>43</v>
      </c>
      <c r="B62" s="19">
        <f>+($C$56*$B$58)</f>
        <v>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78">
        <f t="shared" ref="N62:N68" si="15">SUM(B62:M62)</f>
        <v>0</v>
      </c>
    </row>
    <row r="63" spans="1:14" x14ac:dyDescent="0.25">
      <c r="A63" s="2" t="s">
        <v>43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7">
        <f t="shared" si="15"/>
        <v>0</v>
      </c>
    </row>
    <row r="64" spans="1:14" x14ac:dyDescent="0.25">
      <c r="A64" s="2" t="s">
        <v>43</v>
      </c>
      <c r="B64" s="25">
        <f>+($E$56*$B$58)*100%+12131791</f>
        <v>20398543</v>
      </c>
      <c r="C64" s="25"/>
      <c r="D64" s="25"/>
      <c r="E64" s="25"/>
      <c r="F64" s="37"/>
      <c r="G64" s="37"/>
      <c r="H64" s="37"/>
      <c r="I64" s="37"/>
      <c r="J64" s="37"/>
      <c r="K64" s="37"/>
      <c r="L64" s="37"/>
      <c r="M64" s="37"/>
      <c r="N64" s="54">
        <f t="shared" si="15"/>
        <v>20398543</v>
      </c>
    </row>
    <row r="65" spans="1:14" x14ac:dyDescent="0.25">
      <c r="A65" s="2" t="s">
        <v>43</v>
      </c>
      <c r="B65" s="37"/>
      <c r="C65" s="37"/>
      <c r="D65" s="37"/>
      <c r="E65" s="25">
        <f>+($F$56*$B$58)</f>
        <v>16533503.999999998</v>
      </c>
      <c r="F65" s="25"/>
      <c r="G65" s="37"/>
      <c r="H65" s="37"/>
      <c r="I65" s="37"/>
      <c r="J65" s="37"/>
      <c r="K65" s="37"/>
      <c r="L65" s="37"/>
      <c r="M65" s="37"/>
      <c r="N65" s="54">
        <f t="shared" si="15"/>
        <v>16533503.999999998</v>
      </c>
    </row>
    <row r="66" spans="1:14" x14ac:dyDescent="0.25">
      <c r="A66" s="2" t="s">
        <v>43</v>
      </c>
      <c r="B66" s="37"/>
      <c r="C66" s="37"/>
      <c r="D66" s="37"/>
      <c r="E66" s="37"/>
      <c r="F66" s="25">
        <f>+($G$56*$B$58)/2-6065896</f>
        <v>18734359.999999996</v>
      </c>
      <c r="G66" s="25">
        <f>+($G$56*$B$58)/2-6065895</f>
        <v>18734360.999999996</v>
      </c>
      <c r="H66" s="37"/>
      <c r="I66" s="37"/>
      <c r="J66" s="37"/>
      <c r="K66" s="37"/>
      <c r="L66" s="37"/>
      <c r="M66" s="37"/>
      <c r="N66" s="54">
        <f t="shared" si="15"/>
        <v>37468720.999999993</v>
      </c>
    </row>
    <row r="67" spans="1:14" x14ac:dyDescent="0.25">
      <c r="A67" s="2" t="s">
        <v>43</v>
      </c>
      <c r="B67" s="37"/>
      <c r="C67" s="37"/>
      <c r="D67" s="37"/>
      <c r="E67" s="25">
        <f>+($H$56*$B$58)</f>
        <v>0</v>
      </c>
      <c r="F67" s="25"/>
      <c r="G67" s="37"/>
      <c r="H67" s="37"/>
      <c r="I67" s="37"/>
      <c r="J67" s="37"/>
      <c r="K67" s="37"/>
      <c r="L67" s="37"/>
      <c r="M67" s="37"/>
      <c r="N67" s="54">
        <f t="shared" si="15"/>
        <v>0</v>
      </c>
    </row>
    <row r="68" spans="1:14" ht="15.75" thickBot="1" x14ac:dyDescent="0.3">
      <c r="A68" s="2" t="s">
        <v>43</v>
      </c>
      <c r="B68" s="37"/>
      <c r="C68" s="37"/>
      <c r="D68" s="37"/>
      <c r="E68" s="37"/>
      <c r="F68" s="25">
        <f>+($I$56*$B$58)</f>
        <v>0</v>
      </c>
      <c r="G68" s="25"/>
      <c r="H68" s="37"/>
      <c r="I68" s="37"/>
      <c r="J68" s="37"/>
      <c r="K68" s="37"/>
      <c r="L68" s="37"/>
      <c r="M68" s="37"/>
      <c r="N68" s="54">
        <f t="shared" si="15"/>
        <v>0</v>
      </c>
    </row>
    <row r="69" spans="1:14" ht="15.75" thickBot="1" x14ac:dyDescent="0.3">
      <c r="A69" s="55" t="s">
        <v>46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7">
        <f>SUM(N62:N68)</f>
        <v>74400768</v>
      </c>
    </row>
    <row r="70" spans="1:14" x14ac:dyDescent="0.25">
      <c r="A70" s="9" t="s">
        <v>44</v>
      </c>
      <c r="B70" s="19"/>
      <c r="C70" s="19">
        <f>+($C$56*$B$59)/4</f>
        <v>0</v>
      </c>
      <c r="D70" s="19">
        <f>+($C$56*$B$59)/4</f>
        <v>0</v>
      </c>
      <c r="E70" s="19"/>
      <c r="F70" s="19"/>
      <c r="G70" s="19"/>
      <c r="H70" s="19"/>
      <c r="I70" s="19"/>
      <c r="J70" s="19"/>
      <c r="K70" s="19"/>
      <c r="L70" s="19"/>
      <c r="M70" s="19"/>
      <c r="N70" s="78">
        <f t="shared" ref="N70:N76" si="16">SUM(B70:M70)</f>
        <v>0</v>
      </c>
    </row>
    <row r="71" spans="1:14" x14ac:dyDescent="0.25">
      <c r="A71" s="2" t="s">
        <v>44</v>
      </c>
      <c r="B71" s="25"/>
      <c r="C71" s="25">
        <f>+($D$56*$B$59)*30%</f>
        <v>0</v>
      </c>
      <c r="D71" s="25">
        <f>+($D$56*$B$59)*20%</f>
        <v>0</v>
      </c>
      <c r="E71" s="25">
        <f>+($D$56*$B$59)*30%</f>
        <v>0</v>
      </c>
      <c r="F71" s="25"/>
      <c r="G71" s="25"/>
      <c r="H71" s="25"/>
      <c r="I71" s="25"/>
      <c r="J71" s="25"/>
      <c r="K71" s="25"/>
      <c r="L71" s="25"/>
      <c r="M71" s="25"/>
      <c r="N71" s="27">
        <f t="shared" si="16"/>
        <v>0</v>
      </c>
    </row>
    <row r="72" spans="1:14" x14ac:dyDescent="0.25">
      <c r="A72" s="2" t="s">
        <v>44</v>
      </c>
      <c r="B72" s="37"/>
      <c r="C72" s="25">
        <f>+($E$56*$B$59)*20%</f>
        <v>3306700.7999999998</v>
      </c>
      <c r="D72" s="25">
        <f>+($E$56*$B$59)*20%</f>
        <v>3306700.7999999998</v>
      </c>
      <c r="E72" s="25">
        <f>+($E$56*$B$59)*20%</f>
        <v>3306700.7999999998</v>
      </c>
      <c r="F72" s="25">
        <f>+($E$56*$B$59)*20%</f>
        <v>3306700.7999999998</v>
      </c>
      <c r="G72" s="25">
        <f>+($E$56*$B$59)*20%</f>
        <v>3306700.7999999998</v>
      </c>
      <c r="H72" s="37"/>
      <c r="I72" s="37"/>
      <c r="J72" s="37"/>
      <c r="K72" s="37"/>
      <c r="L72" s="37"/>
      <c r="M72" s="37"/>
      <c r="N72" s="27">
        <f t="shared" si="16"/>
        <v>16533504</v>
      </c>
    </row>
    <row r="73" spans="1:14" x14ac:dyDescent="0.25">
      <c r="A73" s="2" t="s">
        <v>44</v>
      </c>
      <c r="B73" s="37"/>
      <c r="C73" s="37"/>
      <c r="D73" s="25">
        <f>+($F$56*$B$59)/5</f>
        <v>6613401.5999999996</v>
      </c>
      <c r="E73" s="25">
        <f>+($F$56*$B$59)/5</f>
        <v>6613401.5999999996</v>
      </c>
      <c r="F73" s="25">
        <f>+($F$56*$B$59)/5</f>
        <v>6613401.5999999996</v>
      </c>
      <c r="G73" s="25">
        <f>+($F$56*$B$59)/5</f>
        <v>6613401.5999999996</v>
      </c>
      <c r="H73" s="25">
        <f>+($F$56*$B$59)/5</f>
        <v>6613401.5999999996</v>
      </c>
      <c r="I73" s="37"/>
      <c r="J73" s="37"/>
      <c r="K73" s="37"/>
      <c r="L73" s="37"/>
      <c r="M73" s="37"/>
      <c r="N73" s="27">
        <f t="shared" si="16"/>
        <v>33067008</v>
      </c>
    </row>
    <row r="74" spans="1:14" x14ac:dyDescent="0.25">
      <c r="A74" s="2" t="s">
        <v>44</v>
      </c>
      <c r="B74" s="37"/>
      <c r="C74" s="37"/>
      <c r="D74" s="37"/>
      <c r="E74" s="25">
        <f>+($G$56*$B$59)/6</f>
        <v>16533503.999999998</v>
      </c>
      <c r="F74" s="25">
        <f t="shared" ref="F74:J74" si="17">+($G$56*$B$59)/6</f>
        <v>16533503.999999998</v>
      </c>
      <c r="G74" s="25">
        <f t="shared" si="17"/>
        <v>16533503.999999998</v>
      </c>
      <c r="H74" s="25">
        <f t="shared" si="17"/>
        <v>16533503.999999998</v>
      </c>
      <c r="I74" s="25">
        <f t="shared" si="17"/>
        <v>16533503.999999998</v>
      </c>
      <c r="J74" s="25">
        <f t="shared" si="17"/>
        <v>16533503.999999998</v>
      </c>
      <c r="K74" s="37"/>
      <c r="L74" s="37"/>
      <c r="M74" s="37"/>
      <c r="N74" s="27">
        <f t="shared" si="16"/>
        <v>99201023.999999985</v>
      </c>
    </row>
    <row r="75" spans="1:14" x14ac:dyDescent="0.25">
      <c r="A75" s="2" t="s">
        <v>44</v>
      </c>
      <c r="B75" s="37"/>
      <c r="C75" s="37"/>
      <c r="D75" s="37"/>
      <c r="E75" s="37"/>
      <c r="F75" s="25">
        <f>+($H$56*$B$59)/4</f>
        <v>0</v>
      </c>
      <c r="G75" s="25">
        <f>+($H$56*$B$59)/4</f>
        <v>0</v>
      </c>
      <c r="H75" s="25">
        <f>+($H$56*$B$59)/4</f>
        <v>0</v>
      </c>
      <c r="I75" s="25">
        <f>+($H$56*$B$59)/4</f>
        <v>0</v>
      </c>
      <c r="J75" s="37"/>
      <c r="K75" s="37"/>
      <c r="L75" s="37"/>
      <c r="M75" s="37"/>
      <c r="N75" s="27">
        <f t="shared" si="16"/>
        <v>0</v>
      </c>
    </row>
    <row r="76" spans="1:14" ht="15.75" thickBot="1" x14ac:dyDescent="0.3">
      <c r="A76" s="2" t="s">
        <v>44</v>
      </c>
      <c r="B76" s="37"/>
      <c r="C76" s="37"/>
      <c r="D76" s="37"/>
      <c r="E76" s="37"/>
      <c r="F76" s="37"/>
      <c r="G76" s="25">
        <f>+($I$56*$B$59)/4</f>
        <v>0</v>
      </c>
      <c r="H76" s="25">
        <f>+($I$56*$B$59)/4</f>
        <v>0</v>
      </c>
      <c r="I76" s="25">
        <f>+($I$56*$B$59)/4</f>
        <v>0</v>
      </c>
      <c r="J76" s="25">
        <f>+($I$56*$B$59)/4</f>
        <v>0</v>
      </c>
      <c r="K76" s="25"/>
      <c r="L76" s="25"/>
      <c r="M76" s="25"/>
      <c r="N76" s="27">
        <f t="shared" si="16"/>
        <v>0</v>
      </c>
    </row>
    <row r="77" spans="1:14" ht="15.75" thickBot="1" x14ac:dyDescent="0.3">
      <c r="A77" s="55" t="s">
        <v>47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7">
        <f>SUM(N70:N76)</f>
        <v>148801536</v>
      </c>
    </row>
    <row r="78" spans="1:14" x14ac:dyDescent="0.25">
      <c r="A78" s="9" t="s">
        <v>45</v>
      </c>
      <c r="B78" s="19"/>
      <c r="C78" s="19">
        <f>+($C$56*$B$60)/5</f>
        <v>0</v>
      </c>
      <c r="D78" s="19">
        <f>+($C$56*$B$60)/5</f>
        <v>0</v>
      </c>
      <c r="E78" s="19">
        <f>+($C$56*$B$60)/5</f>
        <v>0</v>
      </c>
      <c r="F78" s="19">
        <f>+($C$56*$B$60)/5</f>
        <v>0</v>
      </c>
      <c r="G78" s="19"/>
      <c r="H78" s="19"/>
      <c r="I78" s="19"/>
      <c r="J78" s="19"/>
      <c r="K78" s="19"/>
      <c r="L78" s="19"/>
      <c r="M78" s="19"/>
      <c r="N78" s="78">
        <f t="shared" ref="N78:N83" si="18">SUM(B78:M78)</f>
        <v>0</v>
      </c>
    </row>
    <row r="79" spans="1:14" x14ac:dyDescent="0.25">
      <c r="A79" s="2" t="s">
        <v>45</v>
      </c>
      <c r="B79" s="25"/>
      <c r="C79" s="25">
        <f>+($D$56*$B$60)*15%</f>
        <v>0</v>
      </c>
      <c r="D79" s="25">
        <f>+($D$56*$B$60)*20%</f>
        <v>0</v>
      </c>
      <c r="E79" s="25">
        <f>+($D$56*$B$60)*20%</f>
        <v>0</v>
      </c>
      <c r="F79" s="25">
        <f>+($D$56*$B$60)*20%</f>
        <v>0</v>
      </c>
      <c r="G79" s="25">
        <f>+($D$56*$B$60)*25%</f>
        <v>0</v>
      </c>
      <c r="H79" s="25"/>
      <c r="I79" s="25"/>
      <c r="J79" s="25"/>
      <c r="K79" s="25"/>
      <c r="L79" s="25"/>
      <c r="M79" s="25"/>
      <c r="N79" s="27">
        <f t="shared" si="18"/>
        <v>0</v>
      </c>
    </row>
    <row r="80" spans="1:14" x14ac:dyDescent="0.25">
      <c r="A80" s="2" t="s">
        <v>45</v>
      </c>
      <c r="B80" s="37"/>
      <c r="C80" s="37"/>
      <c r="D80" s="25">
        <f>+($E$56*$B$60)*15%</f>
        <v>1860019.1999999997</v>
      </c>
      <c r="E80" s="25">
        <f>+($E$56*$B$60)*20%</f>
        <v>2480025.5999999996</v>
      </c>
      <c r="F80" s="25">
        <f>+($E$56*$B$60)*20%</f>
        <v>2480025.5999999996</v>
      </c>
      <c r="G80" s="25">
        <f>+($E$56*$B$60)*20%</f>
        <v>2480025.5999999996</v>
      </c>
      <c r="H80" s="25">
        <f>+($E$56*$B$60)*25%</f>
        <v>3100031.9999999995</v>
      </c>
      <c r="I80" s="25"/>
      <c r="J80" s="37"/>
      <c r="K80" s="37"/>
      <c r="L80" s="37"/>
      <c r="M80" s="37"/>
      <c r="N80" s="27">
        <f t="shared" si="18"/>
        <v>12400127.999999998</v>
      </c>
    </row>
    <row r="81" spans="1:14" x14ac:dyDescent="0.25">
      <c r="A81" s="2" t="s">
        <v>45</v>
      </c>
      <c r="B81" s="37"/>
      <c r="C81" s="37"/>
      <c r="D81" s="37"/>
      <c r="E81" s="25">
        <f>+($F$56*$B$60)/5</f>
        <v>4960051.1999999993</v>
      </c>
      <c r="F81" s="25">
        <f>+($F$56*$B$60)/5</f>
        <v>4960051.1999999993</v>
      </c>
      <c r="G81" s="25">
        <f>+($F$56*$B$60)/5</f>
        <v>4960051.1999999993</v>
      </c>
      <c r="H81" s="25">
        <f>+($F$56*$B$60)/5</f>
        <v>4960051.1999999993</v>
      </c>
      <c r="I81" s="25">
        <f>+($F$56*$B$60)/5</f>
        <v>4960051.1999999993</v>
      </c>
      <c r="J81" s="25"/>
      <c r="K81" s="25"/>
      <c r="L81" s="25"/>
      <c r="M81" s="25"/>
      <c r="N81" s="27">
        <f t="shared" si="18"/>
        <v>24800255.999999996</v>
      </c>
    </row>
    <row r="82" spans="1:14" x14ac:dyDescent="0.25">
      <c r="A82" s="2" t="s">
        <v>45</v>
      </c>
      <c r="B82" s="37"/>
      <c r="C82" s="37"/>
      <c r="D82" s="37"/>
      <c r="E82" s="37"/>
      <c r="F82" s="25">
        <f>+($G$56*$B$60)/6</f>
        <v>12400127.999999998</v>
      </c>
      <c r="G82" s="25">
        <f t="shared" ref="G82:K82" si="19">+($G$56*$B$60)/6</f>
        <v>12400127.999999998</v>
      </c>
      <c r="H82" s="25">
        <f t="shared" si="19"/>
        <v>12400127.999999998</v>
      </c>
      <c r="I82" s="25">
        <f t="shared" si="19"/>
        <v>12400127.999999998</v>
      </c>
      <c r="J82" s="25">
        <f t="shared" si="19"/>
        <v>12400127.999999998</v>
      </c>
      <c r="K82" s="25">
        <f t="shared" si="19"/>
        <v>12400127.999999998</v>
      </c>
      <c r="L82" s="25"/>
      <c r="M82" s="25"/>
      <c r="N82" s="27">
        <f t="shared" si="18"/>
        <v>74400767.999999985</v>
      </c>
    </row>
    <row r="83" spans="1:14" ht="15.75" thickBot="1" x14ac:dyDescent="0.3">
      <c r="A83" s="30" t="s">
        <v>45</v>
      </c>
      <c r="B83" s="37"/>
      <c r="C83" s="37"/>
      <c r="D83" s="37"/>
      <c r="E83" s="37"/>
      <c r="F83" s="37"/>
      <c r="G83" s="37"/>
      <c r="H83" s="37"/>
      <c r="I83" s="25">
        <f>+($H$56*$B$60)/5</f>
        <v>0</v>
      </c>
      <c r="J83" s="25">
        <f>+($H$56*$B$60)/5</f>
        <v>0</v>
      </c>
      <c r="K83" s="25"/>
      <c r="L83" s="25"/>
      <c r="M83" s="25"/>
      <c r="N83" s="27">
        <f t="shared" si="18"/>
        <v>0</v>
      </c>
    </row>
    <row r="84" spans="1:14" ht="15.75" thickBot="1" x14ac:dyDescent="0.3">
      <c r="A84" s="55" t="s">
        <v>48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>
        <f>SUM(N78:N83)</f>
        <v>111601151.99999997</v>
      </c>
    </row>
    <row r="85" spans="1:14" ht="15.75" thickBot="1" x14ac:dyDescent="0.3">
      <c r="A85" s="55" t="s">
        <v>49</v>
      </c>
      <c r="B85" s="56">
        <f t="shared" ref="B85:M85" si="20">SUM(B62:B84)</f>
        <v>20398543</v>
      </c>
      <c r="C85" s="56">
        <f t="shared" si="20"/>
        <v>3306700.7999999998</v>
      </c>
      <c r="D85" s="56">
        <f t="shared" si="20"/>
        <v>11780121.599999998</v>
      </c>
      <c r="E85" s="56">
        <f>SUM(E62:E84)</f>
        <v>50427187.200000003</v>
      </c>
      <c r="F85" s="56">
        <f t="shared" si="20"/>
        <v>65028171.200000003</v>
      </c>
      <c r="G85" s="56">
        <f t="shared" si="20"/>
        <v>65028172.200000003</v>
      </c>
      <c r="H85" s="56">
        <f>SUM(H62:H84)</f>
        <v>43607116.799999997</v>
      </c>
      <c r="I85" s="56">
        <f t="shared" si="20"/>
        <v>33893683.199999996</v>
      </c>
      <c r="J85" s="56">
        <f t="shared" si="20"/>
        <v>28933631.999999996</v>
      </c>
      <c r="K85" s="56">
        <f t="shared" si="20"/>
        <v>12400127.999999998</v>
      </c>
      <c r="L85" s="56">
        <f t="shared" si="20"/>
        <v>0</v>
      </c>
      <c r="M85" s="56">
        <f t="shared" si="20"/>
        <v>0</v>
      </c>
      <c r="N85" s="57">
        <f>SUM(B85:M85)</f>
        <v>334803456</v>
      </c>
    </row>
    <row r="86" spans="1:14" ht="15.75" thickBo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5">
      <c r="A87" s="29" t="s">
        <v>50</v>
      </c>
      <c r="B87" s="59" t="s">
        <v>61</v>
      </c>
      <c r="C87" s="59" t="s">
        <v>62</v>
      </c>
      <c r="D87" s="82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5">
      <c r="A88" s="2" t="s">
        <v>51</v>
      </c>
      <c r="B88" s="27">
        <v>5000</v>
      </c>
      <c r="C88" s="27"/>
      <c r="D88" s="4"/>
      <c r="E88" s="35">
        <f>$N$117*SUM(B88+C88)</f>
        <v>5760000</v>
      </c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5">
      <c r="A89" s="2" t="s">
        <v>52</v>
      </c>
      <c r="B89" s="27">
        <v>70000</v>
      </c>
      <c r="C89" s="27">
        <v>60000</v>
      </c>
      <c r="D89" s="35"/>
      <c r="E89" s="35">
        <f>$N$117*SUM(B89+C89)</f>
        <v>149760000</v>
      </c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5">
      <c r="A90" s="2" t="s">
        <v>44</v>
      </c>
      <c r="B90" s="27">
        <v>70000</v>
      </c>
      <c r="C90" s="27">
        <v>60000</v>
      </c>
      <c r="D90" s="35"/>
      <c r="E90" s="35">
        <f>$N$117*SUM(B90+C90)</f>
        <v>149760000</v>
      </c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5">
      <c r="A91" s="2" t="s">
        <v>53</v>
      </c>
      <c r="B91" s="27">
        <v>105000</v>
      </c>
      <c r="C91" s="27">
        <v>50000</v>
      </c>
      <c r="D91" s="35"/>
      <c r="E91" s="35">
        <f>$N$117*SUM(B91+C91)</f>
        <v>178560000</v>
      </c>
      <c r="F91" s="35"/>
      <c r="G91" s="4"/>
      <c r="H91" s="4"/>
      <c r="I91" s="4"/>
      <c r="J91" s="4"/>
      <c r="K91" s="4"/>
      <c r="L91" s="4"/>
      <c r="M91" s="4"/>
      <c r="N91" s="4"/>
    </row>
    <row r="92" spans="1:14" ht="15.75" thickBot="1" x14ac:dyDescent="0.3">
      <c r="A92" s="16" t="s">
        <v>54</v>
      </c>
      <c r="B92" s="73">
        <v>100000</v>
      </c>
      <c r="C92" s="73">
        <v>80000</v>
      </c>
      <c r="D92" s="35"/>
      <c r="E92" s="35">
        <f>$N$117*SUM(B92+C92)</f>
        <v>207360000</v>
      </c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5">
      <c r="A93" s="23" t="s">
        <v>55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2"/>
    </row>
    <row r="94" spans="1:14" x14ac:dyDescent="0.25">
      <c r="A94" s="2" t="s">
        <v>51</v>
      </c>
      <c r="B94" s="25"/>
      <c r="C94" s="25">
        <f>$B$88*(E119+D119+F119)</f>
        <v>5760000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7">
        <f>SUM(B94:K94)</f>
        <v>5760000</v>
      </c>
    </row>
    <row r="95" spans="1:14" x14ac:dyDescent="0.25">
      <c r="A95" s="2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7"/>
    </row>
    <row r="96" spans="1:14" x14ac:dyDescent="0.25">
      <c r="A96" s="2" t="s">
        <v>52</v>
      </c>
      <c r="B96" s="25"/>
      <c r="C96" s="25"/>
      <c r="D96" s="25">
        <f>(($B$89+$C$89)*$D$119)/4</f>
        <v>4160000</v>
      </c>
      <c r="E96" s="25">
        <f>(($B$89+$C$89)*$D$119)/4</f>
        <v>4160000</v>
      </c>
      <c r="F96" s="25">
        <f>(($B$89+$C$89)*$D$119)/4</f>
        <v>4160000</v>
      </c>
      <c r="G96" s="25">
        <f>(($B$89+$C$89)*$D$119)/4</f>
        <v>4160000</v>
      </c>
      <c r="H96" s="25"/>
      <c r="I96" s="25"/>
      <c r="J96" s="25"/>
      <c r="K96" s="25"/>
      <c r="L96" s="25"/>
      <c r="M96" s="25"/>
      <c r="N96" s="27">
        <f>SUM(B96:K96)</f>
        <v>16640000</v>
      </c>
    </row>
    <row r="97" spans="1:14" x14ac:dyDescent="0.25">
      <c r="A97" s="2" t="s">
        <v>52</v>
      </c>
      <c r="B97" s="25"/>
      <c r="C97" s="25"/>
      <c r="D97" s="25">
        <f>(($B$89+$C$89)*$E$119)/4</f>
        <v>8320000</v>
      </c>
      <c r="E97" s="25">
        <f>(($B$89+$C$89)*$E$119)/4</f>
        <v>8320000</v>
      </c>
      <c r="F97" s="25">
        <f>(($B$89+$C$89)*$E$119)/4</f>
        <v>8320000</v>
      </c>
      <c r="G97" s="25">
        <f>(($B$89+$C$89)*$E$119)/4</f>
        <v>8320000</v>
      </c>
      <c r="H97" s="25"/>
      <c r="I97" s="25"/>
      <c r="J97" s="25"/>
      <c r="K97" s="25"/>
      <c r="L97" s="25"/>
      <c r="M97" s="25"/>
      <c r="N97" s="27">
        <f>SUM(B97:K97)</f>
        <v>33280000</v>
      </c>
    </row>
    <row r="98" spans="1:14" x14ac:dyDescent="0.25">
      <c r="A98" s="2" t="s">
        <v>52</v>
      </c>
      <c r="B98" s="25"/>
      <c r="C98" s="25"/>
      <c r="D98" s="25"/>
      <c r="E98" s="25">
        <f>(($B$89+$C$89)*$F$119)/6</f>
        <v>16640000</v>
      </c>
      <c r="F98" s="25">
        <f t="shared" ref="F98:J98" si="21">(($B$89+$C$89)*$F$119)/6</f>
        <v>16640000</v>
      </c>
      <c r="G98" s="25">
        <f t="shared" si="21"/>
        <v>16640000</v>
      </c>
      <c r="H98" s="25">
        <f t="shared" si="21"/>
        <v>16640000</v>
      </c>
      <c r="I98" s="25">
        <f t="shared" si="21"/>
        <v>16640000</v>
      </c>
      <c r="J98" s="25">
        <f t="shared" si="21"/>
        <v>16640000</v>
      </c>
      <c r="K98" s="25"/>
      <c r="L98" s="25"/>
      <c r="M98" s="25"/>
      <c r="N98" s="27">
        <f>SUM(B98:K98)</f>
        <v>99840000</v>
      </c>
    </row>
    <row r="99" spans="1:14" x14ac:dyDescent="0.25">
      <c r="A99" s="2" t="s">
        <v>52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7">
        <f>SUM(B99:K99)</f>
        <v>0</v>
      </c>
    </row>
    <row r="100" spans="1:14" x14ac:dyDescent="0.25">
      <c r="A100" s="2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7"/>
    </row>
    <row r="101" spans="1:14" x14ac:dyDescent="0.25">
      <c r="A101" s="2" t="s">
        <v>44</v>
      </c>
      <c r="B101" s="25"/>
      <c r="C101" s="25"/>
      <c r="D101" s="25"/>
      <c r="E101" s="25">
        <f>(($B$90+$C$90)*$D$119)/4</f>
        <v>4160000</v>
      </c>
      <c r="F101" s="25">
        <f>(($B$90+$C$90)*$D$119)/4</f>
        <v>4160000</v>
      </c>
      <c r="G101" s="25">
        <f>(($B$90+$C$90)*$D$119)/4</f>
        <v>4160000</v>
      </c>
      <c r="H101" s="25">
        <f>(($B$90+$C$90)*$D$119)/4</f>
        <v>4160000</v>
      </c>
      <c r="I101" s="25"/>
      <c r="J101" s="25"/>
      <c r="K101" s="25"/>
      <c r="L101" s="25"/>
      <c r="M101" s="25"/>
      <c r="N101" s="27">
        <f>SUM(B101:K101)</f>
        <v>16640000</v>
      </c>
    </row>
    <row r="102" spans="1:14" x14ac:dyDescent="0.25">
      <c r="A102" s="2" t="s">
        <v>44</v>
      </c>
      <c r="B102" s="25"/>
      <c r="C102" s="25"/>
      <c r="D102" s="25"/>
      <c r="E102" s="25">
        <f>(($B$90+$C$90)*$E$119)/4</f>
        <v>8320000</v>
      </c>
      <c r="F102" s="25">
        <f>(($B$90+$C$90)*$E$119)/4</f>
        <v>8320000</v>
      </c>
      <c r="G102" s="25">
        <f>(($B$90+$C$90)*$E$119)/4</f>
        <v>8320000</v>
      </c>
      <c r="H102" s="25">
        <f>(($B$90+$C$90)*$E$119)/4</f>
        <v>8320000</v>
      </c>
      <c r="I102" s="25"/>
      <c r="J102" s="25"/>
      <c r="K102" s="25"/>
      <c r="L102" s="25"/>
      <c r="M102" s="25"/>
      <c r="N102" s="27">
        <f>SUM(B102:K102)</f>
        <v>33280000</v>
      </c>
    </row>
    <row r="103" spans="1:14" x14ac:dyDescent="0.25">
      <c r="A103" s="2" t="s">
        <v>44</v>
      </c>
      <c r="B103" s="25"/>
      <c r="C103" s="25"/>
      <c r="D103" s="25"/>
      <c r="E103" s="25"/>
      <c r="F103" s="25">
        <f>(($B$90+$C$90)*$F$119)/6</f>
        <v>16640000</v>
      </c>
      <c r="G103" s="25">
        <f t="shared" ref="G103:K103" si="22">(($B$90+$C$90)*$F$119)/6</f>
        <v>16640000</v>
      </c>
      <c r="H103" s="25">
        <f t="shared" si="22"/>
        <v>16640000</v>
      </c>
      <c r="I103" s="25">
        <f t="shared" si="22"/>
        <v>16640000</v>
      </c>
      <c r="J103" s="25">
        <f t="shared" si="22"/>
        <v>16640000</v>
      </c>
      <c r="K103" s="25">
        <f t="shared" si="22"/>
        <v>16640000</v>
      </c>
      <c r="L103" s="25"/>
      <c r="M103" s="25"/>
      <c r="N103" s="27">
        <f>SUM(B103:K103)</f>
        <v>99840000</v>
      </c>
    </row>
    <row r="104" spans="1:14" x14ac:dyDescent="0.25">
      <c r="A104" s="2" t="s">
        <v>44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7">
        <f>SUM(B104:K104)</f>
        <v>0</v>
      </c>
    </row>
    <row r="105" spans="1:14" x14ac:dyDescent="0.25">
      <c r="A105" s="2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7"/>
    </row>
    <row r="106" spans="1:14" x14ac:dyDescent="0.25">
      <c r="A106" s="2" t="s">
        <v>53</v>
      </c>
      <c r="B106" s="37"/>
      <c r="C106" s="37"/>
      <c r="D106" s="37"/>
      <c r="E106" s="25">
        <f>(($B$91+$C$91)*$D$119)/5</f>
        <v>3968000</v>
      </c>
      <c r="F106" s="25">
        <f>(($B$91+$C$91)*$D$119)/5</f>
        <v>3968000</v>
      </c>
      <c r="G106" s="25">
        <f>(($B$91+$C$91)*$D$119)/5</f>
        <v>3968000</v>
      </c>
      <c r="H106" s="25">
        <f>(($B$91+$C$91)*$D$119)/5</f>
        <v>3968000</v>
      </c>
      <c r="I106" s="25">
        <f>(($B$91+$C$91)*$D$119)/5</f>
        <v>3968000</v>
      </c>
      <c r="J106" s="25"/>
      <c r="K106" s="25"/>
      <c r="L106" s="25"/>
      <c r="M106" s="25"/>
      <c r="N106" s="27">
        <f>SUM(B106:K106)</f>
        <v>19840000</v>
      </c>
    </row>
    <row r="107" spans="1:14" x14ac:dyDescent="0.25">
      <c r="A107" s="2" t="s">
        <v>53</v>
      </c>
      <c r="B107" s="37"/>
      <c r="C107" s="37"/>
      <c r="D107" s="37"/>
      <c r="E107" s="25">
        <f>(($B$91+$C$91)*$E$119)/5</f>
        <v>7936000</v>
      </c>
      <c r="F107" s="25">
        <f>(($B$91+$C$91)*$E$119)/5</f>
        <v>7936000</v>
      </c>
      <c r="G107" s="25">
        <f>(($B$91+$C$91)*$E$119)/5</f>
        <v>7936000</v>
      </c>
      <c r="H107" s="25">
        <f>(($B$91+$C$91)*$E$119)/5</f>
        <v>7936000</v>
      </c>
      <c r="I107" s="25">
        <f>(($B$91+$C$91)*$E$119)/5</f>
        <v>7936000</v>
      </c>
      <c r="J107" s="25"/>
      <c r="K107" s="25"/>
      <c r="L107" s="25"/>
      <c r="M107" s="25"/>
      <c r="N107" s="27">
        <f>SUM(B107:K107)</f>
        <v>39680000</v>
      </c>
    </row>
    <row r="108" spans="1:14" x14ac:dyDescent="0.25">
      <c r="A108" s="2" t="s">
        <v>53</v>
      </c>
      <c r="B108" s="37"/>
      <c r="C108" s="37"/>
      <c r="D108" s="37"/>
      <c r="E108" s="37"/>
      <c r="F108" s="25">
        <f>(($B$91+$C$91)*$F$119)/6</f>
        <v>19840000</v>
      </c>
      <c r="G108" s="25">
        <f t="shared" ref="G108:K108" si="23">(($B$91+$C$91)*$F$119)/6</f>
        <v>19840000</v>
      </c>
      <c r="H108" s="25">
        <f t="shared" si="23"/>
        <v>19840000</v>
      </c>
      <c r="I108" s="25">
        <f t="shared" si="23"/>
        <v>19840000</v>
      </c>
      <c r="J108" s="25">
        <f t="shared" si="23"/>
        <v>19840000</v>
      </c>
      <c r="K108" s="25">
        <f t="shared" si="23"/>
        <v>19840000</v>
      </c>
      <c r="L108" s="25"/>
      <c r="M108" s="25"/>
      <c r="N108" s="27">
        <f>SUM(B108:K108)</f>
        <v>119040000</v>
      </c>
    </row>
    <row r="109" spans="1:14" x14ac:dyDescent="0.25">
      <c r="A109" s="2" t="s">
        <v>53</v>
      </c>
      <c r="B109" s="37"/>
      <c r="C109" s="37"/>
      <c r="D109" s="37"/>
      <c r="E109" s="37"/>
      <c r="F109" s="37"/>
      <c r="G109" s="37"/>
      <c r="H109" s="25"/>
      <c r="I109" s="25"/>
      <c r="J109" s="25"/>
      <c r="K109" s="25"/>
      <c r="L109" s="25"/>
      <c r="M109" s="25"/>
      <c r="N109" s="27">
        <f>SUM(B109:K109)</f>
        <v>0</v>
      </c>
    </row>
    <row r="110" spans="1:14" x14ac:dyDescent="0.25">
      <c r="A110" s="2"/>
      <c r="B110" s="37"/>
      <c r="C110" s="37"/>
      <c r="D110" s="37"/>
      <c r="E110" s="37"/>
      <c r="F110" s="37"/>
      <c r="G110" s="37"/>
      <c r="H110" s="37"/>
      <c r="I110" s="25"/>
      <c r="J110" s="25"/>
      <c r="K110" s="25"/>
      <c r="L110" s="25"/>
      <c r="M110" s="25"/>
      <c r="N110" s="27"/>
    </row>
    <row r="111" spans="1:14" ht="15.75" thickBot="1" x14ac:dyDescent="0.3">
      <c r="A111" s="30" t="s">
        <v>54</v>
      </c>
      <c r="B111" s="37"/>
      <c r="C111" s="37"/>
      <c r="D111" s="37"/>
      <c r="E111" s="37"/>
      <c r="F111" s="37"/>
      <c r="G111" s="37"/>
      <c r="H111" s="37"/>
      <c r="I111" s="25">
        <f>(($B$92+$C$92)*($D$119+$E$119+$F$119))/5</f>
        <v>41472000</v>
      </c>
      <c r="J111" s="25">
        <f>(($B$92+$C$92)*($D$119+$E$119+$F$119))/5</f>
        <v>41472000</v>
      </c>
      <c r="K111" s="25">
        <f>(($B$92+$C$92)*($D$119+$E$119+$F$119))/5</f>
        <v>41472000</v>
      </c>
      <c r="L111" s="25">
        <f>(($B$92+$C$92)*($D$119+$E$119+$F$119))/5</f>
        <v>41472000</v>
      </c>
      <c r="M111" s="25">
        <f>(($B$92+$C$92)*($D$119+$E$119+$F$119))/5</f>
        <v>41472000</v>
      </c>
      <c r="N111" s="54">
        <f>SUM(B111:M111)</f>
        <v>207360000</v>
      </c>
    </row>
    <row r="112" spans="1:14" ht="15.75" thickBot="1" x14ac:dyDescent="0.3">
      <c r="A112" s="55" t="s">
        <v>56</v>
      </c>
      <c r="B112" s="56">
        <f t="shared" ref="B112:N112" si="24">SUM(B94:B111)</f>
        <v>0</v>
      </c>
      <c r="C112" s="56">
        <f>SUM(C94:C111)</f>
        <v>5760000</v>
      </c>
      <c r="D112" s="56">
        <f>SUM(D94:D111)</f>
        <v>12480000</v>
      </c>
      <c r="E112" s="56">
        <f t="shared" si="24"/>
        <v>53504000</v>
      </c>
      <c r="F112" s="56">
        <f t="shared" si="24"/>
        <v>89984000</v>
      </c>
      <c r="G112" s="56">
        <f t="shared" si="24"/>
        <v>89984000</v>
      </c>
      <c r="H112" s="56">
        <f t="shared" si="24"/>
        <v>77504000</v>
      </c>
      <c r="I112" s="56">
        <f t="shared" si="24"/>
        <v>106496000</v>
      </c>
      <c r="J112" s="56">
        <f t="shared" si="24"/>
        <v>94592000</v>
      </c>
      <c r="K112" s="56">
        <f t="shared" si="24"/>
        <v>77952000</v>
      </c>
      <c r="L112" s="56">
        <f t="shared" si="24"/>
        <v>41472000</v>
      </c>
      <c r="M112" s="56">
        <f>SUM(M94:M111)</f>
        <v>41472000</v>
      </c>
      <c r="N112" s="57">
        <f t="shared" si="24"/>
        <v>691200000</v>
      </c>
    </row>
    <row r="113" spans="1:1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ht="15.75" thickBo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5.75" thickBot="1" x14ac:dyDescent="0.3">
      <c r="A115" s="55" t="s">
        <v>41</v>
      </c>
      <c r="B115" s="6" t="str">
        <f t="shared" ref="B115:N115" si="25">B27</f>
        <v>As on Date</v>
      </c>
      <c r="C115" s="6" t="str">
        <f t="shared" si="25"/>
        <v>3rd Qtr</v>
      </c>
      <c r="D115" s="6" t="str">
        <f t="shared" si="25"/>
        <v>4th Qtr</v>
      </c>
      <c r="E115" s="6" t="str">
        <f t="shared" si="25"/>
        <v>1st Qtr</v>
      </c>
      <c r="F115" s="6" t="str">
        <f t="shared" si="25"/>
        <v>2nd Qt</v>
      </c>
      <c r="G115" s="6" t="str">
        <f t="shared" si="25"/>
        <v>3rd Qt</v>
      </c>
      <c r="H115" s="6" t="str">
        <f t="shared" si="25"/>
        <v>4th Qt</v>
      </c>
      <c r="I115" s="6" t="str">
        <f t="shared" si="25"/>
        <v>1st Qtr</v>
      </c>
      <c r="J115" s="6" t="str">
        <f t="shared" si="25"/>
        <v>2nd Qt</v>
      </c>
      <c r="K115" s="6" t="str">
        <f t="shared" si="25"/>
        <v>3rd Qt</v>
      </c>
      <c r="L115" s="6" t="str">
        <f t="shared" si="25"/>
        <v>4th Qtr</v>
      </c>
      <c r="M115" s="6" t="str">
        <f t="shared" si="25"/>
        <v>1st Qtr</v>
      </c>
      <c r="N115" s="7" t="str">
        <f t="shared" si="25"/>
        <v>TOTAL</v>
      </c>
    </row>
    <row r="116" spans="1:14" x14ac:dyDescent="0.25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74"/>
    </row>
    <row r="117" spans="1:14" x14ac:dyDescent="0.25">
      <c r="A117" s="2" t="s">
        <v>79</v>
      </c>
      <c r="B117" s="14"/>
      <c r="C117" s="14"/>
      <c r="D117" s="14">
        <v>128</v>
      </c>
      <c r="E117" s="14">
        <v>256</v>
      </c>
      <c r="F117" s="91">
        <f>C5-D117-E117</f>
        <v>768</v>
      </c>
      <c r="G117" s="14"/>
      <c r="H117" s="14"/>
      <c r="I117" s="14"/>
      <c r="J117" s="14"/>
      <c r="K117" s="14"/>
      <c r="L117" s="14"/>
      <c r="M117" s="14"/>
      <c r="N117" s="26">
        <f>SUM(B117:M117)</f>
        <v>1152</v>
      </c>
    </row>
    <row r="118" spans="1:14" ht="15.75" thickBot="1" x14ac:dyDescent="0.3">
      <c r="A118" s="16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71"/>
    </row>
    <row r="119" spans="1:14" ht="15.75" thickBot="1" x14ac:dyDescent="0.3">
      <c r="A119" s="58" t="s">
        <v>0</v>
      </c>
      <c r="B119" s="75">
        <f t="shared" ref="B119:N119" si="26">SUM(B117:B118)</f>
        <v>0</v>
      </c>
      <c r="C119" s="75">
        <f t="shared" si="26"/>
        <v>0</v>
      </c>
      <c r="D119" s="75">
        <f t="shared" si="26"/>
        <v>128</v>
      </c>
      <c r="E119" s="75">
        <f t="shared" si="26"/>
        <v>256</v>
      </c>
      <c r="F119" s="75">
        <f t="shared" si="26"/>
        <v>768</v>
      </c>
      <c r="G119" s="75">
        <f t="shared" si="26"/>
        <v>0</v>
      </c>
      <c r="H119" s="75">
        <f t="shared" si="26"/>
        <v>0</v>
      </c>
      <c r="I119" s="75">
        <f t="shared" si="26"/>
        <v>0</v>
      </c>
      <c r="J119" s="75">
        <f t="shared" si="26"/>
        <v>0</v>
      </c>
      <c r="K119" s="75">
        <f t="shared" si="26"/>
        <v>0</v>
      </c>
      <c r="L119" s="75">
        <f t="shared" si="26"/>
        <v>0</v>
      </c>
      <c r="M119" s="75">
        <f t="shared" si="26"/>
        <v>0</v>
      </c>
      <c r="N119" s="76">
        <f t="shared" si="26"/>
        <v>1152</v>
      </c>
    </row>
  </sheetData>
  <mergeCells count="6">
    <mergeCell ref="A1:E1"/>
    <mergeCell ref="B26:D26"/>
    <mergeCell ref="G6:J6"/>
    <mergeCell ref="G15:J15"/>
    <mergeCell ref="E26:H26"/>
    <mergeCell ref="I26:L26"/>
  </mergeCells>
  <pageMargins left="0.7" right="0.7" top="0.75" bottom="0.75" header="0.3" footer="0.3"/>
  <pageSetup paperSize="9" scale="50" fitToHeight="0" orientation="landscape" horizontalDpi="300" verticalDpi="300" r:id="rId1"/>
  <rowBreaks count="2" manualBreakCount="2">
    <brk id="41" max="14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15"/>
    </sheetView>
  </sheetViews>
  <sheetFormatPr defaultColWidth="9.140625" defaultRowHeight="16.5" x14ac:dyDescent="0.3"/>
  <cols>
    <col min="1" max="1" width="9.140625" style="101"/>
    <col min="2" max="2" width="41.85546875" style="101" bestFit="1" customWidth="1"/>
    <col min="3" max="3" width="16.5703125" style="101" bestFit="1" customWidth="1"/>
    <col min="4" max="16384" width="9.140625" style="101"/>
  </cols>
  <sheetData>
    <row r="1" spans="1:4" x14ac:dyDescent="0.3">
      <c r="A1" s="100" t="s">
        <v>81</v>
      </c>
      <c r="B1" s="100" t="s">
        <v>82</v>
      </c>
      <c r="C1" s="100" t="s">
        <v>83</v>
      </c>
      <c r="D1" s="100" t="s">
        <v>84</v>
      </c>
    </row>
    <row r="2" spans="1:4" x14ac:dyDescent="0.3">
      <c r="A2" s="102"/>
      <c r="B2" s="100" t="s">
        <v>85</v>
      </c>
      <c r="C2" s="102"/>
      <c r="D2" s="102"/>
    </row>
    <row r="3" spans="1:4" x14ac:dyDescent="0.3">
      <c r="A3" s="102">
        <f>1</f>
        <v>1</v>
      </c>
      <c r="B3" s="102" t="s">
        <v>67</v>
      </c>
      <c r="C3" s="103">
        <f>'CF Annekhi'!N36</f>
        <v>75300000</v>
      </c>
      <c r="D3" s="104">
        <f>C3/C8*100</f>
        <v>14.336810223700036</v>
      </c>
    </row>
    <row r="4" spans="1:4" x14ac:dyDescent="0.3">
      <c r="A4" s="102">
        <f>A3+1</f>
        <v>2</v>
      </c>
      <c r="B4" s="102" t="s">
        <v>5</v>
      </c>
      <c r="C4" s="103">
        <f>'CF Annekhi'!N37</f>
        <v>334803456</v>
      </c>
      <c r="D4" s="104">
        <f>C4/C8*100</f>
        <v>63.745200676107636</v>
      </c>
    </row>
    <row r="5" spans="1:4" x14ac:dyDescent="0.3">
      <c r="A5" s="102">
        <f t="shared" ref="A5:A7" si="0">A4+1</f>
        <v>3</v>
      </c>
      <c r="B5" s="102" t="s">
        <v>18</v>
      </c>
      <c r="C5" s="103">
        <f>'CF Annekhi'!N38</f>
        <v>36767976.278724983</v>
      </c>
      <c r="D5" s="104">
        <f>C5/C8*100</f>
        <v>7.0004714238723063</v>
      </c>
    </row>
    <row r="6" spans="1:4" x14ac:dyDescent="0.3">
      <c r="A6" s="102">
        <f t="shared" si="0"/>
        <v>4</v>
      </c>
      <c r="B6" s="102" t="s">
        <v>63</v>
      </c>
      <c r="C6" s="103">
        <f>'CF Annekhi'!N39</f>
        <v>57599999.999999985</v>
      </c>
      <c r="D6" s="104">
        <f>C6/C8*100</f>
        <v>10.966803039643052</v>
      </c>
    </row>
    <row r="7" spans="1:4" x14ac:dyDescent="0.3">
      <c r="A7" s="102">
        <f t="shared" si="0"/>
        <v>5</v>
      </c>
      <c r="B7" s="102" t="s">
        <v>69</v>
      </c>
      <c r="C7" s="103">
        <f>'CF Annekhi'!N40</f>
        <v>20750000</v>
      </c>
      <c r="D7" s="104">
        <f>C7/C8*100</f>
        <v>3.9507146366769685</v>
      </c>
    </row>
    <row r="8" spans="1:4" x14ac:dyDescent="0.3">
      <c r="A8" s="102"/>
      <c r="B8" s="105" t="s">
        <v>0</v>
      </c>
      <c r="C8" s="106">
        <f>SUM(C3:C7)</f>
        <v>525221432.27872497</v>
      </c>
      <c r="D8" s="107">
        <f>SUM(D3:D7)</f>
        <v>100</v>
      </c>
    </row>
    <row r="9" spans="1:4" x14ac:dyDescent="0.3">
      <c r="A9" s="102"/>
      <c r="B9" s="100" t="s">
        <v>86</v>
      </c>
      <c r="C9" s="103"/>
      <c r="D9" s="104"/>
    </row>
    <row r="10" spans="1:4" x14ac:dyDescent="0.3">
      <c r="A10" s="102">
        <f>1</f>
        <v>1</v>
      </c>
      <c r="B10" s="102" t="s">
        <v>28</v>
      </c>
      <c r="C10" s="103">
        <f>'CF Annekhi'!B29</f>
        <v>1000000</v>
      </c>
      <c r="D10" s="104">
        <f>C10/C14*100</f>
        <v>0.19039588610491415</v>
      </c>
    </row>
    <row r="11" spans="1:4" x14ac:dyDescent="0.3">
      <c r="A11" s="102">
        <f>A10+1</f>
        <v>2</v>
      </c>
      <c r="B11" s="102" t="s">
        <v>68</v>
      </c>
      <c r="C11" s="103">
        <f>'CF Annekhi'!B30</f>
        <v>51700000</v>
      </c>
      <c r="D11" s="104">
        <f>C11/C14*100</f>
        <v>9.8434673116240621</v>
      </c>
    </row>
    <row r="12" spans="1:4" x14ac:dyDescent="0.3">
      <c r="A12" s="102">
        <f t="shared" ref="A12:A13" si="1">A11+1</f>
        <v>3</v>
      </c>
      <c r="B12" s="102" t="s">
        <v>29</v>
      </c>
      <c r="C12" s="103">
        <f>'[1]CF Shimla'!C34+'[1]CF Shimla'!D34+'[1]CF Shimla'!E34</f>
        <v>130000000</v>
      </c>
      <c r="D12" s="104">
        <f>C12/C14*100</f>
        <v>24.75146519363884</v>
      </c>
    </row>
    <row r="13" spans="1:4" x14ac:dyDescent="0.3">
      <c r="A13" s="102">
        <f t="shared" si="1"/>
        <v>4</v>
      </c>
      <c r="B13" s="102" t="s">
        <v>39</v>
      </c>
      <c r="C13" s="103">
        <f>C14-C10-C11-C12</f>
        <v>342521432.27872497</v>
      </c>
      <c r="D13" s="104">
        <f>C13/C14*100</f>
        <v>65.214671608632173</v>
      </c>
    </row>
    <row r="14" spans="1:4" x14ac:dyDescent="0.3">
      <c r="A14" s="102"/>
      <c r="B14" s="100" t="s">
        <v>0</v>
      </c>
      <c r="C14" s="106">
        <f>C8</f>
        <v>525221432.27872497</v>
      </c>
      <c r="D14" s="107">
        <f>SUM(D10:D13)</f>
        <v>99.999999999999986</v>
      </c>
    </row>
    <row r="15" spans="1:4" x14ac:dyDescent="0.3">
      <c r="C15" s="108"/>
    </row>
    <row r="16" spans="1:4" x14ac:dyDescent="0.3">
      <c r="C16" s="108"/>
    </row>
    <row r="17" spans="3:3" x14ac:dyDescent="0.3">
      <c r="C17" s="108"/>
    </row>
    <row r="18" spans="3:3" x14ac:dyDescent="0.3">
      <c r="C18" s="108"/>
    </row>
    <row r="19" spans="3:3" x14ac:dyDescent="0.3">
      <c r="C19" s="108"/>
    </row>
    <row r="20" spans="3:3" x14ac:dyDescent="0.3">
      <c r="C20" s="108"/>
    </row>
    <row r="21" spans="3:3" x14ac:dyDescent="0.3">
      <c r="C21" s="108"/>
    </row>
    <row r="22" spans="3:3" x14ac:dyDescent="0.3">
      <c r="C22" s="108"/>
    </row>
    <row r="23" spans="3:3" x14ac:dyDescent="0.3">
      <c r="C23" s="108"/>
    </row>
    <row r="24" spans="3:3" x14ac:dyDescent="0.3">
      <c r="C24" s="108"/>
    </row>
    <row r="25" spans="3:3" x14ac:dyDescent="0.3">
      <c r="C25" s="108"/>
    </row>
    <row r="26" spans="3:3" x14ac:dyDescent="0.3">
      <c r="C26" s="1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CF Annekhi</vt:lpstr>
      <vt:lpstr>Cop MOF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OWNER</cp:lastModifiedBy>
  <cp:lastPrinted>2022-12-15T08:08:39Z</cp:lastPrinted>
  <dcterms:created xsi:type="dcterms:W3CDTF">2021-03-09T23:59:53Z</dcterms:created>
  <dcterms:modified xsi:type="dcterms:W3CDTF">2023-01-17T11:47:40Z</dcterms:modified>
</cp:coreProperties>
</file>