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621-513-866\Report_&amp;_Working\"/>
    </mc:Choice>
  </mc:AlternateContent>
  <xr:revisionPtr revIDLastSave="0" documentId="13_ncr:1_{730C45BE-0361-4D05-B525-5B74C72A69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Sheet1!$B$3:$T$18</definedName>
    <definedName name="_xlnm.Print_Area" localSheetId="0">Sheet1!$B$1:$T$18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  <c r="X7" i="1"/>
  <c r="X18" i="1"/>
  <c r="V16" i="1"/>
  <c r="V17" i="1"/>
  <c r="V5" i="1"/>
  <c r="V6" i="1"/>
  <c r="V7" i="1"/>
  <c r="V8" i="1"/>
  <c r="V9" i="1"/>
  <c r="V10" i="1"/>
  <c r="V11" i="1"/>
  <c r="V12" i="1"/>
  <c r="V13" i="1"/>
  <c r="V14" i="1"/>
  <c r="V4" i="1"/>
  <c r="R6" i="1"/>
  <c r="R7" i="1"/>
  <c r="R8" i="1"/>
  <c r="R9" i="1"/>
  <c r="T9" i="1" s="1"/>
  <c r="R10" i="1"/>
  <c r="R11" i="1"/>
  <c r="T12" i="1"/>
  <c r="T13" i="1"/>
  <c r="T14" i="1"/>
  <c r="T6" i="1"/>
  <c r="T7" i="1"/>
  <c r="T8" i="1"/>
  <c r="T10" i="1"/>
  <c r="T11" i="1"/>
  <c r="Q6" i="1"/>
  <c r="Q7" i="1"/>
  <c r="Q8" i="1"/>
  <c r="Q9" i="1"/>
  <c r="Q10" i="1"/>
  <c r="Q11" i="1"/>
  <c r="P15" i="1"/>
  <c r="P12" i="1"/>
  <c r="P13" i="1"/>
  <c r="P14" i="1"/>
  <c r="P6" i="1"/>
  <c r="P7" i="1"/>
  <c r="P8" i="1"/>
  <c r="P9" i="1"/>
  <c r="P10" i="1"/>
  <c r="P11" i="1"/>
  <c r="N6" i="1"/>
  <c r="N7" i="1"/>
  <c r="N8" i="1"/>
  <c r="N9" i="1"/>
  <c r="N10" i="1"/>
  <c r="N11" i="1"/>
  <c r="K12" i="1"/>
  <c r="K13" i="1"/>
  <c r="K14" i="1"/>
  <c r="K6" i="1"/>
  <c r="K7" i="1"/>
  <c r="K8" i="1"/>
  <c r="K9" i="1"/>
  <c r="K10" i="1"/>
  <c r="K11" i="1"/>
  <c r="F14" i="1"/>
  <c r="G14" i="1" s="1"/>
  <c r="F13" i="1"/>
  <c r="F12" i="1"/>
  <c r="G12" i="1" s="1"/>
  <c r="G11" i="1"/>
  <c r="F11" i="1"/>
  <c r="G10" i="1"/>
  <c r="F10" i="1"/>
  <c r="G9" i="1"/>
  <c r="G8" i="1"/>
  <c r="F8" i="1"/>
  <c r="G7" i="1"/>
  <c r="G6" i="1"/>
  <c r="F6" i="1"/>
  <c r="F4" i="1"/>
  <c r="H14" i="1"/>
  <c r="H13" i="1"/>
  <c r="H12" i="1"/>
  <c r="H11" i="1"/>
  <c r="H10" i="1"/>
  <c r="H9" i="1"/>
  <c r="H8" i="1"/>
  <c r="H7" i="1"/>
  <c r="H6" i="1"/>
  <c r="H5" i="1"/>
  <c r="H4" i="1"/>
  <c r="I45" i="1"/>
  <c r="G4" i="1"/>
  <c r="P4" i="1" s="1"/>
  <c r="T27" i="1"/>
  <c r="T24" i="1"/>
  <c r="N5" i="1"/>
  <c r="N12" i="1"/>
  <c r="N13" i="1"/>
  <c r="N14" i="1"/>
  <c r="K5" i="1"/>
  <c r="G13" i="1"/>
  <c r="E21" i="1"/>
  <c r="G5" i="1"/>
  <c r="P5" i="1" s="1"/>
  <c r="A46" i="1"/>
  <c r="A47" i="1" s="1"/>
  <c r="K37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J25" i="1"/>
  <c r="N4" i="1"/>
  <c r="T15" i="1" l="1"/>
  <c r="Q5" i="1"/>
  <c r="R5" i="1" s="1"/>
  <c r="T5" i="1" s="1"/>
  <c r="Q14" i="1"/>
  <c r="R14" i="1" s="1"/>
  <c r="Q12" i="1"/>
  <c r="R12" i="1" s="1"/>
  <c r="Q13" i="1"/>
  <c r="R13" i="1" s="1"/>
  <c r="E42" i="1"/>
  <c r="E43" i="1" s="1"/>
  <c r="K40" i="1" s="1"/>
  <c r="Q28" i="1"/>
  <c r="G15" i="1"/>
  <c r="T25" i="1" s="1"/>
  <c r="F15" i="1"/>
  <c r="H22" i="1" s="1"/>
  <c r="M24" i="1"/>
  <c r="K4" i="1"/>
  <c r="Q4" i="1" l="1"/>
  <c r="R4" i="1" s="1"/>
  <c r="R15" i="1" l="1"/>
  <c r="T4" i="1"/>
</calcChain>
</file>

<file path=xl/sharedStrings.xml><?xml version="1.0" encoding="utf-8"?>
<sst xmlns="http://schemas.openxmlformats.org/spreadsheetml/2006/main" count="62" uniqueCount="47">
  <si>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</si>
  <si>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</si>
  <si>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</si>
  <si>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</si>
  <si>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</si>
  <si>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</si>
  <si>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</si>
  <si>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</si>
  <si>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</si>
  <si>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</si>
  <si>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</si>
  <si>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</si>
  <si>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</si>
  <si>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</si>
  <si>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</si>
  <si>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</si>
  <si>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</si>
  <si>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</si>
  <si>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 xml:space="preserve">RCC framed building </t>
  </si>
  <si>
    <t>Ground Floor</t>
  </si>
  <si>
    <t>sq.mtr.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</si>
  <si>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</si>
  <si>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 
</t>
    </r>
    <r>
      <rPr>
        <b/>
        <i/>
        <sz val="10"/>
        <rFont val="Calibri"/>
        <family val="2"/>
        <scheme val="minor"/>
      </rPr>
      <t>(in sq.ft.)</t>
    </r>
  </si>
  <si>
    <r>
      <t xml:space="preserve">Height </t>
    </r>
    <r>
      <rPr>
        <b/>
        <i/>
        <sz val="10"/>
        <rFont val="Calibri"/>
        <family val="2"/>
        <scheme val="minor"/>
      </rPr>
      <t>(in ft)</t>
    </r>
  </si>
  <si>
    <t>2. The valuation is done by considering the depreciated replacement cost approach.</t>
  </si>
  <si>
    <t>FAR</t>
  </si>
  <si>
    <t>Ground coverage</t>
  </si>
  <si>
    <t>GI Shed mounted on Steel Structure</t>
  </si>
  <si>
    <t>Panel Room</t>
  </si>
  <si>
    <t>Guest House</t>
  </si>
  <si>
    <t>ETP</t>
  </si>
  <si>
    <t>Security Room</t>
  </si>
  <si>
    <t>Weigh Bridge Room</t>
  </si>
  <si>
    <t>Main Shed</t>
  </si>
  <si>
    <t>Bricate Shed 1</t>
  </si>
  <si>
    <t>Bricate Shed 2</t>
  </si>
  <si>
    <t>Labour Quarter</t>
  </si>
  <si>
    <t>Boiler 1</t>
  </si>
  <si>
    <t>Boiler 2</t>
  </si>
  <si>
    <t>G+1</t>
  </si>
  <si>
    <t>Tin Shed mounted on Iron pillar</t>
  </si>
  <si>
    <t>Tin shed mounted ion RBC wall</t>
  </si>
  <si>
    <t>Tin Shed mounted on Steel Structure</t>
  </si>
  <si>
    <t>1. All the details pertaing to the building area statement such as area, floor, etc has been taken from the site survey &amp; as per  the sa,mple measurement  on siite.</t>
  </si>
  <si>
    <t>BUILDING VALUATION OF M/S. BHANU FARMS LIMITED| UDYOG VIHAR | JABALPUR</t>
  </si>
  <si>
    <t>Development work</t>
  </si>
  <si>
    <t>Boundary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</si>
</sst>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0" xfId="0" applyFont="1"/>
    <xf numFmtId="1" fontId="0" fillId="0" borderId="0" xfId="0" applyNumberFormat="1"/>
    <xf numFmtId="0" fontId="2" fillId="5" borderId="1" xfId="0" applyFont="1" applyFill="1" applyBorder="1"/>
    <xf numFmtId="1" fontId="2" fillId="6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9" fontId="0" fillId="0" borderId="0" xfId="0" applyNumberFormat="1"/>
    <xf numFmtId="165" fontId="7" fillId="0" borderId="0" xfId="1" applyNumberFormat="1" applyFont="1"/>
    <xf numFmtId="165" fontId="0" fillId="0" borderId="0" xfId="1" applyNumberFormat="1" applyFont="1"/>
    <xf numFmtId="165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5" fontId="2" fillId="0" borderId="1" xfId="0" applyNumberFormat="1" applyFont="1" applyBorder="1"/>
    <xf numFmtId="44" fontId="2" fillId="0" borderId="1" xfId="0" applyNumberFormat="1" applyFont="1" applyBorder="1"/>
    <xf numFmtId="0" fontId="2" fillId="0" borderId="1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7"/>
  <sheetViews>
    <sheetView tabSelected="1" zoomScale="70" zoomScaleNormal="70" zoomScaleSheetLayoutView="85" workbookViewId="0">
      <pane ySplit="3" topLeftCell="A4" activePane="bottomLeft" state="frozen"/>
      <selection pane="bottomLeft" activeCell="U5" sqref="U5"/>
    </sheetView>
  </sheetViews>
  <sheetFormatPr defaultRowHeight="15" x14ac:dyDescent="0.25"/>
  <cols>
    <col min="1" max="1" width="17.28515625" customWidth="1"/>
    <col min="2" max="2" width="9.28515625" customWidth="1"/>
    <col min="3" max="4" width="14.7109375" style="14" customWidth="1"/>
    <col min="5" max="5" width="17.7109375" style="14" customWidth="1"/>
    <col min="6" max="6" width="15.7109375" hidden="1" customWidth="1"/>
    <col min="7" max="7" width="10.7109375" customWidth="1"/>
    <col min="8" max="8" width="17.42578125" customWidth="1"/>
    <col min="9" max="9" width="17.140625" customWidth="1"/>
    <col min="10" max="10" width="11.140625" customWidth="1"/>
    <col min="11" max="11" width="9.7109375" customWidth="1"/>
    <col min="12" max="12" width="10.5703125" customWidth="1"/>
    <col min="13" max="13" width="7.7109375" hidden="1" customWidth="1"/>
    <col min="14" max="14" width="12.42578125" hidden="1" customWidth="1"/>
    <col min="15" max="15" width="10.85546875" customWidth="1"/>
    <col min="16" max="16" width="19.28515625" customWidth="1"/>
    <col min="17" max="17" width="16.7109375" customWidth="1"/>
    <col min="18" max="18" width="19.85546875" hidden="1" customWidth="1"/>
    <col min="19" max="19" width="10.85546875" hidden="1" customWidth="1"/>
    <col min="20" max="20" width="19.28515625" customWidth="1"/>
    <col min="21" max="21" width="11.5703125" bestFit="1" customWidth="1"/>
    <col min="22" max="22" width="19.42578125" customWidth="1"/>
    <col min="23" max="23" width="23.5703125" customWidth="1"/>
    <col min="24" max="24" width="16.42578125" customWidth="1"/>
  </cols>
  <sheetData>
    <row r="2" spans="1:24" ht="31.5" customHeight="1" x14ac:dyDescent="0.25">
      <c r="B2" s="27" t="s">
        <v>44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4" s="11" customFormat="1" ht="102" customHeight="1" x14ac:dyDescent="0.25">
      <c r="B3" s="9" t="s">
        <v>0</v>
      </c>
      <c r="C3" s="10" t="s">
        <v>11</v>
      </c>
      <c r="D3" s="10" t="s">
        <v>1</v>
      </c>
      <c r="E3" s="10" t="s">
        <v>4</v>
      </c>
      <c r="F3" s="10" t="s">
        <v>21</v>
      </c>
      <c r="G3" s="10" t="s">
        <v>22</v>
      </c>
      <c r="H3" s="10" t="s">
        <v>23</v>
      </c>
      <c r="I3" s="10" t="s">
        <v>2</v>
      </c>
      <c r="J3" s="10" t="s">
        <v>3</v>
      </c>
      <c r="K3" s="10" t="s">
        <v>14</v>
      </c>
      <c r="L3" s="10" t="s">
        <v>15</v>
      </c>
      <c r="M3" s="10" t="s">
        <v>5</v>
      </c>
      <c r="N3" s="10" t="s">
        <v>7</v>
      </c>
      <c r="O3" s="10" t="s">
        <v>16</v>
      </c>
      <c r="P3" s="10" t="s">
        <v>12</v>
      </c>
      <c r="Q3" s="10" t="s">
        <v>8</v>
      </c>
      <c r="R3" s="10" t="s">
        <v>9</v>
      </c>
      <c r="S3" s="10" t="s">
        <v>13</v>
      </c>
      <c r="T3" s="10" t="s">
        <v>10</v>
      </c>
      <c r="V3" s="15" t="s">
        <v>20</v>
      </c>
    </row>
    <row r="4" spans="1:24" s="11" customFormat="1" ht="32.25" customHeight="1" x14ac:dyDescent="0.25">
      <c r="A4" s="24"/>
      <c r="B4" s="1">
        <v>1</v>
      </c>
      <c r="C4" s="13" t="s">
        <v>28</v>
      </c>
      <c r="D4" s="13" t="s">
        <v>19</v>
      </c>
      <c r="E4" s="13" t="s">
        <v>18</v>
      </c>
      <c r="F4" s="7">
        <f>16.4*5.9</f>
        <v>96.759999999999991</v>
      </c>
      <c r="G4" s="7">
        <f t="shared" ref="G4:G14" si="0">F4*10.764</f>
        <v>1041.5246399999999</v>
      </c>
      <c r="H4" s="7">
        <f>4.3*3.28</f>
        <v>14.103999999999999</v>
      </c>
      <c r="I4" s="1">
        <v>2010</v>
      </c>
      <c r="J4" s="1">
        <v>2023</v>
      </c>
      <c r="K4" s="1">
        <f>J4-I4</f>
        <v>13</v>
      </c>
      <c r="L4" s="1">
        <v>60</v>
      </c>
      <c r="M4" s="2">
        <v>0.1</v>
      </c>
      <c r="N4" s="3">
        <f>(1-M4)/L4</f>
        <v>1.5000000000000001E-2</v>
      </c>
      <c r="O4" s="4">
        <v>1250</v>
      </c>
      <c r="P4" s="4">
        <f>O4*G4</f>
        <v>1301905.7999999998</v>
      </c>
      <c r="Q4" s="4">
        <f t="shared" ref="Q4:Q14" si="1">P4*N4*K4</f>
        <v>253871.63099999999</v>
      </c>
      <c r="R4" s="4">
        <f t="shared" ref="R4:R14" si="2">MAX(P4-Q4,0)</f>
        <v>1048034.1689999998</v>
      </c>
      <c r="S4" s="8">
        <v>0</v>
      </c>
      <c r="T4" s="4">
        <f t="shared" ref="T4:T15" si="3">IF(R4&gt;M4*P4,R4*(1-S4),P4*M4)</f>
        <v>1048034.1689999998</v>
      </c>
      <c r="V4" s="33">
        <f>T4/G4</f>
        <v>1006.2499999999999</v>
      </c>
      <c r="W4" s="16"/>
    </row>
    <row r="5" spans="1:24" s="11" customFormat="1" ht="57" customHeight="1" x14ac:dyDescent="0.25">
      <c r="A5" s="24"/>
      <c r="B5" s="1">
        <v>2</v>
      </c>
      <c r="C5" s="13" t="s">
        <v>29</v>
      </c>
      <c r="D5" s="13" t="s">
        <v>19</v>
      </c>
      <c r="E5" s="13" t="s">
        <v>18</v>
      </c>
      <c r="F5" s="7">
        <v>159</v>
      </c>
      <c r="G5" s="7">
        <f t="shared" si="0"/>
        <v>1711.4759999999999</v>
      </c>
      <c r="H5" s="7">
        <f>3.5*3.28</f>
        <v>11.479999999999999</v>
      </c>
      <c r="I5" s="1">
        <v>2010</v>
      </c>
      <c r="J5" s="1">
        <v>2023</v>
      </c>
      <c r="K5" s="1">
        <f t="shared" ref="K5:K14" si="4">J5-I5</f>
        <v>13</v>
      </c>
      <c r="L5" s="1">
        <v>60</v>
      </c>
      <c r="M5" s="2">
        <v>0.1</v>
      </c>
      <c r="N5" s="3">
        <f t="shared" ref="N5:N14" si="5">(1-M5)/L5</f>
        <v>1.5000000000000001E-2</v>
      </c>
      <c r="O5" s="4">
        <v>1400</v>
      </c>
      <c r="P5" s="4">
        <f t="shared" ref="P5:P15" si="6">O5*G5</f>
        <v>2396066.4</v>
      </c>
      <c r="Q5" s="4">
        <f t="shared" si="1"/>
        <v>467232.94799999997</v>
      </c>
      <c r="R5" s="4">
        <f t="shared" si="2"/>
        <v>1928833.452</v>
      </c>
      <c r="S5" s="8">
        <v>0</v>
      </c>
      <c r="T5" s="4">
        <f t="shared" si="3"/>
        <v>1928833.452</v>
      </c>
      <c r="V5" s="33">
        <f t="shared" ref="V5:V14" si="7">T5/G5</f>
        <v>1127</v>
      </c>
      <c r="W5" s="16"/>
    </row>
    <row r="6" spans="1:24" s="11" customFormat="1" ht="57" customHeight="1" x14ac:dyDescent="0.25">
      <c r="A6" s="24"/>
      <c r="B6" s="1">
        <v>3</v>
      </c>
      <c r="C6" s="13" t="s">
        <v>30</v>
      </c>
      <c r="D6" s="13" t="s">
        <v>19</v>
      </c>
      <c r="E6" s="13" t="s">
        <v>40</v>
      </c>
      <c r="F6" s="7">
        <f>12.4*14.6</f>
        <v>181.04</v>
      </c>
      <c r="G6" s="7">
        <f t="shared" si="0"/>
        <v>1948.7145599999999</v>
      </c>
      <c r="H6" s="7">
        <f>5.76*3.28</f>
        <v>18.892799999999998</v>
      </c>
      <c r="I6" s="1">
        <v>2010</v>
      </c>
      <c r="J6" s="1">
        <v>2023</v>
      </c>
      <c r="K6" s="1">
        <f t="shared" si="4"/>
        <v>13</v>
      </c>
      <c r="L6" s="1">
        <v>45</v>
      </c>
      <c r="M6" s="2">
        <v>0.1</v>
      </c>
      <c r="N6" s="3">
        <f t="shared" si="5"/>
        <v>0.02</v>
      </c>
      <c r="O6" s="4">
        <v>1300</v>
      </c>
      <c r="P6" s="4">
        <f t="shared" si="6"/>
        <v>2533328.9279999998</v>
      </c>
      <c r="Q6" s="4">
        <f t="shared" si="1"/>
        <v>658665.52127999999</v>
      </c>
      <c r="R6" s="4">
        <f t="shared" si="2"/>
        <v>1874663.4067199999</v>
      </c>
      <c r="S6" s="8">
        <v>0</v>
      </c>
      <c r="T6" s="4">
        <f t="shared" si="3"/>
        <v>1874663.4067199999</v>
      </c>
      <c r="V6" s="33">
        <f t="shared" si="7"/>
        <v>962</v>
      </c>
      <c r="W6" s="16"/>
      <c r="X6" s="11">
        <v>23</v>
      </c>
    </row>
    <row r="7" spans="1:24" s="11" customFormat="1" ht="57" customHeight="1" x14ac:dyDescent="0.25">
      <c r="A7" s="24"/>
      <c r="B7" s="1">
        <v>4</v>
      </c>
      <c r="C7" s="13" t="s">
        <v>31</v>
      </c>
      <c r="D7" s="13" t="s">
        <v>19</v>
      </c>
      <c r="E7" s="13" t="s">
        <v>18</v>
      </c>
      <c r="F7" s="7">
        <v>44</v>
      </c>
      <c r="G7" s="7">
        <f t="shared" si="0"/>
        <v>473.61599999999999</v>
      </c>
      <c r="H7" s="7">
        <f>3.5*3.28</f>
        <v>11.479999999999999</v>
      </c>
      <c r="I7" s="1">
        <v>2010</v>
      </c>
      <c r="J7" s="1">
        <v>2023</v>
      </c>
      <c r="K7" s="1">
        <f t="shared" si="4"/>
        <v>13</v>
      </c>
      <c r="L7" s="1">
        <v>60</v>
      </c>
      <c r="M7" s="2">
        <v>0.1</v>
      </c>
      <c r="N7" s="3">
        <f t="shared" si="5"/>
        <v>1.5000000000000001E-2</v>
      </c>
      <c r="O7" s="4">
        <v>1100</v>
      </c>
      <c r="P7" s="4">
        <f t="shared" si="6"/>
        <v>520977.6</v>
      </c>
      <c r="Q7" s="4">
        <f t="shared" si="1"/>
        <v>101590.63200000001</v>
      </c>
      <c r="R7" s="4">
        <f t="shared" si="2"/>
        <v>419386.96799999999</v>
      </c>
      <c r="S7" s="8">
        <v>0</v>
      </c>
      <c r="T7" s="4">
        <f t="shared" si="3"/>
        <v>419386.96799999999</v>
      </c>
      <c r="V7" s="33">
        <f t="shared" si="7"/>
        <v>885.5</v>
      </c>
      <c r="W7" s="16"/>
      <c r="X7" s="11">
        <f>3*5%</f>
        <v>0.15000000000000002</v>
      </c>
    </row>
    <row r="8" spans="1:24" s="11" customFormat="1" ht="57" customHeight="1" x14ac:dyDescent="0.25">
      <c r="A8" s="24"/>
      <c r="B8" s="1">
        <v>5</v>
      </c>
      <c r="C8" s="13" t="s">
        <v>32</v>
      </c>
      <c r="D8" s="13" t="s">
        <v>19</v>
      </c>
      <c r="E8" s="13" t="s">
        <v>41</v>
      </c>
      <c r="F8" s="7">
        <f>3.94*2.9</f>
        <v>11.426</v>
      </c>
      <c r="G8" s="7">
        <f t="shared" si="0"/>
        <v>122.989464</v>
      </c>
      <c r="H8" s="7">
        <f>3.28*2.8</f>
        <v>9.1839999999999993</v>
      </c>
      <c r="I8" s="1">
        <v>2010</v>
      </c>
      <c r="J8" s="1">
        <v>2023</v>
      </c>
      <c r="K8" s="1">
        <f t="shared" si="4"/>
        <v>13</v>
      </c>
      <c r="L8" s="1">
        <v>60</v>
      </c>
      <c r="M8" s="2">
        <v>0.1</v>
      </c>
      <c r="N8" s="3">
        <f t="shared" si="5"/>
        <v>1.5000000000000001E-2</v>
      </c>
      <c r="O8" s="4">
        <v>1100</v>
      </c>
      <c r="P8" s="4">
        <f t="shared" si="6"/>
        <v>135288.41039999999</v>
      </c>
      <c r="Q8" s="4">
        <f t="shared" si="1"/>
        <v>26381.240028</v>
      </c>
      <c r="R8" s="4">
        <f t="shared" si="2"/>
        <v>108907.17037199999</v>
      </c>
      <c r="S8" s="8">
        <v>0</v>
      </c>
      <c r="T8" s="4">
        <f t="shared" si="3"/>
        <v>108907.17037199999</v>
      </c>
      <c r="V8" s="33">
        <f t="shared" si="7"/>
        <v>885.5</v>
      </c>
      <c r="W8" s="16"/>
      <c r="X8" s="11">
        <v>1.1499999999999999</v>
      </c>
    </row>
    <row r="9" spans="1:24" s="11" customFormat="1" ht="57" customHeight="1" x14ac:dyDescent="0.25">
      <c r="A9" s="24"/>
      <c r="B9" s="1">
        <v>6</v>
      </c>
      <c r="C9" s="13" t="s">
        <v>33</v>
      </c>
      <c r="D9" s="13" t="s">
        <v>19</v>
      </c>
      <c r="E9" s="13" t="s">
        <v>27</v>
      </c>
      <c r="F9" s="7">
        <v>8487</v>
      </c>
      <c r="G9" s="7">
        <f t="shared" si="0"/>
        <v>91354.067999999999</v>
      </c>
      <c r="H9" s="7">
        <f>11*3.28</f>
        <v>36.08</v>
      </c>
      <c r="I9" s="1">
        <v>2010</v>
      </c>
      <c r="J9" s="1">
        <v>2023</v>
      </c>
      <c r="K9" s="1">
        <f t="shared" si="4"/>
        <v>13</v>
      </c>
      <c r="L9" s="1">
        <v>45</v>
      </c>
      <c r="M9" s="2">
        <v>0.1</v>
      </c>
      <c r="N9" s="3">
        <f t="shared" si="5"/>
        <v>0.02</v>
      </c>
      <c r="O9" s="4">
        <v>1500</v>
      </c>
      <c r="P9" s="4">
        <f t="shared" si="6"/>
        <v>137031102</v>
      </c>
      <c r="Q9" s="4">
        <f t="shared" si="1"/>
        <v>35628086.520000003</v>
      </c>
      <c r="R9" s="4">
        <f t="shared" si="2"/>
        <v>101403015.47999999</v>
      </c>
      <c r="S9" s="8">
        <v>0</v>
      </c>
      <c r="T9" s="4">
        <f t="shared" si="3"/>
        <v>101403015.47999999</v>
      </c>
      <c r="V9" s="33">
        <f t="shared" si="7"/>
        <v>1110</v>
      </c>
      <c r="W9" s="16"/>
      <c r="X9" s="11">
        <f>X8*X6</f>
        <v>26.45</v>
      </c>
    </row>
    <row r="10" spans="1:24" s="11" customFormat="1" ht="57" customHeight="1" x14ac:dyDescent="0.25">
      <c r="A10" s="24"/>
      <c r="B10" s="1">
        <v>7</v>
      </c>
      <c r="C10" s="13" t="s">
        <v>34</v>
      </c>
      <c r="D10" s="13" t="s">
        <v>19</v>
      </c>
      <c r="E10" s="13" t="s">
        <v>42</v>
      </c>
      <c r="F10" s="7">
        <f>8.7*11.9</f>
        <v>103.53</v>
      </c>
      <c r="G10" s="7">
        <f t="shared" si="0"/>
        <v>1114.3969199999999</v>
      </c>
      <c r="H10" s="7">
        <f>5*3.28</f>
        <v>16.399999999999999</v>
      </c>
      <c r="I10" s="1">
        <v>2015</v>
      </c>
      <c r="J10" s="1">
        <v>2023</v>
      </c>
      <c r="K10" s="1">
        <f t="shared" si="4"/>
        <v>8</v>
      </c>
      <c r="L10" s="1">
        <v>45</v>
      </c>
      <c r="M10" s="2">
        <v>0.1</v>
      </c>
      <c r="N10" s="3">
        <f t="shared" si="5"/>
        <v>0.02</v>
      </c>
      <c r="O10" s="4">
        <v>1300</v>
      </c>
      <c r="P10" s="4">
        <f t="shared" si="6"/>
        <v>1448715.9959999998</v>
      </c>
      <c r="Q10" s="4">
        <f t="shared" si="1"/>
        <v>231794.55935999998</v>
      </c>
      <c r="R10" s="4">
        <f t="shared" si="2"/>
        <v>1216921.4366399997</v>
      </c>
      <c r="S10" s="8">
        <v>0</v>
      </c>
      <c r="T10" s="4">
        <f t="shared" si="3"/>
        <v>1216921.4366399997</v>
      </c>
      <c r="V10" s="33">
        <f t="shared" si="7"/>
        <v>1091.9999999999998</v>
      </c>
      <c r="W10" s="16"/>
    </row>
    <row r="11" spans="1:24" s="11" customFormat="1" ht="57" customHeight="1" x14ac:dyDescent="0.25">
      <c r="A11" s="24"/>
      <c r="B11" s="1">
        <v>8</v>
      </c>
      <c r="C11" s="13" t="s">
        <v>35</v>
      </c>
      <c r="D11" s="13" t="s">
        <v>19</v>
      </c>
      <c r="E11" s="13" t="s">
        <v>42</v>
      </c>
      <c r="F11" s="7">
        <f>14.35*12.2</f>
        <v>175.07</v>
      </c>
      <c r="G11" s="7">
        <f t="shared" si="0"/>
        <v>1884.4534799999999</v>
      </c>
      <c r="H11" s="7">
        <f>5.8*3.28</f>
        <v>19.023999999999997</v>
      </c>
      <c r="I11" s="1">
        <v>2022</v>
      </c>
      <c r="J11" s="1">
        <v>2023</v>
      </c>
      <c r="K11" s="1">
        <f t="shared" si="4"/>
        <v>1</v>
      </c>
      <c r="L11" s="1">
        <v>45</v>
      </c>
      <c r="M11" s="2">
        <v>0.1</v>
      </c>
      <c r="N11" s="3">
        <f t="shared" si="5"/>
        <v>0.02</v>
      </c>
      <c r="O11" s="4">
        <v>1300</v>
      </c>
      <c r="P11" s="4">
        <f t="shared" si="6"/>
        <v>2449789.5239999997</v>
      </c>
      <c r="Q11" s="4">
        <f t="shared" si="1"/>
        <v>48995.790479999996</v>
      </c>
      <c r="R11" s="4">
        <f t="shared" si="2"/>
        <v>2400793.7335199998</v>
      </c>
      <c r="S11" s="8">
        <v>0</v>
      </c>
      <c r="T11" s="4">
        <f t="shared" si="3"/>
        <v>2400793.7335199998</v>
      </c>
      <c r="V11" s="33">
        <f t="shared" si="7"/>
        <v>1274</v>
      </c>
      <c r="W11" s="16"/>
    </row>
    <row r="12" spans="1:24" s="11" customFormat="1" ht="50.25" customHeight="1" x14ac:dyDescent="0.25">
      <c r="A12" s="24"/>
      <c r="B12" s="1">
        <v>9</v>
      </c>
      <c r="C12" s="13" t="s">
        <v>36</v>
      </c>
      <c r="D12" s="13" t="s">
        <v>39</v>
      </c>
      <c r="E12" s="13" t="s">
        <v>18</v>
      </c>
      <c r="F12" s="7">
        <f>2*(14.6*4)</f>
        <v>116.8</v>
      </c>
      <c r="G12" s="7">
        <f t="shared" si="0"/>
        <v>1257.2351999999998</v>
      </c>
      <c r="H12" s="7">
        <f>2*(3.2*3.28)</f>
        <v>20.992000000000001</v>
      </c>
      <c r="I12" s="1">
        <v>2015</v>
      </c>
      <c r="J12" s="1">
        <v>2023</v>
      </c>
      <c r="K12" s="1">
        <f t="shared" si="4"/>
        <v>8</v>
      </c>
      <c r="L12" s="1">
        <v>60</v>
      </c>
      <c r="M12" s="2">
        <v>0.1</v>
      </c>
      <c r="N12" s="3">
        <f t="shared" si="5"/>
        <v>1.5000000000000001E-2</v>
      </c>
      <c r="O12" s="4">
        <v>1300</v>
      </c>
      <c r="P12" s="4">
        <f t="shared" si="6"/>
        <v>1634405.7599999998</v>
      </c>
      <c r="Q12" s="4">
        <f t="shared" si="1"/>
        <v>196128.6912</v>
      </c>
      <c r="R12" s="4">
        <f t="shared" si="2"/>
        <v>1438277.0687999998</v>
      </c>
      <c r="S12" s="8">
        <v>0</v>
      </c>
      <c r="T12" s="4">
        <f t="shared" si="3"/>
        <v>1438277.0687999998</v>
      </c>
      <c r="V12" s="33">
        <f t="shared" si="7"/>
        <v>1144</v>
      </c>
      <c r="W12" s="16"/>
    </row>
    <row r="13" spans="1:24" s="11" customFormat="1" ht="55.5" customHeight="1" x14ac:dyDescent="0.25">
      <c r="A13" s="24"/>
      <c r="B13" s="1">
        <v>10</v>
      </c>
      <c r="C13" s="13" t="s">
        <v>37</v>
      </c>
      <c r="D13" s="13" t="s">
        <v>19</v>
      </c>
      <c r="E13" s="13" t="s">
        <v>42</v>
      </c>
      <c r="F13" s="7">
        <f>23*7.6</f>
        <v>174.79999999999998</v>
      </c>
      <c r="G13" s="7">
        <f t="shared" si="0"/>
        <v>1881.5471999999997</v>
      </c>
      <c r="H13" s="7">
        <f>3.28*5.2</f>
        <v>17.056000000000001</v>
      </c>
      <c r="I13" s="1">
        <v>2013</v>
      </c>
      <c r="J13" s="1">
        <v>2023</v>
      </c>
      <c r="K13" s="1">
        <f t="shared" si="4"/>
        <v>10</v>
      </c>
      <c r="L13" s="1">
        <v>45</v>
      </c>
      <c r="M13" s="2">
        <v>0.1</v>
      </c>
      <c r="N13" s="3">
        <f t="shared" si="5"/>
        <v>0.02</v>
      </c>
      <c r="O13" s="4">
        <v>1300</v>
      </c>
      <c r="P13" s="4">
        <f t="shared" si="6"/>
        <v>2446011.36</v>
      </c>
      <c r="Q13" s="4">
        <f t="shared" si="1"/>
        <v>489202.272</v>
      </c>
      <c r="R13" s="4">
        <f t="shared" si="2"/>
        <v>1956809.088</v>
      </c>
      <c r="S13" s="8">
        <v>0</v>
      </c>
      <c r="T13" s="4">
        <f t="shared" si="3"/>
        <v>1956809.088</v>
      </c>
      <c r="V13" s="33">
        <f t="shared" si="7"/>
        <v>1040.0000000000002</v>
      </c>
      <c r="W13" s="16"/>
    </row>
    <row r="14" spans="1:24" s="11" customFormat="1" ht="54.75" customHeight="1" x14ac:dyDescent="0.25">
      <c r="A14" s="24"/>
      <c r="B14" s="1">
        <v>11</v>
      </c>
      <c r="C14" s="13" t="s">
        <v>38</v>
      </c>
      <c r="D14" s="13" t="s">
        <v>19</v>
      </c>
      <c r="E14" s="13" t="s">
        <v>27</v>
      </c>
      <c r="F14" s="7">
        <f>21.6*11.6</f>
        <v>250.56</v>
      </c>
      <c r="G14" s="7">
        <f t="shared" si="0"/>
        <v>2697.0278399999997</v>
      </c>
      <c r="H14" s="7">
        <f>3.28*8.5</f>
        <v>27.88</v>
      </c>
      <c r="I14" s="1">
        <v>2022</v>
      </c>
      <c r="J14" s="1">
        <v>2023</v>
      </c>
      <c r="K14" s="1">
        <f t="shared" si="4"/>
        <v>1</v>
      </c>
      <c r="L14" s="1">
        <v>45</v>
      </c>
      <c r="M14" s="2">
        <v>0.1</v>
      </c>
      <c r="N14" s="3">
        <f t="shared" si="5"/>
        <v>0.02</v>
      </c>
      <c r="O14" s="4">
        <v>1400</v>
      </c>
      <c r="P14" s="4">
        <f t="shared" si="6"/>
        <v>3775838.9759999998</v>
      </c>
      <c r="Q14" s="4">
        <f t="shared" si="1"/>
        <v>75516.779519999996</v>
      </c>
      <c r="R14" s="4">
        <f t="shared" si="2"/>
        <v>3700322.1964799999</v>
      </c>
      <c r="S14" s="8">
        <v>0</v>
      </c>
      <c r="T14" s="4">
        <f t="shared" si="3"/>
        <v>3700322.1964799999</v>
      </c>
      <c r="V14" s="33">
        <f t="shared" si="7"/>
        <v>1372</v>
      </c>
      <c r="W14" s="16"/>
    </row>
    <row r="15" spans="1:24" x14ac:dyDescent="0.25">
      <c r="A15" s="6"/>
      <c r="B15" s="28" t="s">
        <v>6</v>
      </c>
      <c r="C15" s="28"/>
      <c r="D15" s="28"/>
      <c r="E15" s="28"/>
      <c r="F15" s="12">
        <f>SUM(F4:F14)</f>
        <v>9799.985999999999</v>
      </c>
      <c r="G15" s="12">
        <f>SUM(G4:G14)</f>
        <v>105487.04930399999</v>
      </c>
      <c r="H15" s="30"/>
      <c r="I15" s="31"/>
      <c r="J15" s="31"/>
      <c r="K15" s="31"/>
      <c r="L15" s="31"/>
      <c r="M15" s="31"/>
      <c r="N15" s="31"/>
      <c r="O15" s="32"/>
      <c r="P15" s="4">
        <f>SUM(P4:P14)</f>
        <v>155673430.75439999</v>
      </c>
      <c r="Q15" s="5"/>
      <c r="R15" s="5">
        <f>SUM(R4:R14)</f>
        <v>117495964.16953199</v>
      </c>
      <c r="S15" s="5"/>
      <c r="T15" s="5">
        <f>SUM(T4:T14)</f>
        <v>117495964.16953199</v>
      </c>
    </row>
    <row r="16" spans="1:24" x14ac:dyDescent="0.25">
      <c r="B16" s="29" t="s">
        <v>17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"/>
      <c r="V16" s="35">
        <f>750*5000</f>
        <v>3750000</v>
      </c>
      <c r="W16" s="36" t="s">
        <v>46</v>
      </c>
      <c r="X16" s="6">
        <v>3700000</v>
      </c>
    </row>
    <row r="17" spans="1:24" ht="19.5" customHeight="1" x14ac:dyDescent="0.25">
      <c r="B17" s="34" t="s">
        <v>43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V17" s="35">
        <f>T15*0.05</f>
        <v>5874798.2084765993</v>
      </c>
      <c r="W17" s="37" t="s">
        <v>45</v>
      </c>
      <c r="X17" s="6">
        <v>6000000</v>
      </c>
    </row>
    <row r="18" spans="1:24" ht="19.5" customHeight="1" x14ac:dyDescent="0.25">
      <c r="B18" s="34" t="s">
        <v>24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X18" s="26">
        <f>SUM(X16:X17)</f>
        <v>9700000</v>
      </c>
    </row>
    <row r="21" spans="1:24" x14ac:dyDescent="0.25">
      <c r="A21">
        <v>221.43</v>
      </c>
      <c r="C21" s="14">
        <v>4.45</v>
      </c>
      <c r="D21" s="14">
        <v>2.96</v>
      </c>
      <c r="E21" s="14">
        <f>D21*C21</f>
        <v>13.172000000000001</v>
      </c>
      <c r="K21">
        <v>2382</v>
      </c>
      <c r="T21" t="s">
        <v>25</v>
      </c>
      <c r="U21">
        <v>2</v>
      </c>
    </row>
    <row r="22" spans="1:24" x14ac:dyDescent="0.25">
      <c r="A22">
        <v>725.8</v>
      </c>
      <c r="C22" s="14">
        <v>5.3</v>
      </c>
      <c r="D22" s="14">
        <v>4.4000000000000004</v>
      </c>
      <c r="E22" s="14">
        <f t="shared" ref="E22:E41" si="8">D22*C22</f>
        <v>23.32</v>
      </c>
      <c r="H22">
        <f>F15*1100</f>
        <v>10779984.6</v>
      </c>
      <c r="K22">
        <v>7809</v>
      </c>
      <c r="T22" t="s">
        <v>26</v>
      </c>
      <c r="U22" s="23">
        <v>0.4</v>
      </c>
    </row>
    <row r="23" spans="1:24" x14ac:dyDescent="0.25">
      <c r="A23">
        <v>155.4</v>
      </c>
      <c r="C23" s="14">
        <v>2</v>
      </c>
      <c r="D23" s="14">
        <v>2395</v>
      </c>
      <c r="E23" s="14">
        <f t="shared" si="8"/>
        <v>4790</v>
      </c>
      <c r="K23">
        <v>1672</v>
      </c>
    </row>
    <row r="24" spans="1:24" ht="15" customHeight="1" x14ac:dyDescent="0.25">
      <c r="A24">
        <v>209.8</v>
      </c>
      <c r="C24" s="14">
        <v>4.47</v>
      </c>
      <c r="D24" s="14">
        <v>4.1500000000000004</v>
      </c>
      <c r="E24" s="14">
        <f t="shared" si="8"/>
        <v>18.5505</v>
      </c>
      <c r="K24">
        <v>2257</v>
      </c>
      <c r="M24">
        <f>F4*1100</f>
        <v>106435.99999999999</v>
      </c>
      <c r="T24">
        <f>217800*2</f>
        <v>435600</v>
      </c>
    </row>
    <row r="25" spans="1:24" x14ac:dyDescent="0.25">
      <c r="A25">
        <v>140.6</v>
      </c>
      <c r="C25" s="14">
        <v>21.7</v>
      </c>
      <c r="D25" s="14">
        <v>16.7</v>
      </c>
      <c r="E25" s="14">
        <f t="shared" si="8"/>
        <v>362.39</v>
      </c>
      <c r="J25" t="e">
        <f>#REF!*0.6</f>
        <v>#REF!</v>
      </c>
      <c r="K25">
        <v>1512</v>
      </c>
      <c r="T25" s="19">
        <f>T24-G15</f>
        <v>330112.95069600001</v>
      </c>
    </row>
    <row r="26" spans="1:24" x14ac:dyDescent="0.25">
      <c r="A26">
        <v>24.84</v>
      </c>
      <c r="C26" s="14">
        <v>24.2</v>
      </c>
      <c r="D26" s="14">
        <v>18.7</v>
      </c>
      <c r="E26" s="14">
        <f t="shared" si="8"/>
        <v>452.53999999999996</v>
      </c>
      <c r="K26">
        <v>267</v>
      </c>
      <c r="T26">
        <v>217800</v>
      </c>
    </row>
    <row r="27" spans="1:24" x14ac:dyDescent="0.25">
      <c r="A27">
        <v>106.24</v>
      </c>
      <c r="C27" s="14">
        <v>6.4</v>
      </c>
      <c r="D27" s="14">
        <v>5.7</v>
      </c>
      <c r="E27" s="14">
        <f t="shared" si="8"/>
        <v>36.480000000000004</v>
      </c>
      <c r="K27">
        <v>1143</v>
      </c>
      <c r="T27">
        <f>T26*(1-40%)</f>
        <v>130680</v>
      </c>
    </row>
    <row r="28" spans="1:24" x14ac:dyDescent="0.25">
      <c r="A28">
        <v>190.4</v>
      </c>
      <c r="C28" s="14">
        <v>14.8</v>
      </c>
      <c r="D28" s="14">
        <v>9.3000000000000007</v>
      </c>
      <c r="E28" s="14">
        <f t="shared" si="8"/>
        <v>137.64000000000001</v>
      </c>
      <c r="K28">
        <v>4096</v>
      </c>
      <c r="Q28">
        <f>1200*F4</f>
        <v>116111.99999999999</v>
      </c>
    </row>
    <row r="29" spans="1:24" x14ac:dyDescent="0.25">
      <c r="A29">
        <v>103.75</v>
      </c>
      <c r="C29" s="14">
        <v>14.2</v>
      </c>
      <c r="D29" s="14">
        <v>7.6</v>
      </c>
      <c r="E29" s="14">
        <f t="shared" si="8"/>
        <v>107.91999999999999</v>
      </c>
      <c r="K29">
        <v>13718</v>
      </c>
    </row>
    <row r="30" spans="1:24" x14ac:dyDescent="0.25">
      <c r="A30">
        <v>560</v>
      </c>
      <c r="C30" s="14">
        <v>18</v>
      </c>
      <c r="D30" s="14">
        <v>12</v>
      </c>
      <c r="E30" s="14">
        <f t="shared" si="8"/>
        <v>216</v>
      </c>
      <c r="K30">
        <v>485</v>
      </c>
    </row>
    <row r="31" spans="1:24" x14ac:dyDescent="0.25">
      <c r="A31">
        <v>895.92</v>
      </c>
      <c r="C31" s="14">
        <v>1</v>
      </c>
      <c r="D31" s="14">
        <v>1765</v>
      </c>
      <c r="E31" s="14">
        <f t="shared" si="8"/>
        <v>1765</v>
      </c>
      <c r="K31">
        <v>1162</v>
      </c>
    </row>
    <row r="32" spans="1:24" x14ac:dyDescent="0.25">
      <c r="A32">
        <v>895.9</v>
      </c>
      <c r="C32" s="14">
        <v>17</v>
      </c>
      <c r="D32" s="14">
        <v>6.6</v>
      </c>
      <c r="E32" s="14">
        <f t="shared" si="8"/>
        <v>112.19999999999999</v>
      </c>
      <c r="K32">
        <v>1560</v>
      </c>
    </row>
    <row r="33" spans="1:11" x14ac:dyDescent="0.25">
      <c r="A33">
        <v>561.6</v>
      </c>
      <c r="C33" s="14">
        <v>5.6</v>
      </c>
      <c r="D33" s="14">
        <v>4.8</v>
      </c>
      <c r="E33" s="14">
        <f t="shared" si="8"/>
        <v>26.88</v>
      </c>
      <c r="K33">
        <v>4877</v>
      </c>
    </row>
    <row r="34" spans="1:11" x14ac:dyDescent="0.25">
      <c r="A34">
        <v>276</v>
      </c>
      <c r="C34" s="14">
        <v>14</v>
      </c>
      <c r="D34" s="14">
        <v>11</v>
      </c>
      <c r="E34" s="14">
        <f t="shared" si="8"/>
        <v>154</v>
      </c>
      <c r="K34">
        <v>3943</v>
      </c>
    </row>
    <row r="35" spans="1:11" x14ac:dyDescent="0.25">
      <c r="A35">
        <v>66.5</v>
      </c>
      <c r="C35" s="14">
        <v>36</v>
      </c>
      <c r="D35" s="14">
        <v>18.8</v>
      </c>
      <c r="E35" s="14">
        <f t="shared" si="8"/>
        <v>676.80000000000007</v>
      </c>
      <c r="K35">
        <v>4745</v>
      </c>
    </row>
    <row r="36" spans="1:11" x14ac:dyDescent="0.25">
      <c r="A36">
        <v>51.1</v>
      </c>
      <c r="C36" s="14">
        <v>10</v>
      </c>
      <c r="D36" s="14">
        <v>4.5</v>
      </c>
      <c r="E36" s="14">
        <f t="shared" si="8"/>
        <v>45</v>
      </c>
      <c r="K36">
        <v>2233</v>
      </c>
    </row>
    <row r="37" spans="1:11" x14ac:dyDescent="0.25">
      <c r="A37">
        <v>1274</v>
      </c>
      <c r="C37" s="14">
        <v>54</v>
      </c>
      <c r="D37" s="14">
        <v>25</v>
      </c>
      <c r="E37" s="14">
        <f t="shared" si="8"/>
        <v>1350</v>
      </c>
      <c r="K37" s="22">
        <f>SUM(K21:K36)</f>
        <v>53861</v>
      </c>
    </row>
    <row r="38" spans="1:11" x14ac:dyDescent="0.25">
      <c r="A38">
        <v>45.12</v>
      </c>
      <c r="C38" s="14">
        <v>63</v>
      </c>
      <c r="D38" s="14">
        <v>39</v>
      </c>
      <c r="E38" s="14">
        <f t="shared" si="8"/>
        <v>2457</v>
      </c>
    </row>
    <row r="39" spans="1:11" x14ac:dyDescent="0.25">
      <c r="A39">
        <v>108</v>
      </c>
      <c r="C39" s="14">
        <v>30</v>
      </c>
      <c r="D39" s="14">
        <v>17.7</v>
      </c>
      <c r="E39" s="14">
        <f t="shared" si="8"/>
        <v>531</v>
      </c>
    </row>
    <row r="40" spans="1:11" x14ac:dyDescent="0.25">
      <c r="A40">
        <v>145</v>
      </c>
      <c r="C40" s="14">
        <v>18.5</v>
      </c>
      <c r="D40" s="14">
        <v>15.2</v>
      </c>
      <c r="E40" s="14">
        <f t="shared" si="8"/>
        <v>281.2</v>
      </c>
      <c r="K40" s="19">
        <f>E43-K37</f>
        <v>93157.398669999995</v>
      </c>
    </row>
    <row r="41" spans="1:11" x14ac:dyDescent="0.25">
      <c r="A41">
        <v>453</v>
      </c>
      <c r="C41" s="14">
        <v>12.5</v>
      </c>
      <c r="D41" s="14">
        <v>8.1</v>
      </c>
      <c r="E41" s="14">
        <f t="shared" si="8"/>
        <v>101.25</v>
      </c>
    </row>
    <row r="42" spans="1:11" x14ac:dyDescent="0.25">
      <c r="A42">
        <v>366</v>
      </c>
      <c r="E42" s="17">
        <f>SUM(E21:E41)</f>
        <v>13658.342500000001</v>
      </c>
      <c r="I42" s="25">
        <v>564570000</v>
      </c>
    </row>
    <row r="43" spans="1:11" x14ac:dyDescent="0.25">
      <c r="A43">
        <v>441</v>
      </c>
      <c r="E43" s="21">
        <f>E42*10.764</f>
        <v>147018.39867</v>
      </c>
      <c r="I43" s="25">
        <v>218984727</v>
      </c>
    </row>
    <row r="44" spans="1:11" x14ac:dyDescent="0.25">
      <c r="A44">
        <v>207.5</v>
      </c>
      <c r="I44" s="25">
        <v>25700000</v>
      </c>
    </row>
    <row r="45" spans="1:11" x14ac:dyDescent="0.25">
      <c r="A45">
        <v>21</v>
      </c>
      <c r="I45" s="26">
        <f>SUM(I42:I44)</f>
        <v>809254727</v>
      </c>
    </row>
    <row r="46" spans="1:11" x14ac:dyDescent="0.25">
      <c r="A46" s="18">
        <f>SUM(A21:A45)</f>
        <v>8245.9000000000015</v>
      </c>
    </row>
    <row r="47" spans="1:11" x14ac:dyDescent="0.25">
      <c r="A47" s="20">
        <f>A46*10.764</f>
        <v>88758.867600000012</v>
      </c>
    </row>
  </sheetData>
  <autoFilter ref="B3:T18" xr:uid="{00000000-0001-0000-0000-000000000000}"/>
  <mergeCells count="6">
    <mergeCell ref="B18:T18"/>
    <mergeCell ref="B2:T2"/>
    <mergeCell ref="B15:E15"/>
    <mergeCell ref="B17:T17"/>
    <mergeCell ref="B16:T16"/>
    <mergeCell ref="H15:O15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Arup Banerjee</cp:lastModifiedBy>
  <cp:lastPrinted>2022-01-07T08:12:53Z</cp:lastPrinted>
  <dcterms:created xsi:type="dcterms:W3CDTF">2021-09-16T11:33:35Z</dcterms:created>
  <dcterms:modified xsi:type="dcterms:W3CDTF">2023-03-06T11:35:50Z</dcterms:modified>
</cp:coreProperties>
</file>