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3"/>
  </bookViews>
  <sheets>
    <sheet name="Assumptions" sheetId="10" r:id="rId1"/>
    <sheet name="Project Cost" sheetId="1" r:id="rId2"/>
    <sheet name="Project Details" sheetId="4" r:id="rId3"/>
    <sheet name="Proj P&amp;L" sheetId="15" r:id="rId4"/>
    <sheet name="BS Proj." sheetId="9" r:id="rId5"/>
    <sheet name="Dep" sheetId="3" r:id="rId6"/>
    <sheet name="Bank Interest" sheetId="2" r:id="rId7"/>
    <sheet name="Furniture and Fixtures" sheetId="12" r:id="rId8"/>
    <sheet name="Plant &amp; Machinery" sheetId="6" r:id="rId9"/>
    <sheet name="Sheet2" sheetId="14" r:id="rId10"/>
    <sheet name="WC GAP" sheetId="11" r:id="rId11"/>
  </sheets>
  <calcPr calcId="152511"/>
</workbook>
</file>

<file path=xl/calcChain.xml><?xml version="1.0" encoding="utf-8"?>
<calcChain xmlns="http://schemas.openxmlformats.org/spreadsheetml/2006/main">
  <c r="N16" i="15" l="1"/>
  <c r="O16" i="15"/>
  <c r="P16" i="15"/>
  <c r="Q16" i="15"/>
  <c r="R16" i="15"/>
  <c r="S16" i="15"/>
  <c r="M16" i="15"/>
  <c r="N12" i="15"/>
  <c r="O12" i="15"/>
  <c r="P12" i="15"/>
  <c r="Q12" i="15"/>
  <c r="R12" i="15"/>
  <c r="S12" i="15"/>
  <c r="M12" i="15"/>
  <c r="N11" i="15"/>
  <c r="O11" i="15"/>
  <c r="P11" i="15"/>
  <c r="Q11" i="15"/>
  <c r="R11" i="15"/>
  <c r="S11" i="15"/>
  <c r="M11" i="15"/>
  <c r="O15" i="15"/>
  <c r="P15" i="15"/>
  <c r="Q15" i="15"/>
  <c r="R15" i="15"/>
  <c r="S15" i="15"/>
  <c r="N15" i="15"/>
  <c r="M15" i="15"/>
  <c r="D7" i="4" l="1"/>
  <c r="E79" i="4"/>
  <c r="F79" i="4"/>
  <c r="G79" i="4"/>
  <c r="H79" i="4"/>
  <c r="I79" i="4"/>
  <c r="J79" i="4"/>
  <c r="D79" i="4"/>
  <c r="E72" i="4"/>
  <c r="F72" i="4"/>
  <c r="G72" i="4"/>
  <c r="H72" i="4"/>
  <c r="I72" i="4"/>
  <c r="J72" i="4"/>
  <c r="D72" i="4"/>
  <c r="I37" i="15"/>
  <c r="C15" i="1" l="1"/>
  <c r="D15" i="1" l="1"/>
  <c r="C66" i="10"/>
  <c r="G66" i="10" s="1"/>
  <c r="C65" i="10"/>
  <c r="G65" i="10" s="1"/>
  <c r="C64" i="10"/>
  <c r="G64" i="10" s="1"/>
  <c r="C62" i="10"/>
  <c r="B57" i="10"/>
  <c r="C55" i="10"/>
  <c r="G55" i="10" s="1"/>
  <c r="H55" i="10" s="1"/>
  <c r="C54" i="10"/>
  <c r="B49" i="10"/>
  <c r="F52" i="10" s="1"/>
  <c r="H52" i="10" s="1"/>
  <c r="B44" i="10"/>
  <c r="F48" i="10" s="1"/>
  <c r="H48" i="10" s="1"/>
  <c r="B39" i="10"/>
  <c r="F41" i="10" s="1"/>
  <c r="H41" i="10" s="1"/>
  <c r="B34" i="10"/>
  <c r="B33" i="10"/>
  <c r="F33" i="10" s="1"/>
  <c r="H33" i="10" s="1"/>
  <c r="B32" i="10"/>
  <c r="F32" i="10" s="1"/>
  <c r="H32" i="10" s="1"/>
  <c r="C29" i="10"/>
  <c r="F53" i="10"/>
  <c r="H53" i="10" s="1"/>
  <c r="E72" i="6"/>
  <c r="B16" i="1"/>
  <c r="B3" i="11"/>
  <c r="J48" i="4"/>
  <c r="I48" i="4"/>
  <c r="E48" i="4"/>
  <c r="H35" i="4"/>
  <c r="D35" i="4"/>
  <c r="H60" i="10"/>
  <c r="G62" i="10"/>
  <c r="G60" i="10"/>
  <c r="C63" i="10"/>
  <c r="G63" i="10" s="1"/>
  <c r="F57" i="10"/>
  <c r="H57" i="10" s="1"/>
  <c r="F40" i="10"/>
  <c r="H40" i="10" s="1"/>
  <c r="F35" i="10"/>
  <c r="H35" i="10" s="1"/>
  <c r="C31" i="10"/>
  <c r="G31" i="10" s="1"/>
  <c r="H31" i="10" s="1"/>
  <c r="C30" i="10"/>
  <c r="C61" i="10" s="1"/>
  <c r="B21" i="10"/>
  <c r="B23" i="10" s="1"/>
  <c r="B56" i="10" s="1"/>
  <c r="F56" i="10" s="1"/>
  <c r="H56" i="10" s="1"/>
  <c r="D7" i="10"/>
  <c r="D8" i="10"/>
  <c r="D9" i="10"/>
  <c r="D10" i="10"/>
  <c r="D11" i="10"/>
  <c r="D12" i="10"/>
  <c r="D6" i="10"/>
  <c r="B14" i="10"/>
  <c r="E114" i="2"/>
  <c r="F35" i="4" s="1"/>
  <c r="E115" i="2"/>
  <c r="J35" i="4" s="1"/>
  <c r="L103" i="2"/>
  <c r="J103" i="2"/>
  <c r="L91" i="2"/>
  <c r="J91" i="2"/>
  <c r="L79" i="2"/>
  <c r="H48" i="4" s="1"/>
  <c r="J79" i="2"/>
  <c r="L67" i="2"/>
  <c r="G48" i="4" s="1"/>
  <c r="J67" i="2"/>
  <c r="L55" i="2"/>
  <c r="F48" i="4" s="1"/>
  <c r="J55" i="2"/>
  <c r="L43" i="2"/>
  <c r="J43" i="2"/>
  <c r="L31" i="2"/>
  <c r="D48" i="4" s="1"/>
  <c r="D62" i="4" s="1"/>
  <c r="J31" i="2"/>
  <c r="L19" i="2"/>
  <c r="K19" i="2"/>
  <c r="M19" i="2" s="1"/>
  <c r="J19" i="2"/>
  <c r="E18" i="2"/>
  <c r="F18" i="2" s="1"/>
  <c r="I18" i="2" s="1"/>
  <c r="H18" i="2"/>
  <c r="C19" i="2" s="1"/>
  <c r="H19" i="2" s="1"/>
  <c r="E19" i="2" s="1"/>
  <c r="F19" i="2" s="1"/>
  <c r="I19" i="2" s="1"/>
  <c r="A19" i="2"/>
  <c r="D8" i="1"/>
  <c r="F8" i="1" s="1"/>
  <c r="D9" i="1"/>
  <c r="F9" i="1" s="1"/>
  <c r="G105" i="2"/>
  <c r="B26" i="1"/>
  <c r="G10" i="9" l="1"/>
  <c r="J62" i="4"/>
  <c r="D10" i="9"/>
  <c r="G62" i="4"/>
  <c r="B10" i="9"/>
  <c r="B9" i="9" s="1"/>
  <c r="D73" i="4" s="1"/>
  <c r="E62" i="4"/>
  <c r="E121" i="4" s="1"/>
  <c r="F121" i="4" s="1"/>
  <c r="G121" i="4" s="1"/>
  <c r="H121" i="4" s="1"/>
  <c r="I121" i="4" s="1"/>
  <c r="C10" i="9"/>
  <c r="F62" i="4"/>
  <c r="E10" i="9"/>
  <c r="H62" i="4"/>
  <c r="F10" i="9"/>
  <c r="I62" i="4"/>
  <c r="C59" i="10"/>
  <c r="G29" i="10"/>
  <c r="H29" i="10" s="1"/>
  <c r="F15" i="1"/>
  <c r="J34" i="15"/>
  <c r="I34" i="15"/>
  <c r="F34" i="15"/>
  <c r="D34" i="15"/>
  <c r="G34" i="15"/>
  <c r="E34" i="15"/>
  <c r="H34" i="15"/>
  <c r="E35" i="4"/>
  <c r="I35" i="4"/>
  <c r="G35" i="4"/>
  <c r="C6" i="3"/>
  <c r="C12" i="3" s="1"/>
  <c r="B63" i="10"/>
  <c r="F63" i="10" s="1"/>
  <c r="H63" i="10" s="1"/>
  <c r="B65" i="10"/>
  <c r="F65" i="10" s="1"/>
  <c r="H65" i="10" s="1"/>
  <c r="B28" i="10"/>
  <c r="F28" i="10" s="1"/>
  <c r="H28" i="10" s="1"/>
  <c r="G30" i="10"/>
  <c r="H30" i="10" s="1"/>
  <c r="B79" i="10"/>
  <c r="B58" i="10"/>
  <c r="F58" i="10" s="1"/>
  <c r="H58" i="10" s="1"/>
  <c r="B61" i="10"/>
  <c r="F61" i="10" s="1"/>
  <c r="B59" i="10"/>
  <c r="F59" i="10" s="1"/>
  <c r="B81" i="10"/>
  <c r="B62" i="10"/>
  <c r="F62" i="10" s="1"/>
  <c r="H62" i="10" s="1"/>
  <c r="B64" i="10"/>
  <c r="F64" i="10" s="1"/>
  <c r="H64" i="10" s="1"/>
  <c r="B66" i="10"/>
  <c r="F66" i="10" s="1"/>
  <c r="H66" i="10"/>
  <c r="G59" i="10"/>
  <c r="H59" i="10" s="1"/>
  <c r="G54" i="10"/>
  <c r="H54" i="10" s="1"/>
  <c r="G61" i="10"/>
  <c r="F50" i="10"/>
  <c r="H50" i="10" s="1"/>
  <c r="F51" i="10"/>
  <c r="H51" i="10" s="1"/>
  <c r="F45" i="10"/>
  <c r="H45" i="10" s="1"/>
  <c r="F46" i="10"/>
  <c r="H46" i="10" s="1"/>
  <c r="F47" i="10"/>
  <c r="H47" i="10" s="1"/>
  <c r="F43" i="10"/>
  <c r="H43" i="10" s="1"/>
  <c r="F36" i="10"/>
  <c r="H36" i="10" s="1"/>
  <c r="F37" i="10"/>
  <c r="H37" i="10" s="1"/>
  <c r="F38" i="10"/>
  <c r="H38" i="10" s="1"/>
  <c r="F42" i="10"/>
  <c r="H42" i="10" s="1"/>
  <c r="D13" i="10"/>
  <c r="D14" i="10" s="1"/>
  <c r="L105" i="2"/>
  <c r="K48" i="4"/>
  <c r="C4" i="9"/>
  <c r="D4" i="9"/>
  <c r="E4" i="9"/>
  <c r="F4" i="9"/>
  <c r="G4" i="9"/>
  <c r="H4" i="9"/>
  <c r="B4" i="9"/>
  <c r="B2" i="11" s="1"/>
  <c r="I39" i="4"/>
  <c r="D3" i="3"/>
  <c r="E3" i="3"/>
  <c r="F3" i="3"/>
  <c r="G3" i="3"/>
  <c r="H3" i="3"/>
  <c r="I3" i="3"/>
  <c r="C3" i="3"/>
  <c r="C9" i="9" l="1"/>
  <c r="D9" i="9" s="1"/>
  <c r="E73" i="4"/>
  <c r="D76" i="4"/>
  <c r="D74" i="4"/>
  <c r="D75" i="4" s="1"/>
  <c r="J9" i="15"/>
  <c r="F9" i="15"/>
  <c r="E9" i="15"/>
  <c r="H9" i="15"/>
  <c r="I9" i="15"/>
  <c r="D9" i="15"/>
  <c r="G9" i="15"/>
  <c r="B82" i="10"/>
  <c r="F7" i="4"/>
  <c r="F18" i="4" s="1"/>
  <c r="E7" i="4"/>
  <c r="E18" i="4" s="1"/>
  <c r="J7" i="4"/>
  <c r="J18" i="4" s="1"/>
  <c r="D18" i="4"/>
  <c r="I7" i="4"/>
  <c r="I18" i="4" s="1"/>
  <c r="H7" i="4"/>
  <c r="H18" i="4" s="1"/>
  <c r="G7" i="4"/>
  <c r="G18" i="4" s="1"/>
  <c r="H61" i="10"/>
  <c r="H68" i="10"/>
  <c r="H69" i="10" s="1"/>
  <c r="H70" i="10" s="1"/>
  <c r="H71" i="10" s="1"/>
  <c r="C26" i="1"/>
  <c r="D25" i="1"/>
  <c r="B11" i="9" s="1"/>
  <c r="D13" i="1"/>
  <c r="E76" i="4" l="1"/>
  <c r="E74" i="4"/>
  <c r="E75" i="4" s="1"/>
  <c r="E9" i="9"/>
  <c r="F73" i="4"/>
  <c r="E8" i="4"/>
  <c r="E16" i="4" s="1"/>
  <c r="G10" i="15"/>
  <c r="G15" i="15" s="1"/>
  <c r="F10" i="15"/>
  <c r="F15" i="15" s="1"/>
  <c r="I10" i="15"/>
  <c r="I15" i="15" s="1"/>
  <c r="D10" i="15"/>
  <c r="D15" i="15" s="1"/>
  <c r="J10" i="15"/>
  <c r="J15" i="15" s="1"/>
  <c r="E10" i="15"/>
  <c r="E15" i="15" s="1"/>
  <c r="H10" i="15"/>
  <c r="H15" i="15" s="1"/>
  <c r="E17" i="15"/>
  <c r="H11" i="15"/>
  <c r="H16" i="15" s="1"/>
  <c r="D11" i="15"/>
  <c r="D16" i="15" s="1"/>
  <c r="J11" i="15"/>
  <c r="J16" i="15" s="1"/>
  <c r="E11" i="15"/>
  <c r="E16" i="15" s="1"/>
  <c r="G11" i="15"/>
  <c r="G16" i="15" s="1"/>
  <c r="F11" i="15"/>
  <c r="F16" i="15" s="1"/>
  <c r="I11" i="15"/>
  <c r="I16" i="15" s="1"/>
  <c r="D17" i="15"/>
  <c r="F17" i="15"/>
  <c r="H17" i="15"/>
  <c r="G17" i="15"/>
  <c r="F13" i="1"/>
  <c r="B21" i="9"/>
  <c r="I17" i="15"/>
  <c r="J17" i="15"/>
  <c r="I9" i="4"/>
  <c r="I17" i="4" s="1"/>
  <c r="H9" i="4"/>
  <c r="H17" i="4" s="1"/>
  <c r="J9" i="4"/>
  <c r="J17" i="4" s="1"/>
  <c r="E9" i="4"/>
  <c r="E17" i="4" s="1"/>
  <c r="C12" i="9" s="1"/>
  <c r="D9" i="4"/>
  <c r="D17" i="4" s="1"/>
  <c r="G9" i="4"/>
  <c r="G17" i="4" s="1"/>
  <c r="F9" i="4"/>
  <c r="F17" i="4" s="1"/>
  <c r="D8" i="4"/>
  <c r="D16" i="4" s="1"/>
  <c r="G8" i="4"/>
  <c r="J8" i="4"/>
  <c r="J16" i="4" s="1"/>
  <c r="I8" i="4"/>
  <c r="H8" i="4"/>
  <c r="F8" i="4"/>
  <c r="F16" i="4" s="1"/>
  <c r="D21" i="9"/>
  <c r="C21" i="9"/>
  <c r="C11" i="9"/>
  <c r="J12" i="15" l="1"/>
  <c r="H12" i="4"/>
  <c r="H80" i="4" s="1"/>
  <c r="F9" i="9"/>
  <c r="G73" i="4"/>
  <c r="F76" i="4"/>
  <c r="F74" i="4"/>
  <c r="F75" i="4" s="1"/>
  <c r="H94" i="4"/>
  <c r="B12" i="9"/>
  <c r="D12" i="4"/>
  <c r="I12" i="4"/>
  <c r="H12" i="15"/>
  <c r="D12" i="15"/>
  <c r="J19" i="15"/>
  <c r="J18" i="15"/>
  <c r="J21" i="15"/>
  <c r="J20" i="15"/>
  <c r="E12" i="4"/>
  <c r="E80" i="4" s="1"/>
  <c r="E108" i="4" s="1"/>
  <c r="I12" i="15"/>
  <c r="G12" i="15"/>
  <c r="F12" i="15"/>
  <c r="E12" i="15"/>
  <c r="H12" i="9"/>
  <c r="D12" i="9"/>
  <c r="G12" i="4"/>
  <c r="G80" i="4" s="1"/>
  <c r="G16" i="4"/>
  <c r="E12" i="9" s="1"/>
  <c r="H19" i="4"/>
  <c r="F17" i="9"/>
  <c r="F12" i="4"/>
  <c r="F80" i="4" s="1"/>
  <c r="J12" i="4"/>
  <c r="J80" i="4" s="1"/>
  <c r="H16" i="4"/>
  <c r="F12" i="9" s="1"/>
  <c r="I16" i="4"/>
  <c r="G12" i="9" s="1"/>
  <c r="E21" i="9"/>
  <c r="F21" i="9"/>
  <c r="D11" i="9"/>
  <c r="D23" i="1"/>
  <c r="D24" i="1"/>
  <c r="F23" i="1" s="1"/>
  <c r="I108" i="4" l="1"/>
  <c r="J108" i="4" s="1"/>
  <c r="F108" i="4"/>
  <c r="E94" i="4"/>
  <c r="D21" i="4"/>
  <c r="D80" i="4"/>
  <c r="J94" i="4"/>
  <c r="C17" i="9"/>
  <c r="G94" i="4"/>
  <c r="D20" i="4"/>
  <c r="F94" i="4"/>
  <c r="E19" i="4"/>
  <c r="G76" i="4"/>
  <c r="G74" i="4"/>
  <c r="G75" i="4" s="1"/>
  <c r="B17" i="9"/>
  <c r="B5" i="11" s="1"/>
  <c r="I19" i="4"/>
  <c r="I80" i="4"/>
  <c r="G9" i="9"/>
  <c r="H73" i="4"/>
  <c r="G17" i="9"/>
  <c r="D20" i="15"/>
  <c r="D18" i="15"/>
  <c r="D21" i="15"/>
  <c r="D19" i="15"/>
  <c r="I48" i="15"/>
  <c r="I20" i="15"/>
  <c r="I19" i="15"/>
  <c r="I21" i="15"/>
  <c r="I18" i="15"/>
  <c r="J48" i="15"/>
  <c r="H48" i="15"/>
  <c r="H18" i="15"/>
  <c r="H20" i="15"/>
  <c r="H21" i="15"/>
  <c r="H19" i="15"/>
  <c r="F48" i="15"/>
  <c r="F20" i="15"/>
  <c r="F19" i="15"/>
  <c r="F18" i="15"/>
  <c r="F21" i="15"/>
  <c r="D19" i="4"/>
  <c r="G21" i="15"/>
  <c r="G48" i="15"/>
  <c r="G18" i="15"/>
  <c r="G20" i="15"/>
  <c r="G19" i="15"/>
  <c r="D22" i="4"/>
  <c r="E48" i="15"/>
  <c r="E21" i="15"/>
  <c r="E18" i="15"/>
  <c r="E19" i="15"/>
  <c r="E20" i="15"/>
  <c r="J22" i="4"/>
  <c r="H17" i="9"/>
  <c r="F19" i="4"/>
  <c r="D17" i="9"/>
  <c r="G19" i="4"/>
  <c r="E17" i="9"/>
  <c r="J21" i="4"/>
  <c r="J19" i="4"/>
  <c r="J20" i="4"/>
  <c r="G21" i="9"/>
  <c r="H21" i="9"/>
  <c r="H21" i="4"/>
  <c r="E21" i="4"/>
  <c r="I21" i="4"/>
  <c r="G21" i="4"/>
  <c r="F21" i="4"/>
  <c r="I22" i="4"/>
  <c r="I20" i="4"/>
  <c r="F20" i="4"/>
  <c r="F22" i="4"/>
  <c r="H22" i="4"/>
  <c r="H20" i="4"/>
  <c r="G20" i="4"/>
  <c r="G22" i="4"/>
  <c r="E22" i="4"/>
  <c r="E20" i="4"/>
  <c r="B7" i="9"/>
  <c r="C7" i="9" s="1"/>
  <c r="E4" i="2"/>
  <c r="E11" i="9"/>
  <c r="D26" i="1"/>
  <c r="G108" i="4" l="1"/>
  <c r="I94" i="4"/>
  <c r="H74" i="4"/>
  <c r="H75" i="4" s="1"/>
  <c r="H76" i="4"/>
  <c r="H9" i="9"/>
  <c r="J73" i="4" s="1"/>
  <c r="I73" i="4"/>
  <c r="D94" i="4"/>
  <c r="D7" i="9"/>
  <c r="F11" i="9"/>
  <c r="H108" i="4" l="1"/>
  <c r="I76" i="4"/>
  <c r="I74" i="4"/>
  <c r="I75" i="4" s="1"/>
  <c r="J74" i="4"/>
  <c r="J75" i="4" s="1"/>
  <c r="J76" i="4"/>
  <c r="E7" i="9"/>
  <c r="G11" i="9"/>
  <c r="F7" i="9" l="1"/>
  <c r="H11" i="9"/>
  <c r="D11" i="1"/>
  <c r="F11" i="1" s="1"/>
  <c r="D10" i="1"/>
  <c r="C12" i="1" l="1"/>
  <c r="F10" i="1"/>
  <c r="G7" i="9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H7" i="9" l="1"/>
  <c r="D12" i="1" l="1"/>
  <c r="E6" i="3"/>
  <c r="D6" i="3"/>
  <c r="C20" i="2"/>
  <c r="H20" i="2" s="1"/>
  <c r="E8" i="2"/>
  <c r="F12" i="1" l="1"/>
  <c r="C7" i="3"/>
  <c r="C13" i="3" s="1"/>
  <c r="C19" i="3" s="1"/>
  <c r="D13" i="3" s="1"/>
  <c r="D19" i="3" s="1"/>
  <c r="E13" i="3" s="1"/>
  <c r="E19" i="3" s="1"/>
  <c r="F13" i="3" s="1"/>
  <c r="F19" i="3" s="1"/>
  <c r="G13" i="3" s="1"/>
  <c r="G19" i="3" s="1"/>
  <c r="H13" i="3" s="1"/>
  <c r="H19" i="3" s="1"/>
  <c r="I13" i="3" s="1"/>
  <c r="I19" i="3" s="1"/>
  <c r="E20" i="2"/>
  <c r="C21" i="2"/>
  <c r="H21" i="2" s="1"/>
  <c r="E21" i="2" s="1"/>
  <c r="G6" i="3"/>
  <c r="F6" i="3"/>
  <c r="F20" i="2" l="1"/>
  <c r="D7" i="3"/>
  <c r="E7" i="3"/>
  <c r="H6" i="3"/>
  <c r="I6" i="3"/>
  <c r="G7" i="3"/>
  <c r="F7" i="3"/>
  <c r="F21" i="2"/>
  <c r="C22" i="2"/>
  <c r="H22" i="2" s="1"/>
  <c r="I20" i="2" l="1"/>
  <c r="H7" i="3"/>
  <c r="I7" i="3"/>
  <c r="C23" i="2"/>
  <c r="H23" i="2" s="1"/>
  <c r="I21" i="2"/>
  <c r="E22" i="2"/>
  <c r="E23" i="2" l="1"/>
  <c r="F23" i="2" s="1"/>
  <c r="I23" i="2" s="1"/>
  <c r="C24" i="2"/>
  <c r="H24" i="2" s="1"/>
  <c r="C25" i="2" s="1"/>
  <c r="H25" i="2" s="1"/>
  <c r="F22" i="2"/>
  <c r="E24" i="2" l="1"/>
  <c r="F24" i="2" s="1"/>
  <c r="I22" i="2"/>
  <c r="C18" i="3"/>
  <c r="C26" i="2"/>
  <c r="H26" i="2" s="1"/>
  <c r="E25" i="2"/>
  <c r="D23" i="4" l="1"/>
  <c r="D22" i="15"/>
  <c r="F25" i="2"/>
  <c r="I25" i="2" s="1"/>
  <c r="C14" i="1"/>
  <c r="C16" i="1" s="1"/>
  <c r="D12" i="3"/>
  <c r="I24" i="2"/>
  <c r="C27" i="2"/>
  <c r="H27" i="2" s="1"/>
  <c r="E26" i="2"/>
  <c r="F26" i="2" s="1"/>
  <c r="D18" i="3" l="1"/>
  <c r="I26" i="2"/>
  <c r="C28" i="2"/>
  <c r="H28" i="2" s="1"/>
  <c r="E27" i="2"/>
  <c r="F27" i="2" s="1"/>
  <c r="E23" i="4" l="1"/>
  <c r="E22" i="15"/>
  <c r="E12" i="3"/>
  <c r="I27" i="2"/>
  <c r="C29" i="2"/>
  <c r="H29" i="2" s="1"/>
  <c r="E28" i="2"/>
  <c r="F28" i="2" s="1"/>
  <c r="E18" i="3" l="1"/>
  <c r="F22" i="15" s="1"/>
  <c r="I28" i="2"/>
  <c r="E29" i="2"/>
  <c r="C30" i="2"/>
  <c r="H30" i="2" s="1"/>
  <c r="F12" i="3" l="1"/>
  <c r="F18" i="3" s="1"/>
  <c r="G22" i="15" s="1"/>
  <c r="F23" i="4"/>
  <c r="F29" i="2"/>
  <c r="I29" i="2" s="1"/>
  <c r="E30" i="2"/>
  <c r="C31" i="2"/>
  <c r="H31" i="2" s="1"/>
  <c r="G12" i="3" l="1"/>
  <c r="G18" i="3" s="1"/>
  <c r="H22" i="15" s="1"/>
  <c r="G23" i="4"/>
  <c r="F30" i="2"/>
  <c r="I30" i="2" s="1"/>
  <c r="E31" i="2"/>
  <c r="C32" i="2"/>
  <c r="H32" i="2" s="1"/>
  <c r="F31" i="2" l="1"/>
  <c r="K31" i="2"/>
  <c r="M31" i="2" s="1"/>
  <c r="D34" i="4"/>
  <c r="D33" i="15"/>
  <c r="D35" i="15" s="1"/>
  <c r="H12" i="3"/>
  <c r="H23" i="4"/>
  <c r="H18" i="3"/>
  <c r="E32" i="2"/>
  <c r="C33" i="2"/>
  <c r="H33" i="2" s="1"/>
  <c r="I31" i="2"/>
  <c r="I23" i="4" l="1"/>
  <c r="I22" i="15"/>
  <c r="F32" i="2"/>
  <c r="I32" i="2" s="1"/>
  <c r="I12" i="3"/>
  <c r="E33" i="2"/>
  <c r="C34" i="2"/>
  <c r="H34" i="2" s="1"/>
  <c r="F33" i="2" l="1"/>
  <c r="I18" i="3"/>
  <c r="E34" i="2"/>
  <c r="C35" i="2"/>
  <c r="H35" i="2" s="1"/>
  <c r="I33" i="2"/>
  <c r="J23" i="4" l="1"/>
  <c r="J22" i="15"/>
  <c r="F34" i="2"/>
  <c r="I34" i="2" s="1"/>
  <c r="E35" i="2"/>
  <c r="C36" i="2"/>
  <c r="F35" i="2" l="1"/>
  <c r="I35" i="2" s="1"/>
  <c r="E36" i="2"/>
  <c r="H36" i="2"/>
  <c r="D14" i="1" l="1"/>
  <c r="F36" i="2"/>
  <c r="I36" i="2" s="1"/>
  <c r="C37" i="2"/>
  <c r="E37" i="2" s="1"/>
  <c r="F37" i="2" s="1"/>
  <c r="F14" i="1" l="1"/>
  <c r="C5" i="3"/>
  <c r="D16" i="1"/>
  <c r="F16" i="1" s="1"/>
  <c r="E3" i="2"/>
  <c r="H37" i="2"/>
  <c r="C38" i="2" s="1"/>
  <c r="H38" i="2" s="1"/>
  <c r="C39" i="2" s="1"/>
  <c r="I37" i="2"/>
  <c r="D24" i="15" l="1"/>
  <c r="C11" i="3"/>
  <c r="C17" i="3" s="1"/>
  <c r="D25" i="4"/>
  <c r="E38" i="2"/>
  <c r="F38" i="2" s="1"/>
  <c r="I38" i="2" s="1"/>
  <c r="E5" i="3"/>
  <c r="D5" i="3"/>
  <c r="C8" i="3"/>
  <c r="E39" i="2"/>
  <c r="F39" i="2" s="1"/>
  <c r="H39" i="2"/>
  <c r="E25" i="4" l="1"/>
  <c r="E24" i="15"/>
  <c r="F25" i="4"/>
  <c r="F24" i="15"/>
  <c r="D11" i="3"/>
  <c r="C14" i="3"/>
  <c r="G5" i="3"/>
  <c r="E8" i="3"/>
  <c r="F5" i="3"/>
  <c r="D8" i="3"/>
  <c r="C40" i="2"/>
  <c r="E40" i="2" s="1"/>
  <c r="F40" i="2" s="1"/>
  <c r="I39" i="2"/>
  <c r="H25" i="4" l="1"/>
  <c r="H24" i="15"/>
  <c r="D37" i="4"/>
  <c r="D31" i="15"/>
  <c r="G25" i="4"/>
  <c r="G24" i="15"/>
  <c r="G8" i="3"/>
  <c r="I5" i="3"/>
  <c r="H5" i="3"/>
  <c r="F8" i="3"/>
  <c r="D14" i="3"/>
  <c r="C20" i="3"/>
  <c r="H40" i="2"/>
  <c r="C41" i="2" s="1"/>
  <c r="E41" i="2" s="1"/>
  <c r="F41" i="2" s="1"/>
  <c r="I41" i="2" s="1"/>
  <c r="I40" i="2"/>
  <c r="D58" i="4" l="1"/>
  <c r="D84" i="4"/>
  <c r="J25" i="4"/>
  <c r="J24" i="15"/>
  <c r="D25" i="15"/>
  <c r="D23" i="15"/>
  <c r="E37" i="4"/>
  <c r="E58" i="4" s="1"/>
  <c r="E116" i="4" s="1"/>
  <c r="F116" i="4" s="1"/>
  <c r="G116" i="4" s="1"/>
  <c r="H116" i="4" s="1"/>
  <c r="I116" i="4" s="1"/>
  <c r="E31" i="15"/>
  <c r="I25" i="4"/>
  <c r="I24" i="15"/>
  <c r="D26" i="4"/>
  <c r="D24" i="4"/>
  <c r="H8" i="3"/>
  <c r="I8" i="3"/>
  <c r="B16" i="9"/>
  <c r="B23" i="9" s="1"/>
  <c r="D17" i="3"/>
  <c r="H41" i="2"/>
  <c r="C42" i="2" s="1"/>
  <c r="E42" i="2" s="1"/>
  <c r="F42" i="2" s="1"/>
  <c r="D26" i="15" l="1"/>
  <c r="D27" i="15" s="1"/>
  <c r="D96" i="4"/>
  <c r="D28" i="15"/>
  <c r="D28" i="4"/>
  <c r="D83" i="4" s="1"/>
  <c r="E11" i="3"/>
  <c r="E14" i="3" s="1"/>
  <c r="D20" i="3"/>
  <c r="H42" i="2"/>
  <c r="C43" i="2" s="1"/>
  <c r="E43" i="2" s="1"/>
  <c r="I42" i="2"/>
  <c r="D95" i="4" l="1"/>
  <c r="D97" i="4" s="1"/>
  <c r="D82" i="4"/>
  <c r="D85" i="4"/>
  <c r="F37" i="4"/>
  <c r="F58" i="4" s="1"/>
  <c r="F31" i="15"/>
  <c r="F43" i="2"/>
  <c r="K43" i="2"/>
  <c r="D29" i="15"/>
  <c r="D45" i="15"/>
  <c r="D32" i="15"/>
  <c r="D30" i="15"/>
  <c r="E24" i="4"/>
  <c r="E23" i="15"/>
  <c r="E25" i="15"/>
  <c r="E26" i="4"/>
  <c r="E17" i="3"/>
  <c r="F11" i="3" s="1"/>
  <c r="F14" i="3" s="1"/>
  <c r="C16" i="9"/>
  <c r="C23" i="9" s="1"/>
  <c r="H43" i="2"/>
  <c r="C44" i="2" s="1"/>
  <c r="E44" i="2" s="1"/>
  <c r="I43" i="2"/>
  <c r="E28" i="4" l="1"/>
  <c r="D88" i="4"/>
  <c r="D87" i="4"/>
  <c r="D86" i="4"/>
  <c r="D98" i="4"/>
  <c r="D99" i="4"/>
  <c r="D100" i="4" s="1"/>
  <c r="E33" i="15"/>
  <c r="E35" i="15" s="1"/>
  <c r="E34" i="4"/>
  <c r="E84" i="4" s="1"/>
  <c r="E111" i="4" s="1"/>
  <c r="F111" i="4" s="1"/>
  <c r="G111" i="4" s="1"/>
  <c r="H111" i="4" s="1"/>
  <c r="M43" i="2"/>
  <c r="F44" i="2"/>
  <c r="E26" i="15"/>
  <c r="D46" i="15"/>
  <c r="D36" i="15"/>
  <c r="D38" i="15" s="1"/>
  <c r="D39" i="15" s="1"/>
  <c r="D40" i="15" s="1"/>
  <c r="D47" i="15" s="1"/>
  <c r="G37" i="4"/>
  <c r="G58" i="4" s="1"/>
  <c r="G31" i="15"/>
  <c r="E20" i="3"/>
  <c r="F17" i="3"/>
  <c r="G11" i="3" s="1"/>
  <c r="G14" i="3" s="1"/>
  <c r="H44" i="2"/>
  <c r="C45" i="2" s="1"/>
  <c r="H45" i="2" s="1"/>
  <c r="C46" i="2" s="1"/>
  <c r="I44" i="2"/>
  <c r="I111" i="4" l="1"/>
  <c r="E96" i="4"/>
  <c r="E29" i="4"/>
  <c r="E83" i="4"/>
  <c r="E109" i="4" s="1"/>
  <c r="F109" i="4" s="1"/>
  <c r="H37" i="4"/>
  <c r="H58" i="4" s="1"/>
  <c r="H31" i="15"/>
  <c r="F24" i="4"/>
  <c r="F23" i="15"/>
  <c r="F25" i="15"/>
  <c r="E27" i="15"/>
  <c r="E28" i="15"/>
  <c r="F26" i="4"/>
  <c r="D16" i="9"/>
  <c r="D23" i="9" s="1"/>
  <c r="F20" i="3"/>
  <c r="G17" i="3"/>
  <c r="H11" i="3" s="1"/>
  <c r="E30" i="4"/>
  <c r="E107" i="4" s="1"/>
  <c r="E45" i="2"/>
  <c r="H46" i="2"/>
  <c r="C47" i="2" s="1"/>
  <c r="E46" i="2"/>
  <c r="F28" i="4" l="1"/>
  <c r="F83" i="4" s="1"/>
  <c r="F85" i="4" s="1"/>
  <c r="G109" i="4"/>
  <c r="F110" i="4"/>
  <c r="F82" i="4"/>
  <c r="F95" i="4"/>
  <c r="E95" i="4"/>
  <c r="E97" i="4" s="1"/>
  <c r="E82" i="4"/>
  <c r="E85" i="4"/>
  <c r="E110" i="4" s="1"/>
  <c r="E112" i="4" s="1"/>
  <c r="E30" i="15"/>
  <c r="E45" i="15"/>
  <c r="E29" i="15"/>
  <c r="E32" i="15"/>
  <c r="G24" i="4"/>
  <c r="G23" i="15"/>
  <c r="G25" i="15"/>
  <c r="G26" i="15" s="1"/>
  <c r="F26" i="15"/>
  <c r="G26" i="4"/>
  <c r="G28" i="4" s="1"/>
  <c r="G83" i="4" s="1"/>
  <c r="E16" i="9"/>
  <c r="E23" i="9" s="1"/>
  <c r="G20" i="3"/>
  <c r="F45" i="2"/>
  <c r="I45" i="2" s="1"/>
  <c r="F46" i="2"/>
  <c r="I46" i="2" s="1"/>
  <c r="H14" i="3"/>
  <c r="H17" i="3"/>
  <c r="H20" i="3" s="1"/>
  <c r="F29" i="4"/>
  <c r="F30" i="4"/>
  <c r="F107" i="4" s="1"/>
  <c r="E32" i="4"/>
  <c r="M32" i="4" s="1"/>
  <c r="E31" i="4"/>
  <c r="H47" i="2"/>
  <c r="C48" i="2" s="1"/>
  <c r="E47" i="2"/>
  <c r="F113" i="4" l="1"/>
  <c r="F112" i="4"/>
  <c r="F114" i="4" s="1"/>
  <c r="F115" i="4" s="1"/>
  <c r="F118" i="4" s="1"/>
  <c r="E114" i="4"/>
  <c r="E115" i="4"/>
  <c r="E118" i="4" s="1"/>
  <c r="H109" i="4"/>
  <c r="G110" i="4"/>
  <c r="G82" i="4"/>
  <c r="G95" i="4"/>
  <c r="G85" i="4"/>
  <c r="E98" i="4"/>
  <c r="E99" i="4"/>
  <c r="E100" i="4" s="1"/>
  <c r="E88" i="4"/>
  <c r="E86" i="4"/>
  <c r="E113" i="4" s="1"/>
  <c r="E87" i="4"/>
  <c r="I25" i="15"/>
  <c r="I23" i="15"/>
  <c r="F16" i="9"/>
  <c r="F23" i="9" s="1"/>
  <c r="H25" i="15"/>
  <c r="H23" i="15"/>
  <c r="E36" i="15"/>
  <c r="E38" i="15" s="1"/>
  <c r="E46" i="15"/>
  <c r="G28" i="15"/>
  <c r="G27" i="15"/>
  <c r="I37" i="4"/>
  <c r="I58" i="4" s="1"/>
  <c r="I31" i="15"/>
  <c r="F27" i="15"/>
  <c r="F28" i="15"/>
  <c r="H26" i="4"/>
  <c r="I11" i="3"/>
  <c r="I14" i="3" s="1"/>
  <c r="H24" i="4"/>
  <c r="F31" i="4"/>
  <c r="F32" i="4"/>
  <c r="N32" i="4" s="1"/>
  <c r="F47" i="2"/>
  <c r="I47" i="2" s="1"/>
  <c r="G29" i="4"/>
  <c r="G30" i="4"/>
  <c r="G107" i="4" s="1"/>
  <c r="G16" i="9"/>
  <c r="G23" i="9" s="1"/>
  <c r="I24" i="4"/>
  <c r="I26" i="4"/>
  <c r="H48" i="2"/>
  <c r="E48" i="2"/>
  <c r="I26" i="15" l="1"/>
  <c r="I27" i="15" s="1"/>
  <c r="E125" i="4"/>
  <c r="G113" i="4"/>
  <c r="G112" i="4"/>
  <c r="G114" i="4" s="1"/>
  <c r="G115" i="4" s="1"/>
  <c r="G118" i="4" s="1"/>
  <c r="F125" i="4"/>
  <c r="H110" i="4"/>
  <c r="I109" i="4"/>
  <c r="I110" i="4" s="1"/>
  <c r="H28" i="4"/>
  <c r="H83" i="4" s="1"/>
  <c r="J37" i="4"/>
  <c r="J58" i="4" s="1"/>
  <c r="J31" i="15"/>
  <c r="E39" i="15"/>
  <c r="E40" i="15" s="1"/>
  <c r="E47" i="15" s="1"/>
  <c r="F45" i="15"/>
  <c r="F29" i="15"/>
  <c r="F32" i="15"/>
  <c r="F30" i="15"/>
  <c r="I28" i="15"/>
  <c r="G45" i="15"/>
  <c r="G32" i="15"/>
  <c r="G30" i="15"/>
  <c r="G29" i="15"/>
  <c r="H26" i="15"/>
  <c r="I28" i="4"/>
  <c r="I17" i="3"/>
  <c r="F48" i="2"/>
  <c r="I48" i="2" s="1"/>
  <c r="G32" i="4"/>
  <c r="O32" i="4" s="1"/>
  <c r="G31" i="4"/>
  <c r="C49" i="2"/>
  <c r="E49" i="2" s="1"/>
  <c r="F49" i="2" s="1"/>
  <c r="I112" i="4" l="1"/>
  <c r="I114" i="4" s="1"/>
  <c r="I115" i="4" s="1"/>
  <c r="I118" i="4" s="1"/>
  <c r="I113" i="4"/>
  <c r="H112" i="4"/>
  <c r="H114" i="4" s="1"/>
  <c r="H115" i="4" s="1"/>
  <c r="H118" i="4" s="1"/>
  <c r="H113" i="4"/>
  <c r="G125" i="4"/>
  <c r="H82" i="4"/>
  <c r="H95" i="4"/>
  <c r="H85" i="4"/>
  <c r="I30" i="4"/>
  <c r="I32" i="4" s="1"/>
  <c r="Q32" i="4" s="1"/>
  <c r="I83" i="4"/>
  <c r="H30" i="4"/>
  <c r="H32" i="4" s="1"/>
  <c r="P32" i="4" s="1"/>
  <c r="G46" i="15"/>
  <c r="H27" i="15"/>
  <c r="H28" i="15"/>
  <c r="I45" i="15"/>
  <c r="I30" i="15"/>
  <c r="I29" i="15"/>
  <c r="I32" i="15"/>
  <c r="F46" i="15"/>
  <c r="I20" i="3"/>
  <c r="H29" i="4"/>
  <c r="I29" i="4"/>
  <c r="D49" i="4"/>
  <c r="D60" i="4" s="1"/>
  <c r="H49" i="2"/>
  <c r="C50" i="2" s="1"/>
  <c r="H50" i="2" s="1"/>
  <c r="C51" i="2" s="1"/>
  <c r="I49" i="2"/>
  <c r="I125" i="4" l="1"/>
  <c r="D137" i="4" s="1"/>
  <c r="H31" i="4"/>
  <c r="H107" i="4"/>
  <c r="H125" i="4"/>
  <c r="E126" i="4" s="1"/>
  <c r="I31" i="4"/>
  <c r="I107" i="4"/>
  <c r="D101" i="4"/>
  <c r="D63" i="4"/>
  <c r="I95" i="4"/>
  <c r="I82" i="4"/>
  <c r="I85" i="4"/>
  <c r="I46" i="15"/>
  <c r="H16" i="9"/>
  <c r="H23" i="9" s="1"/>
  <c r="J23" i="15"/>
  <c r="J25" i="15"/>
  <c r="H45" i="15"/>
  <c r="H29" i="15"/>
  <c r="H32" i="15"/>
  <c r="H30" i="15"/>
  <c r="J26" i="4"/>
  <c r="J24" i="4"/>
  <c r="E50" i="2"/>
  <c r="H51" i="2"/>
  <c r="E51" i="2"/>
  <c r="F51" i="2" s="1"/>
  <c r="D103" i="4" l="1"/>
  <c r="D102" i="4"/>
  <c r="H46" i="15"/>
  <c r="J26" i="15"/>
  <c r="J28" i="4"/>
  <c r="F50" i="2"/>
  <c r="I50" i="2" s="1"/>
  <c r="C52" i="2"/>
  <c r="E52" i="2" s="1"/>
  <c r="F52" i="2" s="1"/>
  <c r="I51" i="2"/>
  <c r="D104" i="4" l="1"/>
  <c r="J29" i="4"/>
  <c r="J83" i="4"/>
  <c r="J28" i="15"/>
  <c r="J27" i="15"/>
  <c r="J30" i="4"/>
  <c r="H52" i="2"/>
  <c r="C53" i="2" s="1"/>
  <c r="H53" i="2" s="1"/>
  <c r="C54" i="2" s="1"/>
  <c r="I52" i="2"/>
  <c r="J31" i="4" l="1"/>
  <c r="J107" i="4"/>
  <c r="J95" i="4"/>
  <c r="J82" i="4"/>
  <c r="J85" i="4"/>
  <c r="J32" i="15"/>
  <c r="J45" i="15"/>
  <c r="J30" i="15"/>
  <c r="J29" i="15"/>
  <c r="J32" i="4"/>
  <c r="E53" i="2"/>
  <c r="H54" i="2"/>
  <c r="C55" i="2" s="1"/>
  <c r="E54" i="2"/>
  <c r="F54" i="2" s="1"/>
  <c r="R32" i="4" l="1"/>
  <c r="J46" i="15"/>
  <c r="F53" i="2"/>
  <c r="I53" i="2" s="1"/>
  <c r="H55" i="2"/>
  <c r="C56" i="2" s="1"/>
  <c r="E55" i="2"/>
  <c r="I54" i="2"/>
  <c r="F55" i="2" l="1"/>
  <c r="K55" i="2"/>
  <c r="H56" i="2"/>
  <c r="C57" i="2" s="1"/>
  <c r="E56" i="2"/>
  <c r="I55" i="2"/>
  <c r="F33" i="15" l="1"/>
  <c r="F35" i="15" s="1"/>
  <c r="F36" i="15" s="1"/>
  <c r="F38" i="15" s="1"/>
  <c r="F39" i="15" s="1"/>
  <c r="F40" i="15" s="1"/>
  <c r="F47" i="15" s="1"/>
  <c r="F34" i="4"/>
  <c r="F84" i="4" s="1"/>
  <c r="M55" i="2"/>
  <c r="F56" i="2"/>
  <c r="I56" i="2" s="1"/>
  <c r="H57" i="2"/>
  <c r="C58" i="2" s="1"/>
  <c r="E57" i="2"/>
  <c r="F96" i="4" l="1"/>
  <c r="F97" i="4" s="1"/>
  <c r="F87" i="4"/>
  <c r="F86" i="4"/>
  <c r="F88" i="4"/>
  <c r="F57" i="2"/>
  <c r="I57" i="2" s="1"/>
  <c r="H58" i="2"/>
  <c r="C59" i="2" s="1"/>
  <c r="E58" i="2"/>
  <c r="F98" i="4" l="1"/>
  <c r="F99" i="4"/>
  <c r="F100" i="4" s="1"/>
  <c r="F58" i="2"/>
  <c r="I58" i="2" s="1"/>
  <c r="H59" i="2"/>
  <c r="C60" i="2" s="1"/>
  <c r="E59" i="2"/>
  <c r="F59" i="2" l="1"/>
  <c r="I59" i="2" s="1"/>
  <c r="H60" i="2"/>
  <c r="E60" i="2"/>
  <c r="F60" i="2" l="1"/>
  <c r="I60" i="2" s="1"/>
  <c r="C61" i="2"/>
  <c r="H61" i="2" s="1"/>
  <c r="C62" i="2" s="1"/>
  <c r="E49" i="4" l="1"/>
  <c r="E36" i="4"/>
  <c r="E38" i="4" s="1"/>
  <c r="E40" i="4" s="1"/>
  <c r="E61" i="2"/>
  <c r="H62" i="2"/>
  <c r="C63" i="2" s="1"/>
  <c r="E62" i="2"/>
  <c r="F62" i="2" s="1"/>
  <c r="E60" i="4" l="1"/>
  <c r="E119" i="4"/>
  <c r="E63" i="4"/>
  <c r="E101" i="4"/>
  <c r="E53" i="4"/>
  <c r="E81" i="4"/>
  <c r="F61" i="2"/>
  <c r="I61" i="2" s="1"/>
  <c r="E41" i="4"/>
  <c r="C13" i="9" s="1"/>
  <c r="I62" i="2"/>
  <c r="H63" i="2"/>
  <c r="E63" i="2"/>
  <c r="F63" i="2" s="1"/>
  <c r="E128" i="4" l="1"/>
  <c r="E129" i="4" s="1"/>
  <c r="D136" i="4" s="1"/>
  <c r="E122" i="4"/>
  <c r="F119" i="4"/>
  <c r="E120" i="4"/>
  <c r="E103" i="4"/>
  <c r="E102" i="4"/>
  <c r="E42" i="4"/>
  <c r="E57" i="4" s="1"/>
  <c r="E59" i="4" s="1"/>
  <c r="C26" i="9"/>
  <c r="E49" i="15" s="1"/>
  <c r="C64" i="2"/>
  <c r="E64" i="2" s="1"/>
  <c r="F64" i="2" s="1"/>
  <c r="I63" i="2"/>
  <c r="E104" i="4" l="1"/>
  <c r="E123" i="4"/>
  <c r="F122" i="4"/>
  <c r="G119" i="4"/>
  <c r="F120" i="4"/>
  <c r="E67" i="4"/>
  <c r="E61" i="4"/>
  <c r="E64" i="4" s="1"/>
  <c r="E44" i="4"/>
  <c r="E46" i="4" s="1"/>
  <c r="E50" i="4" s="1"/>
  <c r="E54" i="4"/>
  <c r="H64" i="2"/>
  <c r="C65" i="2" s="1"/>
  <c r="H65" i="2" s="1"/>
  <c r="C66" i="2" s="1"/>
  <c r="I64" i="2"/>
  <c r="D133" i="4" l="1"/>
  <c r="F123" i="4"/>
  <c r="D135" i="4" s="1"/>
  <c r="H119" i="4"/>
  <c r="G122" i="4"/>
  <c r="G120" i="4"/>
  <c r="E51" i="4"/>
  <c r="E65" i="2"/>
  <c r="H66" i="2"/>
  <c r="C67" i="2" s="1"/>
  <c r="E66" i="2"/>
  <c r="F66" i="2" s="1"/>
  <c r="G123" i="4" l="1"/>
  <c r="D134" i="4" s="1"/>
  <c r="I119" i="4"/>
  <c r="H122" i="4"/>
  <c r="H120" i="4"/>
  <c r="F65" i="2"/>
  <c r="I65" i="2" s="1"/>
  <c r="H67" i="2"/>
  <c r="C68" i="2" s="1"/>
  <c r="E67" i="2"/>
  <c r="I66" i="2"/>
  <c r="H123" i="4" l="1"/>
  <c r="I122" i="4"/>
  <c r="I120" i="4"/>
  <c r="I123" i="4" s="1"/>
  <c r="E124" i="4" s="1"/>
  <c r="F67" i="2"/>
  <c r="K67" i="2"/>
  <c r="H68" i="2"/>
  <c r="C69" i="2" s="1"/>
  <c r="E68" i="2"/>
  <c r="I67" i="2"/>
  <c r="F68" i="2" l="1"/>
  <c r="G33" i="15"/>
  <c r="G35" i="15" s="1"/>
  <c r="G36" i="15" s="1"/>
  <c r="G38" i="15" s="1"/>
  <c r="M67" i="2"/>
  <c r="G34" i="4"/>
  <c r="G84" i="4" s="1"/>
  <c r="I68" i="2"/>
  <c r="H69" i="2"/>
  <c r="C70" i="2" s="1"/>
  <c r="E69" i="2"/>
  <c r="G96" i="4" l="1"/>
  <c r="G97" i="4" s="1"/>
  <c r="G87" i="4"/>
  <c r="G88" i="4"/>
  <c r="G86" i="4"/>
  <c r="G39" i="15"/>
  <c r="G40" i="15" s="1"/>
  <c r="G47" i="15" s="1"/>
  <c r="F69" i="2"/>
  <c r="H70" i="2"/>
  <c r="C71" i="2" s="1"/>
  <c r="E70" i="2"/>
  <c r="I69" i="2"/>
  <c r="G99" i="4" l="1"/>
  <c r="G100" i="4" s="1"/>
  <c r="G98" i="4"/>
  <c r="F70" i="2"/>
  <c r="I70" i="2" s="1"/>
  <c r="H71" i="2"/>
  <c r="C72" i="2" s="1"/>
  <c r="E71" i="2"/>
  <c r="F71" i="2" l="1"/>
  <c r="I71" i="2" s="1"/>
  <c r="H72" i="2"/>
  <c r="E72" i="2"/>
  <c r="F72" i="2" l="1"/>
  <c r="I72" i="2" s="1"/>
  <c r="C73" i="2"/>
  <c r="H73" i="2" s="1"/>
  <c r="C74" i="2" s="1"/>
  <c r="F49" i="4" l="1"/>
  <c r="F60" i="4" s="1"/>
  <c r="F36" i="4"/>
  <c r="F38" i="4" s="1"/>
  <c r="F40" i="4" s="1"/>
  <c r="E73" i="2"/>
  <c r="H74" i="2"/>
  <c r="C75" i="2" s="1"/>
  <c r="E74" i="2"/>
  <c r="F74" i="2" s="1"/>
  <c r="F53" i="4" l="1"/>
  <c r="F81" i="4"/>
  <c r="F63" i="4"/>
  <c r="F101" i="4"/>
  <c r="F73" i="2"/>
  <c r="I73" i="2" s="1"/>
  <c r="F41" i="4"/>
  <c r="D13" i="9" s="1"/>
  <c r="I74" i="2"/>
  <c r="H75" i="2"/>
  <c r="E75" i="2"/>
  <c r="F75" i="2" s="1"/>
  <c r="F102" i="4" l="1"/>
  <c r="F103" i="4"/>
  <c r="F42" i="4"/>
  <c r="D26" i="9"/>
  <c r="F49" i="15" s="1"/>
  <c r="C76" i="2"/>
  <c r="E76" i="2" s="1"/>
  <c r="F76" i="2" s="1"/>
  <c r="I75" i="2"/>
  <c r="F54" i="4" l="1"/>
  <c r="F57" i="4"/>
  <c r="F59" i="4" s="1"/>
  <c r="F104" i="4"/>
  <c r="F44" i="4"/>
  <c r="F46" i="4" s="1"/>
  <c r="F51" i="4" s="1"/>
  <c r="H76" i="2"/>
  <c r="C77" i="2" s="1"/>
  <c r="H77" i="2" s="1"/>
  <c r="I76" i="2"/>
  <c r="F67" i="4" l="1"/>
  <c r="F61" i="4"/>
  <c r="F64" i="4" s="1"/>
  <c r="F50" i="4"/>
  <c r="E77" i="2"/>
  <c r="H78" i="2"/>
  <c r="C79" i="2" s="1"/>
  <c r="E79" i="2" s="1"/>
  <c r="C78" i="2"/>
  <c r="K79" i="2" l="1"/>
  <c r="E78" i="2"/>
  <c r="F78" i="2" s="1"/>
  <c r="I78" i="2" s="1"/>
  <c r="F77" i="2"/>
  <c r="I77" i="2" s="1"/>
  <c r="H79" i="2"/>
  <c r="C80" i="2" s="1"/>
  <c r="E80" i="2" s="1"/>
  <c r="F79" i="2"/>
  <c r="H33" i="15" l="1"/>
  <c r="H35" i="15" s="1"/>
  <c r="H36" i="15" s="1"/>
  <c r="H38" i="15" s="1"/>
  <c r="H39" i="15" s="1"/>
  <c r="H40" i="15" s="1"/>
  <c r="H47" i="15" s="1"/>
  <c r="H34" i="4"/>
  <c r="H84" i="4" s="1"/>
  <c r="M79" i="2"/>
  <c r="H80" i="2"/>
  <c r="F80" i="2"/>
  <c r="I79" i="2"/>
  <c r="H96" i="4" l="1"/>
  <c r="H97" i="4" s="1"/>
  <c r="H87" i="4"/>
  <c r="H88" i="4"/>
  <c r="H86" i="4"/>
  <c r="I80" i="2"/>
  <c r="C81" i="2"/>
  <c r="E81" i="2" s="1"/>
  <c r="H81" i="2"/>
  <c r="C82" i="2" s="1"/>
  <c r="E82" i="2" s="1"/>
  <c r="H98" i="4" l="1"/>
  <c r="H99" i="4"/>
  <c r="H100" i="4" s="1"/>
  <c r="F81" i="2"/>
  <c r="H82" i="2"/>
  <c r="C83" i="2" s="1"/>
  <c r="E83" i="2" s="1"/>
  <c r="I81" i="2" l="1"/>
  <c r="F82" i="2"/>
  <c r="I82" i="2" s="1"/>
  <c r="H83" i="2"/>
  <c r="F83" i="2" l="1"/>
  <c r="H84" i="2"/>
  <c r="C84" i="2"/>
  <c r="E84" i="2" s="1"/>
  <c r="I83" i="2" l="1"/>
  <c r="F84" i="2"/>
  <c r="I84" i="2" s="1"/>
  <c r="C85" i="2"/>
  <c r="E85" i="2" l="1"/>
  <c r="F85" i="2" s="1"/>
  <c r="I85" i="2" s="1"/>
  <c r="G49" i="4"/>
  <c r="G60" i="4" s="1"/>
  <c r="G36" i="4"/>
  <c r="G38" i="4" s="1"/>
  <c r="G40" i="4" s="1"/>
  <c r="H85" i="2"/>
  <c r="C86" i="2" s="1"/>
  <c r="G53" i="4" l="1"/>
  <c r="G81" i="4"/>
  <c r="G101" i="4"/>
  <c r="G63" i="4"/>
  <c r="H86" i="2"/>
  <c r="C87" i="2" s="1"/>
  <c r="E86" i="2"/>
  <c r="G41" i="4"/>
  <c r="E13" i="9" s="1"/>
  <c r="G103" i="4" l="1"/>
  <c r="G102" i="4"/>
  <c r="G104" i="4" s="1"/>
  <c r="H87" i="2"/>
  <c r="C88" i="2" s="1"/>
  <c r="E87" i="2"/>
  <c r="F87" i="2" s="1"/>
  <c r="I87" i="2" s="1"/>
  <c r="G42" i="4"/>
  <c r="G57" i="4" s="1"/>
  <c r="G59" i="4" s="1"/>
  <c r="F86" i="2"/>
  <c r="E26" i="9"/>
  <c r="G49" i="15" s="1"/>
  <c r="G67" i="4" l="1"/>
  <c r="G61" i="4"/>
  <c r="G64" i="4" s="1"/>
  <c r="G44" i="4"/>
  <c r="G46" i="4" s="1"/>
  <c r="G50" i="4" s="1"/>
  <c r="G54" i="4"/>
  <c r="E88" i="2"/>
  <c r="F88" i="2" s="1"/>
  <c r="I88" i="2" s="1"/>
  <c r="I86" i="2"/>
  <c r="H88" i="2"/>
  <c r="C89" i="2" s="1"/>
  <c r="G51" i="4" l="1"/>
  <c r="H89" i="2"/>
  <c r="H90" i="2" s="1"/>
  <c r="E89" i="2"/>
  <c r="H91" i="2" l="1"/>
  <c r="C91" i="2"/>
  <c r="E91" i="2" s="1"/>
  <c r="C90" i="2"/>
  <c r="E90" i="2" s="1"/>
  <c r="F90" i="2" s="1"/>
  <c r="I90" i="2" s="1"/>
  <c r="F89" i="2"/>
  <c r="F91" i="2" l="1"/>
  <c r="I91" i="2" s="1"/>
  <c r="K91" i="2"/>
  <c r="H92" i="2"/>
  <c r="C92" i="2"/>
  <c r="I89" i="2"/>
  <c r="E92" i="2" l="1"/>
  <c r="I33" i="15"/>
  <c r="I35" i="15" s="1"/>
  <c r="I36" i="15" s="1"/>
  <c r="I38" i="15" s="1"/>
  <c r="I39" i="15" s="1"/>
  <c r="I40" i="15" s="1"/>
  <c r="I47" i="15" s="1"/>
  <c r="I34" i="4"/>
  <c r="I84" i="4" s="1"/>
  <c r="M91" i="2"/>
  <c r="H93" i="2"/>
  <c r="C93" i="2"/>
  <c r="E93" i="2" s="1"/>
  <c r="I96" i="4" l="1"/>
  <c r="I97" i="4" s="1"/>
  <c r="I86" i="4"/>
  <c r="I87" i="4"/>
  <c r="I88" i="4"/>
  <c r="F92" i="2"/>
  <c r="I92" i="2" s="1"/>
  <c r="F93" i="2"/>
  <c r="I93" i="2" s="1"/>
  <c r="H94" i="2"/>
  <c r="C94" i="2"/>
  <c r="E94" i="2" s="1"/>
  <c r="H49" i="4"/>
  <c r="H60" i="4" s="1"/>
  <c r="H36" i="4"/>
  <c r="H38" i="4" s="1"/>
  <c r="H40" i="4" s="1"/>
  <c r="I99" i="4" l="1"/>
  <c r="I100" i="4" s="1"/>
  <c r="I98" i="4"/>
  <c r="H101" i="4"/>
  <c r="H63" i="4"/>
  <c r="H53" i="4"/>
  <c r="H81" i="4"/>
  <c r="F94" i="2"/>
  <c r="I94" i="2" s="1"/>
  <c r="H95" i="2"/>
  <c r="C95" i="2"/>
  <c r="E95" i="2" s="1"/>
  <c r="F95" i="2" s="1"/>
  <c r="I95" i="2" s="1"/>
  <c r="H41" i="4"/>
  <c r="F13" i="9" s="1"/>
  <c r="H103" i="4" l="1"/>
  <c r="H102" i="4"/>
  <c r="H104" i="4" s="1"/>
  <c r="H96" i="2"/>
  <c r="C96" i="2"/>
  <c r="E96" i="2" s="1"/>
  <c r="F96" i="2" s="1"/>
  <c r="I96" i="2" s="1"/>
  <c r="H42" i="4"/>
  <c r="H57" i="4" s="1"/>
  <c r="H59" i="4" s="1"/>
  <c r="F26" i="9"/>
  <c r="H49" i="15" s="1"/>
  <c r="H61" i="4" l="1"/>
  <c r="H64" i="4" s="1"/>
  <c r="H67" i="4"/>
  <c r="H44" i="4"/>
  <c r="H46" i="4" s="1"/>
  <c r="H51" i="4" s="1"/>
  <c r="H54" i="4"/>
  <c r="H97" i="2"/>
  <c r="C97" i="2"/>
  <c r="E97" i="2" s="1"/>
  <c r="H50" i="4" l="1"/>
  <c r="F97" i="2"/>
  <c r="I97" i="2" s="1"/>
  <c r="H98" i="2"/>
  <c r="C98" i="2"/>
  <c r="E98" i="2" s="1"/>
  <c r="F98" i="2" s="1"/>
  <c r="I98" i="2" s="1"/>
  <c r="H99" i="2" l="1"/>
  <c r="C99" i="2"/>
  <c r="E99" i="2" s="1"/>
  <c r="F99" i="2" s="1"/>
  <c r="I99" i="2" s="1"/>
  <c r="H100" i="2" l="1"/>
  <c r="C100" i="2"/>
  <c r="E100" i="2" s="1"/>
  <c r="I49" i="4"/>
  <c r="I60" i="4" s="1"/>
  <c r="I36" i="4"/>
  <c r="I38" i="4" s="1"/>
  <c r="I40" i="4" s="1"/>
  <c r="I53" i="4" l="1"/>
  <c r="I81" i="4"/>
  <c r="I101" i="4"/>
  <c r="I63" i="4"/>
  <c r="F100" i="2"/>
  <c r="I100" i="2" s="1"/>
  <c r="H101" i="2"/>
  <c r="C101" i="2"/>
  <c r="E101" i="2" s="1"/>
  <c r="F101" i="2" s="1"/>
  <c r="I101" i="2" s="1"/>
  <c r="I41" i="4"/>
  <c r="G13" i="9" s="1"/>
  <c r="I103" i="4" l="1"/>
  <c r="I102" i="4"/>
  <c r="H102" i="2"/>
  <c r="C102" i="2"/>
  <c r="I42" i="4"/>
  <c r="I57" i="4" s="1"/>
  <c r="I59" i="4" s="1"/>
  <c r="G26" i="9"/>
  <c r="I49" i="15" s="1"/>
  <c r="I104" i="4" l="1"/>
  <c r="I61" i="4"/>
  <c r="I64" i="4" s="1"/>
  <c r="I67" i="4"/>
  <c r="I44" i="4"/>
  <c r="I46" i="4" s="1"/>
  <c r="I50" i="4" s="1"/>
  <c r="I54" i="4"/>
  <c r="I102" i="2"/>
  <c r="E102" i="2"/>
  <c r="F102" i="2" s="1"/>
  <c r="H103" i="2"/>
  <c r="C103" i="2"/>
  <c r="E103" i="2" s="1"/>
  <c r="I51" i="4" l="1"/>
  <c r="F103" i="2"/>
  <c r="K103" i="2"/>
  <c r="J33" i="15" l="1"/>
  <c r="J35" i="15" s="1"/>
  <c r="J36" i="15" s="1"/>
  <c r="J38" i="15" s="1"/>
  <c r="J39" i="15" s="1"/>
  <c r="J40" i="15" s="1"/>
  <c r="J47" i="15" s="1"/>
  <c r="J34" i="4"/>
  <c r="J84" i="4" s="1"/>
  <c r="M103" i="2"/>
  <c r="I103" i="2"/>
  <c r="F105" i="2"/>
  <c r="M105" i="2"/>
  <c r="K105" i="2"/>
  <c r="I105" i="2"/>
  <c r="J96" i="4" l="1"/>
  <c r="J97" i="4" s="1"/>
  <c r="J87" i="4"/>
  <c r="J86" i="4"/>
  <c r="J88" i="4"/>
  <c r="J49" i="4"/>
  <c r="J60" i="4" s="1"/>
  <c r="J36" i="4"/>
  <c r="J38" i="4" s="1"/>
  <c r="J40" i="4" s="1"/>
  <c r="J81" i="4" s="1"/>
  <c r="K49" i="4"/>
  <c r="J63" i="4" l="1"/>
  <c r="J101" i="4"/>
  <c r="J98" i="4"/>
  <c r="J99" i="4"/>
  <c r="J100" i="4" s="1"/>
  <c r="J41" i="4"/>
  <c r="J53" i="4"/>
  <c r="J42" i="4"/>
  <c r="J57" i="4" s="1"/>
  <c r="J59" i="4" s="1"/>
  <c r="H13" i="9"/>
  <c r="H26" i="9" s="1"/>
  <c r="J49" i="15" s="1"/>
  <c r="D30" i="4"/>
  <c r="D32" i="4" l="1"/>
  <c r="D107" i="4"/>
  <c r="K107" i="4" s="1"/>
  <c r="L107" i="4" s="1"/>
  <c r="J102" i="4"/>
  <c r="J103" i="4"/>
  <c r="J61" i="4"/>
  <c r="J64" i="4" s="1"/>
  <c r="J67" i="4"/>
  <c r="J44" i="4"/>
  <c r="J46" i="4" s="1"/>
  <c r="J51" i="4" s="1"/>
  <c r="J54" i="4"/>
  <c r="D36" i="4"/>
  <c r="D38" i="4" s="1"/>
  <c r="D40" i="4" s="1"/>
  <c r="L32" i="4"/>
  <c r="J50" i="4"/>
  <c r="D29" i="4"/>
  <c r="D31" i="4"/>
  <c r="D68" i="4" l="1"/>
  <c r="D69" i="4"/>
  <c r="D53" i="4"/>
  <c r="D81" i="4"/>
  <c r="J104" i="4"/>
  <c r="D41" i="4"/>
  <c r="B13" i="9" s="1"/>
  <c r="B6" i="11" s="1"/>
  <c r="B7" i="11" s="1"/>
  <c r="B26" i="9" l="1"/>
  <c r="D49" i="15" s="1"/>
  <c r="D42" i="4"/>
  <c r="D57" i="4" s="1"/>
  <c r="D59" i="4" s="1"/>
  <c r="D54" i="4" l="1"/>
  <c r="D44" i="4"/>
  <c r="D46" i="4" s="1"/>
  <c r="D50" i="4" s="1"/>
  <c r="D61" i="4"/>
  <c r="D64" i="4" s="1"/>
  <c r="D51" i="4"/>
  <c r="D66" i="4" l="1"/>
  <c r="D65" i="4"/>
  <c r="K46" i="4"/>
  <c r="K51" i="4" s="1"/>
  <c r="B8" i="9"/>
  <c r="B14" i="9" s="1"/>
  <c r="B24" i="9" s="1"/>
  <c r="K50" i="4" l="1"/>
  <c r="B25" i="9"/>
  <c r="D50" i="15" s="1"/>
  <c r="C8" i="9"/>
  <c r="D8" i="9" l="1"/>
  <c r="C14" i="9"/>
  <c r="C24" i="9" s="1"/>
  <c r="C25" i="9"/>
  <c r="E50" i="15" s="1"/>
  <c r="E8" i="9" l="1"/>
  <c r="D14" i="9"/>
  <c r="D24" i="9" s="1"/>
  <c r="D25" i="9"/>
  <c r="F50" i="15" s="1"/>
  <c r="E14" i="9" l="1"/>
  <c r="E24" i="9" s="1"/>
  <c r="F8" i="9"/>
  <c r="E25" i="9"/>
  <c r="G50" i="15" s="1"/>
  <c r="G8" i="9" l="1"/>
  <c r="F14" i="9"/>
  <c r="F24" i="9" s="1"/>
  <c r="F25" i="9"/>
  <c r="H50" i="15" s="1"/>
  <c r="H8" i="9" l="1"/>
  <c r="G14" i="9"/>
  <c r="G24" i="9" s="1"/>
  <c r="G25" i="9"/>
  <c r="I50" i="15" s="1"/>
  <c r="H14" i="9" l="1"/>
  <c r="H24" i="9" s="1"/>
  <c r="H25" i="9"/>
  <c r="J50" i="15" s="1"/>
</calcChain>
</file>

<file path=xl/sharedStrings.xml><?xml version="1.0" encoding="utf-8"?>
<sst xmlns="http://schemas.openxmlformats.org/spreadsheetml/2006/main" count="649" uniqueCount="463">
  <si>
    <t>Cost of Project</t>
  </si>
  <si>
    <t>Particulars</t>
  </si>
  <si>
    <t>Already Incurred</t>
  </si>
  <si>
    <t>To be Incurred</t>
  </si>
  <si>
    <t>Total Cost</t>
  </si>
  <si>
    <t>Contingencies @ 2%</t>
  </si>
  <si>
    <t xml:space="preserve">Construction period Interest </t>
  </si>
  <si>
    <t>Total Project Cost</t>
  </si>
  <si>
    <t>Means of Finance</t>
  </si>
  <si>
    <t>Already Done</t>
  </si>
  <si>
    <t>Proposed</t>
  </si>
  <si>
    <t>Total</t>
  </si>
  <si>
    <t>Promoters Contribution</t>
  </si>
  <si>
    <t>Bank Finance (TL)</t>
  </si>
  <si>
    <t>TERM LOAN DISBURSEMENT, REPAYMENT SCHEDULE &amp; INTEREST CALCULATION</t>
  </si>
  <si>
    <t>COP</t>
  </si>
  <si>
    <t>Debt-Equity Ratio</t>
  </si>
  <si>
    <t>Term Loan</t>
  </si>
  <si>
    <t>Loan Sanctioned</t>
  </si>
  <si>
    <t>No. of Installment</t>
  </si>
  <si>
    <t>Rate of Interest</t>
  </si>
  <si>
    <t xml:space="preserve">No. of </t>
  </si>
  <si>
    <t>Month</t>
  </si>
  <si>
    <t>Op. Bal</t>
  </si>
  <si>
    <t>Disbursement</t>
  </si>
  <si>
    <t xml:space="preserve">Interest </t>
  </si>
  <si>
    <t>Interest</t>
  </si>
  <si>
    <t>TL Repaid</t>
  </si>
  <si>
    <t>TL</t>
  </si>
  <si>
    <t xml:space="preserve">Total </t>
  </si>
  <si>
    <t>Year Ending</t>
  </si>
  <si>
    <t xml:space="preserve">Intt. Exp. </t>
  </si>
  <si>
    <t>Repay of</t>
  </si>
  <si>
    <t>Instl.</t>
  </si>
  <si>
    <t>Due</t>
  </si>
  <si>
    <t>Paid</t>
  </si>
  <si>
    <t>Outstanding</t>
  </si>
  <si>
    <t>Monthly</t>
  </si>
  <si>
    <t>Yearly</t>
  </si>
  <si>
    <t>Principal</t>
  </si>
  <si>
    <t>Repayment</t>
  </si>
  <si>
    <t>Calculation of Depriciations (As per Income Tax Act )</t>
  </si>
  <si>
    <t xml:space="preserve">Gross Block </t>
  </si>
  <si>
    <t>Building and other civil work</t>
  </si>
  <si>
    <t>Plant and Machinery</t>
  </si>
  <si>
    <t>Depreciation</t>
  </si>
  <si>
    <t>Plant and machinery</t>
  </si>
  <si>
    <t>Net Block</t>
  </si>
  <si>
    <t>Building &amp; other civil work</t>
  </si>
  <si>
    <t>PARTICULARS</t>
  </si>
  <si>
    <t>Months</t>
  </si>
  <si>
    <t>Total Revenue</t>
  </si>
  <si>
    <t>Operating Cost</t>
  </si>
  <si>
    <t>Repair &amp; Maintenance (% of Building, P&amp;M)</t>
  </si>
  <si>
    <t>Rent Rates &amp; Taxes (% of Building , P&amp;M,MFA)</t>
  </si>
  <si>
    <t>0.2%</t>
  </si>
  <si>
    <t>Insurance (of Net Block)</t>
  </si>
  <si>
    <t>Total Cost of Operation</t>
  </si>
  <si>
    <t>OPERATING COST/SALES</t>
  </si>
  <si>
    <t>Gross Operating Profit B Intt, Tax &amp; Deprn</t>
  </si>
  <si>
    <t>PBDIT/SALES</t>
  </si>
  <si>
    <t>EBIDTA</t>
  </si>
  <si>
    <t>Financial Expenses : Interest on Term Loan</t>
  </si>
  <si>
    <t>Profit before Depreciation</t>
  </si>
  <si>
    <t>Profit after Depreciation</t>
  </si>
  <si>
    <t>Prel. Expenses W/Off</t>
  </si>
  <si>
    <t>Profit Before Tax</t>
  </si>
  <si>
    <t>Income Tax</t>
  </si>
  <si>
    <t>Profit After Tax</t>
  </si>
  <si>
    <t>Dividend</t>
  </si>
  <si>
    <t>Retaind Profit</t>
  </si>
  <si>
    <t>Net Cash Accurals</t>
  </si>
  <si>
    <t>Repayment of Term Loan</t>
  </si>
  <si>
    <t>Interest on Term Loan</t>
  </si>
  <si>
    <t>DSCR (Net)</t>
  </si>
  <si>
    <t>DSCR (Gross)</t>
  </si>
  <si>
    <t>Furniture &amp; Fixtures</t>
  </si>
  <si>
    <t>Lacs</t>
  </si>
  <si>
    <t xml:space="preserve">Power &amp; Fuel </t>
  </si>
  <si>
    <t>Administration &amp; Misc. Exp</t>
  </si>
  <si>
    <t>Other Operating Expenses</t>
  </si>
  <si>
    <t>Details of Plant &amp; Machinery</t>
  </si>
  <si>
    <t xml:space="preserve">Liabilities:   </t>
  </si>
  <si>
    <t>Reserve &amp; Surplus</t>
  </si>
  <si>
    <t>Assets:</t>
  </si>
  <si>
    <t>Fixed Assets</t>
  </si>
  <si>
    <t>Sundry Debtors</t>
  </si>
  <si>
    <t>Cash &amp; Bank Balances</t>
  </si>
  <si>
    <t>Sundry Creditors</t>
  </si>
  <si>
    <t>Capital</t>
  </si>
  <si>
    <t>Projected</t>
  </si>
  <si>
    <t>Projected Balance Sheet</t>
  </si>
  <si>
    <t>Long Term Borrowing</t>
  </si>
  <si>
    <t>Provision for Tax</t>
  </si>
  <si>
    <t>TOL/TNW</t>
  </si>
  <si>
    <t>Current Ratio</t>
  </si>
  <si>
    <t>Working Capital Loan</t>
  </si>
  <si>
    <t>Bank Finance (WC)</t>
  </si>
  <si>
    <t>Financial Expenses : Interest on WC</t>
  </si>
  <si>
    <t>Gestation Period</t>
  </si>
  <si>
    <t>Difference in B/S</t>
  </si>
  <si>
    <t>Feb-23</t>
  </si>
  <si>
    <t>March-23</t>
  </si>
  <si>
    <t>April-23</t>
  </si>
  <si>
    <t>May-23</t>
  </si>
  <si>
    <t>June-23</t>
  </si>
  <si>
    <t>July-23</t>
  </si>
  <si>
    <t>Aug-23</t>
  </si>
  <si>
    <t>Sep-23</t>
  </si>
  <si>
    <t>Oct-23</t>
  </si>
  <si>
    <t>Nov-23</t>
  </si>
  <si>
    <t>Dec-23</t>
  </si>
  <si>
    <t>Jan-24</t>
  </si>
  <si>
    <t>Feb-24</t>
  </si>
  <si>
    <t>March-24</t>
  </si>
  <si>
    <t>Preliminary Ex.</t>
  </si>
  <si>
    <t xml:space="preserve">Deposits with Govt. /private </t>
  </si>
  <si>
    <t>Short Term Liab.(Part of Long Term Liab)</t>
  </si>
  <si>
    <t>Advance Taxes / Loans and advances, Advance to suppliers etc.</t>
  </si>
  <si>
    <t>(Values in Crs.)</t>
  </si>
  <si>
    <t>Construction of Building + Devlp. of Land</t>
  </si>
  <si>
    <t>April-24</t>
  </si>
  <si>
    <t>May-24</t>
  </si>
  <si>
    <t>June-24</t>
  </si>
  <si>
    <t>July-24</t>
  </si>
  <si>
    <t>Aug-24</t>
  </si>
  <si>
    <t>Sep-24</t>
  </si>
  <si>
    <t>Oct-24</t>
  </si>
  <si>
    <t>Nov-24</t>
  </si>
  <si>
    <t>Dec-24</t>
  </si>
  <si>
    <t>Jan-25</t>
  </si>
  <si>
    <t>Feb-25</t>
  </si>
  <si>
    <t>March-25</t>
  </si>
  <si>
    <t>April-25</t>
  </si>
  <si>
    <t>May-25</t>
  </si>
  <si>
    <t>June-25</t>
  </si>
  <si>
    <t>July-25</t>
  </si>
  <si>
    <t>Aug-25</t>
  </si>
  <si>
    <t>Sep-25</t>
  </si>
  <si>
    <t>Oct-25</t>
  </si>
  <si>
    <t>Nov-25</t>
  </si>
  <si>
    <t>Dec-25</t>
  </si>
  <si>
    <t>Jan-26</t>
  </si>
  <si>
    <t>Feb-26</t>
  </si>
  <si>
    <t>March-26</t>
  </si>
  <si>
    <t>April-26</t>
  </si>
  <si>
    <t>May-26</t>
  </si>
  <si>
    <t>June-26</t>
  </si>
  <si>
    <t>July-26</t>
  </si>
  <si>
    <t>Aug-26</t>
  </si>
  <si>
    <t>Sep-26</t>
  </si>
  <si>
    <t>Oct-26</t>
  </si>
  <si>
    <t>Nov-26</t>
  </si>
  <si>
    <t>Dec-26</t>
  </si>
  <si>
    <t>Jan-27</t>
  </si>
  <si>
    <t>Feb-27</t>
  </si>
  <si>
    <t>March-27</t>
  </si>
  <si>
    <t>April-27</t>
  </si>
  <si>
    <t>May-27</t>
  </si>
  <si>
    <t>June-27</t>
  </si>
  <si>
    <t>July-27</t>
  </si>
  <si>
    <t>Aug-27</t>
  </si>
  <si>
    <t>Sep-27</t>
  </si>
  <si>
    <t>Oct-27</t>
  </si>
  <si>
    <t>Nov-27</t>
  </si>
  <si>
    <t>Dec-27</t>
  </si>
  <si>
    <t>Jan-28</t>
  </si>
  <si>
    <t>Feb-28</t>
  </si>
  <si>
    <t>March-28</t>
  </si>
  <si>
    <t>April-28</t>
  </si>
  <si>
    <t>May-28</t>
  </si>
  <si>
    <t>June-28</t>
  </si>
  <si>
    <t>July-28</t>
  </si>
  <si>
    <t>Aug-28</t>
  </si>
  <si>
    <t>Sep-28</t>
  </si>
  <si>
    <t>Oct-28</t>
  </si>
  <si>
    <t>Nov-28</t>
  </si>
  <si>
    <t>Dec-28</t>
  </si>
  <si>
    <t>Jan-29</t>
  </si>
  <si>
    <t>Feb-29</t>
  </si>
  <si>
    <t>March-29</t>
  </si>
  <si>
    <t>April-29</t>
  </si>
  <si>
    <t>May-29</t>
  </si>
  <si>
    <t>June-29</t>
  </si>
  <si>
    <t>July-29</t>
  </si>
  <si>
    <t>Aug-29</t>
  </si>
  <si>
    <t>Sep-29</t>
  </si>
  <si>
    <t>Oct-29</t>
  </si>
  <si>
    <t>Nov-29</t>
  </si>
  <si>
    <t>Dec-29</t>
  </si>
  <si>
    <t>Jan-30</t>
  </si>
  <si>
    <t>Feb-30</t>
  </si>
  <si>
    <t>March-30</t>
  </si>
  <si>
    <t>2024-25</t>
  </si>
  <si>
    <t>2025-26</t>
  </si>
  <si>
    <t>2026-27</t>
  </si>
  <si>
    <t>2027-28</t>
  </si>
  <si>
    <t>2028-29</t>
  </si>
  <si>
    <t>2029-30</t>
  </si>
  <si>
    <t>Furniture &amp; Fixtures &amp; others</t>
  </si>
  <si>
    <t xml:space="preserve">                                                                   (Amounts in Crs)</t>
  </si>
  <si>
    <t>(Amts in crs)</t>
  </si>
  <si>
    <t>(Figures in crs)</t>
  </si>
  <si>
    <t>2023-24</t>
  </si>
  <si>
    <t xml:space="preserve">Purchase of Plant and Machinery </t>
  </si>
  <si>
    <t>1st- 5 years</t>
  </si>
  <si>
    <t>M/s BOTHANZI MEDICALS PRIVATE LIMITED</t>
  </si>
  <si>
    <t>Trade Deposits, Govt. Deposits, Rental Deposits and other Advances</t>
  </si>
  <si>
    <t>Working Capital Interest:</t>
  </si>
  <si>
    <t>Limit Sanctioned</t>
  </si>
  <si>
    <t>Crs.</t>
  </si>
  <si>
    <t>Interest/PA</t>
  </si>
  <si>
    <t>&gt;5 years</t>
  </si>
  <si>
    <t>* Deposits required for Rental Deposits,Electrification, Registrations, and tax purposes to the Government agencies.</t>
  </si>
  <si>
    <t>Working Capital GAP</t>
  </si>
  <si>
    <t>Projected Profitability Statement     M/s BOTHANZI MEDICALS PRIVATE LIMITED</t>
  </si>
  <si>
    <t>Project: MULTI SPECIALITY HOSPITAL (120 Beds)  at K. No.-2015, NH -2, Delhi-Mathura Road, Near Kithwari Chowk, Krishna Colony, Palwal, Haryana-121102</t>
  </si>
  <si>
    <t>Capacity utilisation %</t>
  </si>
  <si>
    <t>BOTHANZI MEDICALS PRIVATE LIMITED</t>
  </si>
  <si>
    <t>Deluxe room-1 no. @ 7000/- PDAY</t>
  </si>
  <si>
    <t>ICU- 22 nos @ 8000/-Pday</t>
  </si>
  <si>
    <t>Total room revenue per day</t>
  </si>
  <si>
    <t>Total room revenue PM</t>
  </si>
  <si>
    <t>Bed Revenue: Total number of beds 120</t>
  </si>
  <si>
    <t>Number of Rooms</t>
  </si>
  <si>
    <t>Rate per day</t>
  </si>
  <si>
    <t>Revenue</t>
  </si>
  <si>
    <t>Departmental Revenue PA</t>
  </si>
  <si>
    <t xml:space="preserve">Misc. Revenue </t>
  </si>
  <si>
    <t>Income Estimates: Room Revenue</t>
  </si>
  <si>
    <t>Income Estimates: Departmental Revenue</t>
  </si>
  <si>
    <t>Assumptions:</t>
  </si>
  <si>
    <t>Total number of Beds</t>
  </si>
  <si>
    <t>Available beds in a year</t>
  </si>
  <si>
    <t>Average length of stay</t>
  </si>
  <si>
    <t>days</t>
  </si>
  <si>
    <t>beds</t>
  </si>
  <si>
    <t>Number of addmissions</t>
  </si>
  <si>
    <t>Total number of days- Indoor</t>
  </si>
  <si>
    <t>Total number of days-OPD</t>
  </si>
  <si>
    <t>Calculation of Revenue Projections:</t>
  </si>
  <si>
    <t>Department</t>
  </si>
  <si>
    <t>Productivity</t>
  </si>
  <si>
    <t>Indoor</t>
  </si>
  <si>
    <t>OPD</t>
  </si>
  <si>
    <t>Avg. Rate per case</t>
  </si>
  <si>
    <t>Income</t>
  </si>
  <si>
    <t>In-Patient Consultation</t>
  </si>
  <si>
    <t>General OPD</t>
  </si>
  <si>
    <t>Special OPD</t>
  </si>
  <si>
    <t>Cardiac OPD</t>
  </si>
  <si>
    <t>Angiography</t>
  </si>
  <si>
    <t>Angioplasty</t>
  </si>
  <si>
    <t>Urology surgeries:</t>
  </si>
  <si>
    <t>Surgeon Charges</t>
  </si>
  <si>
    <t>OT Charges</t>
  </si>
  <si>
    <t>Anesthetist Charges</t>
  </si>
  <si>
    <t>Consumables</t>
  </si>
  <si>
    <t>Ortho &amp; Spine Surgeries:</t>
  </si>
  <si>
    <t>Gynae Surgeries:</t>
  </si>
  <si>
    <t>General Procedures:</t>
  </si>
  <si>
    <t>Dialysis</t>
  </si>
  <si>
    <t>Daycare</t>
  </si>
  <si>
    <t>C Section</t>
  </si>
  <si>
    <t>Normal Delivery (Delivery Room)</t>
  </si>
  <si>
    <t>Admission fee</t>
  </si>
  <si>
    <t>Pharmacy</t>
  </si>
  <si>
    <t>Minor Procedures</t>
  </si>
  <si>
    <t>Pathology</t>
  </si>
  <si>
    <t>MRI</t>
  </si>
  <si>
    <t>CT SCAN</t>
  </si>
  <si>
    <t>X-ray</t>
  </si>
  <si>
    <t>Sonography</t>
  </si>
  <si>
    <t>ECG</t>
  </si>
  <si>
    <t>Total revenue PA @ 100% CAPACITY</t>
  </si>
  <si>
    <t>Less: 10% discount on account of charity and Professional referral cases.</t>
  </si>
  <si>
    <t>Net Revenue PA on 100% capacity</t>
  </si>
  <si>
    <t>Monthly revenue</t>
  </si>
  <si>
    <t>Income Estimates: Misc Revenue</t>
  </si>
  <si>
    <t>Revenue-PA</t>
  </si>
  <si>
    <t>Rent from cafeteria</t>
  </si>
  <si>
    <t>Certificates/ Passess</t>
  </si>
  <si>
    <t>Total Revenue-PA</t>
  </si>
  <si>
    <t>Lease Rentals</t>
  </si>
  <si>
    <t>Canteen/ Kitchen in house @ 500/- PD/PBed</t>
  </si>
  <si>
    <t>CMC Cost for Machinery Maintenance company/ PA @ % of P&amp;M</t>
  </si>
  <si>
    <t>Cost of foods, stationary, maintenance ex. @ % of Misc. Revenues</t>
  </si>
  <si>
    <t>Cost of Rooms maintenance, Washing of Linen etc. @ % of room revenue</t>
  </si>
  <si>
    <t>Salary and wages @ % of the total revenue</t>
  </si>
  <si>
    <t>Calculation of WC Gap</t>
  </si>
  <si>
    <t>Amounts in crs.</t>
  </si>
  <si>
    <t>Total Current Assets- A</t>
  </si>
  <si>
    <t>Less: Current Liabilities-B</t>
  </si>
  <si>
    <t>WC GAP</t>
  </si>
  <si>
    <t xml:space="preserve">S. No. </t>
  </si>
  <si>
    <t>Name of Machinery / Equipment</t>
  </si>
  <si>
    <t>Vendor / Seller Company Name</t>
  </si>
  <si>
    <t>Nos.</t>
  </si>
  <si>
    <t>Total Cost with GST</t>
  </si>
  <si>
    <t>Hematology Analyzer - 5 Part</t>
  </si>
  <si>
    <t>Medico India Hospital Solutions</t>
  </si>
  <si>
    <t>Coagulation Analyzer</t>
  </si>
  <si>
    <t>Urine Analyzer</t>
  </si>
  <si>
    <t xml:space="preserve">C Arm </t>
  </si>
  <si>
    <t xml:space="preserve">X-Ray Machine </t>
  </si>
  <si>
    <t>CR System</t>
  </si>
  <si>
    <t xml:space="preserve">Multy Para Monitor </t>
  </si>
  <si>
    <t xml:space="preserve">Seven Para Monitor </t>
  </si>
  <si>
    <t xml:space="preserve">ECG Machine </t>
  </si>
  <si>
    <t>Infusion Pump</t>
  </si>
  <si>
    <t>Syring Pump</t>
  </si>
  <si>
    <t>Suction Machine - Hi Vac</t>
  </si>
  <si>
    <t>Bi Pap</t>
  </si>
  <si>
    <t xml:space="preserve">Infusion Pump </t>
  </si>
  <si>
    <t xml:space="preserve">Syring Pump </t>
  </si>
  <si>
    <t>Suction Machine - Low Vac</t>
  </si>
  <si>
    <t xml:space="preserve">Ventilator </t>
  </si>
  <si>
    <t xml:space="preserve">Defibrilator </t>
  </si>
  <si>
    <t xml:space="preserve">Anesthesia Work Station </t>
  </si>
  <si>
    <t xml:space="preserve">Boyal Basic </t>
  </si>
  <si>
    <t xml:space="preserve">Bio Chemistry Analyzer - Semi Automatic </t>
  </si>
  <si>
    <t xml:space="preserve">Multipara Monitor </t>
  </si>
  <si>
    <t xml:space="preserve">Cautery Machine </t>
  </si>
  <si>
    <t>Orhtopedic Power &amp; Saw Drill</t>
  </si>
  <si>
    <t>Tourniquet Double Cuff</t>
  </si>
  <si>
    <t>Plaster Cutter</t>
  </si>
  <si>
    <t>Elisa Reader</t>
  </si>
  <si>
    <t>Electrolyte Analyzer</t>
  </si>
  <si>
    <t xml:space="preserve">ETO Machine </t>
  </si>
  <si>
    <t xml:space="preserve">Uroflow Meter </t>
  </si>
  <si>
    <t>Easyflow Pump</t>
  </si>
  <si>
    <t>Mobile X-Ray</t>
  </si>
  <si>
    <t>Ventilator</t>
  </si>
  <si>
    <t>Difib</t>
  </si>
  <si>
    <t>ECG Machine</t>
  </si>
  <si>
    <t>Syringe Pump</t>
  </si>
  <si>
    <t>Bipap</t>
  </si>
  <si>
    <t>Horizontal Autoclave</t>
  </si>
  <si>
    <t>Dialsys Machine</t>
  </si>
  <si>
    <t>RO Pump</t>
  </si>
  <si>
    <t>Urology Equipment</t>
  </si>
  <si>
    <t>Camera Set</t>
  </si>
  <si>
    <t>Laparoscopy Set</t>
  </si>
  <si>
    <t>Multipara Monitor</t>
  </si>
  <si>
    <t>Seven Para Monitor</t>
  </si>
  <si>
    <t>Arthroscopy set</t>
  </si>
  <si>
    <t>Incubator</t>
  </si>
  <si>
    <t>Radiant Warmer</t>
  </si>
  <si>
    <t>Bubble Cpap</t>
  </si>
  <si>
    <t>Phototherapy Unit</t>
  </si>
  <si>
    <t>HFNC</t>
  </si>
  <si>
    <t>Neopuff</t>
  </si>
  <si>
    <t>Transport Incubator With Standard Trolley Mannual</t>
  </si>
  <si>
    <t>Ozone Generator</t>
  </si>
  <si>
    <t>RF Generator</t>
  </si>
  <si>
    <t>LaminarFlow</t>
  </si>
  <si>
    <t>Harmonic Scalpel</t>
  </si>
  <si>
    <t>CT Scan</t>
  </si>
  <si>
    <t>Wipro GE Healthcare</t>
  </si>
  <si>
    <t>USG</t>
  </si>
  <si>
    <t>Modular OT, Labour room and MGPS</t>
  </si>
  <si>
    <t>Vaishno Engineering Services</t>
  </si>
  <si>
    <t>Complete Hospital Work</t>
  </si>
  <si>
    <t>Hospital Electrical and HVAC System</t>
  </si>
  <si>
    <t>GS Enterprises</t>
  </si>
  <si>
    <t xml:space="preserve">Plumbing, fire, STP, and ETP </t>
  </si>
  <si>
    <t>KLN AQUA</t>
  </si>
  <si>
    <t>Complete Hospital beds and other furnitures</t>
  </si>
  <si>
    <t>Details of Furniture and Fixtures:</t>
  </si>
  <si>
    <t>Hospital beds, side tables, attendant beds, entire Hospital Furniture, Reception, Billing counters, Almirahs, Storage almirahs, Lockers, Chairs, chairs in the waiting area etc.</t>
  </si>
  <si>
    <t>Value in crs.</t>
  </si>
  <si>
    <t>Departmental ex.- Doctors ex, OT Ex, Consumables Ex., others- @ 60% of Dep. Revenues</t>
  </si>
  <si>
    <t>Private Room - 30 nos. @ 4000/- Pday</t>
  </si>
  <si>
    <t>Semi.Private-4 nos. @ 2500/-Pday</t>
  </si>
  <si>
    <t>OBG Ward- 5nos. @ 2000/-Pday</t>
  </si>
  <si>
    <t>Economy- 55 nos. @ 1500/-Pday</t>
  </si>
  <si>
    <t>NICU-3 nos. @ 5000/-Pday</t>
  </si>
  <si>
    <t>Closing Stock  incl. Pharmacy medicines stocks, Kitchen foods Stock, Hospital Medicies, Gases, Chemicals, Stationery,  etc.</t>
  </si>
  <si>
    <t>Years</t>
  </si>
  <si>
    <t>Particulers</t>
  </si>
  <si>
    <t>Overall health spends are expected to grow at 16-18% CAGR, driven by improving affordability and increasing incidence of non-communicable diseases. Private hospital players are expected to be largest beneficiary with 65-70% share of healthcare spends with incremental gains from standalone hospitals/nursery centers to even large corporate Hospitals during COVID.</t>
  </si>
  <si>
    <t>EBITDA Per bed</t>
  </si>
  <si>
    <t xml:space="preserve">Projected P&amp;L Statement     </t>
  </si>
  <si>
    <t xml:space="preserve">EBITDA </t>
  </si>
  <si>
    <t>EBITDA Margin %</t>
  </si>
  <si>
    <t>Depreciation &amp; Amortization</t>
  </si>
  <si>
    <t>EBIT</t>
  </si>
  <si>
    <t>Interest on WC</t>
  </si>
  <si>
    <t>Finace Cost</t>
  </si>
  <si>
    <t>Profit before tax</t>
  </si>
  <si>
    <t>Net Profit before tax</t>
  </si>
  <si>
    <t>Tax @ 30%</t>
  </si>
  <si>
    <t>Profit after taxes</t>
  </si>
  <si>
    <t>EBIT Margin %</t>
  </si>
  <si>
    <t>Net Profit Margin</t>
  </si>
  <si>
    <t>Revenue Growth Rate %</t>
  </si>
  <si>
    <t>Ratio Analysis</t>
  </si>
  <si>
    <t>PBT/Net Sales</t>
  </si>
  <si>
    <t>PAT/Net Sales</t>
  </si>
  <si>
    <t>DSCR</t>
  </si>
  <si>
    <t>PAT</t>
  </si>
  <si>
    <t>Cash Accruals (A)</t>
  </si>
  <si>
    <t>TL Interest (B)</t>
  </si>
  <si>
    <t>Total (A+B)</t>
  </si>
  <si>
    <t>TL Repayment (C)</t>
  </si>
  <si>
    <t>Total (B+C)</t>
  </si>
  <si>
    <t>Gross DSCR (A+B)/(B+C)</t>
  </si>
  <si>
    <t>Average Gross DSCR</t>
  </si>
  <si>
    <t>Net DSCR (A/C)</t>
  </si>
  <si>
    <t>Average Net DSCR</t>
  </si>
  <si>
    <t>Security Margin</t>
  </si>
  <si>
    <t>WDV of Fixed Assets</t>
  </si>
  <si>
    <t>Aggregate TL Outstanding</t>
  </si>
  <si>
    <t>Security Margin avaliable</t>
  </si>
  <si>
    <t>% Margin</t>
  </si>
  <si>
    <t>Fixed asset coverage ratio (FACR)</t>
  </si>
  <si>
    <t>Breakeven analysis</t>
  </si>
  <si>
    <t>Utilization(U) (%)</t>
  </si>
  <si>
    <t>Sales (S)</t>
  </si>
  <si>
    <t>PBT</t>
  </si>
  <si>
    <t>% of VC</t>
  </si>
  <si>
    <t>VC (V)</t>
  </si>
  <si>
    <t>FC (F)</t>
  </si>
  <si>
    <t>Contribution (S-V)</t>
  </si>
  <si>
    <t>Breakeven Sales (F/C*S)</t>
  </si>
  <si>
    <t>Breakeven installed capacity (F/C*U)</t>
  </si>
  <si>
    <t>Cash Breakeven Installed capacity (F-Depreciation/C*U)</t>
  </si>
  <si>
    <t>Sensitivity analysis</t>
  </si>
  <si>
    <t>Sales % Variation</t>
  </si>
  <si>
    <t>Variation expense %</t>
  </si>
  <si>
    <t>Fixed expense % Variation</t>
  </si>
  <si>
    <t>Sales (with Variation)</t>
  </si>
  <si>
    <t>VC (with variation)</t>
  </si>
  <si>
    <t>FC (with variation)</t>
  </si>
  <si>
    <t>PBT %</t>
  </si>
  <si>
    <t>PAT72.18%</t>
  </si>
  <si>
    <t>COST-VOLUME PRICE OR SENSITIVITY ANALYSIS</t>
  </si>
  <si>
    <t>10% increase in variable cost</t>
  </si>
  <si>
    <t>10% decrease in volume of sales</t>
  </si>
  <si>
    <t>10% decrease in selling price</t>
  </si>
  <si>
    <t>Decrease in Revenue by 5% and Increase in Opex by 5% and Interest Rate Increase by 1%</t>
  </si>
  <si>
    <t xml:space="preserve">Operating Profit Before Interest </t>
  </si>
  <si>
    <t>1.Sales</t>
  </si>
  <si>
    <t>2. Variable expenses</t>
  </si>
  <si>
    <t>3. Contribution</t>
  </si>
  <si>
    <t>4. Fixed Expenses</t>
  </si>
  <si>
    <t>5. Operating profit (3- 4)</t>
  </si>
  <si>
    <t>6. Break-even sales</t>
  </si>
  <si>
    <t>Tax</t>
  </si>
  <si>
    <t>Increase in Interest Rate by 1.00%</t>
  </si>
  <si>
    <t>Gross DSCR</t>
  </si>
  <si>
    <t>Minimum DSCR</t>
  </si>
  <si>
    <t>Average DSCR</t>
  </si>
  <si>
    <t>Sensitivity Condition</t>
  </si>
  <si>
    <t>Base Case Scenario</t>
  </si>
  <si>
    <t>Decrease in Revenue by 10%</t>
  </si>
  <si>
    <t>Increase in Opex by 10%</t>
  </si>
  <si>
    <t>Increase in Interest rate by 1%</t>
  </si>
  <si>
    <t>Current ratio</t>
  </si>
  <si>
    <t>Max. Gross DSCR</t>
  </si>
  <si>
    <t>Max. Net DSCR</t>
  </si>
  <si>
    <t>Medicine purchase @ 25% of Dep. Exp.</t>
  </si>
  <si>
    <t>under Bank’s Aarogyam Non-metro healthcare business loan under Loan Guarantee Scheme for Covid affected Sectors (LGSCAS)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</si>
</sst>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C00000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u/>
      <sz val="8"/>
      <color theme="1"/>
      <name val="Tahoma"/>
      <family val="2"/>
    </font>
    <font>
      <sz val="8"/>
      <color theme="1"/>
      <name val="Tahoma"/>
      <family val="2"/>
    </font>
    <font>
      <b/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9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Arial"/>
      <family val="2"/>
    </font>
    <font>
      <b/>
      <u/>
      <sz val="9"/>
      <color theme="0"/>
      <name val="Arial"/>
      <family val="2"/>
    </font>
    <font>
      <b/>
      <sz val="9"/>
      <color theme="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C0000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0" fillId="0" borderId="0" xfId="1" applyFont="1" applyFill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0" fontId="4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10" fillId="0" borderId="0" xfId="0" applyFont="1"/>
    <xf numFmtId="0" fontId="11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0" fontId="17" fillId="5" borderId="1" xfId="0" applyFont="1" applyFill="1" applyBorder="1"/>
    <xf numFmtId="0" fontId="2" fillId="6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17" fillId="5" borderId="0" xfId="0" applyFont="1" applyFill="1"/>
    <xf numFmtId="0" fontId="18" fillId="5" borderId="0" xfId="0" applyFont="1" applyFill="1"/>
    <xf numFmtId="0" fontId="20" fillId="5" borderId="1" xfId="0" applyFont="1" applyFill="1" applyBorder="1"/>
    <xf numFmtId="0" fontId="22" fillId="5" borderId="1" xfId="0" applyFont="1" applyFill="1" applyBorder="1"/>
    <xf numFmtId="0" fontId="7" fillId="6" borderId="1" xfId="0" applyFont="1" applyFill="1" applyBorder="1"/>
    <xf numFmtId="2" fontId="7" fillId="6" borderId="1" xfId="0" applyNumberFormat="1" applyFont="1" applyFill="1" applyBorder="1"/>
    <xf numFmtId="0" fontId="6" fillId="0" borderId="1" xfId="0" applyFont="1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2" fillId="6" borderId="10" xfId="0" applyFont="1" applyFill="1" applyBorder="1"/>
    <xf numFmtId="0" fontId="17" fillId="5" borderId="7" xfId="0" applyFont="1" applyFill="1" applyBorder="1"/>
    <xf numFmtId="0" fontId="17" fillId="5" borderId="6" xfId="0" applyFont="1" applyFill="1" applyBorder="1"/>
    <xf numFmtId="0" fontId="0" fillId="6" borderId="1" xfId="0" applyFill="1" applyBorder="1"/>
    <xf numFmtId="0" fontId="2" fillId="6" borderId="1" xfId="0" applyFont="1" applyFill="1" applyBorder="1" applyAlignment="1">
      <alignment horizontal="right"/>
    </xf>
    <xf numFmtId="1" fontId="0" fillId="0" borderId="1" xfId="0" applyNumberFormat="1" applyBorder="1"/>
    <xf numFmtId="1" fontId="2" fillId="0" borderId="1" xfId="0" applyNumberFormat="1" applyFont="1" applyBorder="1"/>
    <xf numFmtId="1" fontId="2" fillId="6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1" fontId="2" fillId="4" borderId="1" xfId="0" applyNumberFormat="1" applyFont="1" applyFill="1" applyBorder="1"/>
    <xf numFmtId="0" fontId="21" fillId="5" borderId="1" xfId="0" applyFont="1" applyFill="1" applyBorder="1" applyAlignment="1">
      <alignment horizontal="right"/>
    </xf>
    <xf numFmtId="10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7" fillId="6" borderId="6" xfId="0" applyFont="1" applyFill="1" applyBorder="1"/>
    <xf numFmtId="0" fontId="7" fillId="6" borderId="7" xfId="0" applyFont="1" applyFill="1" applyBorder="1"/>
    <xf numFmtId="0" fontId="7" fillId="6" borderId="5" xfId="0" applyFont="1" applyFill="1" applyBorder="1"/>
    <xf numFmtId="0" fontId="7" fillId="6" borderId="8" xfId="0" applyFont="1" applyFill="1" applyBorder="1"/>
    <xf numFmtId="0" fontId="7" fillId="6" borderId="4" xfId="0" applyFont="1" applyFill="1" applyBorder="1"/>
    <xf numFmtId="0" fontId="7" fillId="6" borderId="9" xfId="0" applyFont="1" applyFill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16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12" fillId="6" borderId="1" xfId="0" applyNumberFormat="1" applyFont="1" applyFill="1" applyBorder="1"/>
    <xf numFmtId="49" fontId="7" fillId="6" borderId="1" xfId="0" applyNumberFormat="1" applyFont="1" applyFill="1" applyBorder="1"/>
    <xf numFmtId="0" fontId="7" fillId="6" borderId="1" xfId="0" applyFont="1" applyFill="1" applyBorder="1" applyAlignment="1">
      <alignment horizontal="center"/>
    </xf>
    <xf numFmtId="0" fontId="3" fillId="6" borderId="0" xfId="0" applyFont="1" applyFill="1"/>
    <xf numFmtId="10" fontId="0" fillId="0" borderId="1" xfId="0" applyNumberFormat="1" applyBorder="1"/>
    <xf numFmtId="0" fontId="7" fillId="0" borderId="1" xfId="0" applyFont="1" applyBorder="1" applyAlignment="1">
      <alignment horizontal="left"/>
    </xf>
    <xf numFmtId="2" fontId="0" fillId="0" borderId="1" xfId="0" applyNumberFormat="1" applyBorder="1"/>
    <xf numFmtId="0" fontId="3" fillId="0" borderId="1" xfId="0" applyFont="1" applyBorder="1"/>
    <xf numFmtId="0" fontId="3" fillId="6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/>
    <xf numFmtId="0" fontId="0" fillId="5" borderId="1" xfId="0" applyFill="1" applyBorder="1"/>
    <xf numFmtId="0" fontId="23" fillId="5" borderId="1" xfId="0" applyFont="1" applyFill="1" applyBorder="1"/>
    <xf numFmtId="2" fontId="2" fillId="0" borderId="1" xfId="0" applyNumberFormat="1" applyFont="1" applyBorder="1"/>
    <xf numFmtId="0" fontId="17" fillId="5" borderId="0" xfId="0" applyFont="1" applyFill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164" fontId="0" fillId="0" borderId="1" xfId="1" applyFont="1" applyBorder="1" applyAlignment="1">
      <alignment horizontal="center"/>
    </xf>
    <xf numFmtId="2" fontId="0" fillId="0" borderId="1" xfId="0" applyNumberFormat="1" applyBorder="1" applyAlignment="1">
      <alignment wrapText="1"/>
    </xf>
    <xf numFmtId="164" fontId="2" fillId="6" borderId="1" xfId="1" applyFont="1" applyFill="1" applyBorder="1"/>
    <xf numFmtId="164" fontId="3" fillId="0" borderId="1" xfId="1" applyFont="1" applyBorder="1"/>
    <xf numFmtId="164" fontId="0" fillId="0" borderId="1" xfId="1" applyFon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164" fontId="19" fillId="6" borderId="1" xfId="1" applyFont="1" applyFill="1" applyBorder="1"/>
    <xf numFmtId="0" fontId="19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10" fontId="0" fillId="0" borderId="0" xfId="2" applyNumberFormat="1" applyFont="1"/>
    <xf numFmtId="0" fontId="2" fillId="7" borderId="0" xfId="0" applyFont="1" applyFill="1"/>
    <xf numFmtId="0" fontId="17" fillId="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9" fontId="25" fillId="4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9" fontId="19" fillId="0" borderId="0" xfId="2" applyFont="1" applyFill="1" applyBorder="1" applyAlignment="1">
      <alignment horizontal="center" vertical="center"/>
    </xf>
    <xf numFmtId="2" fontId="25" fillId="0" borderId="0" xfId="1" applyNumberFormat="1" applyFont="1" applyFill="1" applyBorder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6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9" fillId="6" borderId="13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center" vertical="center"/>
    </xf>
    <xf numFmtId="2" fontId="19" fillId="6" borderId="1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9" fontId="29" fillId="0" borderId="0" xfId="0" applyNumberFormat="1" applyFont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9" fontId="0" fillId="0" borderId="0" xfId="0" applyNumberFormat="1"/>
    <xf numFmtId="0" fontId="2" fillId="0" borderId="0" xfId="0" applyFont="1" applyAlignment="1">
      <alignment horizontal="left" vertical="center"/>
    </xf>
    <xf numFmtId="10" fontId="25" fillId="0" borderId="0" xfId="0" applyNumberFormat="1" applyFont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9" fillId="8" borderId="13" xfId="0" applyFont="1" applyFill="1" applyBorder="1" applyAlignment="1">
      <alignment horizontal="left" vertical="center"/>
    </xf>
    <xf numFmtId="0" fontId="19" fillId="8" borderId="13" xfId="0" applyFont="1" applyFill="1" applyBorder="1" applyAlignment="1">
      <alignment horizontal="center" vertical="center"/>
    </xf>
    <xf numFmtId="2" fontId="19" fillId="8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5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9" fontId="19" fillId="0" borderId="1" xfId="0" applyNumberFormat="1" applyFont="1" applyBorder="1" applyAlignment="1">
      <alignment horizontal="center" vertical="center"/>
    </xf>
    <xf numFmtId="9" fontId="19" fillId="0" borderId="1" xfId="2" applyFont="1" applyFill="1" applyBorder="1" applyAlignment="1">
      <alignment horizontal="center" vertical="center"/>
    </xf>
    <xf numFmtId="2" fontId="25" fillId="0" borderId="1" xfId="1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2" fontId="25" fillId="6" borderId="1" xfId="0" applyNumberFormat="1" applyFont="1" applyFill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/>
    </xf>
    <xf numFmtId="2" fontId="19" fillId="7" borderId="12" xfId="0" applyNumberFormat="1" applyFont="1" applyFill="1" applyBorder="1"/>
    <xf numFmtId="2" fontId="25" fillId="2" borderId="1" xfId="0" applyNumberFormat="1" applyFont="1" applyFill="1" applyBorder="1" applyAlignment="1">
      <alignment horizontal="center" vertical="center"/>
    </xf>
    <xf numFmtId="2" fontId="19" fillId="6" borderId="1" xfId="0" applyNumberFormat="1" applyFont="1" applyFill="1" applyBorder="1"/>
    <xf numFmtId="0" fontId="25" fillId="0" borderId="0" xfId="0" applyFont="1"/>
    <xf numFmtId="2" fontId="25" fillId="0" borderId="1" xfId="0" applyNumberFormat="1" applyFont="1" applyBorder="1"/>
    <xf numFmtId="2" fontId="0" fillId="0" borderId="0" xfId="0" applyNumberFormat="1" applyFont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center" vertical="center" wrapText="1"/>
    </xf>
    <xf numFmtId="2" fontId="0" fillId="0" borderId="0" xfId="0" applyNumberFormat="1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9" fontId="25" fillId="6" borderId="1" xfId="0" applyNumberFormat="1" applyFont="1" applyFill="1" applyBorder="1" applyAlignment="1">
      <alignment horizontal="center" vertical="center"/>
    </xf>
    <xf numFmtId="2" fontId="0" fillId="9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0" fillId="0" borderId="5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7" fillId="5" borderId="13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0" xfId="0" applyFont="1" applyFill="1" applyAlignment="1">
      <alignment horizontal="left" vertical="center"/>
    </xf>
    <xf numFmtId="0" fontId="11" fillId="6" borderId="1" xfId="0" applyFont="1" applyFill="1" applyBorder="1" applyAlignment="1">
      <alignment horizontal="left"/>
    </xf>
    <xf numFmtId="0" fontId="22" fillId="5" borderId="0" xfId="0" applyFont="1" applyFill="1" applyAlignment="1">
      <alignment horizontal="left"/>
    </xf>
    <xf numFmtId="0" fontId="22" fillId="5" borderId="11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Font="1" applyAlignment="1">
      <alignment vertical="center"/>
    </xf>
    <xf numFmtId="0" fontId="32" fillId="7" borderId="0" xfId="0" applyFont="1" applyFill="1" applyAlignment="1">
      <alignment horizontal="left" vertical="center" wrapText="1"/>
    </xf>
    <xf numFmtId="164" fontId="33" fillId="7" borderId="0" xfId="1" applyFont="1" applyFill="1" applyAlignment="1">
      <alignment vertical="center"/>
    </xf>
    <xf numFmtId="9" fontId="32" fillId="7" borderId="0" xfId="0" applyNumberFormat="1" applyFont="1" applyFill="1" applyAlignment="1">
      <alignment horizontal="center" vertical="center"/>
    </xf>
    <xf numFmtId="164" fontId="0" fillId="0" borderId="0" xfId="1" applyFont="1"/>
    <xf numFmtId="43" fontId="0" fillId="0" borderId="0" xfId="0" applyNumberFormat="1" applyAlignment="1">
      <alignment horizontal="center" vertical="center"/>
    </xf>
    <xf numFmtId="10" fontId="0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68841632024489"/>
          <c:y val="3.4833075513719294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84200773589114"/>
          <c:y val="0.1497568626863772"/>
          <c:w val="0.84374133140726193"/>
          <c:h val="0.65833260449425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 P&amp;L'!$B$45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P&amp;L'!$D$45:$J$45</c:f>
              <c:numCache>
                <c:formatCode>0.00%</c:formatCode>
                <c:ptCount val="7"/>
                <c:pt idx="0">
                  <c:v>0.15356166257875284</c:v>
                </c:pt>
                <c:pt idx="1">
                  <c:v>0.18236709580889279</c:v>
                </c:pt>
                <c:pt idx="2">
                  <c:v>0.18971749142545877</c:v>
                </c:pt>
                <c:pt idx="3">
                  <c:v>0.19247923648508369</c:v>
                </c:pt>
                <c:pt idx="4">
                  <c:v>0.1947047816374789</c:v>
                </c:pt>
                <c:pt idx="5">
                  <c:v>0.19554388929465355</c:v>
                </c:pt>
                <c:pt idx="6">
                  <c:v>0.19571639795851406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72680"/>
        <c:axId val="323871504"/>
      </c:barChart>
      <c:catAx>
        <c:axId val="32387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</a:t>
                </a:r>
                <a:r>
                  <a:rPr lang="en-IN" b="1" i="1" baseline="0"/>
                  <a:t> the Financial Year</a:t>
                </a:r>
                <a:endParaRPr lang="en-IN" b="1" i="1"/>
              </a:p>
            </c:rich>
          </c:tx>
          <c:layout>
            <c:manualLayout>
              <c:xMode val="edge"/>
              <c:yMode val="edge"/>
              <c:x val="0.44827652515513089"/>
              <c:y val="0.89400444449320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1504"/>
        <c:crosses val="autoZero"/>
        <c:auto val="1"/>
        <c:lblAlgn val="ctr"/>
        <c:lblOffset val="100"/>
        <c:noMultiLvlLbl val="0"/>
      </c:catAx>
      <c:valAx>
        <c:axId val="3238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EBITDA</a:t>
                </a:r>
                <a:r>
                  <a:rPr lang="en-IN" b="1" i="1" baseline="0"/>
                  <a:t> Margin %</a:t>
                </a:r>
                <a:endParaRPr lang="en-IN" b="1" i="1"/>
              </a:p>
            </c:rich>
          </c:tx>
          <c:layout>
            <c:manualLayout>
              <c:xMode val="edge"/>
              <c:yMode val="edge"/>
              <c:x val="1.5640271297131133E-2"/>
              <c:y val="0.38971734542854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849093784412589"/>
          <c:y val="3.1326475836218032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 P&amp;L'!$B$46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P&amp;L'!$D$46:$J$46</c:f>
              <c:numCache>
                <c:formatCode>0.00%</c:formatCode>
                <c:ptCount val="7"/>
                <c:pt idx="0">
                  <c:v>4.9041289318764954E-2</c:v>
                </c:pt>
                <c:pt idx="1">
                  <c:v>9.4593148628590945E-2</c:v>
                </c:pt>
                <c:pt idx="2">
                  <c:v>0.12512683769258209</c:v>
                </c:pt>
                <c:pt idx="3">
                  <c:v>0.14027783599217625</c:v>
                </c:pt>
                <c:pt idx="4">
                  <c:v>0.15226609759062731</c:v>
                </c:pt>
                <c:pt idx="5">
                  <c:v>0.16086023573522756</c:v>
                </c:pt>
                <c:pt idx="6">
                  <c:v>0.16723649206284905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72288"/>
        <c:axId val="323873464"/>
      </c:barChart>
      <c:catAx>
        <c:axId val="32387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</a:t>
                </a:r>
                <a:r>
                  <a:rPr lang="en-IN" b="1" i="1" baseline="0"/>
                  <a:t> the Financial Year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3464"/>
        <c:crosses val="autoZero"/>
        <c:auto val="1"/>
        <c:lblAlgn val="ctr"/>
        <c:lblOffset val="100"/>
        <c:noMultiLvlLbl val="0"/>
      </c:catAx>
      <c:valAx>
        <c:axId val="323873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1"/>
                  <a:t>EBIT Margin %</a:t>
                </a:r>
              </a:p>
            </c:rich>
          </c:tx>
          <c:layout>
            <c:manualLayout>
              <c:xMode val="edge"/>
              <c:yMode val="edge"/>
              <c:x val="1.8927444794952682E-2"/>
              <c:y val="0.38772579806973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8585634542161"/>
          <c:y val="3.7037037037037035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 P&amp;L'!$B$47</c:f>
              <c:strCache>
                <c:ptCount val="1"/>
                <c:pt idx="0">
                  <c:v>Net Profit 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P&amp;L'!$D$47:$J$47</c:f>
              <c:numCache>
                <c:formatCode>0.00%</c:formatCode>
                <c:ptCount val="7"/>
                <c:pt idx="0">
                  <c:v>3.0891955049844699E-3</c:v>
                </c:pt>
                <c:pt idx="1">
                  <c:v>3.9251458662966206E-2</c:v>
                </c:pt>
                <c:pt idx="2">
                  <c:v>6.6954685063625327E-2</c:v>
                </c:pt>
                <c:pt idx="3">
                  <c:v>8.1515949483813271E-2</c:v>
                </c:pt>
                <c:pt idx="4">
                  <c:v>9.3332213519037699E-2</c:v>
                </c:pt>
                <c:pt idx="5">
                  <c:v>0.10080850460927308</c:v>
                </c:pt>
                <c:pt idx="6">
                  <c:v>0.11067868820204849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69544"/>
        <c:axId val="323867192"/>
      </c:barChart>
      <c:catAx>
        <c:axId val="323869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 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67192"/>
        <c:crosses val="autoZero"/>
        <c:auto val="1"/>
        <c:lblAlgn val="ctr"/>
        <c:lblOffset val="100"/>
        <c:noMultiLvlLbl val="0"/>
      </c:catAx>
      <c:valAx>
        <c:axId val="32386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Net</a:t>
                </a:r>
                <a:r>
                  <a:rPr lang="en-IN" b="1" i="1" baseline="0"/>
                  <a:t> Profit Margin %</a:t>
                </a:r>
                <a:endParaRPr lang="en-IN" b="1" i="1"/>
              </a:p>
            </c:rich>
          </c:tx>
          <c:layout>
            <c:manualLayout>
              <c:xMode val="edge"/>
              <c:yMode val="edge"/>
              <c:x val="2.1126760563380281E-2"/>
              <c:y val="0.26733012540099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6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6476721308712806"/>
          <c:y val="4.1666666666666664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 P&amp;L'!$B$48</c:f>
              <c:strCache>
                <c:ptCount val="1"/>
                <c:pt idx="0">
                  <c:v>Revenue Growth Rate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P&amp;L'!$D$48:$J$48</c:f>
              <c:numCache>
                <c:formatCode>0.00%</c:formatCode>
                <c:ptCount val="7"/>
                <c:pt idx="0" formatCode="0%">
                  <c:v>0</c:v>
                </c:pt>
                <c:pt idx="1">
                  <c:v>0.88571428571428612</c:v>
                </c:pt>
                <c:pt idx="2">
                  <c:v>0.18181818181818166</c:v>
                </c:pt>
                <c:pt idx="3">
                  <c:v>7.6923076923076872E-2</c:v>
                </c:pt>
                <c:pt idx="4">
                  <c:v>7.1428571428571397E-2</c:v>
                </c:pt>
                <c:pt idx="5">
                  <c:v>6.6666666666666874E-2</c:v>
                </c:pt>
                <c:pt idx="6">
                  <c:v>6.25E-2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69936"/>
        <c:axId val="323873072"/>
      </c:barChart>
      <c:catAx>
        <c:axId val="32386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</a:t>
                </a:r>
                <a:r>
                  <a:rPr lang="en-IN" b="1" i="1" baseline="0"/>
                  <a:t> the Financial Year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3072"/>
        <c:crosses val="autoZero"/>
        <c:auto val="1"/>
        <c:lblAlgn val="ctr"/>
        <c:lblOffset val="100"/>
        <c:noMultiLvlLbl val="0"/>
      </c:catAx>
      <c:valAx>
        <c:axId val="32387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Y-o-Y</a:t>
                </a:r>
                <a:r>
                  <a:rPr lang="en-IN" b="1" i="1" baseline="0"/>
                  <a:t> Revenue Growth Rate %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6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879000906221642"/>
          <c:y val="4.060912984191927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 P&amp;L'!$B$49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P&amp;L'!$D$49:$J$49</c:f>
              <c:numCache>
                <c:formatCode>0.00</c:formatCode>
                <c:ptCount val="7"/>
                <c:pt idx="0">
                  <c:v>1.2251893820789355</c:v>
                </c:pt>
                <c:pt idx="1">
                  <c:v>1.5471026038854048</c:v>
                </c:pt>
                <c:pt idx="2">
                  <c:v>1.8360829051827048</c:v>
                </c:pt>
                <c:pt idx="3">
                  <c:v>2.0966383391603891</c:v>
                </c:pt>
                <c:pt idx="4">
                  <c:v>2.3485215964622927</c:v>
                </c:pt>
                <c:pt idx="5">
                  <c:v>2.4804686162343841</c:v>
                </c:pt>
                <c:pt idx="6">
                  <c:v>3.929823378750871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67584"/>
        <c:axId val="323869152"/>
      </c:barChart>
      <c:catAx>
        <c:axId val="323867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</a:t>
                </a:r>
                <a:r>
                  <a:rPr lang="en-IN" b="1" i="1" baseline="0"/>
                  <a:t> the Financial Year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69152"/>
        <c:crosses val="autoZero"/>
        <c:auto val="1"/>
        <c:lblAlgn val="ctr"/>
        <c:lblOffset val="100"/>
        <c:noMultiLvlLbl val="0"/>
      </c:catAx>
      <c:valAx>
        <c:axId val="3238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Current</a:t>
                </a:r>
                <a:r>
                  <a:rPr lang="en-IN" b="1" i="1" baseline="0"/>
                  <a:t> Ration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148211810602328"/>
          <c:y val="2.7777777777777776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 P&amp;L'!$B$50</c:f>
              <c:strCache>
                <c:ptCount val="1"/>
                <c:pt idx="0">
                  <c:v>TOL/TNW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'Proj P&amp;L'!$D$44:$J$44</c:f>
              <c:strCache>
                <c:ptCount val="7"/>
                <c:pt idx="0">
                  <c:v>2023-24</c:v>
                </c:pt>
                <c:pt idx="1">
                  <c:v>2024-25</c:v>
                </c:pt>
                <c:pt idx="2">
                  <c:v>2025-26</c:v>
                </c:pt>
                <c:pt idx="3">
                  <c:v>2026-27</c:v>
                </c:pt>
                <c:pt idx="4">
                  <c:v>2027-28</c:v>
                </c:pt>
                <c:pt idx="5">
                  <c:v>2028-29</c:v>
                </c:pt>
                <c:pt idx="6">
                  <c:v>2029-30</c:v>
                </c:pt>
              </c:strCache>
            </c:strRef>
          </c:cat>
          <c:val>
            <c:numRef>
              <c:f>'Proj P&amp;L'!$D$50:$J$50</c:f>
              <c:numCache>
                <c:formatCode>0.00</c:formatCode>
                <c:ptCount val="7"/>
                <c:pt idx="0">
                  <c:v>1.4709280998836622</c:v>
                </c:pt>
                <c:pt idx="1">
                  <c:v>1.3335150767481607</c:v>
                </c:pt>
                <c:pt idx="2">
                  <c:v>1.0656158704253793</c:v>
                </c:pt>
                <c:pt idx="3">
                  <c:v>0.79397813204195355</c:v>
                </c:pt>
                <c:pt idx="4">
                  <c:v>0.56589485433112263</c:v>
                </c:pt>
                <c:pt idx="5">
                  <c:v>0.38602144049996961</c:v>
                </c:pt>
                <c:pt idx="6">
                  <c:v>0.23407226881113022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3870328"/>
        <c:axId val="323870720"/>
      </c:barChart>
      <c:catAx>
        <c:axId val="323870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For the Financial</a:t>
                </a:r>
                <a:r>
                  <a:rPr lang="en-IN" b="1" i="1" baseline="0"/>
                  <a:t> Year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0720"/>
        <c:crosses val="autoZero"/>
        <c:auto val="1"/>
        <c:lblAlgn val="ctr"/>
        <c:lblOffset val="100"/>
        <c:noMultiLvlLbl val="0"/>
      </c:catAx>
      <c:valAx>
        <c:axId val="3238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Loan</a:t>
                </a:r>
                <a:r>
                  <a:rPr lang="en-IN" b="1" i="1" baseline="0"/>
                  <a:t> to Net Worth Ratio</a:t>
                </a:r>
                <a:endParaRPr lang="en-IN" b="1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87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51</xdr:row>
      <xdr:rowOff>52386</xdr:rowOff>
    </xdr:from>
    <xdr:to>
      <xdr:col>3</xdr:col>
      <xdr:colOff>685800</xdr:colOff>
      <xdr:row>68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51</xdr:row>
      <xdr:rowOff>71436</xdr:rowOff>
    </xdr:from>
    <xdr:to>
      <xdr:col>11</xdr:col>
      <xdr:colOff>590550</xdr:colOff>
      <xdr:row>68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133350</xdr:colOff>
      <xdr:row>70</xdr:row>
      <xdr:rowOff>42862</xdr:rowOff>
    </xdr:from>
    <xdr:to>
      <xdr:col>4</xdr:col>
      <xdr:colOff>180975</xdr:colOff>
      <xdr:row>84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9524</xdr:colOff>
      <xdr:row>70</xdr:row>
      <xdr:rowOff>4762</xdr:rowOff>
    </xdr:from>
    <xdr:to>
      <xdr:col>12</xdr:col>
      <xdr:colOff>609599</xdr:colOff>
      <xdr:row>84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180973</xdr:colOff>
      <xdr:row>86</xdr:row>
      <xdr:rowOff>23812</xdr:rowOff>
    </xdr:from>
    <xdr:to>
      <xdr:col>4</xdr:col>
      <xdr:colOff>400049</xdr:colOff>
      <xdr:row>100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57149</xdr:colOff>
      <xdr:row>86</xdr:row>
      <xdr:rowOff>71436</xdr:rowOff>
    </xdr:from>
    <xdr:to>
      <xdr:col>13</xdr:col>
      <xdr:colOff>47624</xdr:colOff>
      <xdr:row>101</xdr:row>
      <xdr:rowOff>76199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82" workbookViewId="0">
      <selection activeCell="A68" sqref="A68"/>
    </sheetView>
  </sheetViews>
  <sheetFormatPr defaultRowHeight="15" x14ac:dyDescent="0.25"/>
  <cols>
    <col min="1" max="1" width="41.28515625" customWidth="1"/>
    <col min="2" max="2" width="15.140625" customWidth="1"/>
    <col min="3" max="3" width="14.140625" customWidth="1"/>
    <col min="4" max="4" width="17" customWidth="1"/>
    <col min="5" max="5" width="11.7109375" customWidth="1"/>
    <col min="6" max="6" width="13" customWidth="1"/>
    <col min="7" max="7" width="13.7109375" customWidth="1"/>
    <col min="8" max="8" width="14.7109375" customWidth="1"/>
  </cols>
  <sheetData>
    <row r="1" spans="1:4" x14ac:dyDescent="0.25">
      <c r="A1" s="2" t="s">
        <v>218</v>
      </c>
      <c r="B1" s="2"/>
      <c r="C1" s="2"/>
    </row>
    <row r="3" spans="1:4" x14ac:dyDescent="0.25">
      <c r="A3" s="2" t="s">
        <v>229</v>
      </c>
      <c r="B3" s="2"/>
      <c r="C3" s="2"/>
    </row>
    <row r="5" spans="1:4" x14ac:dyDescent="0.25">
      <c r="A5" s="42" t="s">
        <v>223</v>
      </c>
      <c r="B5" s="42" t="s">
        <v>224</v>
      </c>
      <c r="C5" s="42" t="s">
        <v>225</v>
      </c>
      <c r="D5" s="42" t="s">
        <v>226</v>
      </c>
    </row>
    <row r="6" spans="1:4" x14ac:dyDescent="0.25">
      <c r="A6" s="10" t="s">
        <v>219</v>
      </c>
      <c r="B6" s="10">
        <v>1</v>
      </c>
      <c r="C6" s="10">
        <v>7000</v>
      </c>
      <c r="D6" s="9">
        <f>C6*B6</f>
        <v>7000</v>
      </c>
    </row>
    <row r="7" spans="1:4" x14ac:dyDescent="0.25">
      <c r="A7" s="10" t="s">
        <v>372</v>
      </c>
      <c r="B7" s="10">
        <v>30</v>
      </c>
      <c r="C7" s="10">
        <v>4000</v>
      </c>
      <c r="D7" s="9">
        <f t="shared" ref="D7:D12" si="0">C7*B7</f>
        <v>120000</v>
      </c>
    </row>
    <row r="8" spans="1:4" x14ac:dyDescent="0.25">
      <c r="A8" s="10" t="s">
        <v>373</v>
      </c>
      <c r="B8" s="10">
        <v>4</v>
      </c>
      <c r="C8" s="10">
        <v>2500</v>
      </c>
      <c r="D8" s="9">
        <f t="shared" si="0"/>
        <v>10000</v>
      </c>
    </row>
    <row r="9" spans="1:4" x14ac:dyDescent="0.25">
      <c r="A9" s="10" t="s">
        <v>374</v>
      </c>
      <c r="B9" s="10">
        <v>5</v>
      </c>
      <c r="C9" s="10">
        <v>2000</v>
      </c>
      <c r="D9" s="9">
        <f t="shared" si="0"/>
        <v>10000</v>
      </c>
    </row>
    <row r="10" spans="1:4" x14ac:dyDescent="0.25">
      <c r="A10" s="10" t="s">
        <v>375</v>
      </c>
      <c r="B10" s="10">
        <v>55</v>
      </c>
      <c r="C10" s="10">
        <v>1500</v>
      </c>
      <c r="D10" s="9">
        <f t="shared" si="0"/>
        <v>82500</v>
      </c>
    </row>
    <row r="11" spans="1:4" x14ac:dyDescent="0.25">
      <c r="A11" s="10" t="s">
        <v>220</v>
      </c>
      <c r="B11" s="10">
        <v>22</v>
      </c>
      <c r="C11" s="10">
        <v>8000</v>
      </c>
      <c r="D11" s="9">
        <f t="shared" si="0"/>
        <v>176000</v>
      </c>
    </row>
    <row r="12" spans="1:4" x14ac:dyDescent="0.25">
      <c r="A12" s="10" t="s">
        <v>376</v>
      </c>
      <c r="B12" s="10">
        <v>3</v>
      </c>
      <c r="C12" s="10">
        <v>5000</v>
      </c>
      <c r="D12" s="9">
        <f t="shared" si="0"/>
        <v>15000</v>
      </c>
    </row>
    <row r="13" spans="1:4" x14ac:dyDescent="0.25">
      <c r="A13" s="43" t="s">
        <v>221</v>
      </c>
      <c r="B13" s="43"/>
      <c r="C13" s="43"/>
      <c r="D13" s="43">
        <f>SUM(D6:D12)</f>
        <v>420500</v>
      </c>
    </row>
    <row r="14" spans="1:4" x14ac:dyDescent="0.25">
      <c r="A14" s="43" t="s">
        <v>222</v>
      </c>
      <c r="B14" s="43">
        <f>SUM(B6:B12)</f>
        <v>120</v>
      </c>
      <c r="C14" s="43"/>
      <c r="D14" s="43">
        <f>D13*30</f>
        <v>12615000</v>
      </c>
    </row>
    <row r="17" spans="1:8" x14ac:dyDescent="0.25">
      <c r="A17" s="8" t="s">
        <v>230</v>
      </c>
    </row>
    <row r="19" spans="1:8" x14ac:dyDescent="0.25">
      <c r="A19" s="49" t="s">
        <v>231</v>
      </c>
      <c r="B19" s="46"/>
      <c r="C19" s="46"/>
      <c r="D19" s="46"/>
      <c r="E19" s="46"/>
      <c r="F19" s="46"/>
      <c r="G19" s="46"/>
      <c r="H19" s="47"/>
    </row>
    <row r="20" spans="1:8" x14ac:dyDescent="0.25">
      <c r="A20" t="s">
        <v>232</v>
      </c>
      <c r="B20">
        <v>120</v>
      </c>
      <c r="C20" t="s">
        <v>236</v>
      </c>
      <c r="H20" s="48"/>
    </row>
    <row r="21" spans="1:8" x14ac:dyDescent="0.25">
      <c r="A21" t="s">
        <v>233</v>
      </c>
      <c r="B21">
        <f>B20*365</f>
        <v>43800</v>
      </c>
      <c r="C21" t="s">
        <v>236</v>
      </c>
      <c r="D21" t="s">
        <v>238</v>
      </c>
      <c r="F21">
        <v>365</v>
      </c>
      <c r="H21" s="48"/>
    </row>
    <row r="22" spans="1:8" x14ac:dyDescent="0.25">
      <c r="A22" t="s">
        <v>234</v>
      </c>
      <c r="B22">
        <v>3</v>
      </c>
      <c r="C22" t="s">
        <v>235</v>
      </c>
      <c r="D22" t="s">
        <v>239</v>
      </c>
      <c r="F22">
        <v>300</v>
      </c>
      <c r="H22" s="48"/>
    </row>
    <row r="23" spans="1:8" x14ac:dyDescent="0.25">
      <c r="A23" t="s">
        <v>237</v>
      </c>
      <c r="B23">
        <f>B21/B22</f>
        <v>14600</v>
      </c>
      <c r="H23" s="48"/>
    </row>
    <row r="24" spans="1:8" x14ac:dyDescent="0.25">
      <c r="H24" s="48"/>
    </row>
    <row r="25" spans="1:8" x14ac:dyDescent="0.25">
      <c r="A25" t="s">
        <v>240</v>
      </c>
      <c r="H25" s="48"/>
    </row>
    <row r="26" spans="1:8" x14ac:dyDescent="0.25">
      <c r="A26" s="50" t="s">
        <v>241</v>
      </c>
      <c r="B26" s="197" t="s">
        <v>242</v>
      </c>
      <c r="C26" s="198"/>
      <c r="D26" s="197" t="s">
        <v>245</v>
      </c>
      <c r="E26" s="198"/>
      <c r="F26" s="197" t="s">
        <v>246</v>
      </c>
      <c r="G26" s="198"/>
      <c r="H26" s="51" t="s">
        <v>11</v>
      </c>
    </row>
    <row r="27" spans="1:8" x14ac:dyDescent="0.25">
      <c r="A27" s="52"/>
      <c r="B27" s="34" t="s">
        <v>243</v>
      </c>
      <c r="C27" s="53" t="s">
        <v>244</v>
      </c>
      <c r="D27" s="34" t="s">
        <v>243</v>
      </c>
      <c r="E27" s="53" t="s">
        <v>244</v>
      </c>
      <c r="F27" s="34" t="s">
        <v>243</v>
      </c>
      <c r="G27" s="53" t="s">
        <v>244</v>
      </c>
      <c r="H27" s="52"/>
    </row>
    <row r="28" spans="1:8" x14ac:dyDescent="0.25">
      <c r="A28" s="3" t="s">
        <v>247</v>
      </c>
      <c r="B28" s="54">
        <f>B21</f>
        <v>43800</v>
      </c>
      <c r="C28" s="54"/>
      <c r="D28" s="54">
        <v>600</v>
      </c>
      <c r="E28" s="54"/>
      <c r="F28" s="54">
        <f>B28*D28</f>
        <v>26280000</v>
      </c>
      <c r="G28" s="54"/>
      <c r="H28" s="54">
        <f>F28+G28</f>
        <v>26280000</v>
      </c>
    </row>
    <row r="29" spans="1:8" x14ac:dyDescent="0.25">
      <c r="A29" s="3" t="s">
        <v>248</v>
      </c>
      <c r="B29" s="54"/>
      <c r="C29" s="54">
        <f>F22*60</f>
        <v>18000</v>
      </c>
      <c r="D29" s="54"/>
      <c r="E29" s="54">
        <v>250</v>
      </c>
      <c r="F29" s="54"/>
      <c r="G29" s="54">
        <f>C29*E29</f>
        <v>4500000</v>
      </c>
      <c r="H29" s="54">
        <f t="shared" ref="H29:H66" si="1">F29+G29</f>
        <v>4500000</v>
      </c>
    </row>
    <row r="30" spans="1:8" x14ac:dyDescent="0.25">
      <c r="A30" s="3" t="s">
        <v>249</v>
      </c>
      <c r="B30" s="54"/>
      <c r="C30" s="54">
        <f>F22*20</f>
        <v>6000</v>
      </c>
      <c r="D30" s="54"/>
      <c r="E30" s="54">
        <v>400</v>
      </c>
      <c r="F30" s="54"/>
      <c r="G30" s="54">
        <f>C30*E30</f>
        <v>2400000</v>
      </c>
      <c r="H30" s="54">
        <f t="shared" si="1"/>
        <v>2400000</v>
      </c>
    </row>
    <row r="31" spans="1:8" x14ac:dyDescent="0.25">
      <c r="A31" s="3" t="s">
        <v>250</v>
      </c>
      <c r="B31" s="54"/>
      <c r="C31" s="54">
        <f>F22*10</f>
        <v>3000</v>
      </c>
      <c r="D31" s="54"/>
      <c r="E31" s="54">
        <v>600</v>
      </c>
      <c r="F31" s="54"/>
      <c r="G31" s="54">
        <f>C31*E31</f>
        <v>1800000</v>
      </c>
      <c r="H31" s="54">
        <f t="shared" si="1"/>
        <v>1800000</v>
      </c>
    </row>
    <row r="32" spans="1:8" x14ac:dyDescent="0.25">
      <c r="A32" s="3" t="s">
        <v>251</v>
      </c>
      <c r="B32" s="54">
        <f>F22*1</f>
        <v>300</v>
      </c>
      <c r="C32" s="54"/>
      <c r="D32" s="54">
        <v>14000</v>
      </c>
      <c r="E32" s="54"/>
      <c r="F32" s="54">
        <f>B32*D32</f>
        <v>4200000</v>
      </c>
      <c r="G32" s="54"/>
      <c r="H32" s="54">
        <f t="shared" si="1"/>
        <v>4200000</v>
      </c>
    </row>
    <row r="33" spans="1:8" x14ac:dyDescent="0.25">
      <c r="A33" s="3" t="s">
        <v>252</v>
      </c>
      <c r="B33" s="54">
        <f>F22/2</f>
        <v>150</v>
      </c>
      <c r="C33" s="54"/>
      <c r="D33" s="54">
        <v>220000</v>
      </c>
      <c r="E33" s="54"/>
      <c r="F33" s="54">
        <f>B33*D33</f>
        <v>33000000</v>
      </c>
      <c r="G33" s="54"/>
      <c r="H33" s="54">
        <f t="shared" si="1"/>
        <v>33000000</v>
      </c>
    </row>
    <row r="34" spans="1:8" x14ac:dyDescent="0.25">
      <c r="A34" s="3" t="s">
        <v>253</v>
      </c>
      <c r="B34" s="54">
        <f>F22*1</f>
        <v>300</v>
      </c>
      <c r="C34" s="54"/>
      <c r="D34" s="55">
        <v>40000</v>
      </c>
      <c r="E34" s="54"/>
      <c r="F34" s="54"/>
      <c r="G34" s="54"/>
      <c r="H34" s="54"/>
    </row>
    <row r="35" spans="1:8" x14ac:dyDescent="0.25">
      <c r="A35" s="3" t="s">
        <v>254</v>
      </c>
      <c r="B35" s="54"/>
      <c r="C35" s="54"/>
      <c r="D35" s="54">
        <v>20000</v>
      </c>
      <c r="E35" s="54"/>
      <c r="F35" s="54">
        <f>B34*D35</f>
        <v>6000000</v>
      </c>
      <c r="G35" s="54"/>
      <c r="H35" s="54">
        <f t="shared" si="1"/>
        <v>6000000</v>
      </c>
    </row>
    <row r="36" spans="1:8" x14ac:dyDescent="0.25">
      <c r="A36" s="3" t="s">
        <v>256</v>
      </c>
      <c r="B36" s="54"/>
      <c r="C36" s="54"/>
      <c r="D36" s="54">
        <v>6000</v>
      </c>
      <c r="E36" s="54"/>
      <c r="F36" s="54">
        <f>B34*D36</f>
        <v>1800000</v>
      </c>
      <c r="G36" s="54"/>
      <c r="H36" s="54">
        <f t="shared" si="1"/>
        <v>1800000</v>
      </c>
    </row>
    <row r="37" spans="1:8" x14ac:dyDescent="0.25">
      <c r="A37" s="3" t="s">
        <v>255</v>
      </c>
      <c r="B37" s="54"/>
      <c r="C37" s="54"/>
      <c r="D37" s="54">
        <v>10000</v>
      </c>
      <c r="E37" s="54"/>
      <c r="F37" s="54">
        <f>B34*D37</f>
        <v>3000000</v>
      </c>
      <c r="G37" s="54"/>
      <c r="H37" s="54">
        <f t="shared" si="1"/>
        <v>3000000</v>
      </c>
    </row>
    <row r="38" spans="1:8" x14ac:dyDescent="0.25">
      <c r="A38" s="3" t="s">
        <v>257</v>
      </c>
      <c r="B38" s="54"/>
      <c r="C38" s="54"/>
      <c r="D38" s="54">
        <v>4000</v>
      </c>
      <c r="E38" s="54"/>
      <c r="F38" s="54">
        <f>B34*D38</f>
        <v>1200000</v>
      </c>
      <c r="G38" s="54"/>
      <c r="H38" s="54">
        <f t="shared" si="1"/>
        <v>1200000</v>
      </c>
    </row>
    <row r="39" spans="1:8" x14ac:dyDescent="0.25">
      <c r="A39" s="3" t="s">
        <v>258</v>
      </c>
      <c r="B39" s="54">
        <f>F22*2</f>
        <v>600</v>
      </c>
      <c r="C39" s="54"/>
      <c r="D39" s="55">
        <v>60000</v>
      </c>
      <c r="E39" s="54"/>
      <c r="F39" s="54"/>
      <c r="G39" s="54"/>
      <c r="H39" s="54"/>
    </row>
    <row r="40" spans="1:8" x14ac:dyDescent="0.25">
      <c r="A40" s="3" t="s">
        <v>254</v>
      </c>
      <c r="B40" s="54"/>
      <c r="C40" s="54"/>
      <c r="D40" s="54">
        <v>25000</v>
      </c>
      <c r="E40" s="54"/>
      <c r="F40" s="54">
        <f>B39*D40</f>
        <v>15000000</v>
      </c>
      <c r="G40" s="54"/>
      <c r="H40" s="54">
        <f t="shared" si="1"/>
        <v>15000000</v>
      </c>
    </row>
    <row r="41" spans="1:8" x14ac:dyDescent="0.25">
      <c r="A41" s="3" t="s">
        <v>256</v>
      </c>
      <c r="B41" s="54"/>
      <c r="C41" s="54"/>
      <c r="D41" s="54">
        <v>10000</v>
      </c>
      <c r="E41" s="54"/>
      <c r="F41" s="54">
        <f>B39*D41</f>
        <v>6000000</v>
      </c>
      <c r="G41" s="54"/>
      <c r="H41" s="54">
        <f t="shared" si="1"/>
        <v>6000000</v>
      </c>
    </row>
    <row r="42" spans="1:8" x14ac:dyDescent="0.25">
      <c r="A42" s="3" t="s">
        <v>255</v>
      </c>
      <c r="B42" s="54"/>
      <c r="C42" s="54"/>
      <c r="D42" s="54">
        <v>15000</v>
      </c>
      <c r="E42" s="54"/>
      <c r="F42" s="54">
        <f>B39*D42</f>
        <v>9000000</v>
      </c>
      <c r="G42" s="54"/>
      <c r="H42" s="54">
        <f t="shared" si="1"/>
        <v>9000000</v>
      </c>
    </row>
    <row r="43" spans="1:8" x14ac:dyDescent="0.25">
      <c r="A43" s="3" t="s">
        <v>257</v>
      </c>
      <c r="B43" s="54"/>
      <c r="C43" s="54"/>
      <c r="D43" s="54">
        <v>10000</v>
      </c>
      <c r="E43" s="54"/>
      <c r="F43" s="54">
        <f>B39*D43</f>
        <v>6000000</v>
      </c>
      <c r="G43" s="54"/>
      <c r="H43" s="54">
        <f t="shared" si="1"/>
        <v>6000000</v>
      </c>
    </row>
    <row r="44" spans="1:8" x14ac:dyDescent="0.25">
      <c r="A44" s="3" t="s">
        <v>259</v>
      </c>
      <c r="B44" s="54">
        <f>F22*1</f>
        <v>300</v>
      </c>
      <c r="C44" s="54"/>
      <c r="D44" s="55">
        <v>40000</v>
      </c>
      <c r="E44" s="54"/>
      <c r="F44" s="54"/>
      <c r="G44" s="54"/>
      <c r="H44" s="54"/>
    </row>
    <row r="45" spans="1:8" x14ac:dyDescent="0.25">
      <c r="A45" s="3" t="s">
        <v>254</v>
      </c>
      <c r="B45" s="54"/>
      <c r="C45" s="54"/>
      <c r="D45" s="54">
        <v>18000</v>
      </c>
      <c r="E45" s="54"/>
      <c r="F45" s="54">
        <f>B44*D45</f>
        <v>5400000</v>
      </c>
      <c r="G45" s="54"/>
      <c r="H45" s="54">
        <f t="shared" si="1"/>
        <v>5400000</v>
      </c>
    </row>
    <row r="46" spans="1:8" x14ac:dyDescent="0.25">
      <c r="A46" s="3" t="s">
        <v>256</v>
      </c>
      <c r="B46" s="54"/>
      <c r="C46" s="54"/>
      <c r="D46" s="54">
        <v>6000</v>
      </c>
      <c r="E46" s="54"/>
      <c r="F46" s="54">
        <f>B44*D46</f>
        <v>1800000</v>
      </c>
      <c r="G46" s="54"/>
      <c r="H46" s="54">
        <f t="shared" si="1"/>
        <v>1800000</v>
      </c>
    </row>
    <row r="47" spans="1:8" x14ac:dyDescent="0.25">
      <c r="A47" s="3" t="s">
        <v>255</v>
      </c>
      <c r="B47" s="54"/>
      <c r="C47" s="54"/>
      <c r="D47" s="54">
        <v>8000</v>
      </c>
      <c r="E47" s="54"/>
      <c r="F47" s="54">
        <f>B44*D47</f>
        <v>2400000</v>
      </c>
      <c r="G47" s="54"/>
      <c r="H47" s="54">
        <f t="shared" si="1"/>
        <v>2400000</v>
      </c>
    </row>
    <row r="48" spans="1:8" x14ac:dyDescent="0.25">
      <c r="A48" s="3" t="s">
        <v>257</v>
      </c>
      <c r="B48" s="54"/>
      <c r="C48" s="54"/>
      <c r="D48" s="54">
        <v>8000</v>
      </c>
      <c r="E48" s="54"/>
      <c r="F48" s="54">
        <f>B44*D48</f>
        <v>2400000</v>
      </c>
      <c r="G48" s="54"/>
      <c r="H48" s="54">
        <f t="shared" si="1"/>
        <v>2400000</v>
      </c>
    </row>
    <row r="49" spans="1:8" x14ac:dyDescent="0.25">
      <c r="A49" s="3" t="s">
        <v>260</v>
      </c>
      <c r="B49" s="54">
        <f>F22*3</f>
        <v>900</v>
      </c>
      <c r="C49" s="54"/>
      <c r="D49" s="55">
        <v>45000</v>
      </c>
      <c r="E49" s="54"/>
      <c r="F49" s="54"/>
      <c r="G49" s="54"/>
      <c r="H49" s="54"/>
    </row>
    <row r="50" spans="1:8" x14ac:dyDescent="0.25">
      <c r="A50" s="3" t="s">
        <v>254</v>
      </c>
      <c r="B50" s="54"/>
      <c r="C50" s="54"/>
      <c r="D50" s="54">
        <v>20250</v>
      </c>
      <c r="E50" s="54"/>
      <c r="F50" s="54">
        <f>B49*D50</f>
        <v>18225000</v>
      </c>
      <c r="G50" s="54"/>
      <c r="H50" s="54">
        <f t="shared" si="1"/>
        <v>18225000</v>
      </c>
    </row>
    <row r="51" spans="1:8" x14ac:dyDescent="0.25">
      <c r="A51" s="3" t="s">
        <v>256</v>
      </c>
      <c r="B51" s="54"/>
      <c r="C51" s="54"/>
      <c r="D51" s="54">
        <v>4500</v>
      </c>
      <c r="E51" s="54"/>
      <c r="F51" s="54">
        <f>B49*D51</f>
        <v>4050000</v>
      </c>
      <c r="G51" s="54"/>
      <c r="H51" s="54">
        <f t="shared" si="1"/>
        <v>4050000</v>
      </c>
    </row>
    <row r="52" spans="1:8" x14ac:dyDescent="0.25">
      <c r="A52" s="3" t="s">
        <v>255</v>
      </c>
      <c r="B52" s="54"/>
      <c r="C52" s="54"/>
      <c r="D52" s="54">
        <v>15750</v>
      </c>
      <c r="E52" s="54"/>
      <c r="F52" s="54">
        <f>B49*D52</f>
        <v>14175000</v>
      </c>
      <c r="G52" s="54"/>
      <c r="H52" s="54">
        <f t="shared" si="1"/>
        <v>14175000</v>
      </c>
    </row>
    <row r="53" spans="1:8" x14ac:dyDescent="0.25">
      <c r="A53" s="3" t="s">
        <v>257</v>
      </c>
      <c r="B53" s="54"/>
      <c r="C53" s="54"/>
      <c r="D53" s="54">
        <v>4500</v>
      </c>
      <c r="E53" s="54"/>
      <c r="F53" s="54">
        <f>B49*D53</f>
        <v>4050000</v>
      </c>
      <c r="G53" s="54"/>
      <c r="H53" s="54">
        <f t="shared" si="1"/>
        <v>4050000</v>
      </c>
    </row>
    <row r="54" spans="1:8" x14ac:dyDescent="0.25">
      <c r="A54" s="3" t="s">
        <v>261</v>
      </c>
      <c r="B54" s="54"/>
      <c r="C54" s="54">
        <f>F22*2</f>
        <v>600</v>
      </c>
      <c r="D54" s="54"/>
      <c r="E54" s="54">
        <v>1100</v>
      </c>
      <c r="F54" s="54"/>
      <c r="G54" s="54">
        <f>C54*E54</f>
        <v>660000</v>
      </c>
      <c r="H54" s="54">
        <f t="shared" si="1"/>
        <v>660000</v>
      </c>
    </row>
    <row r="55" spans="1:8" x14ac:dyDescent="0.25">
      <c r="A55" s="3" t="s">
        <v>262</v>
      </c>
      <c r="B55" s="54"/>
      <c r="C55" s="54">
        <f>F22*1</f>
        <v>300</v>
      </c>
      <c r="D55" s="54"/>
      <c r="E55" s="54">
        <v>2000</v>
      </c>
      <c r="F55" s="54"/>
      <c r="G55" s="54">
        <f>C55*E55</f>
        <v>600000</v>
      </c>
      <c r="H55" s="54">
        <f t="shared" si="1"/>
        <v>600000</v>
      </c>
    </row>
    <row r="56" spans="1:8" x14ac:dyDescent="0.25">
      <c r="A56" s="3" t="s">
        <v>263</v>
      </c>
      <c r="B56" s="54">
        <f>B23*1%</f>
        <v>146</v>
      </c>
      <c r="C56" s="54"/>
      <c r="D56" s="54">
        <v>60000</v>
      </c>
      <c r="E56" s="54"/>
      <c r="F56" s="54">
        <f>B56*D56</f>
        <v>8760000</v>
      </c>
      <c r="G56" s="54"/>
      <c r="H56" s="54">
        <f t="shared" si="1"/>
        <v>8760000</v>
      </c>
    </row>
    <row r="57" spans="1:8" x14ac:dyDescent="0.25">
      <c r="A57" s="3" t="s">
        <v>264</v>
      </c>
      <c r="B57" s="54">
        <f>F21</f>
        <v>365</v>
      </c>
      <c r="C57" s="54"/>
      <c r="D57" s="54">
        <v>33000</v>
      </c>
      <c r="E57" s="54"/>
      <c r="F57" s="54">
        <f>B57*D57</f>
        <v>12045000</v>
      </c>
      <c r="G57" s="54"/>
      <c r="H57" s="54">
        <f t="shared" si="1"/>
        <v>12045000</v>
      </c>
    </row>
    <row r="58" spans="1:8" x14ac:dyDescent="0.25">
      <c r="A58" s="3" t="s">
        <v>265</v>
      </c>
      <c r="B58" s="54">
        <f>B23</f>
        <v>14600</v>
      </c>
      <c r="C58" s="54"/>
      <c r="D58" s="54">
        <v>100</v>
      </c>
      <c r="E58" s="54"/>
      <c r="F58" s="54">
        <f>B58*D58</f>
        <v>1460000</v>
      </c>
      <c r="G58" s="54"/>
      <c r="H58" s="54">
        <f t="shared" si="1"/>
        <v>1460000</v>
      </c>
    </row>
    <row r="59" spans="1:8" x14ac:dyDescent="0.25">
      <c r="A59" s="3" t="s">
        <v>266</v>
      </c>
      <c r="B59" s="54">
        <f>B21</f>
        <v>43800</v>
      </c>
      <c r="C59" s="54">
        <f>(C29+C30+C31+C54+C55)*25%</f>
        <v>6975</v>
      </c>
      <c r="D59" s="54">
        <v>2000</v>
      </c>
      <c r="E59" s="54">
        <v>2000</v>
      </c>
      <c r="F59" s="54">
        <f>B59*D59</f>
        <v>87600000</v>
      </c>
      <c r="G59" s="54">
        <f t="shared" ref="G59:G66" si="2">C59*E59</f>
        <v>13950000</v>
      </c>
      <c r="H59" s="54">
        <f t="shared" si="1"/>
        <v>101550000</v>
      </c>
    </row>
    <row r="60" spans="1:8" x14ac:dyDescent="0.25">
      <c r="A60" s="3" t="s">
        <v>267</v>
      </c>
      <c r="B60" s="54"/>
      <c r="C60" s="54">
        <v>1200</v>
      </c>
      <c r="D60" s="54"/>
      <c r="E60" s="54">
        <v>1500</v>
      </c>
      <c r="F60" s="54"/>
      <c r="G60" s="54">
        <f t="shared" si="2"/>
        <v>1800000</v>
      </c>
      <c r="H60" s="54">
        <f t="shared" si="1"/>
        <v>1800000</v>
      </c>
    </row>
    <row r="61" spans="1:8" x14ac:dyDescent="0.25">
      <c r="A61" s="3" t="s">
        <v>268</v>
      </c>
      <c r="B61" s="54">
        <f>(B21+B32+B33+B34+B39+B44+B49+B56+B57)</f>
        <v>46861</v>
      </c>
      <c r="C61" s="54">
        <f>(C29+C30+C31+C54+C55+C60)*30%</f>
        <v>8730</v>
      </c>
      <c r="D61" s="54">
        <v>1200</v>
      </c>
      <c r="E61" s="54">
        <v>1000</v>
      </c>
      <c r="F61" s="54">
        <f t="shared" ref="F61:F66" si="3">B61*D61</f>
        <v>56233200</v>
      </c>
      <c r="G61" s="54">
        <f t="shared" si="2"/>
        <v>8730000</v>
      </c>
      <c r="H61" s="54">
        <f t="shared" si="1"/>
        <v>64963200</v>
      </c>
    </row>
    <row r="62" spans="1:8" x14ac:dyDescent="0.25">
      <c r="A62" s="3" t="s">
        <v>269</v>
      </c>
      <c r="B62" s="54">
        <f>B23*2%</f>
        <v>292</v>
      </c>
      <c r="C62" s="54">
        <f>F22*2</f>
        <v>600</v>
      </c>
      <c r="D62" s="54">
        <v>6600</v>
      </c>
      <c r="E62" s="54">
        <v>6000</v>
      </c>
      <c r="F62" s="54">
        <f t="shared" si="3"/>
        <v>1927200</v>
      </c>
      <c r="G62" s="54">
        <f t="shared" si="2"/>
        <v>3600000</v>
      </c>
      <c r="H62" s="54">
        <f t="shared" si="1"/>
        <v>5527200</v>
      </c>
    </row>
    <row r="63" spans="1:8" x14ac:dyDescent="0.25">
      <c r="A63" s="3" t="s">
        <v>270</v>
      </c>
      <c r="B63" s="54">
        <f>(B23+B32+B33+B34+B39+B44+B49+B56+B57)*2%</f>
        <v>353.22</v>
      </c>
      <c r="C63" s="54">
        <f>F22*4</f>
        <v>1200</v>
      </c>
      <c r="D63" s="54">
        <v>3300</v>
      </c>
      <c r="E63" s="54">
        <v>3000</v>
      </c>
      <c r="F63" s="54">
        <f t="shared" si="3"/>
        <v>1165626</v>
      </c>
      <c r="G63" s="54">
        <f t="shared" si="2"/>
        <v>3600000</v>
      </c>
      <c r="H63" s="54">
        <f t="shared" si="1"/>
        <v>4765626</v>
      </c>
    </row>
    <row r="64" spans="1:8" x14ac:dyDescent="0.25">
      <c r="A64" s="3" t="s">
        <v>271</v>
      </c>
      <c r="B64" s="54">
        <f>(B23+B32+B33+B34+B39+B44+B49+B57+B56)*5%</f>
        <v>883.05000000000007</v>
      </c>
      <c r="C64" s="54">
        <f>F22*4</f>
        <v>1200</v>
      </c>
      <c r="D64" s="54">
        <v>275</v>
      </c>
      <c r="E64" s="54">
        <v>200</v>
      </c>
      <c r="F64" s="54">
        <f t="shared" si="3"/>
        <v>242838.75000000003</v>
      </c>
      <c r="G64" s="54">
        <f t="shared" si="2"/>
        <v>240000</v>
      </c>
      <c r="H64" s="54">
        <f t="shared" si="1"/>
        <v>482838.75</v>
      </c>
    </row>
    <row r="65" spans="1:8" x14ac:dyDescent="0.25">
      <c r="A65" s="3" t="s">
        <v>272</v>
      </c>
      <c r="B65" s="54">
        <f>(B23+B32+B33+B34+B39+B44+B49+B56+B57)*5%</f>
        <v>883.05000000000007</v>
      </c>
      <c r="C65" s="54">
        <f>F22*5</f>
        <v>1500</v>
      </c>
      <c r="D65" s="54">
        <v>880</v>
      </c>
      <c r="E65" s="54">
        <v>800</v>
      </c>
      <c r="F65" s="54">
        <f t="shared" si="3"/>
        <v>777084.00000000012</v>
      </c>
      <c r="G65" s="54">
        <f t="shared" si="2"/>
        <v>1200000</v>
      </c>
      <c r="H65" s="54">
        <f t="shared" si="1"/>
        <v>1977084</v>
      </c>
    </row>
    <row r="66" spans="1:8" x14ac:dyDescent="0.25">
      <c r="A66" s="3" t="s">
        <v>273</v>
      </c>
      <c r="B66" s="54">
        <f>(B23+B32+B33+B39+B44+B49+B56+B57)*20%</f>
        <v>3472.2000000000003</v>
      </c>
      <c r="C66" s="54">
        <f>F22</f>
        <v>300</v>
      </c>
      <c r="D66" s="54">
        <v>220</v>
      </c>
      <c r="E66" s="54">
        <v>200</v>
      </c>
      <c r="F66" s="54">
        <f t="shared" si="3"/>
        <v>763884.00000000012</v>
      </c>
      <c r="G66" s="54">
        <f t="shared" si="2"/>
        <v>60000</v>
      </c>
      <c r="H66" s="54">
        <f t="shared" si="1"/>
        <v>823884.00000000012</v>
      </c>
    </row>
    <row r="67" spans="1:8" x14ac:dyDescent="0.25">
      <c r="A67" s="28"/>
      <c r="B67" s="54"/>
      <c r="C67" s="54"/>
      <c r="D67" s="54"/>
      <c r="E67" s="54"/>
      <c r="F67" s="54"/>
      <c r="G67" s="54"/>
      <c r="H67" s="54"/>
    </row>
    <row r="68" spans="1:8" x14ac:dyDescent="0.25">
      <c r="A68" s="34" t="s">
        <v>274</v>
      </c>
      <c r="B68" s="56"/>
      <c r="C68" s="56"/>
      <c r="D68" s="56"/>
      <c r="E68" s="56"/>
      <c r="F68" s="56"/>
      <c r="G68" s="56"/>
      <c r="H68" s="56">
        <f>SUM(H28:H66)</f>
        <v>378094832.75</v>
      </c>
    </row>
    <row r="69" spans="1:8" s="18" customFormat="1" ht="30" x14ac:dyDescent="0.25">
      <c r="A69" s="57" t="s">
        <v>275</v>
      </c>
      <c r="B69" s="58"/>
      <c r="C69" s="58"/>
      <c r="D69" s="58"/>
      <c r="E69" s="58"/>
      <c r="F69" s="58"/>
      <c r="G69" s="58"/>
      <c r="H69" s="58">
        <f>H68*10%</f>
        <v>37809483.274999999</v>
      </c>
    </row>
    <row r="70" spans="1:8" x14ac:dyDescent="0.25">
      <c r="A70" s="59" t="s">
        <v>276</v>
      </c>
      <c r="B70" s="60"/>
      <c r="C70" s="60"/>
      <c r="D70" s="60"/>
      <c r="E70" s="60"/>
      <c r="F70" s="60"/>
      <c r="G70" s="60"/>
      <c r="H70" s="60">
        <f>H68-H69</f>
        <v>340285349.47500002</v>
      </c>
    </row>
    <row r="71" spans="1:8" x14ac:dyDescent="0.25">
      <c r="A71" s="59" t="s">
        <v>277</v>
      </c>
      <c r="B71" s="60"/>
      <c r="C71" s="60"/>
      <c r="D71" s="60"/>
      <c r="E71" s="60"/>
      <c r="F71" s="60"/>
      <c r="G71" s="60"/>
      <c r="H71" s="60">
        <f>H70/12</f>
        <v>28357112.456250001</v>
      </c>
    </row>
    <row r="78" spans="1:8" x14ac:dyDescent="0.25">
      <c r="A78" s="42" t="s">
        <v>278</v>
      </c>
      <c r="B78" s="33" t="s">
        <v>279</v>
      </c>
    </row>
    <row r="79" spans="1:8" x14ac:dyDescent="0.25">
      <c r="A79" s="28" t="s">
        <v>284</v>
      </c>
      <c r="B79" s="28">
        <f>B21*500</f>
        <v>21900000</v>
      </c>
    </row>
    <row r="80" spans="1:8" x14ac:dyDescent="0.25">
      <c r="A80" s="28" t="s">
        <v>280</v>
      </c>
      <c r="B80" s="28">
        <v>150000</v>
      </c>
    </row>
    <row r="81" spans="1:2" x14ac:dyDescent="0.25">
      <c r="A81" s="28" t="s">
        <v>281</v>
      </c>
      <c r="B81" s="28">
        <f>B21*10</f>
        <v>438000</v>
      </c>
    </row>
    <row r="82" spans="1:2" x14ac:dyDescent="0.25">
      <c r="A82" s="59" t="s">
        <v>282</v>
      </c>
      <c r="B82" s="59">
        <f>SUM(B79:B81)</f>
        <v>22488000</v>
      </c>
    </row>
  </sheetData>
  <mergeCells count="3">
    <mergeCell ref="B26:C26"/>
    <mergeCell ref="D26:E26"/>
    <mergeCell ref="F26:G2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"/>
  <sheetViews>
    <sheetView workbookViewId="0">
      <selection activeCell="C4" sqref="C4"/>
    </sheetView>
  </sheetViews>
  <sheetFormatPr defaultRowHeight="15" x14ac:dyDescent="0.25"/>
  <sheetData>
    <row r="4" spans="3:3" x14ac:dyDescent="0.25">
      <c r="C4" t="s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5" x14ac:dyDescent="0.25"/>
  <cols>
    <col min="1" max="1" width="41" customWidth="1"/>
    <col min="2" max="2" width="17.140625" customWidth="1"/>
  </cols>
  <sheetData>
    <row r="1" spans="1:2" x14ac:dyDescent="0.25">
      <c r="A1" t="s">
        <v>289</v>
      </c>
    </row>
    <row r="2" spans="1:2" x14ac:dyDescent="0.25">
      <c r="A2" s="86"/>
      <c r="B2" s="87" t="str">
        <f>'BS Proj.'!B4</f>
        <v>2023-24</v>
      </c>
    </row>
    <row r="3" spans="1:2" x14ac:dyDescent="0.25">
      <c r="A3" s="86"/>
      <c r="B3" s="33" t="str">
        <f>'BS Proj.'!C5</f>
        <v>Projected</v>
      </c>
    </row>
    <row r="4" spans="1:2" x14ac:dyDescent="0.25">
      <c r="A4" s="52" t="s">
        <v>379</v>
      </c>
      <c r="B4" s="52" t="s">
        <v>290</v>
      </c>
    </row>
    <row r="5" spans="1:2" x14ac:dyDescent="0.25">
      <c r="A5" s="28" t="s">
        <v>291</v>
      </c>
      <c r="B5" s="81">
        <f>'BS Proj.'!B17+'BS Proj.'!B18+'BS Proj.'!B22</f>
        <v>4.7293565599479166</v>
      </c>
    </row>
    <row r="6" spans="1:2" x14ac:dyDescent="0.25">
      <c r="A6" s="28" t="s">
        <v>292</v>
      </c>
      <c r="B6" s="81">
        <f>'BS Proj.'!B12+'BS Proj.'!B13+'BS Proj.'!B10</f>
        <v>2.1539345952477609</v>
      </c>
    </row>
    <row r="7" spans="1:2" x14ac:dyDescent="0.25">
      <c r="A7" s="3" t="s">
        <v>293</v>
      </c>
      <c r="B7" s="88">
        <f>B5-B6</f>
        <v>2.5754219647001557</v>
      </c>
    </row>
    <row r="8" spans="1:2" x14ac:dyDescent="0.25">
      <c r="A8" s="28" t="s">
        <v>10</v>
      </c>
      <c r="B8" s="81">
        <v>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"/>
    </sheetView>
  </sheetViews>
  <sheetFormatPr defaultRowHeight="15" x14ac:dyDescent="0.25"/>
  <cols>
    <col min="1" max="1" width="46.28515625" customWidth="1"/>
    <col min="2" max="2" width="16" customWidth="1"/>
    <col min="3" max="3" width="14" customWidth="1"/>
    <col min="4" max="4" width="11" customWidth="1"/>
    <col min="6" max="6" width="11.5703125" bestFit="1" customWidth="1"/>
    <col min="7" max="7" width="15.28515625" bestFit="1" customWidth="1"/>
    <col min="8" max="8" width="13.28515625" bestFit="1" customWidth="1"/>
  </cols>
  <sheetData>
    <row r="1" spans="1:8" x14ac:dyDescent="0.25">
      <c r="A1" s="31" t="s">
        <v>206</v>
      </c>
      <c r="B1" s="32"/>
      <c r="C1" s="32"/>
      <c r="D1" s="32"/>
    </row>
    <row r="3" spans="1:8" x14ac:dyDescent="0.25">
      <c r="A3" s="2" t="s">
        <v>216</v>
      </c>
      <c r="B3" s="2"/>
      <c r="C3" s="2"/>
      <c r="D3" s="2"/>
    </row>
    <row r="4" spans="1:8" x14ac:dyDescent="0.25">
      <c r="A4" s="2"/>
      <c r="B4" s="2"/>
      <c r="C4" s="2"/>
      <c r="D4" s="2"/>
    </row>
    <row r="6" spans="1:8" x14ac:dyDescent="0.25">
      <c r="A6" s="33" t="s">
        <v>0</v>
      </c>
      <c r="B6" s="33"/>
      <c r="C6" s="33" t="s">
        <v>119</v>
      </c>
      <c r="D6" s="33"/>
    </row>
    <row r="7" spans="1:8" x14ac:dyDescent="0.25">
      <c r="A7" s="34" t="s">
        <v>1</v>
      </c>
      <c r="B7" s="34" t="s">
        <v>2</v>
      </c>
      <c r="C7" s="34" t="s">
        <v>3</v>
      </c>
      <c r="D7" s="34" t="s">
        <v>4</v>
      </c>
    </row>
    <row r="8" spans="1:8" x14ac:dyDescent="0.25">
      <c r="A8" s="28" t="s">
        <v>120</v>
      </c>
      <c r="B8" s="35">
        <v>5.33</v>
      </c>
      <c r="C8" s="35">
        <v>2.57</v>
      </c>
      <c r="D8" s="35">
        <f>B8+C8</f>
        <v>7.9</v>
      </c>
      <c r="F8" s="102">
        <f>B8/D8</f>
        <v>0.6746835443037974</v>
      </c>
      <c r="G8" s="4"/>
    </row>
    <row r="9" spans="1:8" x14ac:dyDescent="0.25">
      <c r="A9" s="28" t="s">
        <v>204</v>
      </c>
      <c r="B9" s="35">
        <v>2.1</v>
      </c>
      <c r="C9" s="35">
        <v>8.9</v>
      </c>
      <c r="D9" s="35">
        <f>B9+C9</f>
        <v>11</v>
      </c>
      <c r="F9" s="102">
        <f t="shared" ref="F9:F16" si="0">B9/D9</f>
        <v>0.19090909090909092</v>
      </c>
    </row>
    <row r="10" spans="1:8" x14ac:dyDescent="0.25">
      <c r="A10" s="28" t="s">
        <v>76</v>
      </c>
      <c r="B10" s="35">
        <v>0.73</v>
      </c>
      <c r="C10" s="35">
        <v>0.97</v>
      </c>
      <c r="D10" s="35">
        <f t="shared" ref="D10:D14" si="1">B10+C10</f>
        <v>1.7</v>
      </c>
      <c r="F10" s="102">
        <f t="shared" si="0"/>
        <v>0.42941176470588233</v>
      </c>
      <c r="G10" s="5"/>
      <c r="H10" s="5"/>
    </row>
    <row r="11" spans="1:8" x14ac:dyDescent="0.25">
      <c r="A11" s="28" t="s">
        <v>115</v>
      </c>
      <c r="B11" s="35">
        <v>0</v>
      </c>
      <c r="C11" s="35">
        <v>0.1</v>
      </c>
      <c r="D11" s="35">
        <f t="shared" si="1"/>
        <v>0.1</v>
      </c>
      <c r="F11" s="102">
        <f t="shared" si="0"/>
        <v>0</v>
      </c>
      <c r="G11" s="5"/>
      <c r="H11" s="5"/>
    </row>
    <row r="12" spans="1:8" x14ac:dyDescent="0.25">
      <c r="A12" s="28" t="s">
        <v>5</v>
      </c>
      <c r="B12" s="35">
        <v>0</v>
      </c>
      <c r="C12" s="35">
        <f>SUM(D8:D10)*2%</f>
        <v>0.41199999999999998</v>
      </c>
      <c r="D12" s="35">
        <f t="shared" si="1"/>
        <v>0.41199999999999998</v>
      </c>
      <c r="F12" s="102">
        <f t="shared" si="0"/>
        <v>0</v>
      </c>
    </row>
    <row r="13" spans="1:8" s="18" customFormat="1" ht="30" x14ac:dyDescent="0.25">
      <c r="A13" s="36" t="s">
        <v>207</v>
      </c>
      <c r="B13" s="37">
        <v>0</v>
      </c>
      <c r="C13" s="37">
        <v>0.15</v>
      </c>
      <c r="D13" s="37">
        <f t="shared" si="1"/>
        <v>0.15</v>
      </c>
      <c r="F13" s="102">
        <f t="shared" si="0"/>
        <v>0</v>
      </c>
    </row>
    <row r="14" spans="1:8" x14ac:dyDescent="0.25">
      <c r="A14" s="28" t="s">
        <v>6</v>
      </c>
      <c r="B14" s="35">
        <v>0</v>
      </c>
      <c r="C14" s="35">
        <f>SUM('Bank Interest'!E18:E24)</f>
        <v>0.35775000000000001</v>
      </c>
      <c r="D14" s="35">
        <f t="shared" si="1"/>
        <v>0.35775000000000001</v>
      </c>
      <c r="F14" s="102">
        <f t="shared" si="0"/>
        <v>0</v>
      </c>
    </row>
    <row r="15" spans="1:8" x14ac:dyDescent="0.25">
      <c r="A15" s="28" t="s">
        <v>214</v>
      </c>
      <c r="B15" s="35">
        <v>0</v>
      </c>
      <c r="C15" s="35">
        <f>'WC GAP'!B8</f>
        <v>2.5</v>
      </c>
      <c r="D15" s="35">
        <f>B15+C15</f>
        <v>2.5</v>
      </c>
      <c r="F15" s="102">
        <f t="shared" si="0"/>
        <v>0</v>
      </c>
    </row>
    <row r="16" spans="1:8" x14ac:dyDescent="0.25">
      <c r="A16" s="3" t="s">
        <v>7</v>
      </c>
      <c r="B16" s="38">
        <f>SUM(B8:B15)</f>
        <v>8.16</v>
      </c>
      <c r="C16" s="38">
        <f>SUM(C8:C15)</f>
        <v>15.959750000000001</v>
      </c>
      <c r="D16" s="38">
        <f>SUM(D8:D15)</f>
        <v>24.119749999999996</v>
      </c>
      <c r="F16" s="102">
        <f t="shared" si="0"/>
        <v>0.33831196426165283</v>
      </c>
    </row>
    <row r="17" spans="1:6" ht="17.25" customHeight="1" x14ac:dyDescent="0.25"/>
    <row r="21" spans="1:6" x14ac:dyDescent="0.25">
      <c r="A21" s="39" t="s">
        <v>8</v>
      </c>
      <c r="B21" s="40"/>
      <c r="C21" s="39" t="s">
        <v>201</v>
      </c>
      <c r="D21" s="40"/>
    </row>
    <row r="22" spans="1:6" x14ac:dyDescent="0.25">
      <c r="A22" s="34" t="s">
        <v>1</v>
      </c>
      <c r="B22" s="34" t="s">
        <v>9</v>
      </c>
      <c r="C22" s="34" t="s">
        <v>10</v>
      </c>
      <c r="D22" s="34" t="s">
        <v>11</v>
      </c>
    </row>
    <row r="23" spans="1:6" x14ac:dyDescent="0.25">
      <c r="A23" s="28" t="s">
        <v>12</v>
      </c>
      <c r="B23" s="35">
        <v>8.16</v>
      </c>
      <c r="C23" s="35">
        <v>1.96</v>
      </c>
      <c r="D23" s="35">
        <f>B23+C23</f>
        <v>10.120000000000001</v>
      </c>
      <c r="F23">
        <f>D24/D23</f>
        <v>1.1857707509881421</v>
      </c>
    </row>
    <row r="24" spans="1:6" x14ac:dyDescent="0.25">
      <c r="A24" s="28" t="s">
        <v>13</v>
      </c>
      <c r="B24" s="35">
        <v>0</v>
      </c>
      <c r="C24" s="35">
        <v>12</v>
      </c>
      <c r="D24" s="35">
        <f>SUM(B24:C24)</f>
        <v>12</v>
      </c>
    </row>
    <row r="25" spans="1:6" x14ac:dyDescent="0.25">
      <c r="A25" s="28" t="s">
        <v>97</v>
      </c>
      <c r="B25" s="35">
        <v>0</v>
      </c>
      <c r="C25" s="35">
        <v>2</v>
      </c>
      <c r="D25" s="35">
        <f>SUM(B25:C25)</f>
        <v>2</v>
      </c>
    </row>
    <row r="26" spans="1:6" x14ac:dyDescent="0.25">
      <c r="A26" s="28" t="s">
        <v>11</v>
      </c>
      <c r="B26" s="35">
        <f>SUM(B23:B25)</f>
        <v>8.16</v>
      </c>
      <c r="C26" s="35">
        <f>SUM(C23:C25)</f>
        <v>15.96</v>
      </c>
      <c r="D26" s="35">
        <f>SUM(D23:D25)</f>
        <v>24.12</v>
      </c>
    </row>
    <row r="30" spans="1:6" x14ac:dyDescent="0.25">
      <c r="A30" t="s">
        <v>213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7"/>
  <sheetViews>
    <sheetView zoomScaleNormal="100" workbookViewId="0">
      <pane ySplit="5" topLeftCell="A66" activePane="bottomLeft" state="frozen"/>
      <selection pane="bottomLeft" activeCell="D66" sqref="D66"/>
    </sheetView>
  </sheetViews>
  <sheetFormatPr defaultRowHeight="15" x14ac:dyDescent="0.25"/>
  <cols>
    <col min="1" max="1" width="4" style="145" customWidth="1"/>
    <col min="2" max="2" width="42.5703125" style="147" customWidth="1"/>
    <col min="3" max="3" width="5.140625" style="148" customWidth="1"/>
    <col min="4" max="4" width="8.28515625" style="148" customWidth="1"/>
    <col min="5" max="5" width="9.42578125" style="148" customWidth="1"/>
    <col min="6" max="6" width="9.7109375" style="148" customWidth="1"/>
    <col min="7" max="7" width="10.5703125" style="148" customWidth="1"/>
    <col min="8" max="8" width="10" style="148" customWidth="1"/>
    <col min="9" max="9" width="13" style="148" customWidth="1"/>
    <col min="10" max="10" width="11" style="148" customWidth="1"/>
    <col min="11" max="11" width="10.140625" style="145" customWidth="1"/>
    <col min="12" max="12" width="9.5703125" style="145" customWidth="1"/>
    <col min="13" max="16384" width="9.140625" style="145"/>
  </cols>
  <sheetData>
    <row r="1" spans="2:10" x14ac:dyDescent="0.25">
      <c r="B1" s="199" t="s">
        <v>215</v>
      </c>
      <c r="C1" s="199"/>
      <c r="D1" s="199"/>
      <c r="E1" s="199"/>
      <c r="F1" s="199"/>
      <c r="G1" s="199"/>
      <c r="H1" s="199"/>
      <c r="I1" s="199"/>
      <c r="J1" s="199"/>
    </row>
    <row r="2" spans="2:10" x14ac:dyDescent="0.25">
      <c r="B2" s="122"/>
      <c r="C2" s="107"/>
      <c r="D2" s="107"/>
      <c r="E2" s="107"/>
      <c r="F2" s="107"/>
      <c r="G2" s="107"/>
      <c r="H2" s="107"/>
      <c r="I2" s="107"/>
      <c r="J2" s="107"/>
    </row>
    <row r="3" spans="2:10" x14ac:dyDescent="0.25">
      <c r="B3" s="149" t="s">
        <v>49</v>
      </c>
      <c r="C3" s="150"/>
      <c r="D3" s="151" t="s">
        <v>203</v>
      </c>
      <c r="E3" s="151" t="s">
        <v>193</v>
      </c>
      <c r="F3" s="151" t="s">
        <v>194</v>
      </c>
      <c r="G3" s="151" t="s">
        <v>195</v>
      </c>
      <c r="H3" s="151" t="s">
        <v>196</v>
      </c>
      <c r="I3" s="151" t="s">
        <v>197</v>
      </c>
      <c r="J3" s="151" t="s">
        <v>198</v>
      </c>
    </row>
    <row r="4" spans="2:10" x14ac:dyDescent="0.25">
      <c r="B4" s="149" t="s">
        <v>50</v>
      </c>
      <c r="C4" s="150"/>
      <c r="D4" s="150">
        <v>7</v>
      </c>
      <c r="E4" s="150">
        <v>12</v>
      </c>
      <c r="F4" s="150">
        <v>12</v>
      </c>
      <c r="G4" s="150">
        <v>12</v>
      </c>
      <c r="H4" s="150">
        <v>12</v>
      </c>
      <c r="I4" s="150">
        <v>12</v>
      </c>
      <c r="J4" s="150">
        <v>12</v>
      </c>
    </row>
    <row r="5" spans="2:10" x14ac:dyDescent="0.25">
      <c r="B5" s="156" t="s">
        <v>217</v>
      </c>
      <c r="C5" s="164"/>
      <c r="D5" s="187">
        <v>0.5</v>
      </c>
      <c r="E5" s="187">
        <v>0.55000000000000004</v>
      </c>
      <c r="F5" s="187">
        <v>0.65</v>
      </c>
      <c r="G5" s="187">
        <v>0.7</v>
      </c>
      <c r="H5" s="187">
        <v>0.75</v>
      </c>
      <c r="I5" s="187">
        <v>0.8</v>
      </c>
      <c r="J5" s="187">
        <v>0.85</v>
      </c>
    </row>
    <row r="6" spans="2:10" x14ac:dyDescent="0.25">
      <c r="B6" s="152"/>
      <c r="C6" s="153"/>
      <c r="D6" s="153"/>
      <c r="E6" s="153"/>
      <c r="F6" s="153"/>
      <c r="G6" s="153"/>
      <c r="H6" s="153"/>
      <c r="I6" s="153"/>
      <c r="J6" s="153"/>
    </row>
    <row r="7" spans="2:10" x14ac:dyDescent="0.25">
      <c r="B7" s="152" t="s">
        <v>223</v>
      </c>
      <c r="C7" s="154"/>
      <c r="D7" s="155">
        <f>(Assumptions!D14*D4*D5)/10000000</f>
        <v>4.4152500000000003</v>
      </c>
      <c r="E7" s="155">
        <f>(Assumptions!D14*E4*E5)/10000000</f>
        <v>8.3259000000000007</v>
      </c>
      <c r="F7" s="155">
        <f>(Assumptions!D14*F4*F5)/10000000</f>
        <v>9.8397000000000006</v>
      </c>
      <c r="G7" s="155">
        <f>(Assumptions!D14*G4*G5)/10000000</f>
        <v>10.5966</v>
      </c>
      <c r="H7" s="155">
        <f>(Assumptions!D14*H4*H5)/10000000</f>
        <v>11.3535</v>
      </c>
      <c r="I7" s="155">
        <f>(Assumptions!D14*I4*I5)/10000000</f>
        <v>12.1104</v>
      </c>
      <c r="J7" s="155">
        <f>(Assumptions!D14*J4*J5)/10000000</f>
        <v>12.8673</v>
      </c>
    </row>
    <row r="8" spans="2:10" x14ac:dyDescent="0.25">
      <c r="B8" s="152" t="s">
        <v>227</v>
      </c>
      <c r="C8" s="154"/>
      <c r="D8" s="155">
        <f>(Assumptions!H71*'Project Details'!D4*'Project Details'!D5)/10000000</f>
        <v>9.9249893596874994</v>
      </c>
      <c r="E8" s="155">
        <f>(Assumptions!H71*'Project Details'!E4*'Project Details'!E5)/10000000</f>
        <v>18.715694221125005</v>
      </c>
      <c r="F8" s="155">
        <f>(Assumptions!H71*'Project Details'!F4*'Project Details'!F5)/10000000</f>
        <v>22.118547715875003</v>
      </c>
      <c r="G8" s="155">
        <f>(Assumptions!H71*'Project Details'!G4*'Project Details'!G5)/10000000</f>
        <v>23.819974463249999</v>
      </c>
      <c r="H8" s="155">
        <f>(Assumptions!H71*'Project Details'!H4*'Project Details'!H5)/10000000</f>
        <v>25.521401210625001</v>
      </c>
      <c r="I8" s="155">
        <f>(Assumptions!H71*'Project Details'!I4*'Project Details'!I5)/10000000</f>
        <v>27.222827958000003</v>
      </c>
      <c r="J8" s="155">
        <f>(Assumptions!H71*'Project Details'!J4*'Project Details'!J5)/10000000</f>
        <v>28.924254705375002</v>
      </c>
    </row>
    <row r="9" spans="2:10" x14ac:dyDescent="0.25">
      <c r="B9" s="152" t="s">
        <v>228</v>
      </c>
      <c r="C9" s="154"/>
      <c r="D9" s="155">
        <f>Assumptions!B82*'Project Details'!D5*D4/12/10000000</f>
        <v>0.65590000000000004</v>
      </c>
      <c r="E9" s="155">
        <f>Assumptions!B82*'Project Details'!E5/10000000</f>
        <v>1.2368400000000002</v>
      </c>
      <c r="F9" s="155">
        <f>Assumptions!B82*'Project Details'!F5/10000000</f>
        <v>1.4617199999999999</v>
      </c>
      <c r="G9" s="155">
        <f>Assumptions!B82*'Project Details'!G5/10000000</f>
        <v>1.5741599999999998</v>
      </c>
      <c r="H9" s="155">
        <f>Assumptions!B82*'Project Details'!H5/10000000</f>
        <v>1.6866000000000001</v>
      </c>
      <c r="I9" s="155">
        <f>Assumptions!B82*'Project Details'!I5/10000000</f>
        <v>1.79904</v>
      </c>
      <c r="J9" s="155">
        <f>Assumptions!B82*'Project Details'!J5/10000000</f>
        <v>1.9114800000000001</v>
      </c>
    </row>
    <row r="10" spans="2:10" x14ac:dyDescent="0.25">
      <c r="B10" s="152"/>
      <c r="C10" s="154"/>
      <c r="D10" s="155"/>
      <c r="E10" s="155"/>
      <c r="F10" s="155"/>
      <c r="G10" s="155"/>
      <c r="H10" s="155"/>
      <c r="I10" s="155"/>
      <c r="J10" s="155"/>
    </row>
    <row r="11" spans="2:10" x14ac:dyDescent="0.25">
      <c r="B11" s="152"/>
      <c r="C11" s="154"/>
      <c r="D11" s="155"/>
      <c r="E11" s="155"/>
      <c r="F11" s="155"/>
      <c r="G11" s="155"/>
      <c r="H11" s="155"/>
      <c r="I11" s="155"/>
      <c r="J11" s="155"/>
    </row>
    <row r="12" spans="2:10" x14ac:dyDescent="0.25">
      <c r="B12" s="156" t="s">
        <v>51</v>
      </c>
      <c r="C12" s="157"/>
      <c r="D12" s="158">
        <f>SUM(D7:D9)</f>
        <v>14.996139359687501</v>
      </c>
      <c r="E12" s="158">
        <f t="shared" ref="E12:J12" si="0">SUM(E7:E9)</f>
        <v>28.278434221125007</v>
      </c>
      <c r="F12" s="158">
        <f t="shared" si="0"/>
        <v>33.419967715875003</v>
      </c>
      <c r="G12" s="158">
        <f t="shared" si="0"/>
        <v>35.99073446325</v>
      </c>
      <c r="H12" s="158">
        <f t="shared" si="0"/>
        <v>38.561501210624996</v>
      </c>
      <c r="I12" s="158">
        <f t="shared" si="0"/>
        <v>41.132267958</v>
      </c>
      <c r="J12" s="158">
        <f t="shared" si="0"/>
        <v>43.703034705375003</v>
      </c>
    </row>
    <row r="13" spans="2:10" x14ac:dyDescent="0.25">
      <c r="B13" s="152"/>
      <c r="C13" s="154"/>
      <c r="D13" s="155"/>
      <c r="E13" s="155"/>
      <c r="F13" s="155"/>
      <c r="G13" s="155"/>
      <c r="H13" s="155"/>
      <c r="I13" s="155"/>
      <c r="J13" s="155"/>
    </row>
    <row r="14" spans="2:10" x14ac:dyDescent="0.25">
      <c r="B14" s="159" t="s">
        <v>52</v>
      </c>
      <c r="C14" s="154"/>
      <c r="D14" s="155"/>
      <c r="E14" s="155"/>
      <c r="F14" s="155"/>
      <c r="G14" s="155"/>
      <c r="H14" s="155"/>
      <c r="I14" s="155"/>
      <c r="J14" s="155"/>
    </row>
    <row r="15" spans="2:10" x14ac:dyDescent="0.25">
      <c r="B15" s="152" t="s">
        <v>283</v>
      </c>
      <c r="C15" s="154"/>
      <c r="D15" s="155">
        <v>0.79</v>
      </c>
      <c r="E15" s="155">
        <v>0.87</v>
      </c>
      <c r="F15" s="155">
        <v>0.92</v>
      </c>
      <c r="G15" s="155">
        <v>0.97</v>
      </c>
      <c r="H15" s="155">
        <v>1.02</v>
      </c>
      <c r="I15" s="155">
        <v>1.1100000000000001</v>
      </c>
      <c r="J15" s="155">
        <v>1.22</v>
      </c>
    </row>
    <row r="16" spans="2:10" ht="45" x14ac:dyDescent="0.25">
      <c r="B16" s="160" t="s">
        <v>371</v>
      </c>
      <c r="C16" s="161">
        <v>0.55000000000000004</v>
      </c>
      <c r="D16" s="155">
        <f>D8*C16</f>
        <v>5.4587441478281251</v>
      </c>
      <c r="E16" s="155">
        <f>E8*C16</f>
        <v>10.293631821618753</v>
      </c>
      <c r="F16" s="155">
        <f>F8*C16</f>
        <v>12.165201243731254</v>
      </c>
      <c r="G16" s="155">
        <f>G8*C16</f>
        <v>13.1009859547875</v>
      </c>
      <c r="H16" s="155">
        <f>H8*C16</f>
        <v>14.036770665843752</v>
      </c>
      <c r="I16" s="155">
        <f>I8*C16</f>
        <v>14.972555376900003</v>
      </c>
      <c r="J16" s="155">
        <f>J8*C16</f>
        <v>15.908340087956253</v>
      </c>
    </row>
    <row r="17" spans="2:18" ht="30" x14ac:dyDescent="0.25">
      <c r="B17" s="160" t="s">
        <v>286</v>
      </c>
      <c r="C17" s="161">
        <v>0.3</v>
      </c>
      <c r="D17" s="155">
        <f>D9*C17</f>
        <v>0.19677</v>
      </c>
      <c r="E17" s="155">
        <f>E9*C17</f>
        <v>0.37105200000000005</v>
      </c>
      <c r="F17" s="155">
        <f>F9*C17</f>
        <v>0.43851599999999996</v>
      </c>
      <c r="G17" s="155">
        <f>G9*C17</f>
        <v>0.47224799999999989</v>
      </c>
      <c r="H17" s="155">
        <f>H9*C17</f>
        <v>0.50597999999999999</v>
      </c>
      <c r="I17" s="155">
        <f>I9*C17</f>
        <v>0.53971199999999997</v>
      </c>
      <c r="J17" s="155">
        <f>J9*C17</f>
        <v>0.57344399999999995</v>
      </c>
    </row>
    <row r="18" spans="2:18" ht="30" x14ac:dyDescent="0.25">
      <c r="B18" s="160" t="s">
        <v>287</v>
      </c>
      <c r="C18" s="161">
        <v>0.2</v>
      </c>
      <c r="D18" s="155">
        <f>D7*C18</f>
        <v>0.88305000000000011</v>
      </c>
      <c r="E18" s="155">
        <f>E7*C18</f>
        <v>1.6651800000000003</v>
      </c>
      <c r="F18" s="155">
        <f>F7*C18</f>
        <v>1.9679400000000002</v>
      </c>
      <c r="G18" s="155">
        <f>G7*C18</f>
        <v>2.1193200000000001</v>
      </c>
      <c r="H18" s="155">
        <f>H7*C18</f>
        <v>2.2707000000000002</v>
      </c>
      <c r="I18" s="155">
        <f>I7*C18</f>
        <v>2.4220800000000002</v>
      </c>
      <c r="J18" s="155">
        <f>J7*C18</f>
        <v>2.5734600000000003</v>
      </c>
    </row>
    <row r="19" spans="2:18" x14ac:dyDescent="0.25">
      <c r="B19" s="160" t="s">
        <v>288</v>
      </c>
      <c r="C19" s="161">
        <v>0.2</v>
      </c>
      <c r="D19" s="155">
        <f>D12*C19</f>
        <v>2.9992278719375003</v>
      </c>
      <c r="E19" s="155">
        <f>E12*C19</f>
        <v>5.6556868442250021</v>
      </c>
      <c r="F19" s="155">
        <f>F12*C19</f>
        <v>6.6839935431750011</v>
      </c>
      <c r="G19" s="155">
        <f>G12*C19</f>
        <v>7.1981468926500005</v>
      </c>
      <c r="H19" s="155">
        <f>H12*C19</f>
        <v>7.712300242125</v>
      </c>
      <c r="I19" s="155">
        <f>I12*C19</f>
        <v>8.2264535916000003</v>
      </c>
      <c r="J19" s="155">
        <f>J12*C19</f>
        <v>8.7406069410750007</v>
      </c>
    </row>
    <row r="20" spans="2:18" x14ac:dyDescent="0.25">
      <c r="B20" s="160" t="s">
        <v>78</v>
      </c>
      <c r="C20" s="162">
        <v>0.05</v>
      </c>
      <c r="D20" s="163">
        <f>D12*C20</f>
        <v>0.74980696798437507</v>
      </c>
      <c r="E20" s="163">
        <f>E12*C20</f>
        <v>1.4139217110562505</v>
      </c>
      <c r="F20" s="163">
        <f>F12*C20</f>
        <v>1.6709983857937503</v>
      </c>
      <c r="G20" s="163">
        <f>G12*C20</f>
        <v>1.7995367231625001</v>
      </c>
      <c r="H20" s="163">
        <f>H12*C20</f>
        <v>1.92807506053125</v>
      </c>
      <c r="I20" s="163">
        <f>I12*C20</f>
        <v>2.0566133979000001</v>
      </c>
      <c r="J20" s="163">
        <f>J12*C20</f>
        <v>2.1851517352687502</v>
      </c>
      <c r="M20" s="1"/>
    </row>
    <row r="21" spans="2:18" x14ac:dyDescent="0.25">
      <c r="B21" s="160" t="s">
        <v>79</v>
      </c>
      <c r="C21" s="162">
        <v>7.4999999999999997E-2</v>
      </c>
      <c r="D21" s="163">
        <f>D12*C21</f>
        <v>1.1247104519765625</v>
      </c>
      <c r="E21" s="163">
        <f>E12*C21</f>
        <v>2.1208825665843754</v>
      </c>
      <c r="F21" s="163">
        <f>F12*C21</f>
        <v>2.5064975786906252</v>
      </c>
      <c r="G21" s="163">
        <f>G12*C21</f>
        <v>2.6993050847437501</v>
      </c>
      <c r="H21" s="163">
        <f>H12*C21</f>
        <v>2.8921125907968745</v>
      </c>
      <c r="I21" s="163">
        <f>I12*C21</f>
        <v>3.0849200968499999</v>
      </c>
      <c r="J21" s="163">
        <f>J12*C21</f>
        <v>3.2777276029031253</v>
      </c>
    </row>
    <row r="22" spans="2:18" x14ac:dyDescent="0.25">
      <c r="B22" s="160" t="s">
        <v>80</v>
      </c>
      <c r="C22" s="162">
        <v>0.01</v>
      </c>
      <c r="D22" s="163">
        <f>D12*C22</f>
        <v>0.14996139359687502</v>
      </c>
      <c r="E22" s="163">
        <f>E12*C22</f>
        <v>0.28278434221125009</v>
      </c>
      <c r="F22" s="163">
        <f>F12*C22</f>
        <v>0.33419967715875004</v>
      </c>
      <c r="G22" s="163">
        <f>G12*C22</f>
        <v>0.35990734463250001</v>
      </c>
      <c r="H22" s="163">
        <f>H12*C22</f>
        <v>0.38561501210624999</v>
      </c>
      <c r="I22" s="163">
        <f>I12*C22</f>
        <v>0.41132267958000002</v>
      </c>
      <c r="J22" s="163">
        <f>J12*C22</f>
        <v>0.43703034705375005</v>
      </c>
    </row>
    <row r="23" spans="2:18" ht="30" x14ac:dyDescent="0.25">
      <c r="B23" s="160" t="s">
        <v>285</v>
      </c>
      <c r="C23" s="162">
        <v>0.01</v>
      </c>
      <c r="D23" s="163">
        <f>Dep!C18*C23</f>
        <v>0.10037499999999999</v>
      </c>
      <c r="E23" s="163">
        <f>Dep!D18*C23</f>
        <v>8.5318749999999999E-2</v>
      </c>
      <c r="F23" s="163">
        <f>Dep!E18*C23</f>
        <v>7.2520937499999993E-2</v>
      </c>
      <c r="G23" s="163">
        <f>Dep!F18*C23</f>
        <v>6.1642796874999996E-2</v>
      </c>
      <c r="H23" s="163">
        <f>Dep!G18*C23</f>
        <v>5.2396377343750002E-2</v>
      </c>
      <c r="I23" s="163">
        <f>Dep!H18*C23</f>
        <v>4.4536920742187507E-2</v>
      </c>
      <c r="J23" s="163">
        <f>Dep!I18*C23</f>
        <v>3.785638263085938E-2</v>
      </c>
    </row>
    <row r="24" spans="2:18" x14ac:dyDescent="0.25">
      <c r="B24" s="152" t="s">
        <v>53</v>
      </c>
      <c r="C24" s="161">
        <v>0.01</v>
      </c>
      <c r="D24" s="163">
        <f>Dep!C20*'Project Details'!C24/12*7</f>
        <v>0.11551369618055554</v>
      </c>
      <c r="E24" s="163">
        <f>Dep!D20*'Project Details'!C24</f>
        <v>0.17320238125000001</v>
      </c>
      <c r="F24" s="163">
        <f>Dep!E20*'Project Details'!C24</f>
        <v>0.151616205625</v>
      </c>
      <c r="G24" s="163">
        <f>Dep!F20*'Project Details'!C24</f>
        <v>0.13282853818750001</v>
      </c>
      <c r="H24" s="163">
        <f>Dep!G20*'Project Details'!C24</f>
        <v>0.116463544525</v>
      </c>
      <c r="I24" s="163">
        <f>Dep!H20*'Project Details'!C24</f>
        <v>0.10219737120531251</v>
      </c>
      <c r="J24" s="163">
        <f>Dep!I20*'Project Details'!C24</f>
        <v>8.9750788047671878E-2</v>
      </c>
    </row>
    <row r="25" spans="2:18" x14ac:dyDescent="0.25">
      <c r="B25" s="152" t="s">
        <v>54</v>
      </c>
      <c r="C25" s="161" t="s">
        <v>55</v>
      </c>
      <c r="D25" s="163">
        <f>(Dep!C5)*C25/12*7</f>
        <v>9.6340416666666658E-3</v>
      </c>
      <c r="E25" s="163">
        <f>(Dep!D5)*C25</f>
        <v>1.6515499999999999E-2</v>
      </c>
      <c r="F25" s="163">
        <f>(Dep!E5)*C25</f>
        <v>1.6515499999999999E-2</v>
      </c>
      <c r="G25" s="163">
        <f>(Dep!F5)*C25</f>
        <v>1.6515499999999999E-2</v>
      </c>
      <c r="H25" s="163">
        <f>(Dep!G5)*C25</f>
        <v>1.6515499999999999E-2</v>
      </c>
      <c r="I25" s="163">
        <f>(Dep!H5)*C25</f>
        <v>1.6515499999999999E-2</v>
      </c>
      <c r="J25" s="163">
        <f>(Dep!I5)*C25</f>
        <v>1.6515499999999999E-2</v>
      </c>
    </row>
    <row r="26" spans="2:18" x14ac:dyDescent="0.25">
      <c r="B26" s="152" t="s">
        <v>56</v>
      </c>
      <c r="C26" s="161">
        <v>0.01</v>
      </c>
      <c r="D26" s="163">
        <f>C26*Dep!C20/12*7</f>
        <v>0.11551369618055554</v>
      </c>
      <c r="E26" s="163">
        <f>C26*Dep!D20</f>
        <v>0.17320238125000001</v>
      </c>
      <c r="F26" s="163">
        <f>C26*Dep!E20</f>
        <v>0.151616205625</v>
      </c>
      <c r="G26" s="163">
        <f>C26*Dep!F20</f>
        <v>0.13282853818750001</v>
      </c>
      <c r="H26" s="163">
        <f>C26*Dep!G20</f>
        <v>0.116463544525</v>
      </c>
      <c r="I26" s="163">
        <f>C26*Dep!H20</f>
        <v>0.10219737120531251</v>
      </c>
      <c r="J26" s="163">
        <f>C26*Dep!I20</f>
        <v>8.9750788047671878E-2</v>
      </c>
    </row>
    <row r="27" spans="2:18" x14ac:dyDescent="0.25">
      <c r="B27" s="152"/>
      <c r="C27" s="153"/>
      <c r="D27" s="155"/>
      <c r="E27" s="155"/>
      <c r="F27" s="155"/>
      <c r="G27" s="155"/>
      <c r="H27" s="155"/>
      <c r="I27" s="155"/>
      <c r="J27" s="155"/>
    </row>
    <row r="28" spans="2:18" x14ac:dyDescent="0.25">
      <c r="B28" s="156" t="s">
        <v>57</v>
      </c>
      <c r="C28" s="164"/>
      <c r="D28" s="165">
        <f>SUM(D15:D26)</f>
        <v>12.693307267351214</v>
      </c>
      <c r="E28" s="165">
        <f t="shared" ref="E28:J28" si="1">SUM(E15:E26)</f>
        <v>23.12137829819563</v>
      </c>
      <c r="F28" s="165">
        <f t="shared" si="1"/>
        <v>27.079615277299379</v>
      </c>
      <c r="G28" s="165">
        <f t="shared" si="1"/>
        <v>29.063265373226251</v>
      </c>
      <c r="H28" s="165">
        <f t="shared" si="1"/>
        <v>31.053392537796878</v>
      </c>
      <c r="I28" s="165">
        <f t="shared" si="1"/>
        <v>33.089104305982822</v>
      </c>
      <c r="J28" s="165">
        <f t="shared" si="1"/>
        <v>35.149634172983077</v>
      </c>
    </row>
    <row r="29" spans="2:18" x14ac:dyDescent="0.25">
      <c r="B29" s="152" t="s">
        <v>58</v>
      </c>
      <c r="C29" s="153"/>
      <c r="D29" s="166">
        <f t="shared" ref="D29:J29" si="2">D28/D12</f>
        <v>0.84643833742124719</v>
      </c>
      <c r="E29" s="166">
        <f t="shared" si="2"/>
        <v>0.81763290419110723</v>
      </c>
      <c r="F29" s="166">
        <f t="shared" si="2"/>
        <v>0.8102825085745412</v>
      </c>
      <c r="G29" s="166">
        <f t="shared" si="2"/>
        <v>0.80752076351491631</v>
      </c>
      <c r="H29" s="166">
        <f t="shared" si="2"/>
        <v>0.80529521836252105</v>
      </c>
      <c r="I29" s="166">
        <f t="shared" si="2"/>
        <v>0.80445611070534639</v>
      </c>
      <c r="J29" s="166">
        <f t="shared" si="2"/>
        <v>0.80428360204148597</v>
      </c>
    </row>
    <row r="30" spans="2:18" x14ac:dyDescent="0.25">
      <c r="B30" s="156" t="s">
        <v>59</v>
      </c>
      <c r="C30" s="157"/>
      <c r="D30" s="158">
        <f t="shared" ref="D30:J30" si="3">D12-D28</f>
        <v>2.3028320923362866</v>
      </c>
      <c r="E30" s="158">
        <f t="shared" si="3"/>
        <v>5.1570559229293771</v>
      </c>
      <c r="F30" s="158">
        <f t="shared" si="3"/>
        <v>6.3403524385756249</v>
      </c>
      <c r="G30" s="158">
        <f t="shared" si="3"/>
        <v>6.9274690900237488</v>
      </c>
      <c r="H30" s="158">
        <f t="shared" si="3"/>
        <v>7.5081086728281186</v>
      </c>
      <c r="I30" s="158">
        <f t="shared" si="3"/>
        <v>8.0431636520171779</v>
      </c>
      <c r="J30" s="158">
        <f t="shared" si="3"/>
        <v>8.553400532391926</v>
      </c>
    </row>
    <row r="31" spans="2:18" x14ac:dyDescent="0.25">
      <c r="B31" s="152" t="s">
        <v>60</v>
      </c>
      <c r="C31" s="153"/>
      <c r="D31" s="166">
        <f t="shared" ref="D31:J31" si="4">D30/D12</f>
        <v>0.15356166257875284</v>
      </c>
      <c r="E31" s="166">
        <f t="shared" si="4"/>
        <v>0.18236709580889279</v>
      </c>
      <c r="F31" s="166">
        <f t="shared" si="4"/>
        <v>0.18971749142545877</v>
      </c>
      <c r="G31" s="166">
        <f t="shared" si="4"/>
        <v>0.19247923648508369</v>
      </c>
      <c r="H31" s="166">
        <f t="shared" si="4"/>
        <v>0.1947047816374789</v>
      </c>
      <c r="I31" s="166">
        <f t="shared" si="4"/>
        <v>0.19554388929465355</v>
      </c>
      <c r="J31" s="166">
        <f t="shared" si="4"/>
        <v>0.19571639795851406</v>
      </c>
      <c r="L31" s="103" t="s">
        <v>381</v>
      </c>
      <c r="M31" s="103"/>
      <c r="N31" s="103"/>
      <c r="O31" s="103"/>
      <c r="P31" s="103"/>
      <c r="Q31" s="103"/>
      <c r="R31" s="103"/>
    </row>
    <row r="32" spans="2:18" x14ac:dyDescent="0.25">
      <c r="B32" s="156" t="s">
        <v>61</v>
      </c>
      <c r="C32" s="157"/>
      <c r="D32" s="158">
        <f t="shared" ref="D32:J32" si="5">D30</f>
        <v>2.3028320923362866</v>
      </c>
      <c r="E32" s="158">
        <f t="shared" si="5"/>
        <v>5.1570559229293771</v>
      </c>
      <c r="F32" s="158">
        <f t="shared" si="5"/>
        <v>6.3403524385756249</v>
      </c>
      <c r="G32" s="158">
        <f t="shared" si="5"/>
        <v>6.9274690900237488</v>
      </c>
      <c r="H32" s="158">
        <f t="shared" si="5"/>
        <v>7.5081086728281186</v>
      </c>
      <c r="I32" s="158">
        <f t="shared" si="5"/>
        <v>8.0431636520171779</v>
      </c>
      <c r="J32" s="158">
        <f t="shared" si="5"/>
        <v>8.553400532391926</v>
      </c>
      <c r="L32" s="167">
        <f>D32/120</f>
        <v>1.9190267436135722E-2</v>
      </c>
      <c r="M32" s="167">
        <f t="shared" ref="M32:R32" si="6">E32/120</f>
        <v>4.2975466024411477E-2</v>
      </c>
      <c r="N32" s="167">
        <f t="shared" si="6"/>
        <v>5.2836270321463541E-2</v>
      </c>
      <c r="O32" s="167">
        <f t="shared" si="6"/>
        <v>5.7728909083531239E-2</v>
      </c>
      <c r="P32" s="167">
        <f t="shared" si="6"/>
        <v>6.2567572273567656E-2</v>
      </c>
      <c r="Q32" s="167">
        <f t="shared" si="6"/>
        <v>6.7026363766809816E-2</v>
      </c>
      <c r="R32" s="167">
        <f t="shared" si="6"/>
        <v>7.1278337769932712E-2</v>
      </c>
    </row>
    <row r="33" spans="2:11" x14ac:dyDescent="0.25">
      <c r="B33" s="152"/>
      <c r="C33" s="153"/>
      <c r="D33" s="168"/>
      <c r="E33" s="168"/>
      <c r="F33" s="168"/>
      <c r="G33" s="168"/>
      <c r="H33" s="168"/>
      <c r="I33" s="168"/>
      <c r="J33" s="168"/>
    </row>
    <row r="34" spans="2:11" x14ac:dyDescent="0.25">
      <c r="B34" s="152" t="s">
        <v>62</v>
      </c>
      <c r="C34" s="153"/>
      <c r="D34" s="155">
        <f>SUM('Bank Interest'!E25:E31)</f>
        <v>0.55649999999999999</v>
      </c>
      <c r="E34" s="155">
        <f>'Bank Interest'!K43</f>
        <v>0.91027500000000028</v>
      </c>
      <c r="F34" s="155">
        <f>'Bank Interest'!K55</f>
        <v>0.80613000000000068</v>
      </c>
      <c r="G34" s="155">
        <f>'Bank Interest'!K67</f>
        <v>0.67853250000000098</v>
      </c>
      <c r="H34" s="155">
        <f>'Bank Interest'!K79</f>
        <v>0.55113750000000095</v>
      </c>
      <c r="I34" s="155">
        <f>'Bank Interest'!K91</f>
        <v>0.47300000000000131</v>
      </c>
      <c r="J34" s="155">
        <f>'Bank Interest'!K103</f>
        <v>0.17875000000000119</v>
      </c>
    </row>
    <row r="35" spans="2:11" x14ac:dyDescent="0.25">
      <c r="B35" s="152" t="s">
        <v>98</v>
      </c>
      <c r="C35" s="153"/>
      <c r="D35" s="155">
        <f>'Bank Interest'!E114*D4/12</f>
        <v>9.2749999999999999E-2</v>
      </c>
      <c r="E35" s="155">
        <f>'Bank Interest'!E114</f>
        <v>0.159</v>
      </c>
      <c r="F35" s="155">
        <f>'Bank Interest'!E114</f>
        <v>0.159</v>
      </c>
      <c r="G35" s="155">
        <f>'Bank Interest'!E114</f>
        <v>0.159</v>
      </c>
      <c r="H35" s="155">
        <f>'Bank Interest'!E114</f>
        <v>0.159</v>
      </c>
      <c r="I35" s="155">
        <f>'Bank Interest'!E115</f>
        <v>0.22</v>
      </c>
      <c r="J35" s="155">
        <f>'Bank Interest'!E115</f>
        <v>0.22</v>
      </c>
    </row>
    <row r="36" spans="2:11" x14ac:dyDescent="0.25">
      <c r="B36" s="152" t="s">
        <v>63</v>
      </c>
      <c r="C36" s="153"/>
      <c r="D36" s="155">
        <f>D32-D34-D35</f>
        <v>1.6535820923362867</v>
      </c>
      <c r="E36" s="155">
        <f t="shared" ref="E36:I36" si="7">E32-E34-E35</f>
        <v>4.0877809229293769</v>
      </c>
      <c r="F36" s="155">
        <f t="shared" si="7"/>
        <v>5.3752224385756247</v>
      </c>
      <c r="G36" s="155">
        <f t="shared" si="7"/>
        <v>6.0899365900237479</v>
      </c>
      <c r="H36" s="155">
        <f t="shared" si="7"/>
        <v>6.7979711728281176</v>
      </c>
      <c r="I36" s="155">
        <f t="shared" si="7"/>
        <v>7.3501636520171765</v>
      </c>
      <c r="J36" s="155">
        <f>J32-J34-J35</f>
        <v>8.1546505323919245</v>
      </c>
    </row>
    <row r="37" spans="2:11" x14ac:dyDescent="0.25">
      <c r="B37" s="152" t="s">
        <v>45</v>
      </c>
      <c r="C37" s="153"/>
      <c r="D37" s="155">
        <f>(Dep!C14)</f>
        <v>1.5674020833333333</v>
      </c>
      <c r="E37" s="155">
        <f>Dep!D14</f>
        <v>2.4821097916666668</v>
      </c>
      <c r="F37" s="155">
        <f>Dep!E14</f>
        <v>2.1586175624999999</v>
      </c>
      <c r="G37" s="155">
        <f>Dep!F14</f>
        <v>1.87876674375</v>
      </c>
      <c r="H37" s="155">
        <f>Dep!G14</f>
        <v>1.63649936625</v>
      </c>
      <c r="I37" s="155">
        <f>Dep!H14</f>
        <v>1.4266173319687503</v>
      </c>
      <c r="J37" s="155">
        <f>Dep!I14</f>
        <v>1.2446583157640625</v>
      </c>
    </row>
    <row r="38" spans="2:11" x14ac:dyDescent="0.25">
      <c r="B38" s="152" t="s">
        <v>64</v>
      </c>
      <c r="C38" s="153"/>
      <c r="D38" s="155">
        <f t="shared" ref="D38:F38" si="8">D36-D37</f>
        <v>8.6180009002953417E-2</v>
      </c>
      <c r="E38" s="155">
        <f t="shared" si="8"/>
        <v>1.6056711312627101</v>
      </c>
      <c r="F38" s="155">
        <f t="shared" si="8"/>
        <v>3.2166048760756247</v>
      </c>
      <c r="G38" s="155">
        <f>G36-G37</f>
        <v>4.2111698462737479</v>
      </c>
      <c r="H38" s="155">
        <f t="shared" ref="H38:J38" si="9">H36-H37</f>
        <v>5.1614718065781178</v>
      </c>
      <c r="I38" s="155">
        <f t="shared" si="9"/>
        <v>5.923546320048426</v>
      </c>
      <c r="J38" s="155">
        <f t="shared" si="9"/>
        <v>6.9099922166278622</v>
      </c>
    </row>
    <row r="39" spans="2:11" x14ac:dyDescent="0.25">
      <c r="B39" s="152" t="s">
        <v>65</v>
      </c>
      <c r="C39" s="153"/>
      <c r="D39" s="155">
        <v>0.02</v>
      </c>
      <c r="E39" s="155">
        <v>0.02</v>
      </c>
      <c r="F39" s="155">
        <v>0.02</v>
      </c>
      <c r="G39" s="155">
        <v>0.02</v>
      </c>
      <c r="H39" s="155">
        <v>0.02</v>
      </c>
      <c r="I39" s="155">
        <f>Dep!H16</f>
        <v>0</v>
      </c>
      <c r="J39" s="155">
        <v>0</v>
      </c>
    </row>
    <row r="40" spans="2:11" x14ac:dyDescent="0.25">
      <c r="B40" s="156" t="s">
        <v>66</v>
      </c>
      <c r="C40" s="164"/>
      <c r="D40" s="158">
        <f>D38-D39</f>
        <v>6.6180009002953413E-2</v>
      </c>
      <c r="E40" s="158">
        <f t="shared" ref="E40:J40" si="10">E38-E39</f>
        <v>1.5856711312627101</v>
      </c>
      <c r="F40" s="158">
        <f t="shared" si="10"/>
        <v>3.1966048760756247</v>
      </c>
      <c r="G40" s="158">
        <f t="shared" si="10"/>
        <v>4.1911698462737483</v>
      </c>
      <c r="H40" s="158">
        <f t="shared" si="10"/>
        <v>5.1414718065781182</v>
      </c>
      <c r="I40" s="158">
        <f t="shared" si="10"/>
        <v>5.923546320048426</v>
      </c>
      <c r="J40" s="158">
        <f t="shared" si="10"/>
        <v>6.9099922166278622</v>
      </c>
    </row>
    <row r="41" spans="2:11" x14ac:dyDescent="0.25">
      <c r="B41" s="152" t="s">
        <v>67</v>
      </c>
      <c r="C41" s="153"/>
      <c r="D41" s="155">
        <f>D40*30%</f>
        <v>1.9854002700886022E-2</v>
      </c>
      <c r="E41" s="155">
        <f t="shared" ref="E41:F41" si="11">E40*30%</f>
        <v>0.47570133937881298</v>
      </c>
      <c r="F41" s="155">
        <f t="shared" si="11"/>
        <v>0.95898146282268737</v>
      </c>
      <c r="G41" s="155">
        <f t="shared" ref="G41" si="12">G40*30%</f>
        <v>1.2573509538821244</v>
      </c>
      <c r="H41" s="155">
        <f t="shared" ref="H41" si="13">H40*30%</f>
        <v>1.5424415419734354</v>
      </c>
      <c r="I41" s="155">
        <f t="shared" ref="I41" si="14">I40*30%</f>
        <v>1.7770638960145277</v>
      </c>
      <c r="J41" s="155">
        <f t="shared" ref="J41" si="15">J40*30%</f>
        <v>2.0729976649883586</v>
      </c>
    </row>
    <row r="42" spans="2:11" x14ac:dyDescent="0.25">
      <c r="B42" s="156" t="s">
        <v>68</v>
      </c>
      <c r="C42" s="164"/>
      <c r="D42" s="158">
        <f t="shared" ref="D42:E42" si="16">D40-D41</f>
        <v>4.6326006302067388E-2</v>
      </c>
      <c r="E42" s="158">
        <f t="shared" si="16"/>
        <v>1.1099697918838971</v>
      </c>
      <c r="F42" s="158">
        <f t="shared" ref="F42" si="17">F40-F41</f>
        <v>2.2376234132529373</v>
      </c>
      <c r="G42" s="158">
        <f t="shared" ref="G42" si="18">G40-G41</f>
        <v>2.9338188923916242</v>
      </c>
      <c r="H42" s="158">
        <f t="shared" ref="H42" si="19">H40-H41</f>
        <v>3.599030264604683</v>
      </c>
      <c r="I42" s="158">
        <f t="shared" ref="I42" si="20">I40-I41</f>
        <v>4.1464824240338984</v>
      </c>
      <c r="J42" s="158">
        <f t="shared" ref="J42" si="21">J40-J41</f>
        <v>4.8369945516395036</v>
      </c>
    </row>
    <row r="43" spans="2:11" x14ac:dyDescent="0.25">
      <c r="B43" s="152" t="s">
        <v>69</v>
      </c>
      <c r="C43" s="153"/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</row>
    <row r="44" spans="2:11" x14ac:dyDescent="0.25">
      <c r="B44" s="152" t="s">
        <v>70</v>
      </c>
      <c r="C44" s="153"/>
      <c r="D44" s="155">
        <f t="shared" ref="D44:J44" si="22">D42</f>
        <v>4.6326006302067388E-2</v>
      </c>
      <c r="E44" s="155">
        <f t="shared" si="22"/>
        <v>1.1099697918838971</v>
      </c>
      <c r="F44" s="155">
        <f t="shared" si="22"/>
        <v>2.2376234132529373</v>
      </c>
      <c r="G44" s="155">
        <f t="shared" si="22"/>
        <v>2.9338188923916242</v>
      </c>
      <c r="H44" s="155">
        <f t="shared" si="22"/>
        <v>3.599030264604683</v>
      </c>
      <c r="I44" s="155">
        <f t="shared" si="22"/>
        <v>4.1464824240338984</v>
      </c>
      <c r="J44" s="155">
        <f t="shared" si="22"/>
        <v>4.8369945516395036</v>
      </c>
    </row>
    <row r="45" spans="2:11" x14ac:dyDescent="0.25">
      <c r="B45" s="152"/>
      <c r="C45" s="153"/>
      <c r="D45" s="155"/>
      <c r="E45" s="155"/>
      <c r="F45" s="155"/>
      <c r="G45" s="155"/>
      <c r="H45" s="155"/>
      <c r="I45" s="155"/>
      <c r="J45" s="155"/>
    </row>
    <row r="46" spans="2:11" x14ac:dyDescent="0.25">
      <c r="B46" s="156" t="s">
        <v>71</v>
      </c>
      <c r="C46" s="157"/>
      <c r="D46" s="158">
        <f>D44+D37</f>
        <v>1.6137280896354007</v>
      </c>
      <c r="E46" s="158">
        <f t="shared" ref="E46:J46" si="23">E44+E37</f>
        <v>3.5920795835505639</v>
      </c>
      <c r="F46" s="158">
        <f t="shared" si="23"/>
        <v>4.3962409757529368</v>
      </c>
      <c r="G46" s="158">
        <f t="shared" si="23"/>
        <v>4.8125856361416242</v>
      </c>
      <c r="H46" s="158">
        <f t="shared" si="23"/>
        <v>5.2355296308546828</v>
      </c>
      <c r="I46" s="158">
        <f t="shared" si="23"/>
        <v>5.573099756002649</v>
      </c>
      <c r="J46" s="158">
        <f t="shared" si="23"/>
        <v>6.0816528674035659</v>
      </c>
      <c r="K46" s="169">
        <f>SUM(D46:J46)</f>
        <v>31.30491653934142</v>
      </c>
    </row>
    <row r="47" spans="2:11" x14ac:dyDescent="0.25">
      <c r="B47" s="152"/>
      <c r="C47" s="153"/>
      <c r="D47" s="155"/>
      <c r="E47" s="155"/>
      <c r="F47" s="155"/>
      <c r="G47" s="155"/>
      <c r="H47" s="155"/>
      <c r="I47" s="155"/>
      <c r="J47" s="155"/>
      <c r="K47" s="170"/>
    </row>
    <row r="48" spans="2:11" x14ac:dyDescent="0.25">
      <c r="B48" s="152" t="s">
        <v>72</v>
      </c>
      <c r="C48" s="153"/>
      <c r="D48" s="155">
        <f>'Bank Interest'!L31</f>
        <v>0</v>
      </c>
      <c r="E48" s="155">
        <f>'Bank Interest'!L43</f>
        <v>1.2</v>
      </c>
      <c r="F48" s="155">
        <f>'Bank Interest'!L55</f>
        <v>1.4400000000000004</v>
      </c>
      <c r="G48" s="155">
        <f>'Bank Interest'!L67</f>
        <v>1.7999999999999996</v>
      </c>
      <c r="H48" s="155">
        <f>'Bank Interest'!L79</f>
        <v>2.1599999999999997</v>
      </c>
      <c r="I48" s="155">
        <f>'Bank Interest'!L91</f>
        <v>2.4</v>
      </c>
      <c r="J48" s="155">
        <f>'Bank Interest'!L103</f>
        <v>3</v>
      </c>
      <c r="K48" s="171">
        <f>SUM(D48:J48)</f>
        <v>12</v>
      </c>
    </row>
    <row r="49" spans="2:11" x14ac:dyDescent="0.25">
      <c r="B49" s="152" t="s">
        <v>73</v>
      </c>
      <c r="C49" s="153"/>
      <c r="D49" s="155">
        <f t="shared" ref="D49:J49" si="24">D34</f>
        <v>0.55649999999999999</v>
      </c>
      <c r="E49" s="155">
        <f t="shared" si="24"/>
        <v>0.91027500000000028</v>
      </c>
      <c r="F49" s="155">
        <f t="shared" si="24"/>
        <v>0.80613000000000068</v>
      </c>
      <c r="G49" s="155">
        <f t="shared" si="24"/>
        <v>0.67853250000000098</v>
      </c>
      <c r="H49" s="155">
        <f t="shared" si="24"/>
        <v>0.55113750000000095</v>
      </c>
      <c r="I49" s="155">
        <f t="shared" si="24"/>
        <v>0.47300000000000131</v>
      </c>
      <c r="J49" s="155">
        <f t="shared" si="24"/>
        <v>0.17875000000000119</v>
      </c>
      <c r="K49" s="171">
        <f>SUM(D49:J49)</f>
        <v>4.1543250000000054</v>
      </c>
    </row>
    <row r="50" spans="2:11" x14ac:dyDescent="0.25">
      <c r="B50" s="156" t="s">
        <v>74</v>
      </c>
      <c r="C50" s="157"/>
      <c r="D50" s="158" t="e">
        <f t="shared" ref="D50:K50" si="25">D46/D48</f>
        <v>#DIV/0!</v>
      </c>
      <c r="E50" s="158">
        <f t="shared" si="25"/>
        <v>2.9933996529588032</v>
      </c>
      <c r="F50" s="158">
        <f t="shared" si="25"/>
        <v>3.0529451220506498</v>
      </c>
      <c r="G50" s="158">
        <f t="shared" si="25"/>
        <v>2.6736586867453473</v>
      </c>
      <c r="H50" s="158">
        <f t="shared" si="25"/>
        <v>2.4238563105808719</v>
      </c>
      <c r="I50" s="158">
        <f t="shared" si="25"/>
        <v>2.3221248983344371</v>
      </c>
      <c r="J50" s="158">
        <f t="shared" si="25"/>
        <v>2.0272176224678553</v>
      </c>
      <c r="K50" s="169">
        <f t="shared" si="25"/>
        <v>2.6087430449451183</v>
      </c>
    </row>
    <row r="51" spans="2:11" x14ac:dyDescent="0.25">
      <c r="B51" s="156" t="s">
        <v>75</v>
      </c>
      <c r="C51" s="157"/>
      <c r="D51" s="158">
        <f t="shared" ref="D51:K51" si="26">(D46+D49)/(D48+D49)</f>
        <v>3.8997809337563356</v>
      </c>
      <c r="E51" s="158">
        <f t="shared" si="26"/>
        <v>2.1335392702612519</v>
      </c>
      <c r="F51" s="158">
        <f t="shared" si="26"/>
        <v>2.3161486537969465</v>
      </c>
      <c r="G51" s="158">
        <f t="shared" si="26"/>
        <v>2.2154715082984082</v>
      </c>
      <c r="H51" s="158">
        <f t="shared" si="26"/>
        <v>2.1344056252604977</v>
      </c>
      <c r="I51" s="158">
        <f t="shared" si="26"/>
        <v>2.1044551883058293</v>
      </c>
      <c r="J51" s="158">
        <f t="shared" si="26"/>
        <v>1.9694543035481129</v>
      </c>
      <c r="K51" s="169">
        <f t="shared" si="26"/>
        <v>2.195030837830823</v>
      </c>
    </row>
    <row r="53" spans="2:11" x14ac:dyDescent="0.25">
      <c r="B53" s="139" t="s">
        <v>397</v>
      </c>
      <c r="D53" s="172">
        <f>D40/D12*100</f>
        <v>0.44131364356921071</v>
      </c>
      <c r="E53" s="172">
        <f t="shared" ref="E53:J53" si="27">E40/E12*100</f>
        <v>5.6073512375666006</v>
      </c>
      <c r="F53" s="172">
        <f t="shared" si="27"/>
        <v>9.5649550090893349</v>
      </c>
      <c r="G53" s="172">
        <f t="shared" si="27"/>
        <v>11.645135640544751</v>
      </c>
      <c r="H53" s="172">
        <f t="shared" si="27"/>
        <v>13.333173359862528</v>
      </c>
      <c r="I53" s="172">
        <f t="shared" si="27"/>
        <v>14.401214944181866</v>
      </c>
      <c r="J53" s="172">
        <f t="shared" si="27"/>
        <v>15.81124117172121</v>
      </c>
    </row>
    <row r="54" spans="2:11" ht="14.25" customHeight="1" x14ac:dyDescent="0.25">
      <c r="B54" s="139" t="s">
        <v>398</v>
      </c>
      <c r="D54" s="172">
        <f>D42/D12*100</f>
        <v>0.30891955049844749</v>
      </c>
      <c r="E54" s="172">
        <f t="shared" ref="E54:J54" si="28">E42/E12*100</f>
        <v>3.9251458662966208</v>
      </c>
      <c r="F54" s="172">
        <f t="shared" si="28"/>
        <v>6.6954685063625341</v>
      </c>
      <c r="G54" s="172">
        <f t="shared" si="28"/>
        <v>8.1515949483813266</v>
      </c>
      <c r="H54" s="172">
        <f t="shared" si="28"/>
        <v>9.3332213519037701</v>
      </c>
      <c r="I54" s="172">
        <f t="shared" si="28"/>
        <v>10.080850460927309</v>
      </c>
      <c r="J54" s="172">
        <f t="shared" si="28"/>
        <v>11.067868820204849</v>
      </c>
    </row>
    <row r="56" spans="2:11" x14ac:dyDescent="0.25">
      <c r="B56" s="197" t="s">
        <v>399</v>
      </c>
      <c r="C56" s="200"/>
      <c r="D56" s="200"/>
      <c r="E56" s="200"/>
      <c r="F56" s="200"/>
      <c r="G56" s="200"/>
      <c r="H56" s="200"/>
      <c r="I56" s="200"/>
      <c r="J56" s="198"/>
    </row>
    <row r="57" spans="2:11" x14ac:dyDescent="0.25">
      <c r="B57" s="173" t="s">
        <v>400</v>
      </c>
      <c r="C57" s="174"/>
      <c r="D57" s="175">
        <f>D42</f>
        <v>4.6326006302067388E-2</v>
      </c>
      <c r="E57" s="175">
        <f t="shared" ref="E57:J57" si="29">E42</f>
        <v>1.1099697918838971</v>
      </c>
      <c r="F57" s="175">
        <f t="shared" si="29"/>
        <v>2.2376234132529373</v>
      </c>
      <c r="G57" s="175">
        <f t="shared" si="29"/>
        <v>2.9338188923916242</v>
      </c>
      <c r="H57" s="175">
        <f t="shared" si="29"/>
        <v>3.599030264604683</v>
      </c>
      <c r="I57" s="175">
        <f t="shared" si="29"/>
        <v>4.1464824240338984</v>
      </c>
      <c r="J57" s="175">
        <f t="shared" si="29"/>
        <v>4.8369945516395036</v>
      </c>
    </row>
    <row r="58" spans="2:11" x14ac:dyDescent="0.25">
      <c r="B58" s="173" t="s">
        <v>45</v>
      </c>
      <c r="C58" s="174"/>
      <c r="D58" s="175">
        <f>D37</f>
        <v>1.5674020833333333</v>
      </c>
      <c r="E58" s="175">
        <f t="shared" ref="E58:J58" si="30">E37</f>
        <v>2.4821097916666668</v>
      </c>
      <c r="F58" s="175">
        <f t="shared" si="30"/>
        <v>2.1586175624999999</v>
      </c>
      <c r="G58" s="175">
        <f t="shared" si="30"/>
        <v>1.87876674375</v>
      </c>
      <c r="H58" s="175">
        <f t="shared" si="30"/>
        <v>1.63649936625</v>
      </c>
      <c r="I58" s="175">
        <f t="shared" si="30"/>
        <v>1.4266173319687503</v>
      </c>
      <c r="J58" s="175">
        <f t="shared" si="30"/>
        <v>1.2446583157640625</v>
      </c>
    </row>
    <row r="59" spans="2:11" x14ac:dyDescent="0.25">
      <c r="B59" s="176" t="s">
        <v>401</v>
      </c>
      <c r="C59" s="177"/>
      <c r="D59" s="179">
        <f>D57+D58</f>
        <v>1.6137280896354007</v>
      </c>
      <c r="E59" s="179">
        <f t="shared" ref="E59:J59" si="31">E57+E58</f>
        <v>3.5920795835505639</v>
      </c>
      <c r="F59" s="179">
        <f t="shared" si="31"/>
        <v>4.3962409757529368</v>
      </c>
      <c r="G59" s="179">
        <f t="shared" si="31"/>
        <v>4.8125856361416242</v>
      </c>
      <c r="H59" s="179">
        <f t="shared" si="31"/>
        <v>5.2355296308546828</v>
      </c>
      <c r="I59" s="179">
        <f t="shared" si="31"/>
        <v>5.573099756002649</v>
      </c>
      <c r="J59" s="179">
        <f t="shared" si="31"/>
        <v>6.0816528674035659</v>
      </c>
    </row>
    <row r="60" spans="2:11" x14ac:dyDescent="0.25">
      <c r="B60" s="173" t="s">
        <v>402</v>
      </c>
      <c r="C60" s="174"/>
      <c r="D60" s="175">
        <f>D49</f>
        <v>0.55649999999999999</v>
      </c>
      <c r="E60" s="175">
        <f t="shared" ref="E60:J60" si="32">E49</f>
        <v>0.91027500000000028</v>
      </c>
      <c r="F60" s="175">
        <f t="shared" si="32"/>
        <v>0.80613000000000068</v>
      </c>
      <c r="G60" s="175">
        <f t="shared" si="32"/>
        <v>0.67853250000000098</v>
      </c>
      <c r="H60" s="175">
        <f t="shared" si="32"/>
        <v>0.55113750000000095</v>
      </c>
      <c r="I60" s="175">
        <f t="shared" si="32"/>
        <v>0.47300000000000131</v>
      </c>
      <c r="J60" s="175">
        <f t="shared" si="32"/>
        <v>0.17875000000000119</v>
      </c>
    </row>
    <row r="61" spans="2:11" x14ac:dyDescent="0.25">
      <c r="B61" s="173" t="s">
        <v>403</v>
      </c>
      <c r="C61" s="174"/>
      <c r="D61" s="175">
        <f>D59+D60</f>
        <v>2.1702280896354007</v>
      </c>
      <c r="E61" s="175">
        <f t="shared" ref="E61:J61" si="33">E59+E60</f>
        <v>4.5023545835505638</v>
      </c>
      <c r="F61" s="175">
        <f t="shared" si="33"/>
        <v>5.2023709757529373</v>
      </c>
      <c r="G61" s="175">
        <f t="shared" si="33"/>
        <v>5.4911181361416252</v>
      </c>
      <c r="H61" s="175">
        <f t="shared" si="33"/>
        <v>5.786667130854684</v>
      </c>
      <c r="I61" s="175">
        <f t="shared" si="33"/>
        <v>6.0460997560026506</v>
      </c>
      <c r="J61" s="175">
        <f t="shared" si="33"/>
        <v>6.2604028674035668</v>
      </c>
    </row>
    <row r="62" spans="2:11" x14ac:dyDescent="0.25">
      <c r="B62" s="173" t="s">
        <v>404</v>
      </c>
      <c r="C62" s="174"/>
      <c r="D62" s="175">
        <f>D48</f>
        <v>0</v>
      </c>
      <c r="E62" s="175">
        <f t="shared" ref="E62:J62" si="34">E48</f>
        <v>1.2</v>
      </c>
      <c r="F62" s="175">
        <f t="shared" si="34"/>
        <v>1.4400000000000004</v>
      </c>
      <c r="G62" s="175">
        <f t="shared" si="34"/>
        <v>1.7999999999999996</v>
      </c>
      <c r="H62" s="175">
        <f t="shared" si="34"/>
        <v>2.1599999999999997</v>
      </c>
      <c r="I62" s="175">
        <f t="shared" si="34"/>
        <v>2.4</v>
      </c>
      <c r="J62" s="175">
        <f t="shared" si="34"/>
        <v>3</v>
      </c>
    </row>
    <row r="63" spans="2:11" x14ac:dyDescent="0.25">
      <c r="B63" s="173" t="s">
        <v>405</v>
      </c>
      <c r="C63" s="174"/>
      <c r="D63" s="175">
        <f>D60+D62</f>
        <v>0.55649999999999999</v>
      </c>
      <c r="E63" s="175">
        <f t="shared" ref="E63:J63" si="35">E60+E62</f>
        <v>2.1102750000000001</v>
      </c>
      <c r="F63" s="175">
        <f t="shared" si="35"/>
        <v>2.2461300000000008</v>
      </c>
      <c r="G63" s="175">
        <f t="shared" si="35"/>
        <v>2.4785325000000005</v>
      </c>
      <c r="H63" s="175">
        <f t="shared" si="35"/>
        <v>2.7111375000000004</v>
      </c>
      <c r="I63" s="175">
        <f t="shared" si="35"/>
        <v>2.8730000000000011</v>
      </c>
      <c r="J63" s="175">
        <f t="shared" si="35"/>
        <v>3.1787500000000013</v>
      </c>
    </row>
    <row r="64" spans="2:11" s="1" customFormat="1" x14ac:dyDescent="0.25">
      <c r="B64" s="176" t="s">
        <v>406</v>
      </c>
      <c r="C64" s="178"/>
      <c r="D64" s="179">
        <f>D61/D63</f>
        <v>3.8997809337563356</v>
      </c>
      <c r="E64" s="179">
        <f t="shared" ref="E64:J64" si="36">E61/E63</f>
        <v>2.1335392702612519</v>
      </c>
      <c r="F64" s="179">
        <f t="shared" si="36"/>
        <v>2.3161486537969465</v>
      </c>
      <c r="G64" s="179">
        <f t="shared" si="36"/>
        <v>2.2154715082984082</v>
      </c>
      <c r="H64" s="179">
        <f t="shared" si="36"/>
        <v>2.1344056252604977</v>
      </c>
      <c r="I64" s="179">
        <f t="shared" si="36"/>
        <v>2.1044551883058293</v>
      </c>
      <c r="J64" s="179">
        <f t="shared" si="36"/>
        <v>1.9694543035481129</v>
      </c>
    </row>
    <row r="65" spans="2:10" s="1" customFormat="1" x14ac:dyDescent="0.25">
      <c r="B65" s="173" t="s">
        <v>407</v>
      </c>
      <c r="C65" s="178"/>
      <c r="D65" s="179">
        <f>AVERAGE(D64:J64)</f>
        <v>2.3961793547467694</v>
      </c>
      <c r="E65" s="179"/>
      <c r="F65" s="179"/>
      <c r="G65" s="179"/>
      <c r="H65" s="179"/>
      <c r="I65" s="179"/>
      <c r="J65" s="179"/>
    </row>
    <row r="66" spans="2:10" x14ac:dyDescent="0.25">
      <c r="B66" s="191" t="s">
        <v>459</v>
      </c>
      <c r="C66" s="174"/>
      <c r="D66" s="192">
        <f>MAX(D64:J64)</f>
        <v>3.8997809337563356</v>
      </c>
      <c r="E66" s="175"/>
      <c r="F66" s="175"/>
      <c r="G66" s="175"/>
      <c r="H66" s="175"/>
      <c r="I66" s="175"/>
      <c r="J66" s="175"/>
    </row>
    <row r="67" spans="2:10" s="1" customFormat="1" x14ac:dyDescent="0.25">
      <c r="B67" s="176" t="s">
        <v>408</v>
      </c>
      <c r="C67" s="178"/>
      <c r="D67" s="179"/>
      <c r="E67" s="179">
        <f t="shared" ref="E67:J67" si="37">E59/E62</f>
        <v>2.9933996529588032</v>
      </c>
      <c r="F67" s="179">
        <f t="shared" si="37"/>
        <v>3.0529451220506498</v>
      </c>
      <c r="G67" s="179">
        <f t="shared" si="37"/>
        <v>2.6736586867453473</v>
      </c>
      <c r="H67" s="179">
        <f t="shared" si="37"/>
        <v>2.4238563105808719</v>
      </c>
      <c r="I67" s="179">
        <f t="shared" si="37"/>
        <v>2.3221248983344371</v>
      </c>
      <c r="J67" s="179">
        <f t="shared" si="37"/>
        <v>2.0272176224678553</v>
      </c>
    </row>
    <row r="68" spans="2:10" x14ac:dyDescent="0.25">
      <c r="B68" s="173" t="s">
        <v>409</v>
      </c>
      <c r="C68" s="174"/>
      <c r="D68" s="192">
        <f>AVERAGE(D67:J67)</f>
        <v>2.5822003821896606</v>
      </c>
      <c r="E68" s="175"/>
      <c r="F68" s="175"/>
      <c r="G68" s="175"/>
      <c r="H68" s="175"/>
      <c r="I68" s="175"/>
      <c r="J68" s="175"/>
    </row>
    <row r="69" spans="2:10" x14ac:dyDescent="0.25">
      <c r="B69" s="193" t="s">
        <v>460</v>
      </c>
      <c r="C69" s="194"/>
      <c r="D69" s="195">
        <f>MAX(D67:J67)</f>
        <v>3.0529451220506498</v>
      </c>
      <c r="E69" s="196"/>
      <c r="F69" s="196"/>
      <c r="G69" s="196"/>
      <c r="H69" s="196"/>
      <c r="I69" s="196"/>
      <c r="J69" s="196"/>
    </row>
    <row r="70" spans="2:10" x14ac:dyDescent="0.25">
      <c r="B70" s="180"/>
    </row>
    <row r="71" spans="2:10" x14ac:dyDescent="0.25">
      <c r="B71" s="197" t="s">
        <v>410</v>
      </c>
      <c r="C71" s="200"/>
      <c r="D71" s="200"/>
      <c r="E71" s="200"/>
      <c r="F71" s="200"/>
      <c r="G71" s="200"/>
      <c r="H71" s="200"/>
      <c r="I71" s="200"/>
      <c r="J71" s="198"/>
    </row>
    <row r="72" spans="2:10" x14ac:dyDescent="0.25">
      <c r="B72" s="173" t="s">
        <v>411</v>
      </c>
      <c r="C72" s="174"/>
      <c r="D72" s="175">
        <f>'BS Proj.'!B16</f>
        <v>19.802347916666665</v>
      </c>
      <c r="E72" s="175">
        <f>'BS Proj.'!C16</f>
        <v>17.320238124999999</v>
      </c>
      <c r="F72" s="175">
        <f>'BS Proj.'!D16</f>
        <v>15.1616205625</v>
      </c>
      <c r="G72" s="175">
        <f>'BS Proj.'!E16</f>
        <v>13.28285381875</v>
      </c>
      <c r="H72" s="175">
        <f>'BS Proj.'!F16</f>
        <v>11.646354452500001</v>
      </c>
      <c r="I72" s="175">
        <f>'BS Proj.'!G16</f>
        <v>10.219737120531251</v>
      </c>
      <c r="J72" s="175">
        <f>'BS Proj.'!H16</f>
        <v>8.9750788047671879</v>
      </c>
    </row>
    <row r="73" spans="2:10" x14ac:dyDescent="0.25">
      <c r="B73" s="173" t="s">
        <v>412</v>
      </c>
      <c r="C73" s="174"/>
      <c r="D73" s="175">
        <f>'BS Proj.'!B9</f>
        <v>10.8</v>
      </c>
      <c r="E73" s="175">
        <f>'BS Proj.'!C9</f>
        <v>9.36</v>
      </c>
      <c r="F73" s="175">
        <f>'BS Proj.'!D9</f>
        <v>7.56</v>
      </c>
      <c r="G73" s="175">
        <f>'BS Proj.'!E9</f>
        <v>5.4</v>
      </c>
      <c r="H73" s="175">
        <f>'BS Proj.'!F9</f>
        <v>3.0000000000000004</v>
      </c>
      <c r="I73" s="175">
        <f>'BS Proj.'!G9</f>
        <v>0</v>
      </c>
      <c r="J73" s="175">
        <f>'BS Proj.'!H9</f>
        <v>0</v>
      </c>
    </row>
    <row r="74" spans="2:10" x14ac:dyDescent="0.25">
      <c r="B74" s="173" t="s">
        <v>413</v>
      </c>
      <c r="C74" s="174"/>
      <c r="D74" s="175">
        <f>D72-D73</f>
        <v>9.0023479166666647</v>
      </c>
      <c r="E74" s="175">
        <f t="shared" ref="E74:J74" si="38">E72-E73</f>
        <v>7.9602381250000001</v>
      </c>
      <c r="F74" s="175">
        <f t="shared" si="38"/>
        <v>7.6016205625</v>
      </c>
      <c r="G74" s="175">
        <f t="shared" si="38"/>
        <v>7.8828538187500001</v>
      </c>
      <c r="H74" s="175">
        <f t="shared" si="38"/>
        <v>8.6463544525000007</v>
      </c>
      <c r="I74" s="175">
        <f t="shared" si="38"/>
        <v>10.219737120531251</v>
      </c>
      <c r="J74" s="175">
        <f t="shared" si="38"/>
        <v>8.9750788047671879</v>
      </c>
    </row>
    <row r="75" spans="2:10" x14ac:dyDescent="0.25">
      <c r="B75" s="173" t="s">
        <v>414</v>
      </c>
      <c r="C75" s="174"/>
      <c r="D75" s="175">
        <f>D74/D72*100</f>
        <v>45.461012777630422</v>
      </c>
      <c r="E75" s="175">
        <f t="shared" ref="E75:J75" si="39">E74/E72*100</f>
        <v>45.959172544574933</v>
      </c>
      <c r="F75" s="175">
        <f t="shared" si="39"/>
        <v>50.13725631217465</v>
      </c>
      <c r="G75" s="175">
        <f t="shared" si="39"/>
        <v>59.346085760746746</v>
      </c>
      <c r="H75" s="175">
        <f t="shared" si="39"/>
        <v>74.240866425321428</v>
      </c>
      <c r="I75" s="175">
        <f t="shared" si="39"/>
        <v>100</v>
      </c>
      <c r="J75" s="175">
        <f t="shared" si="39"/>
        <v>100</v>
      </c>
    </row>
    <row r="76" spans="2:10" x14ac:dyDescent="0.25">
      <c r="B76" s="176" t="s">
        <v>415</v>
      </c>
      <c r="C76" s="177"/>
      <c r="D76" s="179">
        <f>D72/D73</f>
        <v>1.8335507330246912</v>
      </c>
      <c r="E76" s="179">
        <f t="shared" ref="E76:J76" si="40">E72/E73</f>
        <v>1.8504527911324786</v>
      </c>
      <c r="F76" s="179">
        <f t="shared" si="40"/>
        <v>2.0055053654100528</v>
      </c>
      <c r="G76" s="179">
        <f t="shared" si="40"/>
        <v>2.4597877442129628</v>
      </c>
      <c r="H76" s="179">
        <f t="shared" si="40"/>
        <v>3.8821181508333331</v>
      </c>
      <c r="I76" s="179" t="e">
        <f t="shared" si="40"/>
        <v>#DIV/0!</v>
      </c>
      <c r="J76" s="179" t="e">
        <f t="shared" si="40"/>
        <v>#DIV/0!</v>
      </c>
    </row>
    <row r="78" spans="2:10" x14ac:dyDescent="0.25">
      <c r="B78" s="201" t="s">
        <v>416</v>
      </c>
      <c r="C78" s="201"/>
      <c r="D78" s="201"/>
      <c r="E78" s="201"/>
      <c r="F78" s="201"/>
      <c r="G78" s="201"/>
      <c r="H78" s="201"/>
      <c r="I78" s="201"/>
      <c r="J78" s="201"/>
    </row>
    <row r="79" spans="2:10" x14ac:dyDescent="0.25">
      <c r="B79" s="173" t="s">
        <v>417</v>
      </c>
      <c r="C79" s="174"/>
      <c r="D79" s="181">
        <f>D5</f>
        <v>0.5</v>
      </c>
      <c r="E79" s="181">
        <f t="shared" ref="E79:J79" si="41">E5</f>
        <v>0.55000000000000004</v>
      </c>
      <c r="F79" s="181">
        <f t="shared" si="41"/>
        <v>0.65</v>
      </c>
      <c r="G79" s="181">
        <f t="shared" si="41"/>
        <v>0.7</v>
      </c>
      <c r="H79" s="181">
        <f t="shared" si="41"/>
        <v>0.75</v>
      </c>
      <c r="I79" s="181">
        <f t="shared" si="41"/>
        <v>0.8</v>
      </c>
      <c r="J79" s="181">
        <f t="shared" si="41"/>
        <v>0.85</v>
      </c>
    </row>
    <row r="80" spans="2:10" x14ac:dyDescent="0.25">
      <c r="B80" s="173" t="s">
        <v>418</v>
      </c>
      <c r="C80" s="174"/>
      <c r="D80" s="175">
        <f>D12</f>
        <v>14.996139359687501</v>
      </c>
      <c r="E80" s="175">
        <f t="shared" ref="E80:J80" si="42">E12</f>
        <v>28.278434221125007</v>
      </c>
      <c r="F80" s="175">
        <f t="shared" si="42"/>
        <v>33.419967715875003</v>
      </c>
      <c r="G80" s="175">
        <f t="shared" si="42"/>
        <v>35.99073446325</v>
      </c>
      <c r="H80" s="175">
        <f t="shared" si="42"/>
        <v>38.561501210624996</v>
      </c>
      <c r="I80" s="175">
        <f t="shared" si="42"/>
        <v>41.132267958</v>
      </c>
      <c r="J80" s="175">
        <f t="shared" si="42"/>
        <v>43.703034705375003</v>
      </c>
    </row>
    <row r="81" spans="2:10" x14ac:dyDescent="0.25">
      <c r="B81" s="173" t="s">
        <v>419</v>
      </c>
      <c r="C81" s="174"/>
      <c r="D81" s="175">
        <f>D40</f>
        <v>6.6180009002953413E-2</v>
      </c>
      <c r="E81" s="175">
        <f t="shared" ref="E81:J81" si="43">E40</f>
        <v>1.5856711312627101</v>
      </c>
      <c r="F81" s="175">
        <f t="shared" si="43"/>
        <v>3.1966048760756247</v>
      </c>
      <c r="G81" s="175">
        <f t="shared" si="43"/>
        <v>4.1911698462737483</v>
      </c>
      <c r="H81" s="175">
        <f t="shared" si="43"/>
        <v>5.1414718065781182</v>
      </c>
      <c r="I81" s="175">
        <f t="shared" si="43"/>
        <v>5.923546320048426</v>
      </c>
      <c r="J81" s="175">
        <f t="shared" si="43"/>
        <v>6.9099922166278622</v>
      </c>
    </row>
    <row r="82" spans="2:10" x14ac:dyDescent="0.25">
      <c r="B82" s="173" t="s">
        <v>420</v>
      </c>
      <c r="C82" s="174"/>
      <c r="D82" s="175">
        <f>D83/D80*100</f>
        <v>65.26232626060137</v>
      </c>
      <c r="E82" s="175">
        <f t="shared" ref="E82:J82" si="44">E83/E80*100</f>
        <v>62.325556344998581</v>
      </c>
      <c r="F82" s="175">
        <f t="shared" si="44"/>
        <v>61.504014333205383</v>
      </c>
      <c r="G82" s="175">
        <f t="shared" si="44"/>
        <v>61.193856721832084</v>
      </c>
      <c r="H82" s="175">
        <f t="shared" si="44"/>
        <v>60.941850181903213</v>
      </c>
      <c r="I82" s="175">
        <f t="shared" si="44"/>
        <v>60.980470952865083</v>
      </c>
      <c r="J82" s="175">
        <f t="shared" si="44"/>
        <v>60.931757740459588</v>
      </c>
    </row>
    <row r="83" spans="2:10" x14ac:dyDescent="0.25">
      <c r="B83" s="173" t="s">
        <v>421</v>
      </c>
      <c r="C83" s="174"/>
      <c r="D83" s="175">
        <f>D28-D19+D35</f>
        <v>9.7868293954137133</v>
      </c>
      <c r="E83" s="175">
        <f t="shared" ref="E83:J83" si="45">E28-E19+E35</f>
        <v>17.624691453970627</v>
      </c>
      <c r="F83" s="175">
        <f t="shared" si="45"/>
        <v>20.554621734124375</v>
      </c>
      <c r="G83" s="175">
        <f t="shared" si="45"/>
        <v>22.024118480576249</v>
      </c>
      <c r="H83" s="175">
        <f t="shared" si="45"/>
        <v>23.500092295671877</v>
      </c>
      <c r="I83" s="175">
        <f t="shared" si="45"/>
        <v>25.082650714382822</v>
      </c>
      <c r="J83" s="175">
        <f t="shared" si="45"/>
        <v>26.629027231908076</v>
      </c>
    </row>
    <row r="84" spans="2:10" x14ac:dyDescent="0.25">
      <c r="B84" s="173" t="s">
        <v>422</v>
      </c>
      <c r="C84" s="174"/>
      <c r="D84" s="175">
        <f>D19+D34+D37</f>
        <v>5.1231299552708336</v>
      </c>
      <c r="E84" s="175">
        <f t="shared" ref="E84:J84" si="46">E19+E34+E37</f>
        <v>9.0480716358916702</v>
      </c>
      <c r="F84" s="175">
        <f t="shared" si="46"/>
        <v>9.6487411056750005</v>
      </c>
      <c r="G84" s="175">
        <f t="shared" si="46"/>
        <v>9.7554461364000016</v>
      </c>
      <c r="H84" s="175">
        <f t="shared" si="46"/>
        <v>9.899937108375001</v>
      </c>
      <c r="I84" s="175">
        <f t="shared" si="46"/>
        <v>10.126070923568751</v>
      </c>
      <c r="J84" s="175">
        <f t="shared" si="46"/>
        <v>10.164015256839065</v>
      </c>
    </row>
    <row r="85" spans="2:10" x14ac:dyDescent="0.25">
      <c r="B85" s="173" t="s">
        <v>423</v>
      </c>
      <c r="C85" s="174"/>
      <c r="D85" s="175">
        <f>D80-D83</f>
        <v>5.2093099642737872</v>
      </c>
      <c r="E85" s="175">
        <f t="shared" ref="E85:J85" si="47">E80-E83</f>
        <v>10.65374276715438</v>
      </c>
      <c r="F85" s="175">
        <f t="shared" si="47"/>
        <v>12.865345981750629</v>
      </c>
      <c r="G85" s="175">
        <f t="shared" si="47"/>
        <v>13.966615982673751</v>
      </c>
      <c r="H85" s="175">
        <f t="shared" si="47"/>
        <v>15.06140891495312</v>
      </c>
      <c r="I85" s="175">
        <f t="shared" si="47"/>
        <v>16.049617243617178</v>
      </c>
      <c r="J85" s="175">
        <f t="shared" si="47"/>
        <v>17.074007473466928</v>
      </c>
    </row>
    <row r="86" spans="2:10" x14ac:dyDescent="0.25">
      <c r="B86" s="176" t="s">
        <v>424</v>
      </c>
      <c r="C86" s="177"/>
      <c r="D86" s="179">
        <f>(D84/D85)*D80</f>
        <v>14.748051333847098</v>
      </c>
      <c r="E86" s="179">
        <f t="shared" ref="E86:J86" si="48">(E84/E85)*E80</f>
        <v>24.01647047199463</v>
      </c>
      <c r="F86" s="179">
        <f t="shared" si="48"/>
        <v>25.064278621647794</v>
      </c>
      <c r="G86" s="179">
        <f t="shared" si="48"/>
        <v>25.138922119808679</v>
      </c>
      <c r="H86" s="179">
        <f t="shared" si="48"/>
        <v>25.346661719721471</v>
      </c>
      <c r="I86" s="179">
        <f t="shared" si="48"/>
        <v>25.951289446206882</v>
      </c>
      <c r="J86" s="179">
        <f t="shared" si="48"/>
        <v>26.016054649494823</v>
      </c>
    </row>
    <row r="87" spans="2:10" x14ac:dyDescent="0.25">
      <c r="B87" s="176" t="s">
        <v>425</v>
      </c>
      <c r="C87" s="177"/>
      <c r="D87" s="179">
        <f>(D84/D85)*D79</f>
        <v>0.49172827019375032</v>
      </c>
      <c r="E87" s="179">
        <f t="shared" ref="E87:J87" si="49">(E84/E85)*E79</f>
        <v>0.46710714802340103</v>
      </c>
      <c r="F87" s="179">
        <f t="shared" si="49"/>
        <v>0.48748644051897805</v>
      </c>
      <c r="G87" s="179">
        <f t="shared" si="49"/>
        <v>0.48893821552418038</v>
      </c>
      <c r="H87" s="179">
        <f t="shared" si="49"/>
        <v>0.49297863654107965</v>
      </c>
      <c r="I87" s="179">
        <f t="shared" si="49"/>
        <v>0.50473831343714171</v>
      </c>
      <c r="J87" s="179">
        <f t="shared" si="49"/>
        <v>0.50599796103749428</v>
      </c>
    </row>
    <row r="88" spans="2:10" ht="30" x14ac:dyDescent="0.25">
      <c r="B88" s="182" t="s">
        <v>426</v>
      </c>
      <c r="C88" s="177"/>
      <c r="D88" s="179">
        <f>(D84-D37)*D79/D85</f>
        <v>0.34128588011878769</v>
      </c>
      <c r="E88" s="179">
        <f t="shared" ref="E88:J88" si="50">(E84-E37)*E79/E85</f>
        <v>0.33896810663172472</v>
      </c>
      <c r="F88" s="179">
        <f t="shared" si="50"/>
        <v>0.37842591329994435</v>
      </c>
      <c r="G88" s="179">
        <f t="shared" si="50"/>
        <v>0.39477534011781928</v>
      </c>
      <c r="H88" s="179">
        <f t="shared" si="50"/>
        <v>0.41148728791505906</v>
      </c>
      <c r="I88" s="179">
        <f t="shared" si="50"/>
        <v>0.43362796555461602</v>
      </c>
      <c r="J88" s="179">
        <f t="shared" si="50"/>
        <v>0.44403479450828154</v>
      </c>
    </row>
    <row r="90" spans="2:10" x14ac:dyDescent="0.25">
      <c r="B90" s="197" t="s">
        <v>427</v>
      </c>
      <c r="C90" s="200"/>
      <c r="D90" s="200"/>
      <c r="E90" s="200"/>
      <c r="F90" s="200"/>
      <c r="G90" s="200"/>
      <c r="H90" s="200"/>
      <c r="I90" s="200"/>
      <c r="J90" s="198"/>
    </row>
    <row r="91" spans="2:10" x14ac:dyDescent="0.25">
      <c r="B91" s="173" t="s">
        <v>428</v>
      </c>
      <c r="C91" s="174"/>
      <c r="D91" s="181">
        <v>0.05</v>
      </c>
      <c r="E91" s="181">
        <v>0.05</v>
      </c>
      <c r="F91" s="181">
        <v>0.05</v>
      </c>
      <c r="G91" s="181">
        <v>0.05</v>
      </c>
      <c r="H91" s="181">
        <v>0.05</v>
      </c>
      <c r="I91" s="181">
        <v>0.05</v>
      </c>
      <c r="J91" s="181">
        <v>0.05</v>
      </c>
    </row>
    <row r="92" spans="2:10" x14ac:dyDescent="0.25">
      <c r="B92" s="173" t="s">
        <v>429</v>
      </c>
      <c r="C92" s="174"/>
      <c r="D92" s="181">
        <v>0.05</v>
      </c>
      <c r="E92" s="181">
        <v>0.05</v>
      </c>
      <c r="F92" s="181">
        <v>0.05</v>
      </c>
      <c r="G92" s="181">
        <v>0.05</v>
      </c>
      <c r="H92" s="181">
        <v>0.05</v>
      </c>
      <c r="I92" s="181">
        <v>0.05</v>
      </c>
      <c r="J92" s="181">
        <v>0.05</v>
      </c>
    </row>
    <row r="93" spans="2:10" x14ac:dyDescent="0.25">
      <c r="B93" s="173" t="s">
        <v>430</v>
      </c>
      <c r="C93" s="174"/>
      <c r="D93" s="181">
        <v>0.05</v>
      </c>
      <c r="E93" s="181">
        <v>0.05</v>
      </c>
      <c r="F93" s="181">
        <v>0.05</v>
      </c>
      <c r="G93" s="181">
        <v>0.05</v>
      </c>
      <c r="H93" s="181">
        <v>0.05</v>
      </c>
      <c r="I93" s="181">
        <v>0.05</v>
      </c>
      <c r="J93" s="181">
        <v>0.05</v>
      </c>
    </row>
    <row r="94" spans="2:10" x14ac:dyDescent="0.25">
      <c r="B94" s="173" t="s">
        <v>431</v>
      </c>
      <c r="C94" s="174"/>
      <c r="D94" s="175">
        <f>D80*0.95</f>
        <v>14.246332391703126</v>
      </c>
      <c r="E94" s="175">
        <f t="shared" ref="E94:J94" si="51">E80*0.95</f>
        <v>26.864512510068757</v>
      </c>
      <c r="F94" s="175">
        <f t="shared" si="51"/>
        <v>31.748969330081252</v>
      </c>
      <c r="G94" s="175">
        <f t="shared" si="51"/>
        <v>34.191197740087496</v>
      </c>
      <c r="H94" s="175">
        <f t="shared" si="51"/>
        <v>36.633426150093747</v>
      </c>
      <c r="I94" s="175">
        <f t="shared" si="51"/>
        <v>39.075654560099998</v>
      </c>
      <c r="J94" s="175">
        <f t="shared" si="51"/>
        <v>41.51788297010625</v>
      </c>
    </row>
    <row r="95" spans="2:10" x14ac:dyDescent="0.25">
      <c r="B95" s="173" t="s">
        <v>432</v>
      </c>
      <c r="C95" s="174"/>
      <c r="D95" s="175">
        <f>D83*0.95</f>
        <v>9.2974879256430274</v>
      </c>
      <c r="E95" s="175">
        <f t="shared" ref="E95:J95" si="52">E83*0.95</f>
        <v>16.743456881272095</v>
      </c>
      <c r="F95" s="175">
        <f t="shared" si="52"/>
        <v>19.526890647418156</v>
      </c>
      <c r="G95" s="175">
        <f t="shared" si="52"/>
        <v>20.922912556547434</v>
      </c>
      <c r="H95" s="175">
        <f t="shared" si="52"/>
        <v>22.325087680888281</v>
      </c>
      <c r="I95" s="175">
        <f t="shared" si="52"/>
        <v>23.828518178663678</v>
      </c>
      <c r="J95" s="175">
        <f t="shared" si="52"/>
        <v>25.29757587031267</v>
      </c>
    </row>
    <row r="96" spans="2:10" x14ac:dyDescent="0.25">
      <c r="B96" s="173" t="s">
        <v>433</v>
      </c>
      <c r="C96" s="174"/>
      <c r="D96" s="175">
        <f>D84*0.95</f>
        <v>4.8669734575072914</v>
      </c>
      <c r="E96" s="175">
        <f t="shared" ref="E96:J96" si="53">E84*0.95</f>
        <v>8.5956680540970858</v>
      </c>
      <c r="F96" s="175">
        <f t="shared" si="53"/>
        <v>9.1663040503912505</v>
      </c>
      <c r="G96" s="175">
        <f t="shared" si="53"/>
        <v>9.2676738295800014</v>
      </c>
      <c r="H96" s="175">
        <f t="shared" si="53"/>
        <v>9.4049402529562514</v>
      </c>
      <c r="I96" s="175">
        <f t="shared" si="53"/>
        <v>9.6197673773903123</v>
      </c>
      <c r="J96" s="175">
        <f t="shared" si="53"/>
        <v>9.6558144939971111</v>
      </c>
    </row>
    <row r="97" spans="2:12" x14ac:dyDescent="0.25">
      <c r="B97" s="173" t="s">
        <v>419</v>
      </c>
      <c r="C97" s="174"/>
      <c r="D97" s="175">
        <f>D94-D95-D96</f>
        <v>8.1871008552806934E-2</v>
      </c>
      <c r="E97" s="175">
        <f t="shared" ref="E97:J97" si="54">E94-E95-E96</f>
        <v>1.5253875746995753</v>
      </c>
      <c r="F97" s="175">
        <f t="shared" si="54"/>
        <v>3.0557746322718451</v>
      </c>
      <c r="G97" s="175">
        <f t="shared" si="54"/>
        <v>4.0006113539600605</v>
      </c>
      <c r="H97" s="175">
        <f t="shared" si="54"/>
        <v>4.9033982162492151</v>
      </c>
      <c r="I97" s="175">
        <f t="shared" si="54"/>
        <v>5.6273690040460078</v>
      </c>
      <c r="J97" s="175">
        <f t="shared" si="54"/>
        <v>6.5644926057964685</v>
      </c>
    </row>
    <row r="98" spans="2:12" x14ac:dyDescent="0.25">
      <c r="B98" s="173" t="s">
        <v>434</v>
      </c>
      <c r="C98" s="174"/>
      <c r="D98" s="175">
        <f>D97/D94*100</f>
        <v>0.57468130253992611</v>
      </c>
      <c r="E98" s="175">
        <f t="shared" ref="E98:J98" si="55">E97/E94*100</f>
        <v>5.6780765112631899</v>
      </c>
      <c r="F98" s="175">
        <f t="shared" si="55"/>
        <v>9.6247994714479912</v>
      </c>
      <c r="G98" s="175">
        <f t="shared" si="55"/>
        <v>11.700705498449212</v>
      </c>
      <c r="H98" s="175">
        <f t="shared" si="55"/>
        <v>13.385038560573365</v>
      </c>
      <c r="I98" s="175">
        <f t="shared" si="55"/>
        <v>14.401214944181875</v>
      </c>
      <c r="J98" s="175">
        <f t="shared" si="55"/>
        <v>15.81124117172121</v>
      </c>
    </row>
    <row r="99" spans="2:12" x14ac:dyDescent="0.25">
      <c r="B99" s="152" t="s">
        <v>435</v>
      </c>
      <c r="C99" s="174"/>
      <c r="D99" s="175">
        <f>D97*72.18%</f>
        <v>5.9094493973416054E-2</v>
      </c>
      <c r="E99" s="175">
        <f t="shared" ref="E99:J99" si="56">E97*72.18%</f>
        <v>1.1010247514181537</v>
      </c>
      <c r="F99" s="175">
        <f t="shared" si="56"/>
        <v>2.205658129573818</v>
      </c>
      <c r="G99" s="175">
        <f t="shared" si="56"/>
        <v>2.887641275288372</v>
      </c>
      <c r="H99" s="175">
        <f t="shared" si="56"/>
        <v>3.5392728324886842</v>
      </c>
      <c r="I99" s="175">
        <f t="shared" si="56"/>
        <v>4.0618349471204089</v>
      </c>
      <c r="J99" s="175">
        <f t="shared" si="56"/>
        <v>4.7382507628638919</v>
      </c>
    </row>
    <row r="100" spans="2:12" x14ac:dyDescent="0.25">
      <c r="B100" s="173" t="s">
        <v>401</v>
      </c>
      <c r="C100" s="174"/>
      <c r="D100" s="175">
        <f>D99+D58*0.95</f>
        <v>1.5481264731400828</v>
      </c>
      <c r="E100" s="175">
        <f t="shared" ref="E100:J100" si="57">E99+E58*0.95</f>
        <v>3.4590290535014869</v>
      </c>
      <c r="F100" s="175">
        <f t="shared" si="57"/>
        <v>4.256344813948818</v>
      </c>
      <c r="G100" s="175">
        <f t="shared" si="57"/>
        <v>4.6724696818508722</v>
      </c>
      <c r="H100" s="175">
        <f t="shared" si="57"/>
        <v>5.0939472304261839</v>
      </c>
      <c r="I100" s="175">
        <f t="shared" si="57"/>
        <v>5.4171214124907214</v>
      </c>
      <c r="J100" s="175">
        <f t="shared" si="57"/>
        <v>5.9206761628397508</v>
      </c>
    </row>
    <row r="101" spans="2:12" x14ac:dyDescent="0.25">
      <c r="B101" s="173" t="s">
        <v>402</v>
      </c>
      <c r="C101" s="174"/>
      <c r="D101" s="175">
        <f>D60*0.95</f>
        <v>0.52867500000000001</v>
      </c>
      <c r="E101" s="175">
        <f t="shared" ref="E101:J101" si="58">E60*0.95</f>
        <v>0.86476125000000026</v>
      </c>
      <c r="F101" s="175">
        <f t="shared" si="58"/>
        <v>0.76582350000000066</v>
      </c>
      <c r="G101" s="175">
        <f t="shared" si="58"/>
        <v>0.64460587500000088</v>
      </c>
      <c r="H101" s="175">
        <f t="shared" si="58"/>
        <v>0.52358062500000091</v>
      </c>
      <c r="I101" s="175">
        <f t="shared" si="58"/>
        <v>0.44935000000000125</v>
      </c>
      <c r="J101" s="175">
        <f t="shared" si="58"/>
        <v>0.16981250000000112</v>
      </c>
    </row>
    <row r="102" spans="2:12" x14ac:dyDescent="0.25">
      <c r="B102" s="173" t="s">
        <v>403</v>
      </c>
      <c r="C102" s="174"/>
      <c r="D102" s="175">
        <f>D100+D101</f>
        <v>2.0768014731400828</v>
      </c>
      <c r="E102" s="175">
        <f t="shared" ref="E102:J102" si="59">E100+E101</f>
        <v>4.3237903035014869</v>
      </c>
      <c r="F102" s="175">
        <f t="shared" si="59"/>
        <v>5.0221683139488187</v>
      </c>
      <c r="G102" s="175">
        <f t="shared" si="59"/>
        <v>5.317075556850873</v>
      </c>
      <c r="H102" s="175">
        <f t="shared" si="59"/>
        <v>5.6175278554261849</v>
      </c>
      <c r="I102" s="175">
        <f t="shared" si="59"/>
        <v>5.8664714124907231</v>
      </c>
      <c r="J102" s="175">
        <f t="shared" si="59"/>
        <v>6.0904886628397517</v>
      </c>
    </row>
    <row r="103" spans="2:12" x14ac:dyDescent="0.25">
      <c r="B103" s="173" t="s">
        <v>405</v>
      </c>
      <c r="C103" s="174"/>
      <c r="D103" s="175">
        <f>D101+D62</f>
        <v>0.52867500000000001</v>
      </c>
      <c r="E103" s="175">
        <f t="shared" ref="E103:J103" si="60">E101+E62</f>
        <v>2.0647612500000001</v>
      </c>
      <c r="F103" s="175">
        <f t="shared" si="60"/>
        <v>2.205823500000001</v>
      </c>
      <c r="G103" s="175">
        <f t="shared" si="60"/>
        <v>2.4446058750000006</v>
      </c>
      <c r="H103" s="175">
        <f t="shared" si="60"/>
        <v>2.6835806250000007</v>
      </c>
      <c r="I103" s="175">
        <f t="shared" si="60"/>
        <v>2.8493500000000012</v>
      </c>
      <c r="J103" s="175">
        <f t="shared" si="60"/>
        <v>3.1698125000000013</v>
      </c>
    </row>
    <row r="104" spans="2:12" x14ac:dyDescent="0.25">
      <c r="B104" s="176" t="s">
        <v>406</v>
      </c>
      <c r="C104" s="177"/>
      <c r="D104" s="179">
        <f>D102/D103</f>
        <v>3.9283141308745124</v>
      </c>
      <c r="E104" s="179">
        <f t="shared" ref="E104:J104" si="61">E102/E103</f>
        <v>2.0940872962922406</v>
      </c>
      <c r="F104" s="179">
        <f t="shared" si="61"/>
        <v>2.2767770467350701</v>
      </c>
      <c r="G104" s="179">
        <f t="shared" si="61"/>
        <v>2.1750236351906302</v>
      </c>
      <c r="H104" s="179">
        <f t="shared" si="61"/>
        <v>2.0932957270200085</v>
      </c>
      <c r="I104" s="179">
        <f t="shared" si="61"/>
        <v>2.0588805911842072</v>
      </c>
      <c r="J104" s="179">
        <f t="shared" si="61"/>
        <v>1.9214034466832814</v>
      </c>
    </row>
    <row r="106" spans="2:12" ht="87" customHeight="1" x14ac:dyDescent="0.25">
      <c r="B106" s="104" t="s">
        <v>436</v>
      </c>
      <c r="C106" s="108"/>
      <c r="D106" s="108"/>
      <c r="E106" s="108"/>
      <c r="F106" s="183" t="s">
        <v>437</v>
      </c>
      <c r="G106" s="183" t="s">
        <v>438</v>
      </c>
      <c r="H106" s="183" t="s">
        <v>439</v>
      </c>
      <c r="I106" s="183" t="s">
        <v>440</v>
      </c>
      <c r="J106" s="146"/>
    </row>
    <row r="107" spans="2:12" x14ac:dyDescent="0.25">
      <c r="B107" s="180" t="s">
        <v>441</v>
      </c>
      <c r="D107" s="172">
        <f>D30</f>
        <v>2.3028320923362866</v>
      </c>
      <c r="E107" s="188">
        <f t="shared" ref="E107:J107" si="62">E30</f>
        <v>5.1570559229293771</v>
      </c>
      <c r="F107" s="172">
        <f t="shared" si="62"/>
        <v>6.3403524385756249</v>
      </c>
      <c r="G107" s="172">
        <f t="shared" si="62"/>
        <v>6.9274690900237488</v>
      </c>
      <c r="H107" s="172">
        <f t="shared" si="62"/>
        <v>7.5081086728281186</v>
      </c>
      <c r="I107" s="172">
        <f t="shared" si="62"/>
        <v>8.0431636520171779</v>
      </c>
      <c r="J107" s="172">
        <f t="shared" si="62"/>
        <v>8.553400532391926</v>
      </c>
      <c r="K107" s="184">
        <f>SUM(D107:J107)</f>
        <v>44.832382401102258</v>
      </c>
      <c r="L107" s="184">
        <f>K107/7</f>
        <v>6.4046260573003222</v>
      </c>
    </row>
    <row r="108" spans="2:12" x14ac:dyDescent="0.25">
      <c r="B108" s="147" t="s">
        <v>442</v>
      </c>
      <c r="E108" s="172">
        <f>E80</f>
        <v>28.278434221125007</v>
      </c>
      <c r="F108" s="172">
        <f>E108</f>
        <v>28.278434221125007</v>
      </c>
      <c r="G108" s="172">
        <f>F108*0.9</f>
        <v>25.450590799012506</v>
      </c>
      <c r="H108" s="172">
        <f>G108</f>
        <v>25.450590799012506</v>
      </c>
      <c r="I108" s="172">
        <f>E108*0.95</f>
        <v>26.864512510068757</v>
      </c>
      <c r="J108" s="172">
        <f>I108</f>
        <v>26.864512510068757</v>
      </c>
    </row>
    <row r="109" spans="2:12" x14ac:dyDescent="0.25">
      <c r="B109" s="147" t="s">
        <v>443</v>
      </c>
      <c r="E109" s="172">
        <f>E83</f>
        <v>17.624691453970627</v>
      </c>
      <c r="F109" s="172">
        <f>E109*1.1</f>
        <v>19.387160599367689</v>
      </c>
      <c r="G109" s="172">
        <f>F109</f>
        <v>19.387160599367689</v>
      </c>
      <c r="H109" s="172">
        <f>G109</f>
        <v>19.387160599367689</v>
      </c>
      <c r="I109" s="172">
        <f>H109*1.05</f>
        <v>20.356518629336076</v>
      </c>
      <c r="J109" s="172"/>
    </row>
    <row r="110" spans="2:12" x14ac:dyDescent="0.25">
      <c r="B110" s="147" t="s">
        <v>444</v>
      </c>
      <c r="E110" s="172">
        <f>E85</f>
        <v>10.65374276715438</v>
      </c>
      <c r="F110" s="172">
        <f>F108-F109</f>
        <v>8.8912736217573176</v>
      </c>
      <c r="G110" s="172">
        <f t="shared" ref="G110:I110" si="63">G108-G109</f>
        <v>6.0634301996448166</v>
      </c>
      <c r="H110" s="172">
        <f t="shared" si="63"/>
        <v>6.0634301996448166</v>
      </c>
      <c r="I110" s="172">
        <f t="shared" si="63"/>
        <v>6.5079938807326805</v>
      </c>
      <c r="J110" s="172"/>
    </row>
    <row r="111" spans="2:12" x14ac:dyDescent="0.25">
      <c r="B111" s="147" t="s">
        <v>445</v>
      </c>
      <c r="E111" s="172">
        <f>E84</f>
        <v>9.0480716358916702</v>
      </c>
      <c r="F111" s="172">
        <f>E111</f>
        <v>9.0480716358916702</v>
      </c>
      <c r="G111" s="172">
        <f t="shared" ref="G111:I111" si="64">F111</f>
        <v>9.0480716358916702</v>
      </c>
      <c r="H111" s="172">
        <f t="shared" si="64"/>
        <v>9.0480716358916702</v>
      </c>
      <c r="I111" s="172">
        <f t="shared" si="64"/>
        <v>9.0480716358916702</v>
      </c>
      <c r="J111" s="172"/>
    </row>
    <row r="112" spans="2:12" x14ac:dyDescent="0.25">
      <c r="B112" s="147" t="s">
        <v>446</v>
      </c>
      <c r="E112" s="172">
        <f>E110-E111</f>
        <v>1.6056711312627101</v>
      </c>
      <c r="F112" s="172">
        <f>F110-F111</f>
        <v>-0.15679801413435257</v>
      </c>
      <c r="G112" s="172">
        <f t="shared" ref="G112:I112" si="65">G110-G111</f>
        <v>-2.9846414362468536</v>
      </c>
      <c r="H112" s="172">
        <f t="shared" si="65"/>
        <v>-2.9846414362468536</v>
      </c>
      <c r="I112" s="172">
        <f t="shared" si="65"/>
        <v>-2.5400777551589897</v>
      </c>
      <c r="J112" s="172"/>
    </row>
    <row r="113" spans="2:10" x14ac:dyDescent="0.25">
      <c r="B113" s="147" t="s">
        <v>447</v>
      </c>
      <c r="E113" s="172">
        <f>E86</f>
        <v>24.01647047199463</v>
      </c>
      <c r="F113" s="172">
        <f>(F111*F108/F110)</f>
        <v>28.777125692935201</v>
      </c>
      <c r="G113" s="172">
        <f t="shared" ref="G113:I113" si="66">(G111*G108/G110)</f>
        <v>37.978299599906308</v>
      </c>
      <c r="H113" s="172">
        <f t="shared" si="66"/>
        <v>37.978299599906308</v>
      </c>
      <c r="I113" s="172">
        <f t="shared" si="66"/>
        <v>37.34976370737531</v>
      </c>
      <c r="J113" s="172"/>
    </row>
    <row r="114" spans="2:10" x14ac:dyDescent="0.25">
      <c r="B114" s="147" t="s">
        <v>448</v>
      </c>
      <c r="E114" s="172">
        <f>E112*27.82%</f>
        <v>0.44669770871728598</v>
      </c>
      <c r="F114" s="172">
        <f t="shared" ref="F114:I114" si="67">F112*27.82%</f>
        <v>-4.3621207532176888E-2</v>
      </c>
      <c r="G114" s="172">
        <f t="shared" si="67"/>
        <v>-0.83032724756387466</v>
      </c>
      <c r="H114" s="172">
        <f t="shared" si="67"/>
        <v>-0.83032724756387466</v>
      </c>
      <c r="I114" s="172">
        <f t="shared" si="67"/>
        <v>-0.70664963148523097</v>
      </c>
      <c r="J114" s="172"/>
    </row>
    <row r="115" spans="2:10" x14ac:dyDescent="0.25">
      <c r="B115" s="147" t="s">
        <v>400</v>
      </c>
      <c r="E115" s="172">
        <f>E112-E114</f>
        <v>1.158973422545424</v>
      </c>
      <c r="F115" s="172">
        <f t="shared" ref="F115:I115" si="68">F112-F114</f>
        <v>-0.11317680660217569</v>
      </c>
      <c r="G115" s="172">
        <f t="shared" si="68"/>
        <v>-2.1543141886829789</v>
      </c>
      <c r="H115" s="172">
        <f t="shared" si="68"/>
        <v>-2.1543141886829789</v>
      </c>
      <c r="I115" s="172">
        <f t="shared" si="68"/>
        <v>-1.8334281236737588</v>
      </c>
      <c r="J115" s="172"/>
    </row>
    <row r="116" spans="2:10" x14ac:dyDescent="0.25">
      <c r="B116" s="147" t="s">
        <v>45</v>
      </c>
      <c r="E116" s="172">
        <f>E58</f>
        <v>2.4821097916666668</v>
      </c>
      <c r="F116" s="172">
        <f>E116</f>
        <v>2.4821097916666668</v>
      </c>
      <c r="G116" s="172">
        <f t="shared" ref="G116:I116" si="69">F116</f>
        <v>2.4821097916666668</v>
      </c>
      <c r="H116" s="172">
        <f t="shared" si="69"/>
        <v>2.4821097916666668</v>
      </c>
      <c r="I116" s="172">
        <f t="shared" si="69"/>
        <v>2.4821097916666668</v>
      </c>
      <c r="J116" s="172"/>
    </row>
    <row r="118" spans="2:10" x14ac:dyDescent="0.25">
      <c r="B118" s="180" t="s">
        <v>401</v>
      </c>
      <c r="E118" s="172">
        <f>E115+E116</f>
        <v>3.6410832142120908</v>
      </c>
      <c r="F118" s="172">
        <f t="shared" ref="F118:I118" si="70">F115+F116</f>
        <v>2.3689329850644909</v>
      </c>
      <c r="G118" s="172">
        <f t="shared" si="70"/>
        <v>0.32779560298368793</v>
      </c>
      <c r="H118" s="172">
        <f t="shared" si="70"/>
        <v>0.32779560298368793</v>
      </c>
      <c r="I118" s="172">
        <f t="shared" si="70"/>
        <v>0.64868166799290794</v>
      </c>
    </row>
    <row r="119" spans="2:10" x14ac:dyDescent="0.25">
      <c r="B119" s="180" t="s">
        <v>402</v>
      </c>
      <c r="E119" s="172">
        <f>E49</f>
        <v>0.91027500000000028</v>
      </c>
      <c r="F119" s="172">
        <f>E119</f>
        <v>0.91027500000000028</v>
      </c>
      <c r="G119" s="172">
        <f t="shared" ref="G119:I119" si="71">F119</f>
        <v>0.91027500000000028</v>
      </c>
      <c r="H119" s="172">
        <f t="shared" si="71"/>
        <v>0.91027500000000028</v>
      </c>
      <c r="I119" s="172">
        <f t="shared" si="71"/>
        <v>0.91027500000000028</v>
      </c>
    </row>
    <row r="120" spans="2:10" x14ac:dyDescent="0.25">
      <c r="B120" s="180" t="s">
        <v>403</v>
      </c>
      <c r="E120" s="172">
        <f>E118+E119</f>
        <v>4.5513582142120912</v>
      </c>
      <c r="F120" s="172">
        <f t="shared" ref="F120:I120" si="72">F118+F119</f>
        <v>3.2792079850644913</v>
      </c>
      <c r="G120" s="172">
        <f t="shared" si="72"/>
        <v>1.2380706029836883</v>
      </c>
      <c r="H120" s="172">
        <f t="shared" si="72"/>
        <v>1.2380706029836883</v>
      </c>
      <c r="I120" s="172">
        <f t="shared" si="72"/>
        <v>1.5589566679929083</v>
      </c>
    </row>
    <row r="121" spans="2:10" x14ac:dyDescent="0.25">
      <c r="B121" s="180" t="s">
        <v>404</v>
      </c>
      <c r="E121" s="172">
        <f>E62</f>
        <v>1.2</v>
      </c>
      <c r="F121" s="172">
        <f>E121</f>
        <v>1.2</v>
      </c>
      <c r="G121" s="172">
        <f t="shared" ref="G121:I121" si="73">F121</f>
        <v>1.2</v>
      </c>
      <c r="H121" s="172">
        <f t="shared" si="73"/>
        <v>1.2</v>
      </c>
      <c r="I121" s="172">
        <f t="shared" si="73"/>
        <v>1.2</v>
      </c>
    </row>
    <row r="122" spans="2:10" x14ac:dyDescent="0.25">
      <c r="B122" s="180" t="s">
        <v>405</v>
      </c>
      <c r="E122" s="172">
        <f>E119+E121</f>
        <v>2.1102750000000001</v>
      </c>
      <c r="F122" s="172">
        <f t="shared" ref="F122:I122" si="74">F119+F121</f>
        <v>2.1102750000000001</v>
      </c>
      <c r="G122" s="172">
        <f t="shared" si="74"/>
        <v>2.1102750000000001</v>
      </c>
      <c r="H122" s="172">
        <f t="shared" si="74"/>
        <v>2.1102750000000001</v>
      </c>
      <c r="I122" s="172">
        <f t="shared" si="74"/>
        <v>2.1102750000000001</v>
      </c>
    </row>
    <row r="123" spans="2:10" x14ac:dyDescent="0.25">
      <c r="B123" s="180" t="s">
        <v>406</v>
      </c>
      <c r="E123" s="172">
        <f>E120/E122</f>
        <v>2.1567607132776967</v>
      </c>
      <c r="F123" s="172">
        <f t="shared" ref="F123:I123" si="75">F120/F122</f>
        <v>1.5539244814370123</v>
      </c>
      <c r="G123" s="172">
        <f t="shared" si="75"/>
        <v>0.58668685502301277</v>
      </c>
      <c r="H123" s="172">
        <f t="shared" si="75"/>
        <v>0.58668685502301277</v>
      </c>
      <c r="I123" s="172">
        <f t="shared" si="75"/>
        <v>0.73874574071763555</v>
      </c>
    </row>
    <row r="124" spans="2:10" x14ac:dyDescent="0.25">
      <c r="B124" s="180" t="s">
        <v>407</v>
      </c>
      <c r="E124" s="172">
        <f>AVERAGE(E123:I123)</f>
        <v>1.124560929095674</v>
      </c>
      <c r="F124" s="172"/>
      <c r="G124" s="172"/>
      <c r="H124" s="172"/>
      <c r="I124" s="172"/>
    </row>
    <row r="125" spans="2:10" x14ac:dyDescent="0.25">
      <c r="B125" s="180" t="s">
        <v>408</v>
      </c>
      <c r="E125" s="172">
        <f>E118/E121</f>
        <v>3.0342360118434093</v>
      </c>
      <c r="F125" s="172">
        <f t="shared" ref="F125:I125" si="76">F118/F121</f>
        <v>1.9741108208870759</v>
      </c>
      <c r="G125" s="172">
        <f t="shared" si="76"/>
        <v>0.27316300248640663</v>
      </c>
      <c r="H125" s="172">
        <f t="shared" si="76"/>
        <v>0.27316300248640663</v>
      </c>
      <c r="I125" s="172">
        <f t="shared" si="76"/>
        <v>0.54056805666075669</v>
      </c>
    </row>
    <row r="126" spans="2:10" x14ac:dyDescent="0.25">
      <c r="B126" s="180" t="s">
        <v>409</v>
      </c>
      <c r="E126" s="172">
        <f>AVERAGE(E125:I125)</f>
        <v>1.2190481788728111</v>
      </c>
    </row>
    <row r="128" spans="2:10" x14ac:dyDescent="0.25">
      <c r="B128" s="180" t="s">
        <v>449</v>
      </c>
      <c r="E128" s="172">
        <f>E119*1.01</f>
        <v>0.91937775000000033</v>
      </c>
    </row>
    <row r="129" spans="2:9" x14ac:dyDescent="0.25">
      <c r="B129" s="180" t="s">
        <v>450</v>
      </c>
      <c r="E129" s="172">
        <f>(E118+E128)/(E128+E121)</f>
        <v>2.1517924136988276</v>
      </c>
    </row>
    <row r="131" spans="2:9" ht="30" x14ac:dyDescent="0.25">
      <c r="B131" s="180"/>
      <c r="H131" s="185" t="s">
        <v>451</v>
      </c>
      <c r="I131" s="185" t="s">
        <v>452</v>
      </c>
    </row>
    <row r="132" spans="2:9" x14ac:dyDescent="0.25">
      <c r="B132" s="139" t="s">
        <v>453</v>
      </c>
    </row>
    <row r="133" spans="2:9" x14ac:dyDescent="0.25">
      <c r="B133" s="147" t="s">
        <v>454</v>
      </c>
      <c r="D133" s="172">
        <f>E123</f>
        <v>2.1567607132776967</v>
      </c>
    </row>
    <row r="134" spans="2:9" x14ac:dyDescent="0.25">
      <c r="B134" s="147" t="s">
        <v>455</v>
      </c>
      <c r="D134" s="172">
        <f>G123</f>
        <v>0.58668685502301277</v>
      </c>
    </row>
    <row r="135" spans="2:9" x14ac:dyDescent="0.25">
      <c r="B135" s="147" t="s">
        <v>456</v>
      </c>
      <c r="D135" s="172">
        <f>F123</f>
        <v>1.5539244814370123</v>
      </c>
    </row>
    <row r="136" spans="2:9" x14ac:dyDescent="0.25">
      <c r="B136" s="147" t="s">
        <v>457</v>
      </c>
      <c r="D136" s="172">
        <f>E129</f>
        <v>2.1517924136988276</v>
      </c>
    </row>
    <row r="137" spans="2:9" ht="30" x14ac:dyDescent="0.25">
      <c r="B137" s="186" t="s">
        <v>440</v>
      </c>
      <c r="D137" s="172">
        <f>I125</f>
        <v>0.54056805666075669</v>
      </c>
    </row>
  </sheetData>
  <mergeCells count="5">
    <mergeCell ref="B1:J1"/>
    <mergeCell ref="B56:J56"/>
    <mergeCell ref="B71:J71"/>
    <mergeCell ref="B78:J78"/>
    <mergeCell ref="B90:J90"/>
  </mergeCells>
  <phoneticPr fontId="13" type="noConversion"/>
  <pageMargins left="0.7" right="0.7" top="0.75" bottom="0.75" header="0.3" footer="0.3"/>
  <pageSetup scale="87" orientation="landscape" r:id="rId1"/>
  <ignoredErrors>
    <ignoredError sqref="C2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0"/>
  <sheetViews>
    <sheetView showGridLines="0" tabSelected="1" workbookViewId="0">
      <selection activeCell="J6" sqref="J6"/>
    </sheetView>
  </sheetViews>
  <sheetFormatPr defaultRowHeight="15" x14ac:dyDescent="0.25"/>
  <cols>
    <col min="1" max="1" width="5.85546875" customWidth="1"/>
    <col min="2" max="2" width="58.5703125" style="121" customWidth="1"/>
    <col min="3" max="3" width="9.140625" style="105" customWidth="1"/>
    <col min="4" max="10" width="12.7109375" style="105" customWidth="1"/>
    <col min="11" max="11" width="35.85546875" bestFit="1" customWidth="1"/>
  </cols>
  <sheetData>
    <row r="2" spans="2:22" ht="21" customHeight="1" x14ac:dyDescent="0.25">
      <c r="B2" s="120" t="s">
        <v>206</v>
      </c>
      <c r="C2" s="106"/>
      <c r="D2" s="106"/>
      <c r="E2" s="106"/>
      <c r="F2" s="106"/>
      <c r="G2" s="106"/>
      <c r="H2" s="106"/>
      <c r="I2" s="106"/>
      <c r="J2" s="106"/>
    </row>
    <row r="3" spans="2:22" ht="9.75" customHeight="1" x14ac:dyDescent="0.25"/>
    <row r="4" spans="2:22" ht="18.75" customHeight="1" x14ac:dyDescent="0.25">
      <c r="B4" s="202" t="s">
        <v>382</v>
      </c>
      <c r="C4" s="202"/>
      <c r="D4" s="202"/>
      <c r="E4" s="202"/>
      <c r="F4" s="202"/>
      <c r="G4" s="202"/>
      <c r="H4" s="202"/>
      <c r="I4" s="202"/>
      <c r="J4" s="202"/>
    </row>
    <row r="5" spans="2:22" x14ac:dyDescent="0.25">
      <c r="B5" s="122"/>
      <c r="C5" s="107"/>
      <c r="D5" s="107"/>
      <c r="E5" s="107"/>
      <c r="F5" s="107"/>
      <c r="G5" s="107"/>
      <c r="H5" s="107"/>
      <c r="I5" s="107"/>
      <c r="J5" s="107"/>
    </row>
    <row r="6" spans="2:22" ht="17.25" customHeight="1" x14ac:dyDescent="0.25">
      <c r="B6" s="104" t="s">
        <v>49</v>
      </c>
      <c r="C6" s="108"/>
      <c r="D6" s="108" t="s">
        <v>203</v>
      </c>
      <c r="E6" s="108" t="s">
        <v>193</v>
      </c>
      <c r="F6" s="108" t="s">
        <v>194</v>
      </c>
      <c r="G6" s="108" t="s">
        <v>195</v>
      </c>
      <c r="H6" s="108" t="s">
        <v>196</v>
      </c>
      <c r="I6" s="108" t="s">
        <v>197</v>
      </c>
      <c r="J6" s="108" t="s">
        <v>198</v>
      </c>
    </row>
    <row r="7" spans="2:22" x14ac:dyDescent="0.25">
      <c r="B7" s="104" t="s">
        <v>50</v>
      </c>
      <c r="C7" s="109"/>
      <c r="D7" s="108">
        <v>7</v>
      </c>
      <c r="E7" s="108">
        <v>12</v>
      </c>
      <c r="F7" s="108">
        <v>12</v>
      </c>
      <c r="G7" s="108">
        <v>12</v>
      </c>
      <c r="H7" s="108">
        <v>12</v>
      </c>
      <c r="I7" s="108">
        <v>12</v>
      </c>
      <c r="J7" s="108">
        <v>12</v>
      </c>
    </row>
    <row r="8" spans="2:22" ht="18" customHeight="1" x14ac:dyDescent="0.25">
      <c r="B8" s="123" t="s">
        <v>217</v>
      </c>
      <c r="C8" s="110"/>
      <c r="D8" s="111">
        <v>0.5</v>
      </c>
      <c r="E8" s="111">
        <v>0.55000000000000004</v>
      </c>
      <c r="F8" s="111">
        <v>0.65</v>
      </c>
      <c r="G8" s="111">
        <v>0.7</v>
      </c>
      <c r="H8" s="111">
        <v>0.75</v>
      </c>
      <c r="I8" s="111">
        <v>0.8</v>
      </c>
      <c r="J8" s="111">
        <v>0.85</v>
      </c>
    </row>
    <row r="9" spans="2:22" ht="18" customHeight="1" x14ac:dyDescent="0.25">
      <c r="B9" s="124" t="s">
        <v>223</v>
      </c>
      <c r="C9" s="112"/>
      <c r="D9" s="113">
        <f>(Assumptions!D14*D7*D8)/10000000</f>
        <v>4.4152500000000003</v>
      </c>
      <c r="E9" s="113">
        <f>(Assumptions!D14*E7*E8)/10000000</f>
        <v>8.3259000000000007</v>
      </c>
      <c r="F9" s="113">
        <f>(Assumptions!D14*F7*F8)/10000000</f>
        <v>9.8397000000000006</v>
      </c>
      <c r="G9" s="113">
        <f>(Assumptions!D14*G7*G8)/10000000</f>
        <v>10.5966</v>
      </c>
      <c r="H9" s="113">
        <f>(Assumptions!D14*H7*H8)/10000000</f>
        <v>11.3535</v>
      </c>
      <c r="I9" s="113">
        <f>(Assumptions!D14*I7*I8)/10000000</f>
        <v>12.1104</v>
      </c>
      <c r="J9" s="113">
        <f>(Assumptions!D14*J7*J8)/10000000</f>
        <v>12.8673</v>
      </c>
    </row>
    <row r="10" spans="2:22" ht="18" customHeight="1" x14ac:dyDescent="0.25">
      <c r="B10" s="124" t="s">
        <v>227</v>
      </c>
      <c r="C10" s="112"/>
      <c r="D10" s="113">
        <f>(Assumptions!H71*'Proj P&amp;L'!D7*'Proj P&amp;L'!D8)/10000000</f>
        <v>9.9249893596874994</v>
      </c>
      <c r="E10" s="113">
        <f>(Assumptions!H71*'Proj P&amp;L'!E7*'Proj P&amp;L'!E8)/10000000</f>
        <v>18.715694221125005</v>
      </c>
      <c r="F10" s="113">
        <f>(Assumptions!H71*'Proj P&amp;L'!F7*'Proj P&amp;L'!F8)/10000000</f>
        <v>22.118547715875003</v>
      </c>
      <c r="G10" s="113">
        <f>(Assumptions!H71*'Proj P&amp;L'!G7*'Proj P&amp;L'!G8)/10000000</f>
        <v>23.819974463249999</v>
      </c>
      <c r="H10" s="113">
        <f>(Assumptions!H71*'Proj P&amp;L'!H7*'Proj P&amp;L'!H8)/10000000</f>
        <v>25.521401210625001</v>
      </c>
      <c r="I10" s="113">
        <f>(Assumptions!H71*'Proj P&amp;L'!I7*'Proj P&amp;L'!I8)/10000000</f>
        <v>27.222827958000003</v>
      </c>
      <c r="J10" s="113">
        <f>(Assumptions!H71*'Proj P&amp;L'!J7*'Proj P&amp;L'!J8)/10000000</f>
        <v>28.924254705375002</v>
      </c>
    </row>
    <row r="11" spans="2:22" ht="18" customHeight="1" x14ac:dyDescent="0.25">
      <c r="B11" s="124" t="s">
        <v>228</v>
      </c>
      <c r="C11" s="112"/>
      <c r="D11" s="113">
        <f>Assumptions!B82*'Proj P&amp;L'!D8*D7/12/10000000</f>
        <v>0.65590000000000004</v>
      </c>
      <c r="E11" s="113">
        <f>Assumptions!B82*'Proj P&amp;L'!E8/10000000</f>
        <v>1.2368400000000002</v>
      </c>
      <c r="F11" s="113">
        <f>Assumptions!B82*'Proj P&amp;L'!F8/10000000</f>
        <v>1.4617199999999999</v>
      </c>
      <c r="G11" s="113">
        <f>Assumptions!B82*'Proj P&amp;L'!G8/10000000</f>
        <v>1.5741599999999998</v>
      </c>
      <c r="H11" s="113">
        <f>Assumptions!B82*'Proj P&amp;L'!H8/10000000</f>
        <v>1.6866000000000001</v>
      </c>
      <c r="I11" s="113">
        <f>Assumptions!B82*'Proj P&amp;L'!I8/10000000</f>
        <v>1.79904</v>
      </c>
      <c r="J11" s="113">
        <f>Assumptions!B82*'Proj P&amp;L'!J8/10000000</f>
        <v>1.9114800000000001</v>
      </c>
      <c r="M11" s="215">
        <f>D15-M15</f>
        <v>4.0940581108710941</v>
      </c>
      <c r="N11" s="215">
        <f t="shared" ref="N11:S11" si="0">E15-N15</f>
        <v>8.7495870483759397</v>
      </c>
      <c r="O11" s="215">
        <f t="shared" si="0"/>
        <v>10.340421057171566</v>
      </c>
      <c r="P11" s="215">
        <f t="shared" si="0"/>
        <v>11.135838061569375</v>
      </c>
      <c r="Q11" s="215">
        <f t="shared" si="0"/>
        <v>11.931255065967189</v>
      </c>
      <c r="R11" s="215">
        <f t="shared" si="0"/>
        <v>12.726672070365002</v>
      </c>
      <c r="S11" s="215">
        <f t="shared" si="0"/>
        <v>13.522089074762814</v>
      </c>
    </row>
    <row r="12" spans="2:22" ht="18" customHeight="1" x14ac:dyDescent="0.25">
      <c r="B12" s="127" t="s">
        <v>51</v>
      </c>
      <c r="C12" s="128"/>
      <c r="D12" s="129">
        <f t="shared" ref="D12:J12" si="1">SUM(D9:D11)</f>
        <v>14.996139359687501</v>
      </c>
      <c r="E12" s="129">
        <f t="shared" si="1"/>
        <v>28.278434221125007</v>
      </c>
      <c r="F12" s="129">
        <f t="shared" si="1"/>
        <v>33.419967715875003</v>
      </c>
      <c r="G12" s="129">
        <f t="shared" si="1"/>
        <v>35.99073446325</v>
      </c>
      <c r="H12" s="129">
        <f t="shared" si="1"/>
        <v>38.561501210624996</v>
      </c>
      <c r="I12" s="129">
        <f t="shared" si="1"/>
        <v>41.132267958</v>
      </c>
      <c r="J12" s="129">
        <f t="shared" si="1"/>
        <v>43.703034705375003</v>
      </c>
      <c r="M12" s="102">
        <f>M11/D10</f>
        <v>0.41250000000000003</v>
      </c>
      <c r="N12" s="102">
        <f t="shared" ref="N12:S12" si="2">N11/E10</f>
        <v>0.46749999999999997</v>
      </c>
      <c r="O12" s="102">
        <f t="shared" si="2"/>
        <v>0.46750000000000008</v>
      </c>
      <c r="P12" s="102">
        <f t="shared" si="2"/>
        <v>0.46750000000000003</v>
      </c>
      <c r="Q12" s="102">
        <f t="shared" si="2"/>
        <v>0.46750000000000003</v>
      </c>
      <c r="R12" s="102">
        <f t="shared" si="2"/>
        <v>0.46750000000000003</v>
      </c>
      <c r="S12" s="102">
        <f t="shared" si="2"/>
        <v>0.46750000000000003</v>
      </c>
    </row>
    <row r="13" spans="2:22" ht="18" customHeight="1" x14ac:dyDescent="0.25">
      <c r="B13" s="126" t="s">
        <v>52</v>
      </c>
      <c r="C13" s="112"/>
      <c r="D13" s="113"/>
      <c r="E13" s="113"/>
      <c r="F13" s="113"/>
      <c r="G13" s="113"/>
      <c r="H13" s="113"/>
      <c r="I13" s="113"/>
      <c r="J13" s="113"/>
    </row>
    <row r="14" spans="2:22" ht="18" customHeight="1" x14ac:dyDescent="0.25">
      <c r="B14" s="122" t="s">
        <v>283</v>
      </c>
      <c r="C14" s="112"/>
      <c r="D14" s="113">
        <v>0.79</v>
      </c>
      <c r="E14" s="113">
        <v>0.87</v>
      </c>
      <c r="F14" s="113">
        <v>0.92</v>
      </c>
      <c r="G14" s="113">
        <v>0.97</v>
      </c>
      <c r="H14" s="113">
        <v>1.02</v>
      </c>
      <c r="I14" s="113">
        <v>1.1100000000000001</v>
      </c>
      <c r="J14" s="113">
        <v>1.22</v>
      </c>
    </row>
    <row r="15" spans="2:22" ht="29.25" customHeight="1" x14ac:dyDescent="0.25">
      <c r="B15" s="130" t="s">
        <v>371</v>
      </c>
      <c r="C15" s="116">
        <v>0.55000000000000004</v>
      </c>
      <c r="D15" s="113">
        <f>D10*C15</f>
        <v>5.4587441478281251</v>
      </c>
      <c r="E15" s="113">
        <f>E10*C15</f>
        <v>10.293631821618753</v>
      </c>
      <c r="F15" s="113">
        <f>F10*C15</f>
        <v>12.165201243731254</v>
      </c>
      <c r="G15" s="113">
        <f>G10*C15</f>
        <v>13.1009859547875</v>
      </c>
      <c r="H15" s="113">
        <f>H10*C15</f>
        <v>14.036770665843752</v>
      </c>
      <c r="I15" s="113">
        <f>I10*C15</f>
        <v>14.972555376900003</v>
      </c>
      <c r="J15" s="113">
        <f>J10*C15</f>
        <v>15.908340087956253</v>
      </c>
      <c r="K15" s="211" t="s">
        <v>461</v>
      </c>
      <c r="L15" s="213">
        <v>0.25</v>
      </c>
      <c r="M15" s="212">
        <f>$L$15*D15</f>
        <v>1.3646860369570313</v>
      </c>
      <c r="N15" s="212">
        <f>$L$16*E15</f>
        <v>1.5440447732428129</v>
      </c>
      <c r="O15" s="212">
        <f t="shared" ref="O15:S15" si="3">$L$16*F15</f>
        <v>1.824780186559688</v>
      </c>
      <c r="P15" s="212">
        <f t="shared" si="3"/>
        <v>1.965147893218125</v>
      </c>
      <c r="Q15" s="212">
        <f t="shared" si="3"/>
        <v>2.1055155998765627</v>
      </c>
      <c r="R15" s="212">
        <f t="shared" si="3"/>
        <v>2.2458833065350001</v>
      </c>
      <c r="S15" s="212">
        <f t="shared" si="3"/>
        <v>2.386251013193438</v>
      </c>
      <c r="T15" s="210"/>
      <c r="U15" s="210"/>
      <c r="V15" s="210"/>
    </row>
    <row r="16" spans="2:22" ht="21.75" customHeight="1" x14ac:dyDescent="0.25">
      <c r="B16" s="130" t="s">
        <v>286</v>
      </c>
      <c r="C16" s="116">
        <v>0.3</v>
      </c>
      <c r="D16" s="113">
        <f>D11*C16</f>
        <v>0.19677</v>
      </c>
      <c r="E16" s="113">
        <f>E11*C16</f>
        <v>0.37105200000000005</v>
      </c>
      <c r="F16" s="113">
        <f>F11*C16</f>
        <v>0.43851599999999996</v>
      </c>
      <c r="G16" s="113">
        <f>G11*C16</f>
        <v>0.47224799999999989</v>
      </c>
      <c r="H16" s="113">
        <f>H11*C16</f>
        <v>0.50597999999999999</v>
      </c>
      <c r="I16" s="113">
        <f>I11*C16</f>
        <v>0.53971199999999997</v>
      </c>
      <c r="J16" s="113">
        <f>J11*C16</f>
        <v>0.57344399999999995</v>
      </c>
      <c r="K16" s="145"/>
      <c r="L16" s="213">
        <v>0.15</v>
      </c>
      <c r="M16" s="216">
        <f>M15/D10</f>
        <v>0.13750000000000001</v>
      </c>
      <c r="N16" s="216">
        <f t="shared" ref="N16:S16" si="4">N15/E10</f>
        <v>8.249999999999999E-2</v>
      </c>
      <c r="O16" s="216">
        <f t="shared" si="4"/>
        <v>8.2500000000000004E-2</v>
      </c>
      <c r="P16" s="216">
        <f t="shared" si="4"/>
        <v>8.2500000000000004E-2</v>
      </c>
      <c r="Q16" s="216">
        <f t="shared" si="4"/>
        <v>8.2500000000000004E-2</v>
      </c>
      <c r="R16" s="216">
        <f t="shared" si="4"/>
        <v>8.249999999999999E-2</v>
      </c>
      <c r="S16" s="216">
        <f t="shared" si="4"/>
        <v>8.2500000000000018E-2</v>
      </c>
    </row>
    <row r="17" spans="2:19" ht="28.5" customHeight="1" x14ac:dyDescent="0.25">
      <c r="B17" s="130" t="s">
        <v>287</v>
      </c>
      <c r="C17" s="116">
        <v>0.2</v>
      </c>
      <c r="D17" s="113">
        <f>D9*C17</f>
        <v>0.88305000000000011</v>
      </c>
      <c r="E17" s="113">
        <f>E9*C17</f>
        <v>1.6651800000000003</v>
      </c>
      <c r="F17" s="113">
        <f>F9*C17</f>
        <v>1.9679400000000002</v>
      </c>
      <c r="G17" s="113">
        <f>G9*C17</f>
        <v>2.1193200000000001</v>
      </c>
      <c r="H17" s="113">
        <f>H9*C17</f>
        <v>2.2707000000000002</v>
      </c>
      <c r="I17" s="113">
        <f>I9*C17</f>
        <v>2.4220800000000002</v>
      </c>
      <c r="J17" s="113">
        <f>J9*C17</f>
        <v>2.5734600000000003</v>
      </c>
    </row>
    <row r="18" spans="2:19" ht="18" customHeight="1" x14ac:dyDescent="0.25">
      <c r="B18" s="122" t="s">
        <v>288</v>
      </c>
      <c r="C18" s="116">
        <v>0.2</v>
      </c>
      <c r="D18" s="113">
        <f>D12*C18</f>
        <v>2.9992278719375003</v>
      </c>
      <c r="E18" s="113">
        <f>E12*C18</f>
        <v>5.6556868442250021</v>
      </c>
      <c r="F18" s="113">
        <f>F12*C18</f>
        <v>6.6839935431750011</v>
      </c>
      <c r="G18" s="113">
        <f>G12*C18</f>
        <v>7.1981468926500005</v>
      </c>
      <c r="H18" s="113">
        <f>H12*C18</f>
        <v>7.712300242125</v>
      </c>
      <c r="I18" s="113">
        <f>I12*C18</f>
        <v>8.2264535916000003</v>
      </c>
      <c r="J18" s="113">
        <f>J12*C18</f>
        <v>8.7406069410750007</v>
      </c>
      <c r="M18" s="214">
        <v>1.3646860369570313</v>
      </c>
      <c r="N18" s="214">
        <v>1.5440447732428129</v>
      </c>
      <c r="O18" s="214">
        <v>1.824780186559688</v>
      </c>
      <c r="P18" s="214">
        <v>1.965147893218125</v>
      </c>
      <c r="Q18" s="214">
        <v>2.1055155998765627</v>
      </c>
      <c r="R18" s="214">
        <v>2.2458833065350001</v>
      </c>
      <c r="S18" s="214">
        <v>2.386251013193438</v>
      </c>
    </row>
    <row r="19" spans="2:19" ht="18" customHeight="1" x14ac:dyDescent="0.25">
      <c r="B19" s="122" t="s">
        <v>78</v>
      </c>
      <c r="C19" s="117">
        <v>0.05</v>
      </c>
      <c r="D19" s="118">
        <f>D12*C19</f>
        <v>0.74980696798437507</v>
      </c>
      <c r="E19" s="118">
        <f>E12*C19</f>
        <v>1.4139217110562505</v>
      </c>
      <c r="F19" s="118">
        <f>F12*C19</f>
        <v>1.6709983857937503</v>
      </c>
      <c r="G19" s="118">
        <f>G12*C19</f>
        <v>1.7995367231625001</v>
      </c>
      <c r="H19" s="118">
        <f>H12*C19</f>
        <v>1.92807506053125</v>
      </c>
      <c r="I19" s="118">
        <f>I12*C19</f>
        <v>2.0566133979000001</v>
      </c>
      <c r="J19" s="118">
        <f>J12*C19</f>
        <v>2.1851517352687502</v>
      </c>
      <c r="M19" s="1"/>
    </row>
    <row r="20" spans="2:19" ht="18" customHeight="1" x14ac:dyDescent="0.25">
      <c r="B20" s="122" t="s">
        <v>79</v>
      </c>
      <c r="C20" s="117">
        <v>7.4999999999999997E-2</v>
      </c>
      <c r="D20" s="118">
        <f>D12*C20</f>
        <v>1.1247104519765625</v>
      </c>
      <c r="E20" s="118">
        <f>E12*C20</f>
        <v>2.1208825665843754</v>
      </c>
      <c r="F20" s="118">
        <f>F12*C20</f>
        <v>2.5064975786906252</v>
      </c>
      <c r="G20" s="118">
        <f>G12*C20</f>
        <v>2.6993050847437501</v>
      </c>
      <c r="H20" s="118">
        <f>H12*C20</f>
        <v>2.8921125907968745</v>
      </c>
      <c r="I20" s="118">
        <f>I12*C20</f>
        <v>3.0849200968499999</v>
      </c>
      <c r="J20" s="118">
        <f>J12*C20</f>
        <v>3.2777276029031253</v>
      </c>
    </row>
    <row r="21" spans="2:19" ht="18" customHeight="1" x14ac:dyDescent="0.25">
      <c r="B21" s="122" t="s">
        <v>80</v>
      </c>
      <c r="C21" s="117">
        <v>0.01</v>
      </c>
      <c r="D21" s="118">
        <f>D12*C21</f>
        <v>0.14996139359687502</v>
      </c>
      <c r="E21" s="118">
        <f>E12*C21</f>
        <v>0.28278434221125009</v>
      </c>
      <c r="F21" s="118">
        <f>F12*C21</f>
        <v>0.33419967715875004</v>
      </c>
      <c r="G21" s="118">
        <f>G12*C21</f>
        <v>0.35990734463250001</v>
      </c>
      <c r="H21" s="118">
        <f>H12*C21</f>
        <v>0.38561501210624999</v>
      </c>
      <c r="I21" s="118">
        <f>I12*C21</f>
        <v>0.41132267958000002</v>
      </c>
      <c r="J21" s="118">
        <f>J12*C21</f>
        <v>0.43703034705375005</v>
      </c>
    </row>
    <row r="22" spans="2:19" ht="18" customHeight="1" x14ac:dyDescent="0.25">
      <c r="B22" s="122" t="s">
        <v>285</v>
      </c>
      <c r="C22" s="117">
        <v>0.01</v>
      </c>
      <c r="D22" s="118">
        <f>Dep!C18*C22</f>
        <v>0.10037499999999999</v>
      </c>
      <c r="E22" s="118">
        <f>Dep!D18*C22</f>
        <v>8.5318749999999999E-2</v>
      </c>
      <c r="F22" s="118">
        <f>Dep!E18*C22</f>
        <v>7.2520937499999993E-2</v>
      </c>
      <c r="G22" s="118">
        <f>Dep!F18*C22</f>
        <v>6.1642796874999996E-2</v>
      </c>
      <c r="H22" s="118">
        <f>Dep!G18*C22</f>
        <v>5.2396377343750002E-2</v>
      </c>
      <c r="I22" s="118">
        <f>Dep!H18*C22</f>
        <v>4.4536920742187507E-2</v>
      </c>
      <c r="J22" s="118">
        <f>Dep!I18*C22</f>
        <v>3.785638263085938E-2</v>
      </c>
    </row>
    <row r="23" spans="2:19" ht="18" customHeight="1" x14ac:dyDescent="0.25">
      <c r="B23" s="122" t="s">
        <v>53</v>
      </c>
      <c r="C23" s="116">
        <v>0.01</v>
      </c>
      <c r="D23" s="118">
        <f>Dep!C20*'Proj P&amp;L'!C23/12*7</f>
        <v>0.11551369618055554</v>
      </c>
      <c r="E23" s="118">
        <f>Dep!D20*'Proj P&amp;L'!C23</f>
        <v>0.17320238125000001</v>
      </c>
      <c r="F23" s="118">
        <f>Dep!E20*'Proj P&amp;L'!C23</f>
        <v>0.151616205625</v>
      </c>
      <c r="G23" s="118">
        <f>Dep!F20*'Proj P&amp;L'!C23</f>
        <v>0.13282853818750001</v>
      </c>
      <c r="H23" s="118">
        <f>Dep!G20*'Proj P&amp;L'!C23</f>
        <v>0.116463544525</v>
      </c>
      <c r="I23" s="118">
        <f>Dep!H20*'Proj P&amp;L'!C23</f>
        <v>0.10219737120531251</v>
      </c>
      <c r="J23" s="118">
        <f>Dep!I20*'Proj P&amp;L'!C23</f>
        <v>8.9750788047671878E-2</v>
      </c>
    </row>
    <row r="24" spans="2:19" ht="18" customHeight="1" x14ac:dyDescent="0.25">
      <c r="B24" s="122" t="s">
        <v>54</v>
      </c>
      <c r="C24" s="116" t="s">
        <v>55</v>
      </c>
      <c r="D24" s="118">
        <f>(Dep!C5)*C24/12*7</f>
        <v>9.6340416666666658E-3</v>
      </c>
      <c r="E24" s="118">
        <f>(Dep!D5)*C24</f>
        <v>1.6515499999999999E-2</v>
      </c>
      <c r="F24" s="118">
        <f>(Dep!E5)*C24</f>
        <v>1.6515499999999999E-2</v>
      </c>
      <c r="G24" s="118">
        <f>(Dep!F5)*C24</f>
        <v>1.6515499999999999E-2</v>
      </c>
      <c r="H24" s="118">
        <f>(Dep!G5)*C24</f>
        <v>1.6515499999999999E-2</v>
      </c>
      <c r="I24" s="118">
        <f>(Dep!H5)*C24</f>
        <v>1.6515499999999999E-2</v>
      </c>
      <c r="J24" s="118">
        <f>(Dep!I5)*C24</f>
        <v>1.6515499999999999E-2</v>
      </c>
    </row>
    <row r="25" spans="2:19" ht="18" customHeight="1" x14ac:dyDescent="0.25">
      <c r="B25" s="122" t="s">
        <v>56</v>
      </c>
      <c r="C25" s="116">
        <v>0.01</v>
      </c>
      <c r="D25" s="118">
        <f>C25*Dep!C20/12*7</f>
        <v>0.11551369618055554</v>
      </c>
      <c r="E25" s="118">
        <f>C25*Dep!D20</f>
        <v>0.17320238125000001</v>
      </c>
      <c r="F25" s="118">
        <f>C25*Dep!E20</f>
        <v>0.151616205625</v>
      </c>
      <c r="G25" s="118">
        <f>C25*Dep!F20</f>
        <v>0.13282853818750001</v>
      </c>
      <c r="H25" s="118">
        <f>C25*Dep!G20</f>
        <v>0.116463544525</v>
      </c>
      <c r="I25" s="118">
        <f>C25*Dep!H20</f>
        <v>0.10219737120531251</v>
      </c>
      <c r="J25" s="118">
        <f>C25*Dep!I20</f>
        <v>8.9750788047671878E-2</v>
      </c>
    </row>
    <row r="26" spans="2:19" s="1" customFormat="1" ht="18" customHeight="1" x14ac:dyDescent="0.25">
      <c r="B26" s="127" t="s">
        <v>57</v>
      </c>
      <c r="C26" s="128"/>
      <c r="D26" s="129">
        <f>SUM(D14:D25)</f>
        <v>12.693307267351214</v>
      </c>
      <c r="E26" s="129">
        <f>SUM(E14:E25)</f>
        <v>23.12137829819563</v>
      </c>
      <c r="F26" s="129">
        <f>SUM(F14:F25)</f>
        <v>27.079615277299379</v>
      </c>
      <c r="G26" s="129">
        <f>SUM(G14:G25)</f>
        <v>29.063265373226251</v>
      </c>
      <c r="H26" s="129">
        <f>SUM(H14:H25)</f>
        <v>31.053392537796878</v>
      </c>
      <c r="I26" s="129">
        <f>SUM(I14:I25)</f>
        <v>33.089104305982822</v>
      </c>
      <c r="J26" s="129">
        <f>SUM(J14:J25)</f>
        <v>35.149634172983077</v>
      </c>
    </row>
    <row r="27" spans="2:19" ht="18" customHeight="1" x14ac:dyDescent="0.25">
      <c r="B27" s="124" t="s">
        <v>58</v>
      </c>
      <c r="C27" s="107"/>
      <c r="D27" s="119">
        <f>D26/D12</f>
        <v>0.84643833742124719</v>
      </c>
      <c r="E27" s="119">
        <f>E26/E12</f>
        <v>0.81763290419110723</v>
      </c>
      <c r="F27" s="119">
        <f>F26/F12</f>
        <v>0.8102825085745412</v>
      </c>
      <c r="G27" s="119">
        <f>G26/G12</f>
        <v>0.80752076351491631</v>
      </c>
      <c r="H27" s="119">
        <f>H26/H12</f>
        <v>0.80529521836252105</v>
      </c>
      <c r="I27" s="119">
        <f>I26/I12</f>
        <v>0.80445611070534639</v>
      </c>
      <c r="J27" s="119">
        <f>J26/J12</f>
        <v>0.80428360204148597</v>
      </c>
    </row>
    <row r="28" spans="2:19" ht="18" customHeight="1" x14ac:dyDescent="0.25">
      <c r="B28" s="125" t="s">
        <v>383</v>
      </c>
      <c r="C28" s="114"/>
      <c r="D28" s="115">
        <f>D12-D26</f>
        <v>2.3028320923362866</v>
      </c>
      <c r="E28" s="115">
        <f>E12-E26</f>
        <v>5.1570559229293771</v>
      </c>
      <c r="F28" s="115">
        <f>F12-F26</f>
        <v>6.3403524385756249</v>
      </c>
      <c r="G28" s="115">
        <f>G12-G26</f>
        <v>6.9274690900237488</v>
      </c>
      <c r="H28" s="115">
        <f>H12-H26</f>
        <v>7.5081086728281186</v>
      </c>
      <c r="I28" s="115">
        <f>I12-I26</f>
        <v>8.0431636520171779</v>
      </c>
      <c r="J28" s="115">
        <f>J12-J26</f>
        <v>8.553400532391926</v>
      </c>
    </row>
    <row r="29" spans="2:19" ht="18" customHeight="1" x14ac:dyDescent="0.25">
      <c r="B29" s="131" t="s">
        <v>384</v>
      </c>
      <c r="C29" s="132"/>
      <c r="D29" s="133">
        <f>D28/D12</f>
        <v>0.15356166257875284</v>
      </c>
      <c r="E29" s="133">
        <f>E28/E12</f>
        <v>0.18236709580889279</v>
      </c>
      <c r="F29" s="133">
        <f>F28/F12</f>
        <v>0.18971749142545877</v>
      </c>
      <c r="G29" s="133">
        <f>G28/G12</f>
        <v>0.19247923648508369</v>
      </c>
      <c r="H29" s="133">
        <f>H28/H12</f>
        <v>0.1947047816374789</v>
      </c>
      <c r="I29" s="133">
        <f>I28/I12</f>
        <v>0.19554388929465355</v>
      </c>
      <c r="J29" s="133">
        <f>J28/J12</f>
        <v>0.19571639795851406</v>
      </c>
    </row>
    <row r="30" spans="2:19" ht="18" customHeight="1" x14ac:dyDescent="0.25">
      <c r="B30" s="131" t="s">
        <v>381</v>
      </c>
      <c r="C30" s="132"/>
      <c r="D30" s="134">
        <f>D28/120</f>
        <v>1.9190267436135722E-2</v>
      </c>
      <c r="E30" s="134">
        <f t="shared" ref="E30:J30" si="5">E28/120</f>
        <v>4.2975466024411477E-2</v>
      </c>
      <c r="F30" s="134">
        <f t="shared" si="5"/>
        <v>5.2836270321463541E-2</v>
      </c>
      <c r="G30" s="134">
        <f t="shared" si="5"/>
        <v>5.7728909083531239E-2</v>
      </c>
      <c r="H30" s="134">
        <f t="shared" si="5"/>
        <v>6.2567572273567656E-2</v>
      </c>
      <c r="I30" s="134">
        <f t="shared" si="5"/>
        <v>6.7026363766809816E-2</v>
      </c>
      <c r="J30" s="134">
        <f t="shared" si="5"/>
        <v>7.1278337769932712E-2</v>
      </c>
    </row>
    <row r="31" spans="2:19" ht="18" customHeight="1" x14ac:dyDescent="0.25">
      <c r="B31" s="124" t="s">
        <v>385</v>
      </c>
      <c r="C31" s="107"/>
      <c r="D31" s="113">
        <f>(Dep!C14)</f>
        <v>1.5674020833333333</v>
      </c>
      <c r="E31" s="113">
        <f>Dep!D14</f>
        <v>2.4821097916666668</v>
      </c>
      <c r="F31" s="113">
        <f>Dep!E14</f>
        <v>2.1586175624999999</v>
      </c>
      <c r="G31" s="113">
        <f>Dep!F14</f>
        <v>1.87876674375</v>
      </c>
      <c r="H31" s="113">
        <f>Dep!G14</f>
        <v>1.63649936625</v>
      </c>
      <c r="I31" s="113">
        <f>Dep!H14</f>
        <v>1.4266173319687503</v>
      </c>
      <c r="J31" s="113">
        <f>Dep!I14</f>
        <v>1.2446583157640625</v>
      </c>
    </row>
    <row r="32" spans="2:19" ht="18" customHeight="1" x14ac:dyDescent="0.25">
      <c r="B32" s="135" t="s">
        <v>386</v>
      </c>
      <c r="C32" s="136"/>
      <c r="D32" s="137">
        <f>D28-D31</f>
        <v>0.7354300090029533</v>
      </c>
      <c r="E32" s="137">
        <f t="shared" ref="E32:J32" si="6">E28-E31</f>
        <v>2.6749461312627103</v>
      </c>
      <c r="F32" s="137">
        <f t="shared" si="6"/>
        <v>4.181734876075625</v>
      </c>
      <c r="G32" s="137">
        <f t="shared" si="6"/>
        <v>5.0487023462737488</v>
      </c>
      <c r="H32" s="137">
        <f t="shared" si="6"/>
        <v>5.8716093065781187</v>
      </c>
      <c r="I32" s="137">
        <f t="shared" si="6"/>
        <v>6.6165463200484274</v>
      </c>
      <c r="J32" s="137">
        <f t="shared" si="6"/>
        <v>7.3087422166278637</v>
      </c>
    </row>
    <row r="33" spans="1:10" ht="18" customHeight="1" x14ac:dyDescent="0.25">
      <c r="B33" s="122" t="s">
        <v>73</v>
      </c>
      <c r="C33" s="107"/>
      <c r="D33" s="113">
        <f>SUM('Bank Interest'!E25:E31)</f>
        <v>0.55649999999999999</v>
      </c>
      <c r="E33" s="113">
        <f>'Bank Interest'!K43</f>
        <v>0.91027500000000028</v>
      </c>
      <c r="F33" s="113">
        <f>'Bank Interest'!K55</f>
        <v>0.80613000000000068</v>
      </c>
      <c r="G33" s="113">
        <f>'Bank Interest'!K67</f>
        <v>0.67853250000000098</v>
      </c>
      <c r="H33" s="113">
        <f>'Bank Interest'!K79</f>
        <v>0.55113750000000095</v>
      </c>
      <c r="I33" s="113">
        <f>'Bank Interest'!K91</f>
        <v>0.47300000000000131</v>
      </c>
      <c r="J33" s="113">
        <f>'Bank Interest'!K103</f>
        <v>0.17875000000000119</v>
      </c>
    </row>
    <row r="34" spans="1:10" ht="18" customHeight="1" x14ac:dyDescent="0.25">
      <c r="B34" s="122" t="s">
        <v>387</v>
      </c>
      <c r="C34" s="107"/>
      <c r="D34" s="113">
        <f>'Bank Interest'!E114*D7/12</f>
        <v>9.2749999999999999E-2</v>
      </c>
      <c r="E34" s="113">
        <f>'Bank Interest'!E114</f>
        <v>0.159</v>
      </c>
      <c r="F34" s="113">
        <f>'Bank Interest'!E114</f>
        <v>0.159</v>
      </c>
      <c r="G34" s="113">
        <f>'Bank Interest'!E114</f>
        <v>0.159</v>
      </c>
      <c r="H34" s="113">
        <f>'Bank Interest'!E114</f>
        <v>0.159</v>
      </c>
      <c r="I34" s="113">
        <f>'Bank Interest'!E115</f>
        <v>0.22</v>
      </c>
      <c r="J34" s="113">
        <f>'Bank Interest'!E115</f>
        <v>0.22</v>
      </c>
    </row>
    <row r="35" spans="1:10" ht="18" customHeight="1" x14ac:dyDescent="0.25">
      <c r="B35" s="135" t="s">
        <v>388</v>
      </c>
      <c r="C35" s="136"/>
      <c r="D35" s="137">
        <f>SUM(D33:D34)</f>
        <v>0.64924999999999999</v>
      </c>
      <c r="E35" s="137">
        <f t="shared" ref="E35:J35" si="7">SUM(E33:E34)</f>
        <v>1.0692750000000002</v>
      </c>
      <c r="F35" s="137">
        <f t="shared" si="7"/>
        <v>0.96513000000000071</v>
      </c>
      <c r="G35" s="137">
        <f t="shared" si="7"/>
        <v>0.83753250000000101</v>
      </c>
      <c r="H35" s="137">
        <f t="shared" si="7"/>
        <v>0.71013750000000098</v>
      </c>
      <c r="I35" s="137">
        <f t="shared" si="7"/>
        <v>0.69300000000000128</v>
      </c>
      <c r="J35" s="137">
        <f t="shared" si="7"/>
        <v>0.39875000000000116</v>
      </c>
    </row>
    <row r="36" spans="1:10" ht="18" customHeight="1" x14ac:dyDescent="0.25">
      <c r="B36" s="122" t="s">
        <v>389</v>
      </c>
      <c r="C36" s="107"/>
      <c r="D36" s="113">
        <f>D32-D35</f>
        <v>8.6180009002953306E-2</v>
      </c>
      <c r="E36" s="113">
        <f t="shared" ref="E36:J36" si="8">E32-E35</f>
        <v>1.6056711312627101</v>
      </c>
      <c r="F36" s="113">
        <f t="shared" si="8"/>
        <v>3.2166048760756243</v>
      </c>
      <c r="G36" s="113">
        <f t="shared" si="8"/>
        <v>4.2111698462737479</v>
      </c>
      <c r="H36" s="113">
        <f t="shared" si="8"/>
        <v>5.1614718065781178</v>
      </c>
      <c r="I36" s="113">
        <f t="shared" si="8"/>
        <v>5.923546320048426</v>
      </c>
      <c r="J36" s="113">
        <f t="shared" si="8"/>
        <v>6.9099922166278622</v>
      </c>
    </row>
    <row r="37" spans="1:10" ht="18" customHeight="1" x14ac:dyDescent="0.25">
      <c r="B37" s="122" t="s">
        <v>65</v>
      </c>
      <c r="C37" s="107"/>
      <c r="D37" s="113">
        <v>0.02</v>
      </c>
      <c r="E37" s="113">
        <v>0.02</v>
      </c>
      <c r="F37" s="113">
        <v>0.02</v>
      </c>
      <c r="G37" s="113">
        <v>0.02</v>
      </c>
      <c r="H37" s="113">
        <v>0.02</v>
      </c>
      <c r="I37" s="113">
        <f>Dep!H16</f>
        <v>0</v>
      </c>
      <c r="J37" s="113">
        <v>0</v>
      </c>
    </row>
    <row r="38" spans="1:10" ht="18" customHeight="1" x14ac:dyDescent="0.25">
      <c r="B38" s="122" t="s">
        <v>390</v>
      </c>
      <c r="C38" s="107"/>
      <c r="D38" s="113">
        <f>D36-D37</f>
        <v>6.6180009002953302E-2</v>
      </c>
      <c r="E38" s="113">
        <f t="shared" ref="E38:J38" si="9">E36-E37</f>
        <v>1.5856711312627101</v>
      </c>
      <c r="F38" s="113">
        <f t="shared" si="9"/>
        <v>3.1966048760756243</v>
      </c>
      <c r="G38" s="113">
        <f t="shared" si="9"/>
        <v>4.1911698462737483</v>
      </c>
      <c r="H38" s="113">
        <f t="shared" si="9"/>
        <v>5.1414718065781182</v>
      </c>
      <c r="I38" s="113">
        <f t="shared" si="9"/>
        <v>5.923546320048426</v>
      </c>
      <c r="J38" s="113">
        <f t="shared" si="9"/>
        <v>6.9099922166278622</v>
      </c>
    </row>
    <row r="39" spans="1:10" ht="18" customHeight="1" x14ac:dyDescent="0.25">
      <c r="A39" s="138">
        <v>0.3</v>
      </c>
      <c r="B39" s="122" t="s">
        <v>391</v>
      </c>
      <c r="C39" s="107"/>
      <c r="D39" s="113">
        <f>D38*$A$39</f>
        <v>1.9854002700885991E-2</v>
      </c>
      <c r="E39" s="113">
        <f t="shared" ref="E39:J39" si="10">E38*$A$39</f>
        <v>0.47570133937881298</v>
      </c>
      <c r="F39" s="113">
        <f t="shared" si="10"/>
        <v>0.95898146282268726</v>
      </c>
      <c r="G39" s="113">
        <f t="shared" si="10"/>
        <v>1.2573509538821244</v>
      </c>
      <c r="H39" s="113">
        <f t="shared" si="10"/>
        <v>1.5424415419734354</v>
      </c>
      <c r="I39" s="113">
        <f t="shared" si="10"/>
        <v>1.7770638960145277</v>
      </c>
      <c r="J39" s="113">
        <f t="shared" si="10"/>
        <v>2.0729976649883586</v>
      </c>
    </row>
    <row r="40" spans="1:10" ht="18" customHeight="1" x14ac:dyDescent="0.25">
      <c r="B40" s="142" t="s">
        <v>392</v>
      </c>
      <c r="C40" s="143"/>
      <c r="D40" s="144">
        <f>D38-D39</f>
        <v>4.6326006302067312E-2</v>
      </c>
      <c r="E40" s="144">
        <f t="shared" ref="E40:J40" si="11">E38-E39</f>
        <v>1.1099697918838971</v>
      </c>
      <c r="F40" s="144">
        <f t="shared" si="11"/>
        <v>2.2376234132529369</v>
      </c>
      <c r="G40" s="144">
        <f t="shared" si="11"/>
        <v>2.9338188923916242</v>
      </c>
      <c r="H40" s="144">
        <f t="shared" si="11"/>
        <v>3.599030264604683</v>
      </c>
      <c r="I40" s="144">
        <f t="shared" si="11"/>
        <v>4.1464824240338984</v>
      </c>
      <c r="J40" s="144">
        <f t="shared" si="11"/>
        <v>4.8369945516395036</v>
      </c>
    </row>
    <row r="41" spans="1:10" ht="18" customHeight="1" x14ac:dyDescent="0.25">
      <c r="B41"/>
      <c r="C41"/>
      <c r="D41"/>
      <c r="E41"/>
      <c r="F41"/>
      <c r="G41"/>
      <c r="H41"/>
      <c r="I41"/>
      <c r="J41"/>
    </row>
    <row r="42" spans="1:10" ht="18" customHeight="1" x14ac:dyDescent="0.25">
      <c r="B42" s="141" t="s">
        <v>396</v>
      </c>
      <c r="C42" s="39"/>
      <c r="D42" s="39"/>
      <c r="E42" s="39"/>
      <c r="F42" s="39"/>
      <c r="G42" s="39"/>
      <c r="H42" s="39"/>
      <c r="I42" s="39"/>
      <c r="J42" s="39"/>
    </row>
    <row r="43" spans="1:10" ht="18" customHeight="1" x14ac:dyDescent="0.25">
      <c r="B43"/>
      <c r="C43"/>
      <c r="D43"/>
      <c r="E43"/>
      <c r="F43"/>
      <c r="G43"/>
      <c r="H43"/>
      <c r="I43"/>
      <c r="J43"/>
    </row>
    <row r="44" spans="1:10" ht="18.75" customHeight="1" x14ac:dyDescent="0.25">
      <c r="B44" s="104" t="s">
        <v>49</v>
      </c>
      <c r="C44" s="108"/>
      <c r="D44" s="108" t="s">
        <v>203</v>
      </c>
      <c r="E44" s="108" t="s">
        <v>193</v>
      </c>
      <c r="F44" s="108" t="s">
        <v>194</v>
      </c>
      <c r="G44" s="108" t="s">
        <v>195</v>
      </c>
      <c r="H44" s="108" t="s">
        <v>196</v>
      </c>
      <c r="I44" s="108" t="s">
        <v>197</v>
      </c>
      <c r="J44" s="108" t="s">
        <v>198</v>
      </c>
    </row>
    <row r="45" spans="1:10" ht="18" customHeight="1" x14ac:dyDescent="0.25">
      <c r="B45" s="124" t="s">
        <v>384</v>
      </c>
      <c r="C45" s="107"/>
      <c r="D45" s="140">
        <f>D28/D12</f>
        <v>0.15356166257875284</v>
      </c>
      <c r="E45" s="140">
        <f>E28/E12</f>
        <v>0.18236709580889279</v>
      </c>
      <c r="F45" s="140">
        <f>F28/F12</f>
        <v>0.18971749142545877</v>
      </c>
      <c r="G45" s="140">
        <f>G28/G12</f>
        <v>0.19247923648508369</v>
      </c>
      <c r="H45" s="140">
        <f>H28/H12</f>
        <v>0.1947047816374789</v>
      </c>
      <c r="I45" s="140">
        <f>I28/I12</f>
        <v>0.19554388929465355</v>
      </c>
      <c r="J45" s="140">
        <f>J28/J12</f>
        <v>0.19571639795851406</v>
      </c>
    </row>
    <row r="46" spans="1:10" x14ac:dyDescent="0.25">
      <c r="B46" s="139" t="s">
        <v>393</v>
      </c>
      <c r="D46" s="140">
        <f>D32/D12</f>
        <v>4.9041289318764954E-2</v>
      </c>
      <c r="E46" s="140">
        <f>E32/E12</f>
        <v>9.4593148628590945E-2</v>
      </c>
      <c r="F46" s="140">
        <f>F32/F12</f>
        <v>0.12512683769258209</v>
      </c>
      <c r="G46" s="140">
        <f>G32/G12</f>
        <v>0.14027783599217625</v>
      </c>
      <c r="H46" s="140">
        <f>H32/H12</f>
        <v>0.15226609759062731</v>
      </c>
      <c r="I46" s="140">
        <f>I32/I12</f>
        <v>0.16086023573522756</v>
      </c>
      <c r="J46" s="140">
        <f>J32/J12</f>
        <v>0.16723649206284905</v>
      </c>
    </row>
    <row r="47" spans="1:10" x14ac:dyDescent="0.25">
      <c r="B47" s="139" t="s">
        <v>394</v>
      </c>
      <c r="D47" s="140">
        <f>D40/D12</f>
        <v>3.0891955049844699E-3</v>
      </c>
      <c r="E47" s="140">
        <f>E40/E12</f>
        <v>3.9251458662966206E-2</v>
      </c>
      <c r="F47" s="140">
        <f>F40/F12</f>
        <v>6.6954685063625327E-2</v>
      </c>
      <c r="G47" s="140">
        <f>G40/G12</f>
        <v>8.1515949483813271E-2</v>
      </c>
      <c r="H47" s="140">
        <f>H40/H12</f>
        <v>9.3332213519037699E-2</v>
      </c>
      <c r="I47" s="140">
        <f>I40/I12</f>
        <v>0.10080850460927308</v>
      </c>
      <c r="J47" s="140">
        <f>J40/J12</f>
        <v>0.11067868820204849</v>
      </c>
    </row>
    <row r="48" spans="1:10" x14ac:dyDescent="0.25">
      <c r="B48" s="139" t="s">
        <v>395</v>
      </c>
      <c r="D48" s="190">
        <v>0</v>
      </c>
      <c r="E48" s="140">
        <f>E12/D12-1</f>
        <v>0.88571428571428612</v>
      </c>
      <c r="F48" s="140">
        <f t="shared" ref="F48:J48" si="12">F12/E12-1</f>
        <v>0.18181818181818166</v>
      </c>
      <c r="G48" s="140">
        <f t="shared" si="12"/>
        <v>7.6923076923076872E-2</v>
      </c>
      <c r="H48" s="140">
        <f t="shared" si="12"/>
        <v>7.1428571428571397E-2</v>
      </c>
      <c r="I48" s="140">
        <f t="shared" si="12"/>
        <v>6.6666666666666874E-2</v>
      </c>
      <c r="J48" s="140">
        <f t="shared" si="12"/>
        <v>6.25E-2</v>
      </c>
    </row>
    <row r="49" spans="2:10" x14ac:dyDescent="0.25">
      <c r="B49" s="139" t="s">
        <v>458</v>
      </c>
      <c r="D49" s="189">
        <f>'BS Proj.'!B26</f>
        <v>1.2251893820789355</v>
      </c>
      <c r="E49" s="189">
        <f>'BS Proj.'!C26</f>
        <v>1.5471026038854048</v>
      </c>
      <c r="F49" s="189">
        <f>'BS Proj.'!D26</f>
        <v>1.8360829051827048</v>
      </c>
      <c r="G49" s="189">
        <f>'BS Proj.'!E26</f>
        <v>2.0966383391603891</v>
      </c>
      <c r="H49" s="189">
        <f>'BS Proj.'!F26</f>
        <v>2.3485215964622927</v>
      </c>
      <c r="I49" s="189">
        <f>'BS Proj.'!G26</f>
        <v>2.4804686162343841</v>
      </c>
      <c r="J49" s="189">
        <f>'BS Proj.'!H26</f>
        <v>3.929823378750871</v>
      </c>
    </row>
    <row r="50" spans="2:10" x14ac:dyDescent="0.25">
      <c r="B50" s="139" t="s">
        <v>94</v>
      </c>
      <c r="D50" s="189">
        <f>'BS Proj.'!B25</f>
        <v>1.4709280998836622</v>
      </c>
      <c r="E50" s="189">
        <f>'BS Proj.'!C25</f>
        <v>1.3335150767481607</v>
      </c>
      <c r="F50" s="189">
        <f>'BS Proj.'!D25</f>
        <v>1.0656158704253793</v>
      </c>
      <c r="G50" s="189">
        <f>'BS Proj.'!E25</f>
        <v>0.79397813204195355</v>
      </c>
      <c r="H50" s="189">
        <f>'BS Proj.'!F25</f>
        <v>0.56589485433112263</v>
      </c>
      <c r="I50" s="189">
        <f>'BS Proj.'!G25</f>
        <v>0.38602144049996961</v>
      </c>
      <c r="J50" s="189">
        <f>'BS Proj.'!H25</f>
        <v>0.23407226881113022</v>
      </c>
    </row>
    <row r="60" spans="2:10" x14ac:dyDescent="0.25">
      <c r="G60" s="148"/>
    </row>
  </sheetData>
  <mergeCells count="1">
    <mergeCell ref="B4:J4"/>
  </mergeCells>
  <pageMargins left="0.7" right="0.7" top="0.75" bottom="0.75" header="0.3" footer="0.3"/>
  <pageSetup scale="87" orientation="landscape" r:id="rId1"/>
  <ignoredErrors>
    <ignoredError sqref="C2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5" zoomScale="98" zoomScaleNormal="98" workbookViewId="0">
      <selection activeCell="B9" sqref="B9:H9"/>
    </sheetView>
  </sheetViews>
  <sheetFormatPr defaultRowHeight="15" x14ac:dyDescent="0.25"/>
  <cols>
    <col min="1" max="1" width="25.140625" customWidth="1"/>
    <col min="2" max="2" width="12.140625" customWidth="1"/>
    <col min="3" max="3" width="11.85546875" customWidth="1"/>
    <col min="4" max="5" width="9.5703125" bestFit="1" customWidth="1"/>
    <col min="6" max="6" width="11.28515625" customWidth="1"/>
    <col min="7" max="7" width="9.5703125" bestFit="1" customWidth="1"/>
    <col min="8" max="8" width="9.5703125" customWidth="1"/>
  </cols>
  <sheetData>
    <row r="1" spans="1:9" ht="15.75" customHeight="1" x14ac:dyDescent="0.25">
      <c r="A1" s="206" t="s">
        <v>206</v>
      </c>
      <c r="B1" s="206"/>
      <c r="C1" s="206"/>
      <c r="D1" s="206"/>
      <c r="E1" s="206"/>
      <c r="F1" s="206"/>
      <c r="G1" s="206"/>
      <c r="H1" s="206"/>
    </row>
    <row r="2" spans="1:9" ht="15.75" customHeight="1" x14ac:dyDescent="0.25">
      <c r="A2" s="203" t="s">
        <v>91</v>
      </c>
      <c r="B2" s="203"/>
      <c r="C2" s="203"/>
      <c r="D2" s="203"/>
      <c r="E2" s="203"/>
      <c r="F2" s="34" t="s">
        <v>200</v>
      </c>
      <c r="G2" s="52"/>
      <c r="H2" s="52"/>
      <c r="I2" s="101"/>
    </row>
    <row r="3" spans="1:9" ht="15.75" customHeight="1" x14ac:dyDescent="0.25">
      <c r="A3" s="16"/>
      <c r="B3" s="16"/>
      <c r="C3" s="16"/>
      <c r="D3" s="16"/>
      <c r="E3" s="16"/>
    </row>
    <row r="4" spans="1:9" x14ac:dyDescent="0.25">
      <c r="A4" s="204" t="s">
        <v>379</v>
      </c>
      <c r="B4" s="89" t="str">
        <f>'Project Details'!D3</f>
        <v>2023-24</v>
      </c>
      <c r="C4" s="89" t="str">
        <f>'Project Details'!E3</f>
        <v>2024-25</v>
      </c>
      <c r="D4" s="89" t="str">
        <f>'Project Details'!F3</f>
        <v>2025-26</v>
      </c>
      <c r="E4" s="89" t="str">
        <f>'Project Details'!G3</f>
        <v>2026-27</v>
      </c>
      <c r="F4" s="89" t="str">
        <f>'Project Details'!H3</f>
        <v>2027-28</v>
      </c>
      <c r="G4" s="89" t="str">
        <f>'Project Details'!I3</f>
        <v>2028-29</v>
      </c>
      <c r="H4" s="89" t="str">
        <f>'Project Details'!J3</f>
        <v>2029-30</v>
      </c>
    </row>
    <row r="5" spans="1:9" x14ac:dyDescent="0.25">
      <c r="A5" s="205"/>
      <c r="B5" s="89" t="s">
        <v>90</v>
      </c>
      <c r="C5" s="89" t="s">
        <v>90</v>
      </c>
      <c r="D5" s="89" t="s">
        <v>90</v>
      </c>
      <c r="E5" s="89" t="s">
        <v>90</v>
      </c>
      <c r="F5" s="89" t="s">
        <v>90</v>
      </c>
      <c r="G5" s="89" t="s">
        <v>90</v>
      </c>
      <c r="H5" s="89" t="s">
        <v>90</v>
      </c>
    </row>
    <row r="6" spans="1:9" x14ac:dyDescent="0.25">
      <c r="A6" s="82" t="s">
        <v>82</v>
      </c>
      <c r="B6" s="82"/>
      <c r="C6" s="28"/>
      <c r="D6" s="28"/>
      <c r="E6" s="28"/>
      <c r="F6" s="28"/>
      <c r="G6" s="28"/>
      <c r="H6" s="28"/>
    </row>
    <row r="7" spans="1:9" x14ac:dyDescent="0.25">
      <c r="A7" s="28" t="s">
        <v>89</v>
      </c>
      <c r="B7" s="90">
        <f>'Project Cost'!D23</f>
        <v>10.120000000000001</v>
      </c>
      <c r="C7" s="90">
        <f t="shared" ref="C7:H7" si="0">B7</f>
        <v>10.120000000000001</v>
      </c>
      <c r="D7" s="90">
        <f t="shared" si="0"/>
        <v>10.120000000000001</v>
      </c>
      <c r="E7" s="90">
        <f t="shared" si="0"/>
        <v>10.120000000000001</v>
      </c>
      <c r="F7" s="90">
        <f t="shared" si="0"/>
        <v>10.120000000000001</v>
      </c>
      <c r="G7" s="90">
        <f t="shared" si="0"/>
        <v>10.120000000000001</v>
      </c>
      <c r="H7" s="90">
        <f t="shared" si="0"/>
        <v>10.120000000000001</v>
      </c>
    </row>
    <row r="8" spans="1:9" x14ac:dyDescent="0.25">
      <c r="A8" s="28" t="s">
        <v>83</v>
      </c>
      <c r="B8" s="92">
        <f>'Project Details'!D44</f>
        <v>4.6326006302067388E-2</v>
      </c>
      <c r="C8" s="90">
        <f>B8+'Project Details'!E44</f>
        <v>1.1562957981859645</v>
      </c>
      <c r="D8" s="90">
        <f>C8+'Project Details'!F42</f>
        <v>3.3939192114389019</v>
      </c>
      <c r="E8" s="90">
        <f>D8+'Project Details'!G42</f>
        <v>6.3277381038305265</v>
      </c>
      <c r="F8" s="90">
        <f>E8+'Project Details'!H42</f>
        <v>9.9267683684352086</v>
      </c>
      <c r="G8" s="90">
        <f>F8+'Project Details'!I42</f>
        <v>14.073250792469107</v>
      </c>
      <c r="H8" s="90">
        <f>G8+'Project Details'!J42</f>
        <v>18.91024534410861</v>
      </c>
    </row>
    <row r="9" spans="1:9" x14ac:dyDescent="0.25">
      <c r="A9" s="28" t="s">
        <v>92</v>
      </c>
      <c r="B9" s="90">
        <f>12-B10</f>
        <v>10.8</v>
      </c>
      <c r="C9" s="90">
        <f>B9-C10</f>
        <v>9.36</v>
      </c>
      <c r="D9" s="90">
        <f t="shared" ref="D9:H9" si="1">C9-D10</f>
        <v>7.56</v>
      </c>
      <c r="E9" s="90">
        <f t="shared" si="1"/>
        <v>5.4</v>
      </c>
      <c r="F9" s="90">
        <f t="shared" si="1"/>
        <v>3.0000000000000004</v>
      </c>
      <c r="G9" s="90">
        <f t="shared" si="1"/>
        <v>0</v>
      </c>
      <c r="H9" s="90">
        <f t="shared" si="1"/>
        <v>0</v>
      </c>
    </row>
    <row r="10" spans="1:9" s="18" customFormat="1" ht="30" x14ac:dyDescent="0.25">
      <c r="A10" s="36" t="s">
        <v>117</v>
      </c>
      <c r="B10" s="93">
        <f>'Project Details'!E48</f>
        <v>1.2</v>
      </c>
      <c r="C10" s="93">
        <f>'Project Details'!F48</f>
        <v>1.4400000000000004</v>
      </c>
      <c r="D10" s="93">
        <f>'Project Details'!G48</f>
        <v>1.7999999999999996</v>
      </c>
      <c r="E10" s="93">
        <f>'Project Details'!H48</f>
        <v>2.1599999999999997</v>
      </c>
      <c r="F10" s="93">
        <f>'Project Details'!I48</f>
        <v>2.4</v>
      </c>
      <c r="G10" s="93">
        <f>'Project Details'!J48</f>
        <v>3</v>
      </c>
      <c r="H10" s="93">
        <v>0</v>
      </c>
    </row>
    <row r="11" spans="1:9" x14ac:dyDescent="0.25">
      <c r="A11" s="28" t="s">
        <v>96</v>
      </c>
      <c r="B11" s="90">
        <f>'Project Cost'!D25</f>
        <v>2</v>
      </c>
      <c r="C11" s="90">
        <f t="shared" ref="C11:H11" si="2">B11</f>
        <v>2</v>
      </c>
      <c r="D11" s="90">
        <f t="shared" si="2"/>
        <v>2</v>
      </c>
      <c r="E11" s="90">
        <f t="shared" si="2"/>
        <v>2</v>
      </c>
      <c r="F11" s="90">
        <f t="shared" si="2"/>
        <v>2</v>
      </c>
      <c r="G11" s="90">
        <f t="shared" si="2"/>
        <v>2</v>
      </c>
      <c r="H11" s="90">
        <f t="shared" si="2"/>
        <v>2</v>
      </c>
    </row>
    <row r="12" spans="1:9" x14ac:dyDescent="0.25">
      <c r="A12" s="28" t="s">
        <v>88</v>
      </c>
      <c r="B12" s="90">
        <f>(('Project Details'!D16+'Project Details'!D17+'Project Details'!D18)/(7))</f>
        <v>0.93408059254687503</v>
      </c>
      <c r="C12" s="90">
        <f>(('Project Details'!E16+'Project Details'!E17+'Project Details'!E18)/(7))</f>
        <v>1.7614091173741078</v>
      </c>
      <c r="D12" s="90">
        <f>(('Project Details'!F16+'Project Details'!F17+'Project Details'!F18)/(7))</f>
        <v>2.0816653205330362</v>
      </c>
      <c r="E12" s="90">
        <f>(('Project Details'!G16+'Project Details'!G17+'Project Details'!G18)/(7))</f>
        <v>2.2417934221125</v>
      </c>
      <c r="F12" s="90">
        <f>(('Project Details'!H16+'Project Details'!H17+'Project Details'!H18)/(7))</f>
        <v>2.4019215236919647</v>
      </c>
      <c r="G12" s="90">
        <f>(('Project Details'!I16+'Project Details'!I17+'Project Details'!I18)/(7))</f>
        <v>2.5620496252714289</v>
      </c>
      <c r="H12" s="90">
        <f>(('Project Details'!J16+'Project Details'!J17+'Project Details'!J18)/(7))</f>
        <v>2.7221777268508935</v>
      </c>
    </row>
    <row r="13" spans="1:9" x14ac:dyDescent="0.25">
      <c r="A13" s="28" t="s">
        <v>93</v>
      </c>
      <c r="B13" s="92">
        <f>'Project Details'!D41</f>
        <v>1.9854002700886022E-2</v>
      </c>
      <c r="C13" s="92">
        <f>'Project Details'!E41</f>
        <v>0.47570133937881298</v>
      </c>
      <c r="D13" s="92">
        <f>'Project Details'!F41</f>
        <v>0.95898146282268737</v>
      </c>
      <c r="E13" s="92">
        <f>'Project Details'!G41</f>
        <v>1.2573509538821244</v>
      </c>
      <c r="F13" s="92">
        <f>'Project Details'!H41</f>
        <v>1.5424415419734354</v>
      </c>
      <c r="G13" s="92">
        <f>'Project Details'!I41</f>
        <v>1.7770638960145277</v>
      </c>
      <c r="H13" s="92">
        <f>'Project Details'!J41</f>
        <v>2.0729976649883586</v>
      </c>
    </row>
    <row r="14" spans="1:9" x14ac:dyDescent="0.25">
      <c r="A14" s="100" t="s">
        <v>11</v>
      </c>
      <c r="B14" s="94">
        <f t="shared" ref="B14:H14" si="3">SUM(B7:B13)</f>
        <v>25.120260601549827</v>
      </c>
      <c r="C14" s="94">
        <f t="shared" si="3"/>
        <v>26.313406254938887</v>
      </c>
      <c r="D14" s="94">
        <f t="shared" si="3"/>
        <v>27.914565994794629</v>
      </c>
      <c r="E14" s="94">
        <f t="shared" si="3"/>
        <v>29.506882479825155</v>
      </c>
      <c r="F14" s="94">
        <f t="shared" si="3"/>
        <v>31.391131434100608</v>
      </c>
      <c r="G14" s="94">
        <f t="shared" si="3"/>
        <v>33.53236431375506</v>
      </c>
      <c r="H14" s="94">
        <f t="shared" si="3"/>
        <v>35.825420735947858</v>
      </c>
    </row>
    <row r="15" spans="1:9" x14ac:dyDescent="0.25">
      <c r="A15" s="82" t="s">
        <v>84</v>
      </c>
      <c r="B15" s="95"/>
      <c r="C15" s="90"/>
      <c r="D15" s="90"/>
      <c r="E15" s="90"/>
      <c r="F15" s="28"/>
      <c r="G15" s="28"/>
      <c r="H15" s="28"/>
    </row>
    <row r="16" spans="1:9" x14ac:dyDescent="0.25">
      <c r="A16" s="28" t="s">
        <v>85</v>
      </c>
      <c r="B16" s="90">
        <f>Dep!C20</f>
        <v>19.802347916666665</v>
      </c>
      <c r="C16" s="90">
        <f>Dep!D20</f>
        <v>17.320238124999999</v>
      </c>
      <c r="D16" s="90">
        <f>Dep!E20</f>
        <v>15.1616205625</v>
      </c>
      <c r="E16" s="90">
        <f>Dep!F20</f>
        <v>13.28285381875</v>
      </c>
      <c r="F16" s="90">
        <f>Dep!G20</f>
        <v>11.646354452500001</v>
      </c>
      <c r="G16" s="90">
        <f>Dep!H20</f>
        <v>10.219737120531251</v>
      </c>
      <c r="H16" s="90">
        <f>Dep!I20</f>
        <v>8.9750788047671879</v>
      </c>
    </row>
    <row r="17" spans="1:8" x14ac:dyDescent="0.25">
      <c r="A17" s="28" t="s">
        <v>86</v>
      </c>
      <c r="B17" s="90">
        <f>'Project Details'!D12/12*2</f>
        <v>2.4993565599479166</v>
      </c>
      <c r="C17" s="90">
        <f>'Project Details'!E12/12*2</f>
        <v>4.7130723701875015</v>
      </c>
      <c r="D17" s="90">
        <f>'Project Details'!F12/12*2</f>
        <v>5.5699946193125003</v>
      </c>
      <c r="E17" s="90">
        <f>'Project Details'!G12/12*2</f>
        <v>5.9984557438749997</v>
      </c>
      <c r="F17" s="90">
        <f>'Project Details'!H12/12*2</f>
        <v>6.4269168684374991</v>
      </c>
      <c r="G17" s="90">
        <f>'Project Details'!I12/12*2</f>
        <v>6.8553779930000003</v>
      </c>
      <c r="H17" s="90">
        <f>'Project Details'!J12/12*2</f>
        <v>7.2838391175625006</v>
      </c>
    </row>
    <row r="18" spans="1:8" s="18" customFormat="1" ht="15.75" customHeight="1" x14ac:dyDescent="0.25">
      <c r="A18" s="28" t="s">
        <v>377</v>
      </c>
      <c r="B18" s="96">
        <v>2</v>
      </c>
      <c r="C18" s="96">
        <v>2.6</v>
      </c>
      <c r="D18" s="96">
        <v>4</v>
      </c>
      <c r="E18" s="96">
        <v>6</v>
      </c>
      <c r="F18" s="96">
        <v>8</v>
      </c>
      <c r="G18" s="96">
        <v>10</v>
      </c>
      <c r="H18" s="96">
        <v>12.5</v>
      </c>
    </row>
    <row r="19" spans="1:8" x14ac:dyDescent="0.25">
      <c r="A19" s="28" t="s">
        <v>87</v>
      </c>
      <c r="B19" s="90">
        <v>0.36</v>
      </c>
      <c r="C19" s="90">
        <v>1</v>
      </c>
      <c r="D19" s="90">
        <v>2.0099999999999998</v>
      </c>
      <c r="E19" s="90">
        <v>2.96</v>
      </c>
      <c r="F19" s="90">
        <v>3.92</v>
      </c>
      <c r="G19" s="90">
        <v>4.8099999999999996</v>
      </c>
      <c r="H19" s="90">
        <v>5.17</v>
      </c>
    </row>
    <row r="20" spans="1:8" x14ac:dyDescent="0.25">
      <c r="A20" s="28" t="s">
        <v>115</v>
      </c>
      <c r="B20" s="90">
        <v>0.08</v>
      </c>
      <c r="C20" s="90">
        <v>0.06</v>
      </c>
      <c r="D20" s="90">
        <v>0.04</v>
      </c>
      <c r="E20" s="90">
        <v>0.02</v>
      </c>
      <c r="F20" s="90">
        <v>0</v>
      </c>
      <c r="G20" s="90">
        <v>0</v>
      </c>
      <c r="H20" s="90">
        <v>0</v>
      </c>
    </row>
    <row r="21" spans="1:8" x14ac:dyDescent="0.25">
      <c r="A21" s="28" t="s">
        <v>116</v>
      </c>
      <c r="B21" s="90">
        <f>'Project Cost'!D13</f>
        <v>0.15</v>
      </c>
      <c r="C21" s="90">
        <f>B21</f>
        <v>0.15</v>
      </c>
      <c r="D21" s="90">
        <f>B21</f>
        <v>0.15</v>
      </c>
      <c r="E21" s="90">
        <f t="shared" ref="E21" si="4">D21</f>
        <v>0.15</v>
      </c>
      <c r="F21" s="90">
        <f t="shared" ref="F21" si="5">D21</f>
        <v>0.15</v>
      </c>
      <c r="G21" s="90">
        <f t="shared" ref="G21" si="6">F21</f>
        <v>0.15</v>
      </c>
      <c r="H21" s="90">
        <f t="shared" ref="H21" si="7">F21</f>
        <v>0.15</v>
      </c>
    </row>
    <row r="22" spans="1:8" s="18" customFormat="1" ht="45" x14ac:dyDescent="0.25">
      <c r="A22" s="36" t="s">
        <v>118</v>
      </c>
      <c r="B22" s="97">
        <v>0.23</v>
      </c>
      <c r="C22" s="97">
        <v>0.47</v>
      </c>
      <c r="D22" s="97">
        <v>0.98</v>
      </c>
      <c r="E22" s="97">
        <v>1.1000000000000001</v>
      </c>
      <c r="F22" s="93">
        <v>1.25</v>
      </c>
      <c r="G22" s="93">
        <v>1.5</v>
      </c>
      <c r="H22" s="93">
        <v>1.75</v>
      </c>
    </row>
    <row r="23" spans="1:8" x14ac:dyDescent="0.25">
      <c r="A23" s="99" t="s">
        <v>11</v>
      </c>
      <c r="B23" s="98">
        <f t="shared" ref="B23:H23" si="8">SUM(B16:B22)</f>
        <v>25.121704476614578</v>
      </c>
      <c r="C23" s="98">
        <f t="shared" si="8"/>
        <v>26.313310495187498</v>
      </c>
      <c r="D23" s="98">
        <f t="shared" si="8"/>
        <v>27.911615181812497</v>
      </c>
      <c r="E23" s="98">
        <f t="shared" si="8"/>
        <v>29.511309562625001</v>
      </c>
      <c r="F23" s="98">
        <f t="shared" si="8"/>
        <v>31.393271320937501</v>
      </c>
      <c r="G23" s="98">
        <f t="shared" si="8"/>
        <v>33.535115113531248</v>
      </c>
      <c r="H23" s="98">
        <f t="shared" si="8"/>
        <v>35.828917922329687</v>
      </c>
    </row>
    <row r="24" spans="1:8" x14ac:dyDescent="0.25">
      <c r="A24" s="28" t="s">
        <v>100</v>
      </c>
      <c r="B24" s="90">
        <f t="shared" ref="B24:H24" si="9">B14-B23</f>
        <v>-1.4438750647514098E-3</v>
      </c>
      <c r="C24" s="90">
        <f t="shared" si="9"/>
        <v>9.5759751388868608E-5</v>
      </c>
      <c r="D24" s="90">
        <f t="shared" si="9"/>
        <v>2.9508129821316231E-3</v>
      </c>
      <c r="E24" s="90">
        <f t="shared" si="9"/>
        <v>-4.4270827998467155E-3</v>
      </c>
      <c r="F24" s="90">
        <f t="shared" si="9"/>
        <v>-2.1398868368933677E-3</v>
      </c>
      <c r="G24" s="90">
        <f t="shared" si="9"/>
        <v>-2.7507997761873071E-3</v>
      </c>
      <c r="H24" s="90">
        <f t="shared" si="9"/>
        <v>-3.4971863818284987E-3</v>
      </c>
    </row>
    <row r="25" spans="1:8" x14ac:dyDescent="0.25">
      <c r="A25" s="3" t="s">
        <v>94</v>
      </c>
      <c r="B25" s="91">
        <f t="shared" ref="B25:H25" si="10">(B9+B12+B13+B10+B11)/(B7+B8)</f>
        <v>1.4709280998836622</v>
      </c>
      <c r="C25" s="91">
        <f t="shared" si="10"/>
        <v>1.3335150767481607</v>
      </c>
      <c r="D25" s="91">
        <f t="shared" si="10"/>
        <v>1.0656158704253793</v>
      </c>
      <c r="E25" s="91">
        <f t="shared" si="10"/>
        <v>0.79397813204195355</v>
      </c>
      <c r="F25" s="91">
        <f t="shared" si="10"/>
        <v>0.56589485433112263</v>
      </c>
      <c r="G25" s="91">
        <f t="shared" si="10"/>
        <v>0.38602144049996961</v>
      </c>
      <c r="H25" s="91">
        <f t="shared" si="10"/>
        <v>0.23407226881113022</v>
      </c>
    </row>
    <row r="26" spans="1:8" x14ac:dyDescent="0.25">
      <c r="A26" s="3" t="s">
        <v>95</v>
      </c>
      <c r="B26" s="91">
        <f t="shared" ref="B26:H26" si="11">(B17+B18+B19+B22)/(B12+B13+B10+B11)</f>
        <v>1.2251893820789355</v>
      </c>
      <c r="C26" s="91">
        <f t="shared" si="11"/>
        <v>1.5471026038854048</v>
      </c>
      <c r="D26" s="91">
        <f t="shared" si="11"/>
        <v>1.8360829051827048</v>
      </c>
      <c r="E26" s="91">
        <f t="shared" si="11"/>
        <v>2.0966383391603891</v>
      </c>
      <c r="F26" s="91">
        <f t="shared" si="11"/>
        <v>2.3485215964622927</v>
      </c>
      <c r="G26" s="91">
        <f t="shared" si="11"/>
        <v>2.4804686162343841</v>
      </c>
      <c r="H26" s="91">
        <f t="shared" si="11"/>
        <v>3.929823378750871</v>
      </c>
    </row>
  </sheetData>
  <mergeCells count="3">
    <mergeCell ref="A2:E2"/>
    <mergeCell ref="A4:A5"/>
    <mergeCell ref="A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16" sqref="K16"/>
    </sheetView>
  </sheetViews>
  <sheetFormatPr defaultRowHeight="15" x14ac:dyDescent="0.25"/>
  <cols>
    <col min="1" max="1" width="27.42578125" customWidth="1"/>
  </cols>
  <sheetData>
    <row r="1" spans="1:9" x14ac:dyDescent="0.25">
      <c r="A1" s="207" t="s">
        <v>41</v>
      </c>
      <c r="B1" s="207"/>
      <c r="C1" s="207"/>
      <c r="D1" s="207"/>
      <c r="E1" s="207"/>
      <c r="F1" s="207"/>
      <c r="G1" s="207"/>
      <c r="H1" s="207"/>
      <c r="I1" s="6"/>
    </row>
    <row r="2" spans="1:9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x14ac:dyDescent="0.25">
      <c r="A3" s="42" t="s">
        <v>378</v>
      </c>
      <c r="B3" s="41"/>
      <c r="C3" s="61" t="str">
        <f>'Project Details'!D3</f>
        <v>2023-24</v>
      </c>
      <c r="D3" s="61" t="str">
        <f>'Project Details'!E3</f>
        <v>2024-25</v>
      </c>
      <c r="E3" s="61" t="str">
        <f>'Project Details'!F3</f>
        <v>2025-26</v>
      </c>
      <c r="F3" s="61" t="str">
        <f>'Project Details'!G3</f>
        <v>2026-27</v>
      </c>
      <c r="G3" s="61" t="str">
        <f>'Project Details'!H3</f>
        <v>2027-28</v>
      </c>
      <c r="H3" s="61" t="str">
        <f>'Project Details'!I3</f>
        <v>2028-29</v>
      </c>
      <c r="I3" s="61" t="str">
        <f>'Project Details'!J3</f>
        <v>2029-30</v>
      </c>
    </row>
    <row r="4" spans="1:9" x14ac:dyDescent="0.25">
      <c r="A4" s="45" t="s">
        <v>42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 t="s">
        <v>43</v>
      </c>
      <c r="B5" s="10"/>
      <c r="C5" s="11">
        <f>'Project Cost'!D8+'Project Cost'!D14</f>
        <v>8.2577499999999997</v>
      </c>
      <c r="D5" s="11">
        <f>C5</f>
        <v>8.2577499999999997</v>
      </c>
      <c r="E5" s="11">
        <f>C5</f>
        <v>8.2577499999999997</v>
      </c>
      <c r="F5" s="11">
        <f t="shared" ref="F5" si="0">E5</f>
        <v>8.2577499999999997</v>
      </c>
      <c r="G5" s="11">
        <f t="shared" ref="G5:G7" si="1">E5</f>
        <v>8.2577499999999997</v>
      </c>
      <c r="H5" s="11">
        <f t="shared" ref="H5" si="2">G5</f>
        <v>8.2577499999999997</v>
      </c>
      <c r="I5" s="11">
        <f t="shared" ref="I5:I7" si="3">G5</f>
        <v>8.2577499999999997</v>
      </c>
    </row>
    <row r="6" spans="1:9" x14ac:dyDescent="0.25">
      <c r="A6" s="10" t="s">
        <v>44</v>
      </c>
      <c r="B6" s="10"/>
      <c r="C6" s="11">
        <f>'Project Cost'!D9</f>
        <v>11</v>
      </c>
      <c r="D6" s="11">
        <f>C6</f>
        <v>11</v>
      </c>
      <c r="E6" s="11">
        <f>C6</f>
        <v>11</v>
      </c>
      <c r="F6" s="11">
        <f t="shared" ref="F6" si="4">E6</f>
        <v>11</v>
      </c>
      <c r="G6" s="11">
        <f t="shared" si="1"/>
        <v>11</v>
      </c>
      <c r="H6" s="11">
        <f t="shared" ref="H6" si="5">G6</f>
        <v>11</v>
      </c>
      <c r="I6" s="11">
        <f t="shared" si="3"/>
        <v>11</v>
      </c>
    </row>
    <row r="7" spans="1:9" x14ac:dyDescent="0.25">
      <c r="A7" s="10" t="s">
        <v>199</v>
      </c>
      <c r="B7" s="10"/>
      <c r="C7" s="11">
        <f>'Project Cost'!D10+'Project Cost'!D12</f>
        <v>2.1120000000000001</v>
      </c>
      <c r="D7" s="11">
        <f>C7</f>
        <v>2.1120000000000001</v>
      </c>
      <c r="E7" s="11">
        <f>C7</f>
        <v>2.1120000000000001</v>
      </c>
      <c r="F7" s="11">
        <f t="shared" ref="F7" si="6">E7</f>
        <v>2.1120000000000001</v>
      </c>
      <c r="G7" s="11">
        <f t="shared" si="1"/>
        <v>2.1120000000000001</v>
      </c>
      <c r="H7" s="11">
        <f t="shared" ref="H7" si="7">G7</f>
        <v>2.1120000000000001</v>
      </c>
      <c r="I7" s="11">
        <f t="shared" si="3"/>
        <v>2.1120000000000001</v>
      </c>
    </row>
    <row r="8" spans="1:9" x14ac:dyDescent="0.25">
      <c r="A8" s="43" t="s">
        <v>11</v>
      </c>
      <c r="B8" s="43"/>
      <c r="C8" s="44">
        <f t="shared" ref="C8:I8" si="8">SUM(C5:C7)</f>
        <v>21.369750000000003</v>
      </c>
      <c r="D8" s="44">
        <f t="shared" si="8"/>
        <v>21.369750000000003</v>
      </c>
      <c r="E8" s="44">
        <f t="shared" si="8"/>
        <v>21.369750000000003</v>
      </c>
      <c r="F8" s="44">
        <f t="shared" si="8"/>
        <v>21.369750000000003</v>
      </c>
      <c r="G8" s="44">
        <f t="shared" si="8"/>
        <v>21.369750000000003</v>
      </c>
      <c r="H8" s="44">
        <f t="shared" si="8"/>
        <v>21.369750000000003</v>
      </c>
      <c r="I8" s="44">
        <f t="shared" si="8"/>
        <v>21.369750000000003</v>
      </c>
    </row>
    <row r="9" spans="1:9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x14ac:dyDescent="0.25">
      <c r="A10" s="45" t="s">
        <v>45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10" t="s">
        <v>43</v>
      </c>
      <c r="B11" s="62">
        <v>0.1</v>
      </c>
      <c r="C11" s="11">
        <f>(C5*B11)*7/12</f>
        <v>0.48170208333333336</v>
      </c>
      <c r="D11" s="11">
        <f>C17*B11</f>
        <v>0.77760479166666663</v>
      </c>
      <c r="E11" s="11">
        <f>D17*B11</f>
        <v>0.69984431250000001</v>
      </c>
      <c r="F11" s="11">
        <f>E17*B11</f>
        <v>0.62985988125000003</v>
      </c>
      <c r="G11" s="11">
        <f>F17*B11</f>
        <v>0.56687389312500003</v>
      </c>
      <c r="H11" s="11">
        <f>G17*B11</f>
        <v>0.51018650381250008</v>
      </c>
      <c r="I11" s="11">
        <f>H17*B11</f>
        <v>0.45916785343124999</v>
      </c>
    </row>
    <row r="12" spans="1:9" x14ac:dyDescent="0.25">
      <c r="A12" s="10" t="s">
        <v>46</v>
      </c>
      <c r="B12" s="62">
        <v>0.15</v>
      </c>
      <c r="C12" s="11">
        <f>(C6*B12)*7/12</f>
        <v>0.96249999999999991</v>
      </c>
      <c r="D12" s="11">
        <f>C18*B12</f>
        <v>1.505625</v>
      </c>
      <c r="E12" s="11">
        <f>D18*B12</f>
        <v>1.2797812499999999</v>
      </c>
      <c r="F12" s="11">
        <f>E18*B12</f>
        <v>1.0878140624999999</v>
      </c>
      <c r="G12" s="11">
        <f>F18*B12</f>
        <v>0.92464195312499986</v>
      </c>
      <c r="H12" s="11">
        <f>G18*B12</f>
        <v>0.78594566015625</v>
      </c>
      <c r="I12" s="11">
        <f>H18*B12</f>
        <v>0.66805381113281259</v>
      </c>
    </row>
    <row r="13" spans="1:9" x14ac:dyDescent="0.25">
      <c r="A13" s="10" t="s">
        <v>199</v>
      </c>
      <c r="B13" s="62">
        <v>0.1</v>
      </c>
      <c r="C13" s="11">
        <f>(C7*B13)*7/12</f>
        <v>0.12320000000000002</v>
      </c>
      <c r="D13" s="11">
        <f>C19*B13</f>
        <v>0.19888000000000003</v>
      </c>
      <c r="E13" s="11">
        <f>D19*B13</f>
        <v>0.17899200000000004</v>
      </c>
      <c r="F13" s="11">
        <f>E19*B13</f>
        <v>0.16109280000000004</v>
      </c>
      <c r="G13" s="11">
        <f>F19*B13</f>
        <v>0.14498352</v>
      </c>
      <c r="H13" s="11">
        <f>G19*B13</f>
        <v>0.13048516800000001</v>
      </c>
      <c r="I13" s="11">
        <f>H19*B13</f>
        <v>0.11743665120000001</v>
      </c>
    </row>
    <row r="14" spans="1:9" x14ac:dyDescent="0.25">
      <c r="A14" s="43" t="s">
        <v>11</v>
      </c>
      <c r="B14" s="43"/>
      <c r="C14" s="44">
        <f t="shared" ref="C14:I14" si="9">SUM(C11:C13)</f>
        <v>1.5674020833333333</v>
      </c>
      <c r="D14" s="44">
        <f t="shared" si="9"/>
        <v>2.4821097916666668</v>
      </c>
      <c r="E14" s="44">
        <f t="shared" si="9"/>
        <v>2.1586175624999999</v>
      </c>
      <c r="F14" s="44">
        <f t="shared" si="9"/>
        <v>1.87876674375</v>
      </c>
      <c r="G14" s="44">
        <f t="shared" si="9"/>
        <v>1.63649936625</v>
      </c>
      <c r="H14" s="44">
        <f t="shared" si="9"/>
        <v>1.4266173319687503</v>
      </c>
      <c r="I14" s="44">
        <f t="shared" si="9"/>
        <v>1.2446583157640625</v>
      </c>
    </row>
    <row r="15" spans="1:9" x14ac:dyDescent="0.25">
      <c r="A15" s="10"/>
      <c r="B15" s="10"/>
      <c r="C15" s="10"/>
      <c r="D15" s="10"/>
      <c r="E15" s="10"/>
      <c r="F15" s="10"/>
      <c r="G15" s="10"/>
      <c r="H15" s="10"/>
      <c r="I15" s="10"/>
    </row>
    <row r="16" spans="1:9" x14ac:dyDescent="0.25">
      <c r="A16" s="45" t="s">
        <v>47</v>
      </c>
      <c r="B16" s="10"/>
      <c r="C16" s="10"/>
      <c r="D16" s="10"/>
      <c r="E16" s="10"/>
      <c r="F16" s="10"/>
      <c r="G16" s="10"/>
      <c r="H16" s="10"/>
      <c r="I16" s="10"/>
    </row>
    <row r="17" spans="1:9" x14ac:dyDescent="0.25">
      <c r="A17" s="10" t="s">
        <v>48</v>
      </c>
      <c r="B17" s="10"/>
      <c r="C17" s="11">
        <f>C5-C11</f>
        <v>7.7760479166666663</v>
      </c>
      <c r="D17" s="11">
        <f t="shared" ref="D17:I19" si="10">C17-D11</f>
        <v>6.9984431249999997</v>
      </c>
      <c r="E17" s="11">
        <f t="shared" si="10"/>
        <v>6.2985988124999999</v>
      </c>
      <c r="F17" s="11">
        <f t="shared" si="10"/>
        <v>5.6687389312500001</v>
      </c>
      <c r="G17" s="11">
        <f t="shared" si="10"/>
        <v>5.1018650381250001</v>
      </c>
      <c r="H17" s="11">
        <f t="shared" si="10"/>
        <v>4.5916785343124999</v>
      </c>
      <c r="I17" s="11">
        <f t="shared" si="10"/>
        <v>4.13251068088125</v>
      </c>
    </row>
    <row r="18" spans="1:9" x14ac:dyDescent="0.25">
      <c r="A18" s="10" t="s">
        <v>44</v>
      </c>
      <c r="B18" s="10"/>
      <c r="C18" s="11">
        <f>C6-C12</f>
        <v>10.0375</v>
      </c>
      <c r="D18" s="11">
        <f t="shared" si="10"/>
        <v>8.5318749999999994</v>
      </c>
      <c r="E18" s="11">
        <f t="shared" si="10"/>
        <v>7.2520937499999993</v>
      </c>
      <c r="F18" s="11">
        <f t="shared" si="10"/>
        <v>6.1642796874999997</v>
      </c>
      <c r="G18" s="11">
        <f t="shared" si="10"/>
        <v>5.239637734375</v>
      </c>
      <c r="H18" s="11">
        <f t="shared" si="10"/>
        <v>4.4536920742187505</v>
      </c>
      <c r="I18" s="11">
        <f t="shared" si="10"/>
        <v>3.785638263085938</v>
      </c>
    </row>
    <row r="19" spans="1:9" x14ac:dyDescent="0.25">
      <c r="A19" s="10" t="s">
        <v>199</v>
      </c>
      <c r="B19" s="10"/>
      <c r="C19" s="11">
        <f>C7-C13</f>
        <v>1.9888000000000001</v>
      </c>
      <c r="D19" s="11">
        <f t="shared" si="10"/>
        <v>1.7899200000000002</v>
      </c>
      <c r="E19" s="11">
        <f t="shared" si="10"/>
        <v>1.6109280000000001</v>
      </c>
      <c r="F19" s="11">
        <f t="shared" si="10"/>
        <v>1.4498352000000001</v>
      </c>
      <c r="G19" s="11">
        <f t="shared" si="10"/>
        <v>1.3048516800000001</v>
      </c>
      <c r="H19" s="11">
        <f t="shared" si="10"/>
        <v>1.174366512</v>
      </c>
      <c r="I19" s="11">
        <f t="shared" si="10"/>
        <v>1.0569298608</v>
      </c>
    </row>
    <row r="20" spans="1:9" x14ac:dyDescent="0.25">
      <c r="A20" s="43" t="s">
        <v>11</v>
      </c>
      <c r="B20" s="43"/>
      <c r="C20" s="44">
        <f t="shared" ref="C20:I20" si="11">SUM(C17:C19)</f>
        <v>19.802347916666665</v>
      </c>
      <c r="D20" s="44">
        <f t="shared" si="11"/>
        <v>17.320238124999999</v>
      </c>
      <c r="E20" s="44">
        <f t="shared" si="11"/>
        <v>15.1616205625</v>
      </c>
      <c r="F20" s="44">
        <f t="shared" si="11"/>
        <v>13.28285381875</v>
      </c>
      <c r="G20" s="44">
        <f t="shared" si="11"/>
        <v>11.646354452500001</v>
      </c>
      <c r="H20" s="44">
        <f t="shared" si="11"/>
        <v>10.219737120531251</v>
      </c>
      <c r="I20" s="44">
        <f t="shared" si="11"/>
        <v>8.9750788047671879</v>
      </c>
    </row>
  </sheetData>
  <mergeCells count="1">
    <mergeCell ref="A1:H1"/>
  </mergeCells>
  <pageMargins left="0.7" right="0.7" top="0.75" bottom="0.75" header="0.3" footer="0.3"/>
  <pageSetup paperSize="9" orientation="landscape" r:id="rId1"/>
  <ignoredErrors>
    <ignoredError sqref="E1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E9" sqref="E9"/>
    </sheetView>
  </sheetViews>
  <sheetFormatPr defaultRowHeight="15" x14ac:dyDescent="0.25"/>
  <cols>
    <col min="3" max="3" width="11.42578125" customWidth="1"/>
    <col min="4" max="4" width="13.140625" customWidth="1"/>
    <col min="8" max="8" width="11.140625" customWidth="1"/>
    <col min="9" max="9" width="10.140625" customWidth="1"/>
    <col min="10" max="10" width="10.7109375" customWidth="1"/>
    <col min="13" max="13" width="10.7109375" customWidth="1"/>
  </cols>
  <sheetData>
    <row r="1" spans="1:13" x14ac:dyDescent="0.25">
      <c r="A1" s="6"/>
      <c r="B1" s="209" t="s">
        <v>14</v>
      </c>
      <c r="C1" s="209"/>
      <c r="D1" s="209"/>
      <c r="E1" s="209"/>
      <c r="F1" s="209"/>
      <c r="G1" s="209"/>
      <c r="H1" s="209"/>
      <c r="I1" s="209"/>
      <c r="J1" s="209"/>
      <c r="K1" s="209"/>
      <c r="L1" s="6"/>
      <c r="M1" s="6"/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/>
      <c r="B3" s="208" t="s">
        <v>15</v>
      </c>
      <c r="C3" s="208"/>
      <c r="D3" s="10"/>
      <c r="E3" s="11">
        <f>'Project Cost'!D16</f>
        <v>24.119749999999996</v>
      </c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208" t="s">
        <v>16</v>
      </c>
      <c r="C4" s="208"/>
      <c r="D4" s="10"/>
      <c r="E4" s="11">
        <f>'Project Cost'!D24/'Project Cost'!D23</f>
        <v>1.1857707509881421</v>
      </c>
      <c r="F4" s="6"/>
      <c r="G4" s="6"/>
      <c r="H4" s="6"/>
      <c r="I4" s="6"/>
      <c r="J4" s="6"/>
      <c r="K4" s="6"/>
      <c r="L4" s="6"/>
      <c r="M4" s="6"/>
    </row>
    <row r="5" spans="1:13" x14ac:dyDescent="0.25">
      <c r="A5" s="6"/>
      <c r="B5" s="208" t="s">
        <v>17</v>
      </c>
      <c r="C5" s="208"/>
      <c r="D5" s="10"/>
      <c r="E5" s="11">
        <v>12</v>
      </c>
      <c r="F5" s="6"/>
      <c r="G5" s="6"/>
      <c r="H5" s="6"/>
      <c r="I5" s="6"/>
      <c r="J5" s="6"/>
      <c r="K5" s="6"/>
      <c r="L5" s="6" t="s">
        <v>462</v>
      </c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/>
      <c r="B7" s="207"/>
      <c r="C7" s="207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/>
      <c r="B8" s="208" t="s">
        <v>18</v>
      </c>
      <c r="C8" s="208"/>
      <c r="D8" s="10"/>
      <c r="E8" s="11">
        <f>E5</f>
        <v>12</v>
      </c>
      <c r="F8" s="6" t="s">
        <v>77</v>
      </c>
      <c r="G8" s="6"/>
      <c r="H8" s="6"/>
      <c r="I8" s="6"/>
      <c r="J8" s="6"/>
      <c r="K8" s="6"/>
      <c r="L8" s="6"/>
      <c r="M8" s="6"/>
    </row>
    <row r="9" spans="1:13" x14ac:dyDescent="0.25">
      <c r="A9" s="6"/>
      <c r="B9" s="208" t="s">
        <v>19</v>
      </c>
      <c r="C9" s="208"/>
      <c r="D9" s="10"/>
      <c r="E9" s="63">
        <v>72</v>
      </c>
      <c r="F9" s="6"/>
      <c r="G9" s="6"/>
      <c r="H9" s="6"/>
      <c r="I9" s="6"/>
      <c r="J9" s="6"/>
      <c r="K9" s="6"/>
      <c r="L9" s="6"/>
      <c r="M9" s="6"/>
    </row>
    <row r="10" spans="1:13" x14ac:dyDescent="0.25">
      <c r="A10" s="6"/>
      <c r="B10" s="208" t="s">
        <v>99</v>
      </c>
      <c r="C10" s="208"/>
      <c r="D10" s="10"/>
      <c r="E10" s="63">
        <v>14</v>
      </c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6"/>
      <c r="B11" s="208" t="s">
        <v>20</v>
      </c>
      <c r="C11" s="208"/>
      <c r="D11" s="9" t="s">
        <v>205</v>
      </c>
      <c r="E11" s="62">
        <v>7.9500000000000001E-2</v>
      </c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6"/>
      <c r="B12" s="64"/>
      <c r="C12" s="64"/>
      <c r="D12" s="9" t="s">
        <v>212</v>
      </c>
      <c r="E12" s="62">
        <v>0.11</v>
      </c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6"/>
      <c r="B13" s="19"/>
      <c r="C13" s="19"/>
      <c r="D13" s="6"/>
      <c r="E13" s="7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6"/>
      <c r="B14" s="6"/>
      <c r="C14" s="6"/>
      <c r="D14" s="6"/>
      <c r="E14" s="6"/>
      <c r="F14" s="6"/>
      <c r="G14" s="6"/>
      <c r="H14" s="6"/>
      <c r="I14" s="6"/>
      <c r="J14" s="6" t="s">
        <v>202</v>
      </c>
      <c r="K14" s="6"/>
      <c r="L14" s="6"/>
      <c r="M14" s="6"/>
    </row>
    <row r="15" spans="1:13" x14ac:dyDescent="0.25">
      <c r="A15" s="65" t="s">
        <v>21</v>
      </c>
      <c r="B15" s="65" t="s">
        <v>22</v>
      </c>
      <c r="C15" s="65" t="s">
        <v>23</v>
      </c>
      <c r="D15" s="65" t="s">
        <v>24</v>
      </c>
      <c r="E15" s="65" t="s">
        <v>25</v>
      </c>
      <c r="F15" s="65" t="s">
        <v>26</v>
      </c>
      <c r="G15" s="65" t="s">
        <v>27</v>
      </c>
      <c r="H15" s="65" t="s">
        <v>28</v>
      </c>
      <c r="I15" s="65" t="s">
        <v>29</v>
      </c>
      <c r="J15" s="65" t="s">
        <v>30</v>
      </c>
      <c r="K15" s="65" t="s">
        <v>31</v>
      </c>
      <c r="L15" s="65" t="s">
        <v>32</v>
      </c>
      <c r="M15" s="66" t="s">
        <v>29</v>
      </c>
    </row>
    <row r="16" spans="1:13" x14ac:dyDescent="0.25">
      <c r="A16" s="67" t="s">
        <v>33</v>
      </c>
      <c r="B16" s="67"/>
      <c r="C16" s="67"/>
      <c r="D16" s="67"/>
      <c r="E16" s="67" t="s">
        <v>34</v>
      </c>
      <c r="F16" s="67" t="s">
        <v>35</v>
      </c>
      <c r="G16" s="67"/>
      <c r="H16" s="67" t="s">
        <v>36</v>
      </c>
      <c r="I16" s="67" t="s">
        <v>37</v>
      </c>
      <c r="J16" s="67"/>
      <c r="K16" s="67" t="s">
        <v>38</v>
      </c>
      <c r="L16" s="67" t="s">
        <v>39</v>
      </c>
      <c r="M16" s="68" t="s">
        <v>40</v>
      </c>
    </row>
    <row r="17" spans="1:13" x14ac:dyDescent="0.25">
      <c r="A17" s="69"/>
      <c r="B17" s="69"/>
      <c r="C17" s="69"/>
      <c r="D17" s="69"/>
      <c r="E17" s="69"/>
      <c r="F17" s="69"/>
      <c r="G17" s="69"/>
      <c r="H17" s="69"/>
      <c r="I17" s="69" t="s">
        <v>40</v>
      </c>
      <c r="J17" s="69"/>
      <c r="K17" s="69"/>
      <c r="L17" s="69" t="s">
        <v>38</v>
      </c>
      <c r="M17" s="70"/>
    </row>
    <row r="18" spans="1:13" x14ac:dyDescent="0.25">
      <c r="A18" s="71">
        <v>1</v>
      </c>
      <c r="B18" s="72" t="s">
        <v>101</v>
      </c>
      <c r="C18" s="11">
        <v>0</v>
      </c>
      <c r="D18" s="11">
        <v>2</v>
      </c>
      <c r="E18" s="11">
        <f>D18*E11/12</f>
        <v>1.325E-2</v>
      </c>
      <c r="F18" s="11">
        <f>E18</f>
        <v>1.325E-2</v>
      </c>
      <c r="G18" s="11">
        <v>0</v>
      </c>
      <c r="H18" s="11">
        <f>D18-G18</f>
        <v>2</v>
      </c>
      <c r="I18" s="11">
        <f>F18+G18</f>
        <v>1.325E-2</v>
      </c>
      <c r="J18" s="73"/>
      <c r="K18" s="11"/>
      <c r="L18" s="11"/>
      <c r="M18" s="11"/>
    </row>
    <row r="19" spans="1:13" x14ac:dyDescent="0.25">
      <c r="A19" s="71">
        <f>A18+1</f>
        <v>2</v>
      </c>
      <c r="B19" s="72" t="s">
        <v>102</v>
      </c>
      <c r="C19" s="11">
        <f>H18</f>
        <v>2</v>
      </c>
      <c r="D19" s="11">
        <v>2</v>
      </c>
      <c r="E19" s="11">
        <f>H19*E11/12</f>
        <v>2.6499999999999999E-2</v>
      </c>
      <c r="F19" s="11">
        <f>E19</f>
        <v>2.6499999999999999E-2</v>
      </c>
      <c r="G19" s="11">
        <v>0</v>
      </c>
      <c r="H19" s="11">
        <f>C19+D19-G19</f>
        <v>4</v>
      </c>
      <c r="I19" s="11">
        <f>G19+F19</f>
        <v>2.6499999999999999E-2</v>
      </c>
      <c r="J19" s="11" t="str">
        <f>B19</f>
        <v>March-23</v>
      </c>
      <c r="K19" s="11">
        <f>SUM(E18:E19)</f>
        <v>3.9750000000000001E-2</v>
      </c>
      <c r="L19" s="11">
        <f>SUM(G18:G19)</f>
        <v>0</v>
      </c>
      <c r="M19" s="11">
        <f>K19+L19</f>
        <v>3.9750000000000001E-2</v>
      </c>
    </row>
    <row r="20" spans="1:13" x14ac:dyDescent="0.25">
      <c r="A20" s="71">
        <f>A19+1</f>
        <v>3</v>
      </c>
      <c r="B20" s="72" t="s">
        <v>103</v>
      </c>
      <c r="C20" s="11">
        <f>H19</f>
        <v>4</v>
      </c>
      <c r="D20" s="11">
        <v>2</v>
      </c>
      <c r="E20" s="11">
        <f>H20*E11/12</f>
        <v>3.9750000000000001E-2</v>
      </c>
      <c r="F20" s="11">
        <f t="shared" ref="F20:F76" si="0">E20</f>
        <v>3.9750000000000001E-2</v>
      </c>
      <c r="G20" s="11">
        <v>0</v>
      </c>
      <c r="H20" s="11">
        <f t="shared" ref="H20:H26" si="1">C20-G20+D20</f>
        <v>6</v>
      </c>
      <c r="I20" s="11">
        <f>F20+G20</f>
        <v>3.9750000000000001E-2</v>
      </c>
      <c r="J20" s="11"/>
      <c r="K20" s="11"/>
      <c r="L20" s="11"/>
      <c r="M20" s="11"/>
    </row>
    <row r="21" spans="1:13" x14ac:dyDescent="0.25">
      <c r="A21" s="71">
        <f t="shared" ref="A21:A83" si="2">A20+1</f>
        <v>4</v>
      </c>
      <c r="B21" s="72" t="s">
        <v>104</v>
      </c>
      <c r="C21" s="11">
        <f>H20</f>
        <v>6</v>
      </c>
      <c r="D21" s="11">
        <v>2</v>
      </c>
      <c r="E21" s="11">
        <f>H21*E11/12</f>
        <v>5.2999999999999999E-2</v>
      </c>
      <c r="F21" s="11">
        <f t="shared" si="0"/>
        <v>5.2999999999999999E-2</v>
      </c>
      <c r="G21" s="11">
        <v>0</v>
      </c>
      <c r="H21" s="11">
        <f t="shared" si="1"/>
        <v>8</v>
      </c>
      <c r="I21" s="11">
        <f>G21+F21</f>
        <v>5.2999999999999999E-2</v>
      </c>
      <c r="J21" s="28"/>
      <c r="K21" s="28"/>
      <c r="L21" s="28"/>
      <c r="M21" s="28"/>
    </row>
    <row r="22" spans="1:13" x14ac:dyDescent="0.25">
      <c r="A22" s="71">
        <f t="shared" si="2"/>
        <v>5</v>
      </c>
      <c r="B22" s="72" t="s">
        <v>105</v>
      </c>
      <c r="C22" s="11">
        <f t="shared" ref="C22:C84" si="3">H21</f>
        <v>8</v>
      </c>
      <c r="D22" s="11">
        <v>2</v>
      </c>
      <c r="E22" s="11">
        <f>H22*E11/12</f>
        <v>6.6250000000000003E-2</v>
      </c>
      <c r="F22" s="11">
        <f t="shared" si="0"/>
        <v>6.6250000000000003E-2</v>
      </c>
      <c r="G22" s="11">
        <v>0</v>
      </c>
      <c r="H22" s="11">
        <f t="shared" si="1"/>
        <v>10</v>
      </c>
      <c r="I22" s="11">
        <f>F22+G22</f>
        <v>6.6250000000000003E-2</v>
      </c>
      <c r="J22" s="11"/>
      <c r="K22" s="11"/>
      <c r="L22" s="11"/>
      <c r="M22" s="11"/>
    </row>
    <row r="23" spans="1:13" x14ac:dyDescent="0.25">
      <c r="A23" s="71">
        <f t="shared" si="2"/>
        <v>6</v>
      </c>
      <c r="B23" s="72" t="s">
        <v>106</v>
      </c>
      <c r="C23" s="11">
        <f>H22</f>
        <v>10</v>
      </c>
      <c r="D23" s="11">
        <v>2</v>
      </c>
      <c r="E23" s="11">
        <f>H23*E11/12</f>
        <v>7.9500000000000001E-2</v>
      </c>
      <c r="F23" s="11">
        <f t="shared" si="0"/>
        <v>7.9500000000000001E-2</v>
      </c>
      <c r="G23" s="11">
        <v>0</v>
      </c>
      <c r="H23" s="11">
        <f t="shared" si="1"/>
        <v>12</v>
      </c>
      <c r="I23" s="11">
        <f>G23+F23</f>
        <v>7.9500000000000001E-2</v>
      </c>
      <c r="J23" s="11"/>
      <c r="K23" s="11"/>
      <c r="L23" s="11"/>
      <c r="M23" s="10"/>
    </row>
    <row r="24" spans="1:13" x14ac:dyDescent="0.25">
      <c r="A24" s="71">
        <f t="shared" si="2"/>
        <v>7</v>
      </c>
      <c r="B24" s="72" t="s">
        <v>107</v>
      </c>
      <c r="C24" s="11">
        <f t="shared" si="3"/>
        <v>12</v>
      </c>
      <c r="D24" s="11"/>
      <c r="E24" s="11">
        <f>H24*E11/12</f>
        <v>7.9500000000000001E-2</v>
      </c>
      <c r="F24" s="11">
        <f t="shared" si="0"/>
        <v>7.9500000000000001E-2</v>
      </c>
      <c r="G24" s="11">
        <v>0</v>
      </c>
      <c r="H24" s="11">
        <f t="shared" si="1"/>
        <v>12</v>
      </c>
      <c r="I24" s="11">
        <f>F24+G24</f>
        <v>7.9500000000000001E-2</v>
      </c>
      <c r="J24" s="11"/>
      <c r="K24" s="11"/>
      <c r="L24" s="11"/>
      <c r="M24" s="11"/>
    </row>
    <row r="25" spans="1:13" x14ac:dyDescent="0.25">
      <c r="A25" s="71">
        <f t="shared" si="2"/>
        <v>8</v>
      </c>
      <c r="B25" s="72" t="s">
        <v>108</v>
      </c>
      <c r="C25" s="11">
        <f t="shared" si="3"/>
        <v>12</v>
      </c>
      <c r="D25" s="11"/>
      <c r="E25" s="11">
        <f>H25*E11/12</f>
        <v>7.9500000000000001E-2</v>
      </c>
      <c r="F25" s="11">
        <f t="shared" si="0"/>
        <v>7.9500000000000001E-2</v>
      </c>
      <c r="G25" s="11">
        <v>0</v>
      </c>
      <c r="H25" s="11">
        <f t="shared" si="1"/>
        <v>12</v>
      </c>
      <c r="I25" s="11">
        <f>G25+F25</f>
        <v>7.9500000000000001E-2</v>
      </c>
      <c r="J25" s="11"/>
      <c r="K25" s="11"/>
      <c r="L25" s="11"/>
      <c r="M25" s="11"/>
    </row>
    <row r="26" spans="1:13" x14ac:dyDescent="0.25">
      <c r="A26" s="71">
        <f t="shared" si="2"/>
        <v>9</v>
      </c>
      <c r="B26" s="72" t="s">
        <v>109</v>
      </c>
      <c r="C26" s="11">
        <f t="shared" si="3"/>
        <v>12</v>
      </c>
      <c r="D26" s="11"/>
      <c r="E26" s="11">
        <f>H26*E11/12</f>
        <v>7.9500000000000001E-2</v>
      </c>
      <c r="F26" s="11">
        <f t="shared" si="0"/>
        <v>7.9500000000000001E-2</v>
      </c>
      <c r="G26" s="11">
        <v>0</v>
      </c>
      <c r="H26" s="11">
        <f t="shared" si="1"/>
        <v>12</v>
      </c>
      <c r="I26" s="11">
        <f>F26+G26</f>
        <v>7.9500000000000001E-2</v>
      </c>
      <c r="J26" s="11"/>
      <c r="K26" s="11"/>
      <c r="L26" s="11"/>
      <c r="M26" s="10"/>
    </row>
    <row r="27" spans="1:13" x14ac:dyDescent="0.25">
      <c r="A27" s="71">
        <f t="shared" si="2"/>
        <v>10</v>
      </c>
      <c r="B27" s="72" t="s">
        <v>110</v>
      </c>
      <c r="C27" s="11">
        <f t="shared" si="3"/>
        <v>12</v>
      </c>
      <c r="D27" s="11"/>
      <c r="E27" s="11">
        <f>H27*E11/12</f>
        <v>7.9500000000000001E-2</v>
      </c>
      <c r="F27" s="11">
        <f t="shared" si="0"/>
        <v>7.9500000000000001E-2</v>
      </c>
      <c r="G27" s="11">
        <v>0</v>
      </c>
      <c r="H27" s="11">
        <f t="shared" ref="H27:H35" si="4">C27-G27+D27</f>
        <v>12</v>
      </c>
      <c r="I27" s="11">
        <f>G27+F27</f>
        <v>7.9500000000000001E-2</v>
      </c>
      <c r="J27" s="11"/>
      <c r="K27" s="11"/>
      <c r="L27" s="11"/>
      <c r="M27" s="11"/>
    </row>
    <row r="28" spans="1:13" x14ac:dyDescent="0.25">
      <c r="A28" s="71">
        <f t="shared" si="2"/>
        <v>11</v>
      </c>
      <c r="B28" s="72" t="s">
        <v>111</v>
      </c>
      <c r="C28" s="11">
        <f t="shared" si="3"/>
        <v>12</v>
      </c>
      <c r="D28" s="11"/>
      <c r="E28" s="11">
        <f>C28*E11/12</f>
        <v>7.9500000000000001E-2</v>
      </c>
      <c r="F28" s="11">
        <f t="shared" si="0"/>
        <v>7.9500000000000001E-2</v>
      </c>
      <c r="G28" s="11">
        <v>0</v>
      </c>
      <c r="H28" s="11">
        <f t="shared" si="4"/>
        <v>12</v>
      </c>
      <c r="I28" s="11">
        <f>F28+G28</f>
        <v>7.9500000000000001E-2</v>
      </c>
      <c r="J28" s="11"/>
      <c r="K28" s="11"/>
      <c r="L28" s="11"/>
      <c r="M28" s="10"/>
    </row>
    <row r="29" spans="1:13" x14ac:dyDescent="0.25">
      <c r="A29" s="71">
        <f t="shared" si="2"/>
        <v>12</v>
      </c>
      <c r="B29" s="72" t="s">
        <v>112</v>
      </c>
      <c r="C29" s="11">
        <f t="shared" si="3"/>
        <v>12</v>
      </c>
      <c r="D29" s="11"/>
      <c r="E29" s="11">
        <f>C29*E11/12</f>
        <v>7.9500000000000001E-2</v>
      </c>
      <c r="F29" s="11">
        <f t="shared" si="0"/>
        <v>7.9500000000000001E-2</v>
      </c>
      <c r="G29" s="11">
        <v>0</v>
      </c>
      <c r="H29" s="11">
        <f t="shared" si="4"/>
        <v>12</v>
      </c>
      <c r="I29" s="11">
        <f>G29+F29</f>
        <v>7.9500000000000001E-2</v>
      </c>
      <c r="J29" s="11"/>
      <c r="K29" s="11"/>
      <c r="L29" s="11"/>
      <c r="M29" s="10"/>
    </row>
    <row r="30" spans="1:13" x14ac:dyDescent="0.25">
      <c r="A30" s="71">
        <f t="shared" si="2"/>
        <v>13</v>
      </c>
      <c r="B30" s="72" t="s">
        <v>113</v>
      </c>
      <c r="C30" s="11">
        <f t="shared" si="3"/>
        <v>12</v>
      </c>
      <c r="D30" s="11"/>
      <c r="E30" s="11">
        <f>C30*E11/12</f>
        <v>7.9500000000000001E-2</v>
      </c>
      <c r="F30" s="11">
        <f t="shared" si="0"/>
        <v>7.9500000000000001E-2</v>
      </c>
      <c r="G30" s="11">
        <v>0</v>
      </c>
      <c r="H30" s="11">
        <f t="shared" si="4"/>
        <v>12</v>
      </c>
      <c r="I30" s="11">
        <f>F30+G30</f>
        <v>7.9500000000000001E-2</v>
      </c>
      <c r="J30" s="11"/>
      <c r="K30" s="11"/>
      <c r="L30" s="11"/>
      <c r="M30" s="11"/>
    </row>
    <row r="31" spans="1:13" x14ac:dyDescent="0.25">
      <c r="A31" s="71">
        <f t="shared" si="2"/>
        <v>14</v>
      </c>
      <c r="B31" s="72" t="s">
        <v>114</v>
      </c>
      <c r="C31" s="11">
        <f t="shared" si="3"/>
        <v>12</v>
      </c>
      <c r="D31" s="11"/>
      <c r="E31" s="11">
        <f>C31*E11/12</f>
        <v>7.9500000000000001E-2</v>
      </c>
      <c r="F31" s="11">
        <f t="shared" si="0"/>
        <v>7.9500000000000001E-2</v>
      </c>
      <c r="G31" s="11">
        <v>0</v>
      </c>
      <c r="H31" s="11">
        <f t="shared" si="4"/>
        <v>12</v>
      </c>
      <c r="I31" s="11">
        <f>G31+F31</f>
        <v>7.9500000000000001E-2</v>
      </c>
      <c r="J31" s="11" t="str">
        <f>B31</f>
        <v>March-24</v>
      </c>
      <c r="K31" s="11">
        <f>SUM(E20:E31)</f>
        <v>0.87450000000000006</v>
      </c>
      <c r="L31" s="11">
        <f>SUM(G20:G30)</f>
        <v>0</v>
      </c>
      <c r="M31" s="11">
        <f>K31+L31</f>
        <v>0.87450000000000006</v>
      </c>
    </row>
    <row r="32" spans="1:13" x14ac:dyDescent="0.25">
      <c r="A32" s="71">
        <f t="shared" si="2"/>
        <v>15</v>
      </c>
      <c r="B32" s="72" t="s">
        <v>121</v>
      </c>
      <c r="C32" s="11">
        <f t="shared" si="3"/>
        <v>12</v>
      </c>
      <c r="D32" s="11"/>
      <c r="E32" s="11">
        <f>C32*E11/12</f>
        <v>7.9500000000000001E-2</v>
      </c>
      <c r="F32" s="11">
        <f t="shared" si="0"/>
        <v>7.9500000000000001E-2</v>
      </c>
      <c r="G32" s="11">
        <v>0.1</v>
      </c>
      <c r="H32" s="11">
        <f t="shared" si="4"/>
        <v>11.9</v>
      </c>
      <c r="I32" s="11">
        <f>F32+G32</f>
        <v>0.17949999999999999</v>
      </c>
      <c r="J32" s="11"/>
      <c r="K32" s="11"/>
      <c r="L32" s="11"/>
      <c r="M32" s="11"/>
    </row>
    <row r="33" spans="1:13" x14ac:dyDescent="0.25">
      <c r="A33" s="71">
        <f t="shared" si="2"/>
        <v>16</v>
      </c>
      <c r="B33" s="72" t="s">
        <v>122</v>
      </c>
      <c r="C33" s="11">
        <f t="shared" si="3"/>
        <v>11.9</v>
      </c>
      <c r="D33" s="11"/>
      <c r="E33" s="11">
        <f>C33*E11/12</f>
        <v>7.8837500000000005E-2</v>
      </c>
      <c r="F33" s="11">
        <f t="shared" si="0"/>
        <v>7.8837500000000005E-2</v>
      </c>
      <c r="G33" s="11">
        <v>0.1</v>
      </c>
      <c r="H33" s="11">
        <f t="shared" si="4"/>
        <v>11.8</v>
      </c>
      <c r="I33" s="11">
        <f>G33+F33</f>
        <v>0.17883750000000001</v>
      </c>
      <c r="J33" s="11"/>
      <c r="K33" s="11"/>
      <c r="L33" s="11"/>
      <c r="M33" s="11"/>
    </row>
    <row r="34" spans="1:13" x14ac:dyDescent="0.25">
      <c r="A34" s="71">
        <f t="shared" si="2"/>
        <v>17</v>
      </c>
      <c r="B34" s="72" t="s">
        <v>123</v>
      </c>
      <c r="C34" s="11">
        <f t="shared" si="3"/>
        <v>11.8</v>
      </c>
      <c r="D34" s="11"/>
      <c r="E34" s="11">
        <f>C34*E11/12</f>
        <v>7.8175000000000008E-2</v>
      </c>
      <c r="F34" s="11">
        <f t="shared" si="0"/>
        <v>7.8175000000000008E-2</v>
      </c>
      <c r="G34" s="11">
        <v>0.1</v>
      </c>
      <c r="H34" s="11">
        <f t="shared" si="4"/>
        <v>11.700000000000001</v>
      </c>
      <c r="I34" s="11">
        <f>F34+G34</f>
        <v>0.17817500000000003</v>
      </c>
      <c r="J34" s="11"/>
      <c r="K34" s="11"/>
      <c r="L34" s="11"/>
      <c r="M34" s="10"/>
    </row>
    <row r="35" spans="1:13" x14ac:dyDescent="0.25">
      <c r="A35" s="71">
        <f t="shared" si="2"/>
        <v>18</v>
      </c>
      <c r="B35" s="72" t="s">
        <v>124</v>
      </c>
      <c r="C35" s="11">
        <f t="shared" si="3"/>
        <v>11.700000000000001</v>
      </c>
      <c r="D35" s="11"/>
      <c r="E35" s="11">
        <f>C35*E11/12</f>
        <v>7.7512500000000012E-2</v>
      </c>
      <c r="F35" s="11">
        <f t="shared" si="0"/>
        <v>7.7512500000000012E-2</v>
      </c>
      <c r="G35" s="11">
        <v>0.1</v>
      </c>
      <c r="H35" s="11">
        <f t="shared" si="4"/>
        <v>11.600000000000001</v>
      </c>
      <c r="I35" s="11">
        <f>G35+F35</f>
        <v>0.17751250000000002</v>
      </c>
      <c r="J35" s="11"/>
      <c r="K35" s="11"/>
      <c r="L35" s="11"/>
      <c r="M35" s="11"/>
    </row>
    <row r="36" spans="1:13" x14ac:dyDescent="0.25">
      <c r="A36" s="71">
        <f t="shared" si="2"/>
        <v>19</v>
      </c>
      <c r="B36" s="72" t="s">
        <v>125</v>
      </c>
      <c r="C36" s="11">
        <f t="shared" si="3"/>
        <v>11.600000000000001</v>
      </c>
      <c r="D36" s="11"/>
      <c r="E36" s="11">
        <f>C36*E11/12</f>
        <v>7.6850000000000016E-2</v>
      </c>
      <c r="F36" s="11">
        <f t="shared" si="0"/>
        <v>7.6850000000000016E-2</v>
      </c>
      <c r="G36" s="11">
        <v>0.1</v>
      </c>
      <c r="H36" s="11">
        <f t="shared" ref="H36:H83" si="5">C36-G36</f>
        <v>11.500000000000002</v>
      </c>
      <c r="I36" s="11">
        <f>F36+G36</f>
        <v>0.17685000000000001</v>
      </c>
      <c r="J36" s="11"/>
      <c r="K36" s="11"/>
      <c r="L36" s="11"/>
      <c r="M36" s="11"/>
    </row>
    <row r="37" spans="1:13" x14ac:dyDescent="0.25">
      <c r="A37" s="71">
        <f t="shared" si="2"/>
        <v>20</v>
      </c>
      <c r="B37" s="72" t="s">
        <v>126</v>
      </c>
      <c r="C37" s="11">
        <f t="shared" si="3"/>
        <v>11.500000000000002</v>
      </c>
      <c r="D37" s="11"/>
      <c r="E37" s="11">
        <f>C37*E11/12</f>
        <v>7.6187500000000005E-2</v>
      </c>
      <c r="F37" s="11">
        <f t="shared" si="0"/>
        <v>7.6187500000000005E-2</v>
      </c>
      <c r="G37" s="11">
        <v>0.1</v>
      </c>
      <c r="H37" s="11">
        <f t="shared" si="5"/>
        <v>11.400000000000002</v>
      </c>
      <c r="I37" s="11">
        <f>G37+F37</f>
        <v>0.1761875</v>
      </c>
      <c r="J37" s="11"/>
      <c r="K37" s="11"/>
      <c r="L37" s="11"/>
      <c r="M37" s="10"/>
    </row>
    <row r="38" spans="1:13" x14ac:dyDescent="0.25">
      <c r="A38" s="71">
        <f t="shared" si="2"/>
        <v>21</v>
      </c>
      <c r="B38" s="72" t="s">
        <v>127</v>
      </c>
      <c r="C38" s="11">
        <f t="shared" si="3"/>
        <v>11.400000000000002</v>
      </c>
      <c r="D38" s="11"/>
      <c r="E38" s="11">
        <f>C38*E11/12</f>
        <v>7.5525000000000023E-2</v>
      </c>
      <c r="F38" s="11">
        <f t="shared" si="0"/>
        <v>7.5525000000000023E-2</v>
      </c>
      <c r="G38" s="11">
        <v>0.1</v>
      </c>
      <c r="H38" s="11">
        <f t="shared" si="5"/>
        <v>11.300000000000002</v>
      </c>
      <c r="I38" s="11">
        <f>F38+G38</f>
        <v>0.17552500000000004</v>
      </c>
      <c r="J38" s="11"/>
      <c r="K38" s="11"/>
      <c r="L38" s="11"/>
      <c r="M38" s="11"/>
    </row>
    <row r="39" spans="1:13" x14ac:dyDescent="0.25">
      <c r="A39" s="71">
        <f t="shared" si="2"/>
        <v>22</v>
      </c>
      <c r="B39" s="72" t="s">
        <v>128</v>
      </c>
      <c r="C39" s="11">
        <f t="shared" si="3"/>
        <v>11.300000000000002</v>
      </c>
      <c r="D39" s="11"/>
      <c r="E39" s="11">
        <f>C39*E11/12</f>
        <v>7.4862500000000012E-2</v>
      </c>
      <c r="F39" s="11">
        <f t="shared" si="0"/>
        <v>7.4862500000000012E-2</v>
      </c>
      <c r="G39" s="11">
        <v>0.1</v>
      </c>
      <c r="H39" s="11">
        <f t="shared" si="5"/>
        <v>11.200000000000003</v>
      </c>
      <c r="I39" s="11">
        <f>G39+F39</f>
        <v>0.17486250000000003</v>
      </c>
      <c r="J39" s="11"/>
      <c r="K39" s="11"/>
      <c r="L39" s="11"/>
      <c r="M39" s="11"/>
    </row>
    <row r="40" spans="1:13" x14ac:dyDescent="0.25">
      <c r="A40" s="71">
        <f t="shared" si="2"/>
        <v>23</v>
      </c>
      <c r="B40" s="72" t="s">
        <v>129</v>
      </c>
      <c r="C40" s="11">
        <f t="shared" si="3"/>
        <v>11.200000000000003</v>
      </c>
      <c r="D40" s="11"/>
      <c r="E40" s="11">
        <f>C40*E11/12</f>
        <v>7.4200000000000016E-2</v>
      </c>
      <c r="F40" s="11">
        <f t="shared" si="0"/>
        <v>7.4200000000000016E-2</v>
      </c>
      <c r="G40" s="11">
        <v>0.1</v>
      </c>
      <c r="H40" s="11">
        <f t="shared" si="5"/>
        <v>11.100000000000003</v>
      </c>
      <c r="I40" s="11">
        <f>F40+G40</f>
        <v>0.17420000000000002</v>
      </c>
      <c r="J40" s="11"/>
      <c r="K40" s="11"/>
      <c r="L40" s="11"/>
      <c r="M40" s="10"/>
    </row>
    <row r="41" spans="1:13" x14ac:dyDescent="0.25">
      <c r="A41" s="71">
        <f t="shared" si="2"/>
        <v>24</v>
      </c>
      <c r="B41" s="72" t="s">
        <v>130</v>
      </c>
      <c r="C41" s="11">
        <f t="shared" si="3"/>
        <v>11.100000000000003</v>
      </c>
      <c r="D41" s="11"/>
      <c r="E41" s="11">
        <f>C41*E11/12</f>
        <v>7.353750000000002E-2</v>
      </c>
      <c r="F41" s="11">
        <f t="shared" si="0"/>
        <v>7.353750000000002E-2</v>
      </c>
      <c r="G41" s="11">
        <v>0.1</v>
      </c>
      <c r="H41" s="11">
        <f t="shared" si="5"/>
        <v>11.000000000000004</v>
      </c>
      <c r="I41" s="11">
        <f>G41+F41</f>
        <v>0.17353750000000001</v>
      </c>
      <c r="J41" s="11"/>
      <c r="K41" s="11"/>
      <c r="L41" s="11"/>
      <c r="M41" s="10"/>
    </row>
    <row r="42" spans="1:13" x14ac:dyDescent="0.25">
      <c r="A42" s="71">
        <f t="shared" si="2"/>
        <v>25</v>
      </c>
      <c r="B42" s="72" t="s">
        <v>131</v>
      </c>
      <c r="C42" s="11">
        <f t="shared" si="3"/>
        <v>11.000000000000004</v>
      </c>
      <c r="D42" s="11"/>
      <c r="E42" s="11">
        <f>C42*E11/12</f>
        <v>7.2875000000000023E-2</v>
      </c>
      <c r="F42" s="11">
        <f t="shared" si="0"/>
        <v>7.2875000000000023E-2</v>
      </c>
      <c r="G42" s="11">
        <v>0.1</v>
      </c>
      <c r="H42" s="11">
        <f t="shared" si="5"/>
        <v>10.900000000000004</v>
      </c>
      <c r="I42" s="11">
        <f>F42+G42</f>
        <v>0.17287500000000003</v>
      </c>
      <c r="J42" s="11"/>
      <c r="K42" s="11"/>
      <c r="L42" s="11"/>
      <c r="M42" s="11"/>
    </row>
    <row r="43" spans="1:13" x14ac:dyDescent="0.25">
      <c r="A43" s="71">
        <f t="shared" si="2"/>
        <v>26</v>
      </c>
      <c r="B43" s="72" t="s">
        <v>132</v>
      </c>
      <c r="C43" s="11">
        <f t="shared" si="3"/>
        <v>10.900000000000004</v>
      </c>
      <c r="D43" s="11"/>
      <c r="E43" s="11">
        <f>C43*E11/12</f>
        <v>7.2212500000000027E-2</v>
      </c>
      <c r="F43" s="11">
        <f t="shared" si="0"/>
        <v>7.2212500000000027E-2</v>
      </c>
      <c r="G43" s="11">
        <v>0.1</v>
      </c>
      <c r="H43" s="11">
        <f t="shared" si="5"/>
        <v>10.800000000000004</v>
      </c>
      <c r="I43" s="11">
        <f>G43+F43</f>
        <v>0.17221250000000005</v>
      </c>
      <c r="J43" s="11" t="str">
        <f>B43</f>
        <v>March-25</v>
      </c>
      <c r="K43" s="11">
        <f>SUM(E32:E43)</f>
        <v>0.91027500000000028</v>
      </c>
      <c r="L43" s="11">
        <f>SUM(G32:G43)</f>
        <v>1.2</v>
      </c>
      <c r="M43" s="11">
        <f>K43+L43</f>
        <v>2.1102750000000001</v>
      </c>
    </row>
    <row r="44" spans="1:13" x14ac:dyDescent="0.25">
      <c r="A44" s="71">
        <f t="shared" si="2"/>
        <v>27</v>
      </c>
      <c r="B44" s="72" t="s">
        <v>133</v>
      </c>
      <c r="C44" s="11">
        <f t="shared" si="3"/>
        <v>10.800000000000004</v>
      </c>
      <c r="D44" s="11"/>
      <c r="E44" s="11">
        <f>C44*E11/12</f>
        <v>7.155000000000003E-2</v>
      </c>
      <c r="F44" s="11">
        <f t="shared" si="0"/>
        <v>7.155000000000003E-2</v>
      </c>
      <c r="G44" s="11">
        <v>0.12</v>
      </c>
      <c r="H44" s="11">
        <f t="shared" si="5"/>
        <v>10.680000000000005</v>
      </c>
      <c r="I44" s="11">
        <f>F44+G44</f>
        <v>0.19155000000000003</v>
      </c>
      <c r="J44" s="11"/>
      <c r="K44" s="11"/>
      <c r="L44" s="11"/>
      <c r="M44" s="11"/>
    </row>
    <row r="45" spans="1:13" x14ac:dyDescent="0.25">
      <c r="A45" s="71">
        <f t="shared" si="2"/>
        <v>28</v>
      </c>
      <c r="B45" s="72" t="s">
        <v>134</v>
      </c>
      <c r="C45" s="11">
        <f t="shared" si="3"/>
        <v>10.680000000000005</v>
      </c>
      <c r="D45" s="11"/>
      <c r="E45" s="11">
        <f>C45*E11/12</f>
        <v>7.0755000000000026E-2</v>
      </c>
      <c r="F45" s="11">
        <f t="shared" si="0"/>
        <v>7.0755000000000026E-2</v>
      </c>
      <c r="G45" s="11">
        <v>0.12</v>
      </c>
      <c r="H45" s="11">
        <f t="shared" si="5"/>
        <v>10.560000000000006</v>
      </c>
      <c r="I45" s="11">
        <f>G45+F45</f>
        <v>0.19075500000000001</v>
      </c>
      <c r="J45" s="11"/>
      <c r="K45" s="11"/>
      <c r="L45" s="11"/>
      <c r="M45" s="11"/>
    </row>
    <row r="46" spans="1:13" x14ac:dyDescent="0.25">
      <c r="A46" s="71">
        <f t="shared" si="2"/>
        <v>29</v>
      </c>
      <c r="B46" s="72" t="s">
        <v>135</v>
      </c>
      <c r="C46" s="11">
        <f t="shared" si="3"/>
        <v>10.560000000000006</v>
      </c>
      <c r="D46" s="11"/>
      <c r="E46" s="11">
        <f>C46*E11/12</f>
        <v>6.9960000000000036E-2</v>
      </c>
      <c r="F46" s="11">
        <f t="shared" si="0"/>
        <v>6.9960000000000036E-2</v>
      </c>
      <c r="G46" s="11">
        <v>0.12</v>
      </c>
      <c r="H46" s="11">
        <f t="shared" si="5"/>
        <v>10.440000000000007</v>
      </c>
      <c r="I46" s="11">
        <f>F46+G46</f>
        <v>0.18996000000000002</v>
      </c>
      <c r="J46" s="11"/>
      <c r="K46" s="11"/>
      <c r="L46" s="11"/>
      <c r="M46" s="11"/>
    </row>
    <row r="47" spans="1:13" x14ac:dyDescent="0.25">
      <c r="A47" s="71">
        <f t="shared" si="2"/>
        <v>30</v>
      </c>
      <c r="B47" s="72" t="s">
        <v>136</v>
      </c>
      <c r="C47" s="11">
        <f t="shared" si="3"/>
        <v>10.440000000000007</v>
      </c>
      <c r="D47" s="11"/>
      <c r="E47" s="11">
        <f>C47*E11/12</f>
        <v>6.9165000000000046E-2</v>
      </c>
      <c r="F47" s="11">
        <f t="shared" si="0"/>
        <v>6.9165000000000046E-2</v>
      </c>
      <c r="G47" s="11">
        <v>0.12</v>
      </c>
      <c r="H47" s="11">
        <f t="shared" si="5"/>
        <v>10.320000000000007</v>
      </c>
      <c r="I47" s="11">
        <f>G47+F47</f>
        <v>0.18916500000000003</v>
      </c>
      <c r="J47" s="11"/>
      <c r="K47" s="11"/>
      <c r="L47" s="11"/>
      <c r="M47" s="11"/>
    </row>
    <row r="48" spans="1:13" x14ac:dyDescent="0.25">
      <c r="A48" s="71">
        <f t="shared" si="2"/>
        <v>31</v>
      </c>
      <c r="B48" s="72" t="s">
        <v>137</v>
      </c>
      <c r="C48" s="11">
        <f t="shared" si="3"/>
        <v>10.320000000000007</v>
      </c>
      <c r="D48" s="11"/>
      <c r="E48" s="11">
        <f>C48*E11/12</f>
        <v>6.8370000000000056E-2</v>
      </c>
      <c r="F48" s="11">
        <f t="shared" si="0"/>
        <v>6.8370000000000056E-2</v>
      </c>
      <c r="G48" s="11">
        <v>0.12</v>
      </c>
      <c r="H48" s="11">
        <f t="shared" si="5"/>
        <v>10.200000000000008</v>
      </c>
      <c r="I48" s="11">
        <f>F48+G48</f>
        <v>0.18837000000000004</v>
      </c>
      <c r="J48" s="11"/>
      <c r="K48" s="11"/>
      <c r="L48" s="11"/>
      <c r="M48" s="11"/>
    </row>
    <row r="49" spans="1:13" x14ac:dyDescent="0.25">
      <c r="A49" s="71">
        <f t="shared" si="2"/>
        <v>32</v>
      </c>
      <c r="B49" s="72" t="s">
        <v>138</v>
      </c>
      <c r="C49" s="11">
        <f t="shared" si="3"/>
        <v>10.200000000000008</v>
      </c>
      <c r="D49" s="11"/>
      <c r="E49" s="11">
        <f>C49*E11/12</f>
        <v>6.7575000000000052E-2</v>
      </c>
      <c r="F49" s="11">
        <f t="shared" si="0"/>
        <v>6.7575000000000052E-2</v>
      </c>
      <c r="G49" s="11">
        <v>0.12</v>
      </c>
      <c r="H49" s="11">
        <f t="shared" si="5"/>
        <v>10.080000000000009</v>
      </c>
      <c r="I49" s="11">
        <f>G49+F49</f>
        <v>0.18757500000000005</v>
      </c>
      <c r="J49" s="11"/>
      <c r="K49" s="11"/>
      <c r="L49" s="11"/>
      <c r="M49" s="10"/>
    </row>
    <row r="50" spans="1:13" x14ac:dyDescent="0.25">
      <c r="A50" s="71">
        <f t="shared" si="2"/>
        <v>33</v>
      </c>
      <c r="B50" s="72" t="s">
        <v>139</v>
      </c>
      <c r="C50" s="11">
        <f t="shared" si="3"/>
        <v>10.080000000000009</v>
      </c>
      <c r="D50" s="11"/>
      <c r="E50" s="11">
        <f>C50*E11/12</f>
        <v>6.6780000000000062E-2</v>
      </c>
      <c r="F50" s="11">
        <f t="shared" si="0"/>
        <v>6.6780000000000062E-2</v>
      </c>
      <c r="G50" s="11">
        <v>0.12</v>
      </c>
      <c r="H50" s="11">
        <f t="shared" si="5"/>
        <v>9.9600000000000097</v>
      </c>
      <c r="I50" s="11">
        <f>F50+G50</f>
        <v>0.18678000000000006</v>
      </c>
      <c r="J50" s="11"/>
      <c r="K50" s="11"/>
      <c r="L50" s="11"/>
      <c r="M50" s="11"/>
    </row>
    <row r="51" spans="1:13" x14ac:dyDescent="0.25">
      <c r="A51" s="71">
        <f t="shared" si="2"/>
        <v>34</v>
      </c>
      <c r="B51" s="72" t="s">
        <v>140</v>
      </c>
      <c r="C51" s="11">
        <f t="shared" si="3"/>
        <v>9.9600000000000097</v>
      </c>
      <c r="D51" s="11"/>
      <c r="E51" s="11">
        <f>C51*E11/12</f>
        <v>6.5985000000000057E-2</v>
      </c>
      <c r="F51" s="11">
        <f t="shared" si="0"/>
        <v>6.5985000000000057E-2</v>
      </c>
      <c r="G51" s="11">
        <v>0.12</v>
      </c>
      <c r="H51" s="11">
        <f t="shared" si="5"/>
        <v>9.8400000000000105</v>
      </c>
      <c r="I51" s="11">
        <f>G51+F51</f>
        <v>0.18598500000000007</v>
      </c>
      <c r="J51" s="11"/>
      <c r="K51" s="11"/>
      <c r="L51" s="11"/>
      <c r="M51" s="11"/>
    </row>
    <row r="52" spans="1:13" x14ac:dyDescent="0.25">
      <c r="A52" s="71">
        <f t="shared" si="2"/>
        <v>35</v>
      </c>
      <c r="B52" s="72" t="s">
        <v>141</v>
      </c>
      <c r="C52" s="11">
        <f t="shared" si="3"/>
        <v>9.8400000000000105</v>
      </c>
      <c r="D52" s="11"/>
      <c r="E52" s="11">
        <f>C52*E11/12</f>
        <v>6.5190000000000067E-2</v>
      </c>
      <c r="F52" s="11">
        <f t="shared" si="0"/>
        <v>6.5190000000000067E-2</v>
      </c>
      <c r="G52" s="11">
        <v>0.12</v>
      </c>
      <c r="H52" s="11">
        <f t="shared" si="5"/>
        <v>9.7200000000000113</v>
      </c>
      <c r="I52" s="11">
        <f>F52+G52</f>
        <v>0.18519000000000008</v>
      </c>
      <c r="J52" s="11"/>
      <c r="K52" s="11"/>
      <c r="L52" s="11"/>
      <c r="M52" s="10"/>
    </row>
    <row r="53" spans="1:13" x14ac:dyDescent="0.25">
      <c r="A53" s="71">
        <f t="shared" si="2"/>
        <v>36</v>
      </c>
      <c r="B53" s="72" t="s">
        <v>142</v>
      </c>
      <c r="C53" s="11">
        <f t="shared" si="3"/>
        <v>9.7200000000000113</v>
      </c>
      <c r="D53" s="11"/>
      <c r="E53" s="11">
        <f>C53*E11/12</f>
        <v>6.4395000000000077E-2</v>
      </c>
      <c r="F53" s="11">
        <f t="shared" si="0"/>
        <v>6.4395000000000077E-2</v>
      </c>
      <c r="G53" s="11">
        <v>0.12</v>
      </c>
      <c r="H53" s="11">
        <f t="shared" si="5"/>
        <v>9.6000000000000121</v>
      </c>
      <c r="I53" s="11">
        <f>G53+F53</f>
        <v>0.18439500000000009</v>
      </c>
      <c r="J53" s="11"/>
      <c r="K53" s="11"/>
      <c r="L53" s="11"/>
      <c r="M53" s="10"/>
    </row>
    <row r="54" spans="1:13" x14ac:dyDescent="0.25">
      <c r="A54" s="71">
        <f t="shared" si="2"/>
        <v>37</v>
      </c>
      <c r="B54" s="72" t="s">
        <v>143</v>
      </c>
      <c r="C54" s="11">
        <f t="shared" si="3"/>
        <v>9.6000000000000121</v>
      </c>
      <c r="D54" s="11"/>
      <c r="E54" s="11">
        <f>C54*E11/12</f>
        <v>6.3600000000000087E-2</v>
      </c>
      <c r="F54" s="11">
        <f t="shared" si="0"/>
        <v>6.3600000000000087E-2</v>
      </c>
      <c r="G54" s="11">
        <v>0.12</v>
      </c>
      <c r="H54" s="11">
        <f t="shared" si="5"/>
        <v>9.4800000000000129</v>
      </c>
      <c r="I54" s="11">
        <f>F54+G54</f>
        <v>0.1836000000000001</v>
      </c>
      <c r="J54" s="11"/>
      <c r="K54" s="11"/>
      <c r="L54" s="11"/>
      <c r="M54" s="11"/>
    </row>
    <row r="55" spans="1:13" x14ac:dyDescent="0.25">
      <c r="A55" s="71">
        <f t="shared" si="2"/>
        <v>38</v>
      </c>
      <c r="B55" s="72" t="s">
        <v>144</v>
      </c>
      <c r="C55" s="11">
        <f t="shared" si="3"/>
        <v>9.4800000000000129</v>
      </c>
      <c r="D55" s="11"/>
      <c r="E55" s="11">
        <f>C55*E11/12</f>
        <v>6.2805000000000083E-2</v>
      </c>
      <c r="F55" s="11">
        <f t="shared" si="0"/>
        <v>6.2805000000000083E-2</v>
      </c>
      <c r="G55" s="11">
        <v>0.12</v>
      </c>
      <c r="H55" s="11">
        <f t="shared" si="5"/>
        <v>9.3600000000000136</v>
      </c>
      <c r="I55" s="11">
        <f>G55+F55</f>
        <v>0.18280500000000008</v>
      </c>
      <c r="J55" s="11" t="str">
        <f>B55</f>
        <v>March-26</v>
      </c>
      <c r="K55" s="11">
        <f>SUM(E44:E55)</f>
        <v>0.80613000000000068</v>
      </c>
      <c r="L55" s="11">
        <f>SUM(G44:G55)</f>
        <v>1.4400000000000004</v>
      </c>
      <c r="M55" s="11">
        <f>K55+L55</f>
        <v>2.2461300000000008</v>
      </c>
    </row>
    <row r="56" spans="1:13" x14ac:dyDescent="0.25">
      <c r="A56" s="71">
        <f t="shared" si="2"/>
        <v>39</v>
      </c>
      <c r="B56" s="72" t="s">
        <v>145</v>
      </c>
      <c r="C56" s="11">
        <f t="shared" si="3"/>
        <v>9.3600000000000136</v>
      </c>
      <c r="D56" s="11"/>
      <c r="E56" s="11">
        <f>C56*E11/12</f>
        <v>6.2010000000000093E-2</v>
      </c>
      <c r="F56" s="11">
        <f t="shared" si="0"/>
        <v>6.2010000000000093E-2</v>
      </c>
      <c r="G56" s="11">
        <v>0.15</v>
      </c>
      <c r="H56" s="11">
        <f t="shared" si="5"/>
        <v>9.2100000000000133</v>
      </c>
      <c r="I56" s="11">
        <f>F56+G56</f>
        <v>0.21201000000000009</v>
      </c>
      <c r="J56" s="11"/>
      <c r="K56" s="11"/>
      <c r="L56" s="11"/>
      <c r="M56" s="11"/>
    </row>
    <row r="57" spans="1:13" x14ac:dyDescent="0.25">
      <c r="A57" s="71">
        <f t="shared" si="2"/>
        <v>40</v>
      </c>
      <c r="B57" s="72" t="s">
        <v>146</v>
      </c>
      <c r="C57" s="11">
        <f t="shared" si="3"/>
        <v>9.2100000000000133</v>
      </c>
      <c r="D57" s="11"/>
      <c r="E57" s="11">
        <f>C57*E11/12</f>
        <v>6.1016250000000084E-2</v>
      </c>
      <c r="F57" s="11">
        <f t="shared" si="0"/>
        <v>6.1016250000000084E-2</v>
      </c>
      <c r="G57" s="11">
        <v>0.15</v>
      </c>
      <c r="H57" s="11">
        <f t="shared" si="5"/>
        <v>9.0600000000000129</v>
      </c>
      <c r="I57" s="11">
        <f>G57+F57</f>
        <v>0.21101625000000007</v>
      </c>
      <c r="J57" s="11"/>
      <c r="K57" s="11"/>
      <c r="L57" s="11"/>
      <c r="M57" s="11"/>
    </row>
    <row r="58" spans="1:13" x14ac:dyDescent="0.25">
      <c r="A58" s="71">
        <f t="shared" si="2"/>
        <v>41</v>
      </c>
      <c r="B58" s="72" t="s">
        <v>147</v>
      </c>
      <c r="C58" s="11">
        <f t="shared" si="3"/>
        <v>9.0600000000000129</v>
      </c>
      <c r="D58" s="11"/>
      <c r="E58" s="11">
        <f>C58*E11/12</f>
        <v>6.002250000000009E-2</v>
      </c>
      <c r="F58" s="11">
        <f t="shared" si="0"/>
        <v>6.002250000000009E-2</v>
      </c>
      <c r="G58" s="11">
        <v>0.15</v>
      </c>
      <c r="H58" s="11">
        <f t="shared" si="5"/>
        <v>8.9100000000000126</v>
      </c>
      <c r="I58" s="11">
        <f>F58+G58</f>
        <v>0.21002250000000008</v>
      </c>
      <c r="J58" s="11"/>
      <c r="K58" s="11"/>
      <c r="L58" s="11"/>
      <c r="M58" s="11"/>
    </row>
    <row r="59" spans="1:13" x14ac:dyDescent="0.25">
      <c r="A59" s="71">
        <f t="shared" si="2"/>
        <v>42</v>
      </c>
      <c r="B59" s="72" t="s">
        <v>148</v>
      </c>
      <c r="C59" s="11">
        <f t="shared" si="3"/>
        <v>8.9100000000000126</v>
      </c>
      <c r="D59" s="11"/>
      <c r="E59" s="11">
        <f>C59*E11/12</f>
        <v>5.9028750000000081E-2</v>
      </c>
      <c r="F59" s="11">
        <f t="shared" si="0"/>
        <v>5.9028750000000081E-2</v>
      </c>
      <c r="G59" s="11">
        <v>0.15</v>
      </c>
      <c r="H59" s="11">
        <f t="shared" si="5"/>
        <v>8.7600000000000122</v>
      </c>
      <c r="I59" s="11">
        <f>G59+F59</f>
        <v>0.20902875000000007</v>
      </c>
      <c r="J59" s="11"/>
      <c r="K59" s="11"/>
      <c r="L59" s="11"/>
      <c r="M59" s="11"/>
    </row>
    <row r="60" spans="1:13" x14ac:dyDescent="0.25">
      <c r="A60" s="71">
        <f t="shared" si="2"/>
        <v>43</v>
      </c>
      <c r="B60" s="72" t="s">
        <v>149</v>
      </c>
      <c r="C60" s="11">
        <f t="shared" si="3"/>
        <v>8.7600000000000122</v>
      </c>
      <c r="D60" s="11"/>
      <c r="E60" s="11">
        <f>C60*E11/12</f>
        <v>5.803500000000008E-2</v>
      </c>
      <c r="F60" s="11">
        <f t="shared" si="0"/>
        <v>5.803500000000008E-2</v>
      </c>
      <c r="G60" s="11">
        <v>0.15</v>
      </c>
      <c r="H60" s="11">
        <f t="shared" si="5"/>
        <v>8.6100000000000119</v>
      </c>
      <c r="I60" s="11">
        <f>F60+G60</f>
        <v>0.20803500000000008</v>
      </c>
      <c r="J60" s="11"/>
      <c r="K60" s="11"/>
      <c r="L60" s="11"/>
      <c r="M60" s="11"/>
    </row>
    <row r="61" spans="1:13" x14ac:dyDescent="0.25">
      <c r="A61" s="71">
        <f t="shared" si="2"/>
        <v>44</v>
      </c>
      <c r="B61" s="72" t="s">
        <v>150</v>
      </c>
      <c r="C61" s="11">
        <f t="shared" si="3"/>
        <v>8.6100000000000119</v>
      </c>
      <c r="D61" s="11"/>
      <c r="E61" s="11">
        <f>C61*E11/12</f>
        <v>5.7041250000000078E-2</v>
      </c>
      <c r="F61" s="11">
        <f t="shared" si="0"/>
        <v>5.7041250000000078E-2</v>
      </c>
      <c r="G61" s="11">
        <v>0.15</v>
      </c>
      <c r="H61" s="11">
        <f t="shared" si="5"/>
        <v>8.4600000000000115</v>
      </c>
      <c r="I61" s="11">
        <f>G61+F61</f>
        <v>0.20704125000000007</v>
      </c>
      <c r="J61" s="11"/>
      <c r="K61" s="11"/>
      <c r="L61" s="11"/>
      <c r="M61" s="10"/>
    </row>
    <row r="62" spans="1:13" x14ac:dyDescent="0.25">
      <c r="A62" s="71">
        <f t="shared" si="2"/>
        <v>45</v>
      </c>
      <c r="B62" s="72" t="s">
        <v>151</v>
      </c>
      <c r="C62" s="11">
        <f t="shared" si="3"/>
        <v>8.4600000000000115</v>
      </c>
      <c r="D62" s="11"/>
      <c r="E62" s="11">
        <f>C62*E11/12</f>
        <v>5.6047500000000076E-2</v>
      </c>
      <c r="F62" s="11">
        <f t="shared" si="0"/>
        <v>5.6047500000000076E-2</v>
      </c>
      <c r="G62" s="11">
        <v>0.15</v>
      </c>
      <c r="H62" s="11">
        <f t="shared" si="5"/>
        <v>8.3100000000000112</v>
      </c>
      <c r="I62" s="11">
        <f>F62+G62</f>
        <v>0.20604750000000008</v>
      </c>
      <c r="J62" s="11"/>
      <c r="K62" s="11"/>
      <c r="L62" s="11"/>
      <c r="M62" s="11"/>
    </row>
    <row r="63" spans="1:13" x14ac:dyDescent="0.25">
      <c r="A63" s="71">
        <f t="shared" si="2"/>
        <v>46</v>
      </c>
      <c r="B63" s="72" t="s">
        <v>152</v>
      </c>
      <c r="C63" s="11">
        <f t="shared" si="3"/>
        <v>8.3100000000000112</v>
      </c>
      <c r="D63" s="11"/>
      <c r="E63" s="11">
        <f>C63*E11/12</f>
        <v>5.5053750000000075E-2</v>
      </c>
      <c r="F63" s="11">
        <f t="shared" si="0"/>
        <v>5.5053750000000075E-2</v>
      </c>
      <c r="G63" s="11">
        <v>0.15</v>
      </c>
      <c r="H63" s="11">
        <f t="shared" si="5"/>
        <v>8.1600000000000108</v>
      </c>
      <c r="I63" s="11">
        <f>G63+F63</f>
        <v>0.20505375000000006</v>
      </c>
      <c r="J63" s="11"/>
      <c r="K63" s="11"/>
      <c r="L63" s="11"/>
      <c r="M63" s="11"/>
    </row>
    <row r="64" spans="1:13" x14ac:dyDescent="0.25">
      <c r="A64" s="71">
        <f t="shared" si="2"/>
        <v>47</v>
      </c>
      <c r="B64" s="72" t="s">
        <v>153</v>
      </c>
      <c r="C64" s="11">
        <f t="shared" si="3"/>
        <v>8.1600000000000108</v>
      </c>
      <c r="D64" s="11"/>
      <c r="E64" s="11">
        <f>C64*E11/12</f>
        <v>5.4060000000000073E-2</v>
      </c>
      <c r="F64" s="11">
        <f t="shared" si="0"/>
        <v>5.4060000000000073E-2</v>
      </c>
      <c r="G64" s="11">
        <v>0.15</v>
      </c>
      <c r="H64" s="11">
        <f t="shared" si="5"/>
        <v>8.0100000000000104</v>
      </c>
      <c r="I64" s="11">
        <f>F64+G64</f>
        <v>0.20406000000000007</v>
      </c>
      <c r="J64" s="11"/>
      <c r="K64" s="11"/>
      <c r="L64" s="11"/>
      <c r="M64" s="10"/>
    </row>
    <row r="65" spans="1:13" x14ac:dyDescent="0.25">
      <c r="A65" s="71">
        <f t="shared" si="2"/>
        <v>48</v>
      </c>
      <c r="B65" s="72" t="s">
        <v>154</v>
      </c>
      <c r="C65" s="11">
        <f t="shared" si="3"/>
        <v>8.0100000000000104</v>
      </c>
      <c r="D65" s="11"/>
      <c r="E65" s="11">
        <f>C65*E11/12</f>
        <v>5.3066250000000072E-2</v>
      </c>
      <c r="F65" s="11">
        <f t="shared" si="0"/>
        <v>5.3066250000000072E-2</v>
      </c>
      <c r="G65" s="11">
        <v>0.15</v>
      </c>
      <c r="H65" s="11">
        <f t="shared" si="5"/>
        <v>7.8600000000000101</v>
      </c>
      <c r="I65" s="11">
        <f>G65+F65</f>
        <v>0.20306625000000006</v>
      </c>
      <c r="J65" s="11"/>
      <c r="K65" s="11"/>
      <c r="L65" s="11"/>
      <c r="M65" s="10"/>
    </row>
    <row r="66" spans="1:13" x14ac:dyDescent="0.25">
      <c r="A66" s="71">
        <f t="shared" si="2"/>
        <v>49</v>
      </c>
      <c r="B66" s="72" t="s">
        <v>155</v>
      </c>
      <c r="C66" s="11">
        <f t="shared" si="3"/>
        <v>7.8600000000000101</v>
      </c>
      <c r="D66" s="11"/>
      <c r="E66" s="11">
        <f>C66*E11/12</f>
        <v>5.207250000000007E-2</v>
      </c>
      <c r="F66" s="11">
        <f t="shared" si="0"/>
        <v>5.207250000000007E-2</v>
      </c>
      <c r="G66" s="11">
        <v>0.15</v>
      </c>
      <c r="H66" s="11">
        <f t="shared" si="5"/>
        <v>7.7100000000000097</v>
      </c>
      <c r="I66" s="11">
        <f>F66+G66</f>
        <v>0.20207250000000007</v>
      </c>
      <c r="J66" s="11"/>
      <c r="K66" s="11"/>
      <c r="L66" s="11"/>
      <c r="M66" s="11"/>
    </row>
    <row r="67" spans="1:13" x14ac:dyDescent="0.25">
      <c r="A67" s="71">
        <f t="shared" si="2"/>
        <v>50</v>
      </c>
      <c r="B67" s="72" t="s">
        <v>156</v>
      </c>
      <c r="C67" s="11">
        <f t="shared" si="3"/>
        <v>7.7100000000000097</v>
      </c>
      <c r="D67" s="11"/>
      <c r="E67" s="11">
        <f>C67*E11/12</f>
        <v>5.1078750000000062E-2</v>
      </c>
      <c r="F67" s="11">
        <f t="shared" si="0"/>
        <v>5.1078750000000062E-2</v>
      </c>
      <c r="G67" s="11">
        <v>0.15</v>
      </c>
      <c r="H67" s="11">
        <f t="shared" si="5"/>
        <v>7.5600000000000094</v>
      </c>
      <c r="I67" s="11">
        <f>G67+F67</f>
        <v>0.20107875000000006</v>
      </c>
      <c r="J67" s="11" t="str">
        <f>B67</f>
        <v>March-27</v>
      </c>
      <c r="K67" s="11">
        <f>SUM(E56:E67)</f>
        <v>0.67853250000000098</v>
      </c>
      <c r="L67" s="11">
        <f>SUM(G56:G67)</f>
        <v>1.7999999999999996</v>
      </c>
      <c r="M67" s="11">
        <f>K67+L67</f>
        <v>2.4785325000000005</v>
      </c>
    </row>
    <row r="68" spans="1:13" x14ac:dyDescent="0.25">
      <c r="A68" s="71">
        <f t="shared" si="2"/>
        <v>51</v>
      </c>
      <c r="B68" s="72" t="s">
        <v>157</v>
      </c>
      <c r="C68" s="11">
        <f t="shared" si="3"/>
        <v>7.5600000000000094</v>
      </c>
      <c r="D68" s="11"/>
      <c r="E68" s="11">
        <f>C68*E11/12</f>
        <v>5.0085000000000067E-2</v>
      </c>
      <c r="F68" s="11">
        <f t="shared" si="0"/>
        <v>5.0085000000000067E-2</v>
      </c>
      <c r="G68" s="11">
        <v>0.18</v>
      </c>
      <c r="H68" s="11">
        <f t="shared" si="5"/>
        <v>7.3800000000000097</v>
      </c>
      <c r="I68" s="11">
        <f>F68+G68</f>
        <v>0.23008500000000007</v>
      </c>
      <c r="J68" s="11"/>
      <c r="K68" s="11"/>
      <c r="L68" s="11"/>
      <c r="M68" s="11"/>
    </row>
    <row r="69" spans="1:13" x14ac:dyDescent="0.25">
      <c r="A69" s="71">
        <f t="shared" si="2"/>
        <v>52</v>
      </c>
      <c r="B69" s="72" t="s">
        <v>158</v>
      </c>
      <c r="C69" s="11">
        <f t="shared" si="3"/>
        <v>7.3800000000000097</v>
      </c>
      <c r="D69" s="11"/>
      <c r="E69" s="11">
        <f>C69*E11/12</f>
        <v>4.8892500000000061E-2</v>
      </c>
      <c r="F69" s="11">
        <f t="shared" si="0"/>
        <v>4.8892500000000061E-2</v>
      </c>
      <c r="G69" s="11">
        <v>0.18</v>
      </c>
      <c r="H69" s="11">
        <f t="shared" si="5"/>
        <v>7.2000000000000099</v>
      </c>
      <c r="I69" s="11">
        <f>G69+F69</f>
        <v>0.22889250000000005</v>
      </c>
      <c r="J69" s="11"/>
      <c r="K69" s="11"/>
      <c r="L69" s="11"/>
      <c r="M69" s="11"/>
    </row>
    <row r="70" spans="1:13" x14ac:dyDescent="0.25">
      <c r="A70" s="71">
        <f t="shared" si="2"/>
        <v>53</v>
      </c>
      <c r="B70" s="72" t="s">
        <v>159</v>
      </c>
      <c r="C70" s="11">
        <f t="shared" si="3"/>
        <v>7.2000000000000099</v>
      </c>
      <c r="D70" s="11"/>
      <c r="E70" s="11">
        <f>C70*E11/12</f>
        <v>4.7700000000000069E-2</v>
      </c>
      <c r="F70" s="11">
        <f t="shared" si="0"/>
        <v>4.7700000000000069E-2</v>
      </c>
      <c r="G70" s="11">
        <v>0.18</v>
      </c>
      <c r="H70" s="11">
        <f t="shared" si="5"/>
        <v>7.0200000000000102</v>
      </c>
      <c r="I70" s="11">
        <f>F70+G70</f>
        <v>0.22770000000000007</v>
      </c>
      <c r="J70" s="11"/>
      <c r="K70" s="11"/>
      <c r="L70" s="11"/>
      <c r="M70" s="11"/>
    </row>
    <row r="71" spans="1:13" x14ac:dyDescent="0.25">
      <c r="A71" s="71">
        <f t="shared" si="2"/>
        <v>54</v>
      </c>
      <c r="B71" s="72" t="s">
        <v>160</v>
      </c>
      <c r="C71" s="11">
        <f t="shared" si="3"/>
        <v>7.0200000000000102</v>
      </c>
      <c r="D71" s="11"/>
      <c r="E71" s="11">
        <f>C71*E11/12</f>
        <v>4.650750000000007E-2</v>
      </c>
      <c r="F71" s="11">
        <f t="shared" si="0"/>
        <v>4.650750000000007E-2</v>
      </c>
      <c r="G71" s="11">
        <v>0.18</v>
      </c>
      <c r="H71" s="11">
        <f t="shared" si="5"/>
        <v>6.8400000000000105</v>
      </c>
      <c r="I71" s="11">
        <f>G71+F71</f>
        <v>0.22650750000000006</v>
      </c>
      <c r="J71" s="11"/>
      <c r="K71" s="11"/>
      <c r="L71" s="11"/>
      <c r="M71" s="11"/>
    </row>
    <row r="72" spans="1:13" x14ac:dyDescent="0.25">
      <c r="A72" s="71">
        <f t="shared" si="2"/>
        <v>55</v>
      </c>
      <c r="B72" s="72" t="s">
        <v>161</v>
      </c>
      <c r="C72" s="11">
        <f t="shared" si="3"/>
        <v>6.8400000000000105</v>
      </c>
      <c r="D72" s="11"/>
      <c r="E72" s="11">
        <f>C72*E11/12</f>
        <v>4.5315000000000071E-2</v>
      </c>
      <c r="F72" s="11">
        <f t="shared" si="0"/>
        <v>4.5315000000000071E-2</v>
      </c>
      <c r="G72" s="11">
        <v>0.18</v>
      </c>
      <c r="H72" s="11">
        <f t="shared" si="5"/>
        <v>6.6600000000000108</v>
      </c>
      <c r="I72" s="11">
        <f>F72+G72</f>
        <v>0.22531500000000007</v>
      </c>
      <c r="J72" s="11"/>
      <c r="K72" s="11"/>
      <c r="L72" s="11"/>
      <c r="M72" s="11"/>
    </row>
    <row r="73" spans="1:13" x14ac:dyDescent="0.25">
      <c r="A73" s="71">
        <f t="shared" si="2"/>
        <v>56</v>
      </c>
      <c r="B73" s="72" t="s">
        <v>162</v>
      </c>
      <c r="C73" s="11">
        <f t="shared" si="3"/>
        <v>6.6600000000000108</v>
      </c>
      <c r="D73" s="11"/>
      <c r="E73" s="11">
        <f>C73*E11/12</f>
        <v>4.4122500000000071E-2</v>
      </c>
      <c r="F73" s="11">
        <f t="shared" si="0"/>
        <v>4.4122500000000071E-2</v>
      </c>
      <c r="G73" s="11">
        <v>0.18</v>
      </c>
      <c r="H73" s="11">
        <f t="shared" si="5"/>
        <v>6.4800000000000111</v>
      </c>
      <c r="I73" s="11">
        <f>G73+F73</f>
        <v>0.22412250000000006</v>
      </c>
      <c r="J73" s="11"/>
      <c r="K73" s="11"/>
      <c r="L73" s="11"/>
      <c r="M73" s="10"/>
    </row>
    <row r="74" spans="1:13" x14ac:dyDescent="0.25">
      <c r="A74" s="71">
        <f t="shared" si="2"/>
        <v>57</v>
      </c>
      <c r="B74" s="72" t="s">
        <v>163</v>
      </c>
      <c r="C74" s="11">
        <f t="shared" si="3"/>
        <v>6.4800000000000111</v>
      </c>
      <c r="D74" s="11"/>
      <c r="E74" s="11">
        <f>C74*E11/12</f>
        <v>4.2930000000000072E-2</v>
      </c>
      <c r="F74" s="11">
        <f t="shared" si="0"/>
        <v>4.2930000000000072E-2</v>
      </c>
      <c r="G74" s="11">
        <v>0.18</v>
      </c>
      <c r="H74" s="11">
        <f t="shared" si="5"/>
        <v>6.3000000000000114</v>
      </c>
      <c r="I74" s="11">
        <f>F74+G74</f>
        <v>0.22293000000000007</v>
      </c>
      <c r="J74" s="11"/>
      <c r="K74" s="11"/>
      <c r="L74" s="11"/>
      <c r="M74" s="11"/>
    </row>
    <row r="75" spans="1:13" x14ac:dyDescent="0.25">
      <c r="A75" s="71">
        <f t="shared" si="2"/>
        <v>58</v>
      </c>
      <c r="B75" s="72" t="s">
        <v>164</v>
      </c>
      <c r="C75" s="11">
        <f t="shared" si="3"/>
        <v>6.3000000000000114</v>
      </c>
      <c r="D75" s="11"/>
      <c r="E75" s="11">
        <f>C75*E11/12</f>
        <v>4.1737500000000073E-2</v>
      </c>
      <c r="F75" s="11">
        <f t="shared" si="0"/>
        <v>4.1737500000000073E-2</v>
      </c>
      <c r="G75" s="11">
        <v>0.18</v>
      </c>
      <c r="H75" s="11">
        <f>C75-G75</f>
        <v>6.1200000000000117</v>
      </c>
      <c r="I75" s="11">
        <f>G75+F75</f>
        <v>0.22173750000000006</v>
      </c>
      <c r="J75" s="11"/>
      <c r="K75" s="11"/>
      <c r="L75" s="11"/>
      <c r="M75" s="11"/>
    </row>
    <row r="76" spans="1:13" x14ac:dyDescent="0.25">
      <c r="A76" s="71">
        <f t="shared" si="2"/>
        <v>59</v>
      </c>
      <c r="B76" s="72" t="s">
        <v>165</v>
      </c>
      <c r="C76" s="11">
        <f t="shared" si="3"/>
        <v>6.1200000000000117</v>
      </c>
      <c r="D76" s="11"/>
      <c r="E76" s="11">
        <f>C76*E11/12</f>
        <v>4.0545000000000074E-2</v>
      </c>
      <c r="F76" s="11">
        <f t="shared" si="0"/>
        <v>4.0545000000000074E-2</v>
      </c>
      <c r="G76" s="11">
        <v>0.18</v>
      </c>
      <c r="H76" s="11">
        <f t="shared" si="5"/>
        <v>5.9400000000000119</v>
      </c>
      <c r="I76" s="11">
        <f>F76+G76</f>
        <v>0.22054500000000007</v>
      </c>
      <c r="J76" s="11"/>
      <c r="K76" s="11"/>
      <c r="L76" s="11"/>
      <c r="M76" s="10"/>
    </row>
    <row r="77" spans="1:13" x14ac:dyDescent="0.25">
      <c r="A77" s="71">
        <f t="shared" si="2"/>
        <v>60</v>
      </c>
      <c r="B77" s="72" t="s">
        <v>166</v>
      </c>
      <c r="C77" s="11">
        <f t="shared" si="3"/>
        <v>5.9400000000000119</v>
      </c>
      <c r="D77" s="11"/>
      <c r="E77" s="11">
        <f>C77*E11/12</f>
        <v>3.9352500000000082E-2</v>
      </c>
      <c r="F77" s="11">
        <f>E77</f>
        <v>3.9352500000000082E-2</v>
      </c>
      <c r="G77" s="11">
        <v>0.18</v>
      </c>
      <c r="H77" s="11">
        <f t="shared" si="5"/>
        <v>5.7600000000000122</v>
      </c>
      <c r="I77" s="11">
        <f>G77+F77</f>
        <v>0.21935250000000006</v>
      </c>
      <c r="J77" s="11"/>
      <c r="K77" s="11"/>
      <c r="L77" s="11"/>
      <c r="M77" s="10"/>
    </row>
    <row r="78" spans="1:13" x14ac:dyDescent="0.25">
      <c r="A78" s="71">
        <f t="shared" si="2"/>
        <v>61</v>
      </c>
      <c r="B78" s="72" t="s">
        <v>167</v>
      </c>
      <c r="C78" s="11">
        <f>H77</f>
        <v>5.7600000000000122</v>
      </c>
      <c r="D78" s="11"/>
      <c r="E78" s="11">
        <f>C78*E12/12</f>
        <v>5.2800000000000118E-2</v>
      </c>
      <c r="F78" s="11">
        <f>E78</f>
        <v>5.2800000000000118E-2</v>
      </c>
      <c r="G78" s="11">
        <v>0.18</v>
      </c>
      <c r="H78" s="11">
        <f>H77-G78</f>
        <v>5.5800000000000125</v>
      </c>
      <c r="I78" s="11">
        <f>F78+G78</f>
        <v>0.23280000000000012</v>
      </c>
      <c r="J78" s="11"/>
      <c r="K78" s="11"/>
      <c r="L78" s="11"/>
      <c r="M78" s="11"/>
    </row>
    <row r="79" spans="1:13" x14ac:dyDescent="0.25">
      <c r="A79" s="71">
        <f t="shared" si="2"/>
        <v>62</v>
      </c>
      <c r="B79" s="72" t="s">
        <v>168</v>
      </c>
      <c r="C79" s="11">
        <f t="shared" si="3"/>
        <v>5.5800000000000125</v>
      </c>
      <c r="D79" s="11"/>
      <c r="E79" s="11">
        <f>C79*E12/12</f>
        <v>5.1150000000000112E-2</v>
      </c>
      <c r="F79" s="11">
        <f t="shared" ref="F79:F100" si="6">E79</f>
        <v>5.1150000000000112E-2</v>
      </c>
      <c r="G79" s="11">
        <v>0.18</v>
      </c>
      <c r="H79" s="11">
        <f>C79-G79</f>
        <v>5.4000000000000128</v>
      </c>
      <c r="I79" s="11">
        <f>G79+F79</f>
        <v>0.23115000000000011</v>
      </c>
      <c r="J79" s="11" t="str">
        <f>B79</f>
        <v>March-28</v>
      </c>
      <c r="K79" s="11">
        <f>SUM(E68:E79)</f>
        <v>0.55113750000000095</v>
      </c>
      <c r="L79" s="11">
        <f>SUM(G68:G79)</f>
        <v>2.1599999999999997</v>
      </c>
      <c r="M79" s="11">
        <f>K79+L79</f>
        <v>2.7111375000000004</v>
      </c>
    </row>
    <row r="80" spans="1:13" x14ac:dyDescent="0.25">
      <c r="A80" s="71">
        <f t="shared" si="2"/>
        <v>63</v>
      </c>
      <c r="B80" s="72" t="s">
        <v>169</v>
      </c>
      <c r="C80" s="11">
        <f t="shared" si="3"/>
        <v>5.4000000000000128</v>
      </c>
      <c r="D80" s="11"/>
      <c r="E80" s="11">
        <f>C80*E12/12</f>
        <v>4.950000000000012E-2</v>
      </c>
      <c r="F80" s="11">
        <f t="shared" si="6"/>
        <v>4.950000000000012E-2</v>
      </c>
      <c r="G80" s="11">
        <v>0.2</v>
      </c>
      <c r="H80" s="11">
        <f t="shared" si="5"/>
        <v>5.2000000000000126</v>
      </c>
      <c r="I80" s="11">
        <f>F80+G80</f>
        <v>0.24950000000000014</v>
      </c>
      <c r="J80" s="11"/>
      <c r="K80" s="11"/>
      <c r="L80" s="11"/>
      <c r="M80" s="11"/>
    </row>
    <row r="81" spans="1:13" x14ac:dyDescent="0.25">
      <c r="A81" s="71">
        <f t="shared" si="2"/>
        <v>64</v>
      </c>
      <c r="B81" s="72" t="s">
        <v>170</v>
      </c>
      <c r="C81" s="11">
        <f t="shared" si="3"/>
        <v>5.2000000000000126</v>
      </c>
      <c r="D81" s="11"/>
      <c r="E81" s="11">
        <f>C81*E12/12</f>
        <v>4.7666666666666781E-2</v>
      </c>
      <c r="F81" s="11">
        <f t="shared" si="6"/>
        <v>4.7666666666666781E-2</v>
      </c>
      <c r="G81" s="11">
        <v>0.2</v>
      </c>
      <c r="H81" s="11">
        <f>H80-G81</f>
        <v>5.0000000000000124</v>
      </c>
      <c r="I81" s="11">
        <f>G81+F81</f>
        <v>0.24766666666666678</v>
      </c>
      <c r="J81" s="11"/>
      <c r="K81" s="11"/>
      <c r="L81" s="11"/>
      <c r="M81" s="11"/>
    </row>
    <row r="82" spans="1:13" x14ac:dyDescent="0.25">
      <c r="A82" s="71">
        <f t="shared" si="2"/>
        <v>65</v>
      </c>
      <c r="B82" s="72" t="s">
        <v>171</v>
      </c>
      <c r="C82" s="11">
        <f t="shared" si="3"/>
        <v>5.0000000000000124</v>
      </c>
      <c r="D82" s="11"/>
      <c r="E82" s="11">
        <f>C82*E12/12</f>
        <v>4.5833333333333448E-2</v>
      </c>
      <c r="F82" s="11">
        <f t="shared" si="6"/>
        <v>4.5833333333333448E-2</v>
      </c>
      <c r="G82" s="11">
        <v>0.2</v>
      </c>
      <c r="H82" s="11">
        <f t="shared" si="5"/>
        <v>4.8000000000000123</v>
      </c>
      <c r="I82" s="11">
        <f>F82+G82</f>
        <v>0.24583333333333346</v>
      </c>
      <c r="J82" s="11"/>
      <c r="K82" s="11"/>
      <c r="L82" s="11"/>
      <c r="M82" s="11"/>
    </row>
    <row r="83" spans="1:13" x14ac:dyDescent="0.25">
      <c r="A83" s="71">
        <f t="shared" si="2"/>
        <v>66</v>
      </c>
      <c r="B83" s="72" t="s">
        <v>172</v>
      </c>
      <c r="C83" s="11">
        <f t="shared" si="3"/>
        <v>4.8000000000000123</v>
      </c>
      <c r="D83" s="11"/>
      <c r="E83" s="11">
        <f>C83*E12/12</f>
        <v>4.4000000000000115E-2</v>
      </c>
      <c r="F83" s="11">
        <f t="shared" si="6"/>
        <v>4.4000000000000115E-2</v>
      </c>
      <c r="G83" s="11">
        <v>0.2</v>
      </c>
      <c r="H83" s="11">
        <f t="shared" si="5"/>
        <v>4.6000000000000121</v>
      </c>
      <c r="I83" s="11">
        <f>G83+F83</f>
        <v>0.24400000000000013</v>
      </c>
      <c r="J83" s="11"/>
      <c r="K83" s="11"/>
      <c r="L83" s="11"/>
      <c r="M83" s="11"/>
    </row>
    <row r="84" spans="1:13" x14ac:dyDescent="0.25">
      <c r="A84" s="71">
        <f t="shared" ref="A84:A103" si="7">A83+1</f>
        <v>67</v>
      </c>
      <c r="B84" s="72" t="s">
        <v>173</v>
      </c>
      <c r="C84" s="11">
        <f t="shared" si="3"/>
        <v>4.6000000000000121</v>
      </c>
      <c r="D84" s="11"/>
      <c r="E84" s="11">
        <f>C84*E12/12</f>
        <v>4.2166666666666776E-2</v>
      </c>
      <c r="F84" s="11">
        <f t="shared" si="6"/>
        <v>4.2166666666666776E-2</v>
      </c>
      <c r="G84" s="11">
        <v>0.2</v>
      </c>
      <c r="H84" s="11">
        <f>H83-G84</f>
        <v>4.4000000000000119</v>
      </c>
      <c r="I84" s="11">
        <f>F84+G84</f>
        <v>0.24216666666666678</v>
      </c>
      <c r="J84" s="11"/>
      <c r="K84" s="11"/>
      <c r="L84" s="11"/>
      <c r="M84" s="11"/>
    </row>
    <row r="85" spans="1:13" x14ac:dyDescent="0.25">
      <c r="A85" s="71">
        <f t="shared" si="7"/>
        <v>68</v>
      </c>
      <c r="B85" s="72" t="s">
        <v>174</v>
      </c>
      <c r="C85" s="11">
        <f t="shared" ref="C85:C103" si="8">H84</f>
        <v>4.4000000000000119</v>
      </c>
      <c r="D85" s="11"/>
      <c r="E85" s="11">
        <f>C85*E12/12</f>
        <v>4.0333333333333443E-2</v>
      </c>
      <c r="F85" s="11">
        <f t="shared" si="6"/>
        <v>4.0333333333333443E-2</v>
      </c>
      <c r="G85" s="11">
        <v>0.2</v>
      </c>
      <c r="H85" s="11">
        <f>C85-G85</f>
        <v>4.2000000000000117</v>
      </c>
      <c r="I85" s="11">
        <f>G85+F85</f>
        <v>0.24033333333333345</v>
      </c>
      <c r="J85" s="11"/>
      <c r="K85" s="11"/>
      <c r="L85" s="11"/>
      <c r="M85" s="10"/>
    </row>
    <row r="86" spans="1:13" x14ac:dyDescent="0.25">
      <c r="A86" s="71">
        <f t="shared" si="7"/>
        <v>69</v>
      </c>
      <c r="B86" s="72" t="s">
        <v>175</v>
      </c>
      <c r="C86" s="11">
        <f t="shared" si="8"/>
        <v>4.2000000000000117</v>
      </c>
      <c r="D86" s="11"/>
      <c r="E86" s="11">
        <f>C86*E12/12</f>
        <v>3.8500000000000111E-2</v>
      </c>
      <c r="F86" s="11">
        <f t="shared" si="6"/>
        <v>3.8500000000000111E-2</v>
      </c>
      <c r="G86" s="11">
        <v>0.2</v>
      </c>
      <c r="H86" s="11">
        <f>C86-G86</f>
        <v>4.0000000000000115</v>
      </c>
      <c r="I86" s="11">
        <f>F86+G86</f>
        <v>0.23850000000000013</v>
      </c>
      <c r="J86" s="11"/>
      <c r="K86" s="11"/>
      <c r="L86" s="11"/>
      <c r="M86" s="11"/>
    </row>
    <row r="87" spans="1:13" x14ac:dyDescent="0.25">
      <c r="A87" s="71">
        <f t="shared" si="7"/>
        <v>70</v>
      </c>
      <c r="B87" s="72" t="s">
        <v>176</v>
      </c>
      <c r="C87" s="11">
        <f t="shared" si="8"/>
        <v>4.0000000000000115</v>
      </c>
      <c r="D87" s="11"/>
      <c r="E87" s="11">
        <f>C87*E12/12</f>
        <v>3.6666666666666771E-2</v>
      </c>
      <c r="F87" s="11">
        <f t="shared" si="6"/>
        <v>3.6666666666666771E-2</v>
      </c>
      <c r="G87" s="11">
        <v>0.2</v>
      </c>
      <c r="H87" s="11">
        <f>H86-G87</f>
        <v>3.8000000000000114</v>
      </c>
      <c r="I87" s="11">
        <f>G87+F87</f>
        <v>0.23666666666666678</v>
      </c>
      <c r="J87" s="11"/>
      <c r="K87" s="11"/>
      <c r="L87" s="11"/>
      <c r="M87" s="11"/>
    </row>
    <row r="88" spans="1:13" x14ac:dyDescent="0.25">
      <c r="A88" s="71">
        <f t="shared" si="7"/>
        <v>71</v>
      </c>
      <c r="B88" s="72" t="s">
        <v>177</v>
      </c>
      <c r="C88" s="11">
        <f t="shared" si="8"/>
        <v>3.8000000000000114</v>
      </c>
      <c r="D88" s="11"/>
      <c r="E88" s="11">
        <f>C88*E12/12</f>
        <v>3.4833333333333438E-2</v>
      </c>
      <c r="F88" s="11">
        <f t="shared" si="6"/>
        <v>3.4833333333333438E-2</v>
      </c>
      <c r="G88" s="11">
        <v>0.2</v>
      </c>
      <c r="H88" s="11">
        <f>C88-G88</f>
        <v>3.6000000000000112</v>
      </c>
      <c r="I88" s="11">
        <f>F88+G88</f>
        <v>0.23483333333333345</v>
      </c>
      <c r="J88" s="11"/>
      <c r="K88" s="11"/>
      <c r="L88" s="11"/>
      <c r="M88" s="10"/>
    </row>
    <row r="89" spans="1:13" x14ac:dyDescent="0.25">
      <c r="A89" s="71">
        <f t="shared" si="7"/>
        <v>72</v>
      </c>
      <c r="B89" s="72" t="s">
        <v>178</v>
      </c>
      <c r="C89" s="11">
        <f t="shared" si="8"/>
        <v>3.6000000000000112</v>
      </c>
      <c r="D89" s="11"/>
      <c r="E89" s="11">
        <f>C89*E12/12</f>
        <v>3.3000000000000106E-2</v>
      </c>
      <c r="F89" s="11">
        <f t="shared" si="6"/>
        <v>3.3000000000000106E-2</v>
      </c>
      <c r="G89" s="11">
        <v>0.2</v>
      </c>
      <c r="H89" s="11">
        <f>C89-G89</f>
        <v>3.400000000000011</v>
      </c>
      <c r="I89" s="11">
        <f>G89+F89</f>
        <v>0.23300000000000012</v>
      </c>
      <c r="J89" s="11"/>
      <c r="K89" s="11"/>
      <c r="L89" s="11"/>
      <c r="M89" s="10"/>
    </row>
    <row r="90" spans="1:13" x14ac:dyDescent="0.25">
      <c r="A90" s="71">
        <f t="shared" si="7"/>
        <v>73</v>
      </c>
      <c r="B90" s="72" t="s">
        <v>179</v>
      </c>
      <c r="C90" s="11">
        <f t="shared" si="8"/>
        <v>3.400000000000011</v>
      </c>
      <c r="D90" s="11"/>
      <c r="E90" s="11">
        <f>C90*E12/12</f>
        <v>3.116666666666677E-2</v>
      </c>
      <c r="F90" s="11">
        <f t="shared" si="6"/>
        <v>3.116666666666677E-2</v>
      </c>
      <c r="G90" s="11">
        <v>0.2</v>
      </c>
      <c r="H90" s="11">
        <f>H89-G90</f>
        <v>3.2000000000000108</v>
      </c>
      <c r="I90" s="11">
        <f>F90+G90</f>
        <v>0.23116666666666677</v>
      </c>
      <c r="J90" s="11"/>
      <c r="K90" s="11"/>
      <c r="L90" s="11"/>
      <c r="M90" s="11"/>
    </row>
    <row r="91" spans="1:13" x14ac:dyDescent="0.25">
      <c r="A91" s="71">
        <f t="shared" si="7"/>
        <v>74</v>
      </c>
      <c r="B91" s="72" t="s">
        <v>180</v>
      </c>
      <c r="C91" s="11">
        <f t="shared" si="8"/>
        <v>3.2000000000000108</v>
      </c>
      <c r="D91" s="11"/>
      <c r="E91" s="11">
        <f>C91*E12/12</f>
        <v>2.9333333333333433E-2</v>
      </c>
      <c r="F91" s="11">
        <f t="shared" si="6"/>
        <v>2.9333333333333433E-2</v>
      </c>
      <c r="G91" s="11">
        <v>0.2</v>
      </c>
      <c r="H91" s="11">
        <f>H90-G91</f>
        <v>3.0000000000000107</v>
      </c>
      <c r="I91" s="11">
        <f>G91+F91</f>
        <v>0.22933333333333344</v>
      </c>
      <c r="J91" s="11" t="str">
        <f>B91</f>
        <v>March-29</v>
      </c>
      <c r="K91" s="11">
        <f>SUM(E80:E91)</f>
        <v>0.47300000000000131</v>
      </c>
      <c r="L91" s="11">
        <f>SUM(G80:G91)</f>
        <v>2.4</v>
      </c>
      <c r="M91" s="11">
        <f>K91+L91</f>
        <v>2.8730000000000011</v>
      </c>
    </row>
    <row r="92" spans="1:13" x14ac:dyDescent="0.25">
      <c r="A92" s="71">
        <f t="shared" si="7"/>
        <v>75</v>
      </c>
      <c r="B92" s="72" t="s">
        <v>181</v>
      </c>
      <c r="C92" s="11">
        <f t="shared" si="8"/>
        <v>3.0000000000000107</v>
      </c>
      <c r="D92" s="11"/>
      <c r="E92" s="11">
        <f>C92*E12/12</f>
        <v>2.7500000000000097E-2</v>
      </c>
      <c r="F92" s="11">
        <f t="shared" si="6"/>
        <v>2.7500000000000097E-2</v>
      </c>
      <c r="G92" s="11">
        <v>0.25</v>
      </c>
      <c r="H92" s="11">
        <f t="shared" ref="H92:H103" si="9">H91-G92</f>
        <v>2.7500000000000107</v>
      </c>
      <c r="I92" s="11">
        <f t="shared" ref="I92:I103" si="10">G92+F92</f>
        <v>0.27750000000000008</v>
      </c>
      <c r="J92" s="11"/>
      <c r="K92" s="11"/>
      <c r="L92" s="11"/>
      <c r="M92" s="11"/>
    </row>
    <row r="93" spans="1:13" x14ac:dyDescent="0.25">
      <c r="A93" s="71">
        <f t="shared" si="7"/>
        <v>76</v>
      </c>
      <c r="B93" s="72" t="s">
        <v>182</v>
      </c>
      <c r="C93" s="11">
        <f t="shared" si="8"/>
        <v>2.7500000000000107</v>
      </c>
      <c r="D93" s="11"/>
      <c r="E93" s="11">
        <f>C93*E12/12</f>
        <v>2.520833333333343E-2</v>
      </c>
      <c r="F93" s="11">
        <f t="shared" si="6"/>
        <v>2.520833333333343E-2</v>
      </c>
      <c r="G93" s="11">
        <v>0.25</v>
      </c>
      <c r="H93" s="11">
        <f t="shared" si="9"/>
        <v>2.5000000000000107</v>
      </c>
      <c r="I93" s="11">
        <f t="shared" si="10"/>
        <v>0.27520833333333344</v>
      </c>
      <c r="J93" s="11"/>
      <c r="K93" s="11"/>
      <c r="L93" s="11"/>
      <c r="M93" s="11"/>
    </row>
    <row r="94" spans="1:13" x14ac:dyDescent="0.25">
      <c r="A94" s="71">
        <f t="shared" si="7"/>
        <v>77</v>
      </c>
      <c r="B94" s="72" t="s">
        <v>183</v>
      </c>
      <c r="C94" s="11">
        <f t="shared" si="8"/>
        <v>2.5000000000000107</v>
      </c>
      <c r="D94" s="11"/>
      <c r="E94" s="11">
        <f>C94*E12/12</f>
        <v>2.2916666666666766E-2</v>
      </c>
      <c r="F94" s="11">
        <f t="shared" si="6"/>
        <v>2.2916666666666766E-2</v>
      </c>
      <c r="G94" s="11">
        <v>0.25</v>
      </c>
      <c r="H94" s="11">
        <f t="shared" si="9"/>
        <v>2.2500000000000107</v>
      </c>
      <c r="I94" s="11">
        <f t="shared" si="10"/>
        <v>0.27291666666666675</v>
      </c>
      <c r="J94" s="11"/>
      <c r="K94" s="11"/>
      <c r="L94" s="11"/>
      <c r="M94" s="11"/>
    </row>
    <row r="95" spans="1:13" x14ac:dyDescent="0.25">
      <c r="A95" s="71">
        <f t="shared" si="7"/>
        <v>78</v>
      </c>
      <c r="B95" s="72" t="s">
        <v>184</v>
      </c>
      <c r="C95" s="11">
        <f t="shared" si="8"/>
        <v>2.2500000000000107</v>
      </c>
      <c r="D95" s="11"/>
      <c r="E95" s="11">
        <f>C95*E12/12</f>
        <v>2.0625000000000098E-2</v>
      </c>
      <c r="F95" s="11">
        <f t="shared" si="6"/>
        <v>2.0625000000000098E-2</v>
      </c>
      <c r="G95" s="11">
        <v>0.25</v>
      </c>
      <c r="H95" s="11">
        <f t="shared" si="9"/>
        <v>2.0000000000000107</v>
      </c>
      <c r="I95" s="11">
        <f t="shared" si="10"/>
        <v>0.27062500000000012</v>
      </c>
      <c r="J95" s="11"/>
      <c r="K95" s="11"/>
      <c r="L95" s="11"/>
      <c r="M95" s="11"/>
    </row>
    <row r="96" spans="1:13" x14ac:dyDescent="0.25">
      <c r="A96" s="71">
        <f t="shared" si="7"/>
        <v>79</v>
      </c>
      <c r="B96" s="72" t="s">
        <v>185</v>
      </c>
      <c r="C96" s="11">
        <f t="shared" si="8"/>
        <v>2.0000000000000107</v>
      </c>
      <c r="D96" s="11"/>
      <c r="E96" s="11">
        <f>C96*E12/12</f>
        <v>1.8333333333333431E-2</v>
      </c>
      <c r="F96" s="11">
        <f t="shared" si="6"/>
        <v>1.8333333333333431E-2</v>
      </c>
      <c r="G96" s="11">
        <v>0.25</v>
      </c>
      <c r="H96" s="11">
        <f t="shared" si="9"/>
        <v>1.7500000000000107</v>
      </c>
      <c r="I96" s="11">
        <f t="shared" si="10"/>
        <v>0.26833333333333342</v>
      </c>
      <c r="J96" s="11"/>
      <c r="K96" s="11"/>
      <c r="L96" s="11"/>
      <c r="M96" s="11"/>
    </row>
    <row r="97" spans="1:13" x14ac:dyDescent="0.25">
      <c r="A97" s="71">
        <f t="shared" si="7"/>
        <v>80</v>
      </c>
      <c r="B97" s="72" t="s">
        <v>186</v>
      </c>
      <c r="C97" s="11">
        <f t="shared" si="8"/>
        <v>1.7500000000000107</v>
      </c>
      <c r="D97" s="11"/>
      <c r="E97" s="11">
        <f>C97*E12/12</f>
        <v>1.6041666666666763E-2</v>
      </c>
      <c r="F97" s="11">
        <f t="shared" si="6"/>
        <v>1.6041666666666763E-2</v>
      </c>
      <c r="G97" s="11">
        <v>0.25</v>
      </c>
      <c r="H97" s="11">
        <f t="shared" si="9"/>
        <v>1.5000000000000107</v>
      </c>
      <c r="I97" s="11">
        <f t="shared" si="10"/>
        <v>0.26604166666666679</v>
      </c>
      <c r="J97" s="11"/>
      <c r="K97" s="11"/>
      <c r="L97" s="11"/>
      <c r="M97" s="11"/>
    </row>
    <row r="98" spans="1:13" x14ac:dyDescent="0.25">
      <c r="A98" s="71">
        <f t="shared" si="7"/>
        <v>81</v>
      </c>
      <c r="B98" s="72" t="s">
        <v>187</v>
      </c>
      <c r="C98" s="11">
        <f t="shared" si="8"/>
        <v>1.5000000000000107</v>
      </c>
      <c r="D98" s="11"/>
      <c r="E98" s="11">
        <f>C98*E12/12</f>
        <v>1.3750000000000097E-2</v>
      </c>
      <c r="F98" s="11">
        <f t="shared" si="6"/>
        <v>1.3750000000000097E-2</v>
      </c>
      <c r="G98" s="11">
        <v>0.25</v>
      </c>
      <c r="H98" s="11">
        <f t="shared" si="9"/>
        <v>1.2500000000000107</v>
      </c>
      <c r="I98" s="11">
        <f t="shared" si="10"/>
        <v>0.2637500000000001</v>
      </c>
      <c r="J98" s="11"/>
      <c r="K98" s="11"/>
      <c r="L98" s="11"/>
      <c r="M98" s="11"/>
    </row>
    <row r="99" spans="1:13" x14ac:dyDescent="0.25">
      <c r="A99" s="71">
        <f t="shared" si="7"/>
        <v>82</v>
      </c>
      <c r="B99" s="72" t="s">
        <v>188</v>
      </c>
      <c r="C99" s="11">
        <f t="shared" si="8"/>
        <v>1.2500000000000107</v>
      </c>
      <c r="D99" s="11"/>
      <c r="E99" s="11">
        <f>C99*E12/12</f>
        <v>1.1458333333333431E-2</v>
      </c>
      <c r="F99" s="11">
        <f t="shared" si="6"/>
        <v>1.1458333333333431E-2</v>
      </c>
      <c r="G99" s="11">
        <v>0.25</v>
      </c>
      <c r="H99" s="11">
        <f t="shared" si="9"/>
        <v>1.0000000000000107</v>
      </c>
      <c r="I99" s="11">
        <f t="shared" si="10"/>
        <v>0.26145833333333346</v>
      </c>
      <c r="J99" s="11"/>
      <c r="K99" s="11"/>
      <c r="L99" s="11"/>
      <c r="M99" s="11"/>
    </row>
    <row r="100" spans="1:13" x14ac:dyDescent="0.25">
      <c r="A100" s="71">
        <f t="shared" si="7"/>
        <v>83</v>
      </c>
      <c r="B100" s="72" t="s">
        <v>189</v>
      </c>
      <c r="C100" s="11">
        <f t="shared" si="8"/>
        <v>1.0000000000000107</v>
      </c>
      <c r="D100" s="11"/>
      <c r="E100" s="11">
        <f>C100*E12/12</f>
        <v>9.1666666666667639E-3</v>
      </c>
      <c r="F100" s="11">
        <f t="shared" si="6"/>
        <v>9.1666666666667639E-3</v>
      </c>
      <c r="G100" s="11">
        <v>0.25</v>
      </c>
      <c r="H100" s="11">
        <f t="shared" si="9"/>
        <v>0.75000000000001066</v>
      </c>
      <c r="I100" s="11">
        <f t="shared" si="10"/>
        <v>0.25916666666666677</v>
      </c>
      <c r="J100" s="11"/>
      <c r="K100" s="11"/>
      <c r="L100" s="11"/>
      <c r="M100" s="11"/>
    </row>
    <row r="101" spans="1:13" x14ac:dyDescent="0.25">
      <c r="A101" s="71">
        <f t="shared" si="7"/>
        <v>84</v>
      </c>
      <c r="B101" s="72" t="s">
        <v>190</v>
      </c>
      <c r="C101" s="11">
        <f>H100</f>
        <v>0.75000000000001066</v>
      </c>
      <c r="D101" s="11"/>
      <c r="E101" s="11">
        <f>C101*E12/12</f>
        <v>6.8750000000000972E-3</v>
      </c>
      <c r="F101" s="11">
        <f>E101</f>
        <v>6.8750000000000972E-3</v>
      </c>
      <c r="G101" s="11">
        <v>0.25</v>
      </c>
      <c r="H101" s="11">
        <f>H100-G101</f>
        <v>0.50000000000001066</v>
      </c>
      <c r="I101" s="11">
        <f>G101+F101</f>
        <v>0.25687500000000008</v>
      </c>
      <c r="J101" s="11"/>
      <c r="K101" s="11"/>
      <c r="L101" s="11"/>
      <c r="M101" s="11"/>
    </row>
    <row r="102" spans="1:13" x14ac:dyDescent="0.25">
      <c r="A102" s="71">
        <f t="shared" si="7"/>
        <v>85</v>
      </c>
      <c r="B102" s="72" t="s">
        <v>191</v>
      </c>
      <c r="C102" s="11">
        <f t="shared" si="8"/>
        <v>0.50000000000001066</v>
      </c>
      <c r="D102" s="11"/>
      <c r="E102" s="11">
        <f>C102*E12/12</f>
        <v>4.5833333333334314E-3</v>
      </c>
      <c r="F102" s="11">
        <f>E102</f>
        <v>4.5833333333334314E-3</v>
      </c>
      <c r="G102" s="11">
        <v>0.25</v>
      </c>
      <c r="H102" s="11">
        <f t="shared" si="9"/>
        <v>0.25000000000001066</v>
      </c>
      <c r="I102" s="11">
        <f t="shared" si="10"/>
        <v>0.25458333333333344</v>
      </c>
      <c r="J102" s="11"/>
      <c r="K102" s="11"/>
      <c r="L102" s="11"/>
      <c r="M102" s="11"/>
    </row>
    <row r="103" spans="1:13" x14ac:dyDescent="0.25">
      <c r="A103" s="71">
        <f t="shared" si="7"/>
        <v>86</v>
      </c>
      <c r="B103" s="72" t="s">
        <v>192</v>
      </c>
      <c r="C103" s="11">
        <f t="shared" si="8"/>
        <v>0.25000000000001066</v>
      </c>
      <c r="D103" s="11"/>
      <c r="E103" s="11">
        <f>C103*E12/12</f>
        <v>2.2916666666667643E-3</v>
      </c>
      <c r="F103" s="11">
        <f t="shared" ref="F103" si="11">E103</f>
        <v>2.2916666666667643E-3</v>
      </c>
      <c r="G103" s="11">
        <v>0.25</v>
      </c>
      <c r="H103" s="11">
        <f t="shared" si="9"/>
        <v>1.0658141036401503E-14</v>
      </c>
      <c r="I103" s="11">
        <f t="shared" si="10"/>
        <v>0.25229166666666675</v>
      </c>
      <c r="J103" s="11" t="str">
        <f>B103</f>
        <v>March-30</v>
      </c>
      <c r="K103" s="11">
        <f>SUM(E92:E103)</f>
        <v>0.17875000000000119</v>
      </c>
      <c r="L103" s="11">
        <f>SUM(G92:G103)</f>
        <v>3</v>
      </c>
      <c r="M103" s="11">
        <f>K103+L103</f>
        <v>3.1787500000000013</v>
      </c>
    </row>
    <row r="104" spans="1:13" x14ac:dyDescent="0.25">
      <c r="A104" s="74"/>
      <c r="B104" s="7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5">
      <c r="A105" s="77" t="s">
        <v>11</v>
      </c>
      <c r="B105" s="76"/>
      <c r="C105" s="44"/>
      <c r="D105" s="44"/>
      <c r="E105" s="44"/>
      <c r="F105" s="75">
        <f>SUM(F18:F103)</f>
        <v>4.5120750000000065</v>
      </c>
      <c r="G105" s="75">
        <f>SUM(G18:G103)</f>
        <v>11.999999999999996</v>
      </c>
      <c r="H105" s="75"/>
      <c r="I105" s="75">
        <f>SUM(I18:I103)</f>
        <v>16.512075000000003</v>
      </c>
      <c r="J105" s="75"/>
      <c r="K105" s="75">
        <f>SUM(K18:K103)</f>
        <v>4.5120750000000056</v>
      </c>
      <c r="L105" s="75">
        <f>SUM(L18:L103)</f>
        <v>12</v>
      </c>
      <c r="M105" s="75">
        <f>SUM(M18:M103)</f>
        <v>16.512075000000003</v>
      </c>
    </row>
    <row r="108" spans="1:13" x14ac:dyDescent="0.25">
      <c r="A108" s="78" t="s">
        <v>208</v>
      </c>
    </row>
    <row r="110" spans="1:13" x14ac:dyDescent="0.25">
      <c r="A110" s="3" t="s">
        <v>209</v>
      </c>
      <c r="B110" s="3"/>
      <c r="C110" s="28"/>
      <c r="D110" s="28"/>
      <c r="E110" s="81">
        <v>2</v>
      </c>
      <c r="F110" t="s">
        <v>210</v>
      </c>
    </row>
    <row r="111" spans="1:13" x14ac:dyDescent="0.25">
      <c r="A111" s="208" t="s">
        <v>20</v>
      </c>
      <c r="B111" s="208"/>
      <c r="C111" s="10" t="s">
        <v>205</v>
      </c>
      <c r="D111" s="62">
        <v>7.9500000000000001E-2</v>
      </c>
      <c r="E111" s="28"/>
    </row>
    <row r="112" spans="1:13" x14ac:dyDescent="0.25">
      <c r="A112" s="80"/>
      <c r="B112" s="80"/>
      <c r="C112" s="10" t="s">
        <v>212</v>
      </c>
      <c r="D112" s="62">
        <v>0.11</v>
      </c>
      <c r="E112" s="28"/>
    </row>
    <row r="113" spans="1:5" x14ac:dyDescent="0.25">
      <c r="A113" s="3"/>
      <c r="B113" s="3"/>
      <c r="C113" s="28"/>
      <c r="D113" s="79"/>
      <c r="E113" s="28"/>
    </row>
    <row r="114" spans="1:5" x14ac:dyDescent="0.25">
      <c r="A114" s="3" t="s">
        <v>211</v>
      </c>
      <c r="B114" s="3"/>
      <c r="C114" s="10" t="s">
        <v>205</v>
      </c>
      <c r="D114" s="62">
        <v>7.9500000000000001E-2</v>
      </c>
      <c r="E114" s="81">
        <f>E110*D111</f>
        <v>0.159</v>
      </c>
    </row>
    <row r="115" spans="1:5" x14ac:dyDescent="0.25">
      <c r="A115" s="28"/>
      <c r="B115" s="28"/>
      <c r="C115" s="10" t="s">
        <v>212</v>
      </c>
      <c r="D115" s="62">
        <v>0.11</v>
      </c>
      <c r="E115" s="81">
        <f>E110*D112</f>
        <v>0.22</v>
      </c>
    </row>
    <row r="116" spans="1:5" x14ac:dyDescent="0.25">
      <c r="D116" s="17"/>
    </row>
    <row r="117" spans="1:5" x14ac:dyDescent="0.25">
      <c r="D117" s="17"/>
    </row>
    <row r="118" spans="1:5" x14ac:dyDescent="0.25">
      <c r="D118" s="17"/>
    </row>
    <row r="119" spans="1:5" x14ac:dyDescent="0.25">
      <c r="D119" s="17"/>
    </row>
    <row r="120" spans="1:5" x14ac:dyDescent="0.25">
      <c r="D120" s="17"/>
    </row>
    <row r="121" spans="1:5" x14ac:dyDescent="0.25">
      <c r="D121" s="17"/>
    </row>
    <row r="122" spans="1:5" x14ac:dyDescent="0.25">
      <c r="D122" s="17"/>
    </row>
    <row r="123" spans="1:5" x14ac:dyDescent="0.25">
      <c r="D123" s="17"/>
    </row>
    <row r="124" spans="1:5" x14ac:dyDescent="0.25">
      <c r="D124" s="17"/>
    </row>
  </sheetData>
  <mergeCells count="10">
    <mergeCell ref="A111:B111"/>
    <mergeCell ref="B9:C9"/>
    <mergeCell ref="B10:C10"/>
    <mergeCell ref="B11:C11"/>
    <mergeCell ref="B1:K1"/>
    <mergeCell ref="B3:C3"/>
    <mergeCell ref="B4:C4"/>
    <mergeCell ref="B5:C5"/>
    <mergeCell ref="B7:C7"/>
    <mergeCell ref="B8:C8"/>
  </mergeCells>
  <phoneticPr fontId="13" type="noConversion"/>
  <pageMargins left="0.7" right="0.7" top="0.75" bottom="0.75" header="0.3" footer="0.3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2" sqref="B2"/>
    </sheetView>
  </sheetViews>
  <sheetFormatPr defaultRowHeight="15" x14ac:dyDescent="0.25"/>
  <cols>
    <col min="1" max="1" width="52.85546875" customWidth="1"/>
    <col min="2" max="2" width="40.7109375" customWidth="1"/>
    <col min="3" max="3" width="33.85546875" customWidth="1"/>
    <col min="4" max="4" width="10.85546875" customWidth="1"/>
  </cols>
  <sheetData>
    <row r="1" spans="1:4" ht="24" customHeight="1" x14ac:dyDescent="0.25">
      <c r="A1" s="83" t="s">
        <v>368</v>
      </c>
      <c r="B1" s="34"/>
      <c r="C1" s="34"/>
      <c r="D1" s="34" t="s">
        <v>370</v>
      </c>
    </row>
    <row r="2" spans="1:4" ht="47.25" customHeight="1" x14ac:dyDescent="0.25">
      <c r="A2" s="29" t="s">
        <v>369</v>
      </c>
      <c r="B2" s="29" t="s">
        <v>300</v>
      </c>
      <c r="C2" s="30" t="s">
        <v>367</v>
      </c>
      <c r="D2" s="27">
        <v>1.7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activeCell="B9" sqref="B9"/>
    </sheetView>
  </sheetViews>
  <sheetFormatPr defaultRowHeight="15" x14ac:dyDescent="0.25"/>
  <cols>
    <col min="2" max="2" width="62" bestFit="1" customWidth="1"/>
    <col min="3" max="3" width="28.85546875" customWidth="1"/>
    <col min="4" max="4" width="31.140625" customWidth="1"/>
    <col min="5" max="5" width="16.85546875" customWidth="1"/>
  </cols>
  <sheetData>
    <row r="1" spans="1:9" ht="15.75" x14ac:dyDescent="0.25">
      <c r="A1" s="15" t="s">
        <v>81</v>
      </c>
    </row>
    <row r="2" spans="1:9" ht="15.75" x14ac:dyDescent="0.25">
      <c r="A2" s="15"/>
    </row>
    <row r="3" spans="1:9" x14ac:dyDescent="0.25">
      <c r="A3" s="84" t="s">
        <v>294</v>
      </c>
      <c r="B3" s="84" t="s">
        <v>295</v>
      </c>
      <c r="C3" s="84" t="s">
        <v>296</v>
      </c>
      <c r="D3" s="84" t="s">
        <v>297</v>
      </c>
      <c r="E3" s="84" t="s">
        <v>298</v>
      </c>
      <c r="F3" s="1"/>
    </row>
    <row r="4" spans="1:9" ht="15.75" x14ac:dyDescent="0.25">
      <c r="A4" s="20">
        <v>1</v>
      </c>
      <c r="B4" s="21" t="s">
        <v>299</v>
      </c>
      <c r="C4" s="22" t="s">
        <v>300</v>
      </c>
      <c r="D4" s="23">
        <v>1</v>
      </c>
      <c r="E4" s="27">
        <v>637200</v>
      </c>
    </row>
    <row r="5" spans="1:9" ht="15.75" x14ac:dyDescent="0.25">
      <c r="A5" s="20">
        <v>2</v>
      </c>
      <c r="B5" s="21" t="s">
        <v>301</v>
      </c>
      <c r="C5" s="22" t="s">
        <v>300</v>
      </c>
      <c r="D5" s="23">
        <v>1</v>
      </c>
      <c r="E5" s="27">
        <v>383500</v>
      </c>
    </row>
    <row r="6" spans="1:9" ht="15.75" x14ac:dyDescent="0.25">
      <c r="A6" s="20">
        <v>3</v>
      </c>
      <c r="B6" s="21" t="s">
        <v>302</v>
      </c>
      <c r="C6" s="22" t="s">
        <v>300</v>
      </c>
      <c r="D6" s="23">
        <v>1</v>
      </c>
      <c r="E6" s="27">
        <v>108560</v>
      </c>
    </row>
    <row r="7" spans="1:9" ht="15.75" x14ac:dyDescent="0.25">
      <c r="A7" s="20">
        <v>4</v>
      </c>
      <c r="B7" s="21" t="s">
        <v>303</v>
      </c>
      <c r="C7" s="22" t="s">
        <v>300</v>
      </c>
      <c r="D7" s="23">
        <v>1</v>
      </c>
      <c r="E7" s="27">
        <v>1900001</v>
      </c>
    </row>
    <row r="8" spans="1:9" s="18" customFormat="1" ht="15.75" x14ac:dyDescent="0.25">
      <c r="A8" s="20">
        <v>5</v>
      </c>
      <c r="B8" s="21" t="s">
        <v>304</v>
      </c>
      <c r="C8" s="22" t="s">
        <v>300</v>
      </c>
      <c r="D8" s="23">
        <v>1</v>
      </c>
      <c r="E8" s="27">
        <v>486001</v>
      </c>
    </row>
    <row r="9" spans="1:9" s="18" customFormat="1" ht="15.75" x14ac:dyDescent="0.25">
      <c r="A9" s="20">
        <v>6</v>
      </c>
      <c r="B9" s="21" t="s">
        <v>305</v>
      </c>
      <c r="C9" s="22" t="s">
        <v>300</v>
      </c>
      <c r="D9" s="23">
        <v>1</v>
      </c>
      <c r="E9" s="27">
        <v>1232000</v>
      </c>
    </row>
    <row r="10" spans="1:9" s="18" customFormat="1" ht="15.75" x14ac:dyDescent="0.25">
      <c r="A10" s="20">
        <v>7</v>
      </c>
      <c r="B10" s="21" t="s">
        <v>306</v>
      </c>
      <c r="C10" s="22" t="s">
        <v>300</v>
      </c>
      <c r="D10" s="23">
        <v>4</v>
      </c>
      <c r="E10" s="27">
        <v>360416</v>
      </c>
    </row>
    <row r="11" spans="1:9" s="18" customFormat="1" ht="15.75" x14ac:dyDescent="0.25">
      <c r="A11" s="20">
        <v>8</v>
      </c>
      <c r="B11" s="21" t="s">
        <v>307</v>
      </c>
      <c r="C11" s="22" t="s">
        <v>300</v>
      </c>
      <c r="D11" s="23">
        <v>1</v>
      </c>
      <c r="E11" s="27">
        <v>211008</v>
      </c>
    </row>
    <row r="12" spans="1:9" s="18" customFormat="1" ht="15.75" x14ac:dyDescent="0.25">
      <c r="A12" s="20">
        <v>9</v>
      </c>
      <c r="B12" s="21" t="s">
        <v>308</v>
      </c>
      <c r="C12" s="22" t="s">
        <v>300</v>
      </c>
      <c r="D12" s="23">
        <v>1</v>
      </c>
      <c r="E12" s="27">
        <v>118720</v>
      </c>
      <c r="F12" s="13"/>
      <c r="G12" s="13"/>
      <c r="H12" s="14"/>
      <c r="I12" s="14"/>
    </row>
    <row r="13" spans="1:9" ht="13.5" customHeight="1" x14ac:dyDescent="0.25">
      <c r="A13" s="20">
        <v>10</v>
      </c>
      <c r="B13" s="21" t="s">
        <v>309</v>
      </c>
      <c r="C13" s="22" t="s">
        <v>300</v>
      </c>
      <c r="D13" s="23">
        <v>1</v>
      </c>
      <c r="E13" s="27">
        <v>25200</v>
      </c>
      <c r="F13" s="12"/>
      <c r="G13" s="13"/>
      <c r="H13" s="13"/>
    </row>
    <row r="14" spans="1:9" ht="15.75" x14ac:dyDescent="0.25">
      <c r="A14" s="20">
        <v>11</v>
      </c>
      <c r="B14" s="21" t="s">
        <v>310</v>
      </c>
      <c r="C14" s="22" t="s">
        <v>300</v>
      </c>
      <c r="D14" s="23">
        <v>1</v>
      </c>
      <c r="E14" s="27">
        <v>19600</v>
      </c>
      <c r="F14" s="13"/>
      <c r="G14" s="13"/>
      <c r="H14" s="14"/>
      <c r="I14" s="14"/>
    </row>
    <row r="15" spans="1:9" ht="15.75" customHeight="1" x14ac:dyDescent="0.25">
      <c r="A15" s="20">
        <v>12</v>
      </c>
      <c r="B15" s="21" t="s">
        <v>311</v>
      </c>
      <c r="C15" s="22" t="s">
        <v>300</v>
      </c>
      <c r="D15" s="23">
        <v>1</v>
      </c>
      <c r="E15" s="27">
        <v>55440</v>
      </c>
      <c r="F15" s="12"/>
      <c r="G15" s="12"/>
      <c r="H15" s="13"/>
      <c r="I15" s="13"/>
    </row>
    <row r="16" spans="1:9" ht="15.75" x14ac:dyDescent="0.25">
      <c r="A16" s="20">
        <v>13</v>
      </c>
      <c r="B16" s="21" t="s">
        <v>312</v>
      </c>
      <c r="C16" s="22" t="s">
        <v>300</v>
      </c>
      <c r="D16" s="23">
        <v>2</v>
      </c>
      <c r="E16" s="27">
        <v>169998</v>
      </c>
      <c r="F16" s="13"/>
      <c r="G16" s="13"/>
      <c r="H16" s="14"/>
      <c r="I16" s="14"/>
    </row>
    <row r="17" spans="1:9" ht="15.75" customHeight="1" x14ac:dyDescent="0.25">
      <c r="A17" s="20">
        <v>14</v>
      </c>
      <c r="B17" s="21" t="s">
        <v>313</v>
      </c>
      <c r="C17" s="22" t="s">
        <v>300</v>
      </c>
      <c r="D17" s="23">
        <v>4</v>
      </c>
      <c r="E17" s="27">
        <v>100800</v>
      </c>
      <c r="F17" s="12"/>
      <c r="G17" s="12"/>
      <c r="H17" s="13"/>
      <c r="I17" s="13"/>
    </row>
    <row r="18" spans="1:9" ht="15.75" x14ac:dyDescent="0.25">
      <c r="A18" s="20">
        <v>15</v>
      </c>
      <c r="B18" s="21" t="s">
        <v>314</v>
      </c>
      <c r="C18" s="22" t="s">
        <v>300</v>
      </c>
      <c r="D18" s="23">
        <v>4</v>
      </c>
      <c r="E18" s="27">
        <v>78400</v>
      </c>
      <c r="F18" s="13"/>
      <c r="G18" s="13"/>
      <c r="H18" s="14"/>
      <c r="I18" s="14"/>
    </row>
    <row r="19" spans="1:9" ht="12" customHeight="1" x14ac:dyDescent="0.25">
      <c r="A19" s="20">
        <v>16</v>
      </c>
      <c r="B19" s="21" t="s">
        <v>315</v>
      </c>
      <c r="C19" s="22" t="s">
        <v>300</v>
      </c>
      <c r="D19" s="23">
        <v>1</v>
      </c>
      <c r="E19" s="27">
        <v>20552</v>
      </c>
      <c r="F19" s="12"/>
      <c r="G19" s="12"/>
      <c r="H19" s="13"/>
      <c r="I19" s="13"/>
    </row>
    <row r="20" spans="1:9" ht="15.75" x14ac:dyDescent="0.25">
      <c r="A20" s="20">
        <v>17</v>
      </c>
      <c r="B20" s="21" t="s">
        <v>316</v>
      </c>
      <c r="C20" s="22" t="s">
        <v>300</v>
      </c>
      <c r="D20" s="23">
        <v>1</v>
      </c>
      <c r="E20" s="27">
        <v>940800</v>
      </c>
      <c r="F20" s="13"/>
      <c r="G20" s="13"/>
      <c r="H20" s="14"/>
      <c r="I20" s="14"/>
    </row>
    <row r="21" spans="1:9" ht="15.75" x14ac:dyDescent="0.25">
      <c r="A21" s="20">
        <v>18</v>
      </c>
      <c r="B21" s="21" t="s">
        <v>317</v>
      </c>
      <c r="C21" s="22" t="s">
        <v>300</v>
      </c>
      <c r="D21" s="23">
        <v>1</v>
      </c>
      <c r="E21" s="27">
        <v>299040</v>
      </c>
    </row>
    <row r="22" spans="1:9" ht="15.75" x14ac:dyDescent="0.25">
      <c r="A22" s="20">
        <v>19</v>
      </c>
      <c r="B22" s="21" t="s">
        <v>318</v>
      </c>
      <c r="C22" s="22" t="s">
        <v>300</v>
      </c>
      <c r="D22" s="23">
        <v>1</v>
      </c>
      <c r="E22" s="27">
        <v>914480</v>
      </c>
    </row>
    <row r="23" spans="1:9" ht="15.75" x14ac:dyDescent="0.25">
      <c r="A23" s="20">
        <v>20</v>
      </c>
      <c r="B23" s="21" t="s">
        <v>319</v>
      </c>
      <c r="C23" s="22" t="s">
        <v>300</v>
      </c>
      <c r="D23" s="23">
        <v>2</v>
      </c>
      <c r="E23" s="27">
        <v>125440</v>
      </c>
    </row>
    <row r="24" spans="1:9" ht="15.75" x14ac:dyDescent="0.25">
      <c r="A24" s="20">
        <v>21</v>
      </c>
      <c r="B24" s="21" t="s">
        <v>320</v>
      </c>
      <c r="C24" s="22" t="s">
        <v>300</v>
      </c>
      <c r="D24" s="23">
        <v>1</v>
      </c>
      <c r="E24" s="27">
        <v>266090</v>
      </c>
    </row>
    <row r="25" spans="1:9" ht="15.75" x14ac:dyDescent="0.25">
      <c r="A25" s="20">
        <v>22</v>
      </c>
      <c r="B25" s="21" t="s">
        <v>316</v>
      </c>
      <c r="C25" s="22" t="s">
        <v>300</v>
      </c>
      <c r="D25" s="23">
        <v>1</v>
      </c>
      <c r="E25" s="27">
        <v>940800</v>
      </c>
    </row>
    <row r="26" spans="1:9" ht="15.75" x14ac:dyDescent="0.25">
      <c r="A26" s="20">
        <v>23</v>
      </c>
      <c r="B26" s="21" t="s">
        <v>317</v>
      </c>
      <c r="C26" s="22" t="s">
        <v>300</v>
      </c>
      <c r="D26" s="23">
        <v>1</v>
      </c>
      <c r="E26" s="27">
        <v>299040</v>
      </c>
    </row>
    <row r="27" spans="1:9" ht="15.75" x14ac:dyDescent="0.25">
      <c r="A27" s="20">
        <v>24</v>
      </c>
      <c r="B27" s="21" t="s">
        <v>308</v>
      </c>
      <c r="C27" s="22" t="s">
        <v>300</v>
      </c>
      <c r="D27" s="23">
        <v>1</v>
      </c>
      <c r="E27" s="27">
        <v>118720</v>
      </c>
    </row>
    <row r="28" spans="1:9" ht="15.75" x14ac:dyDescent="0.25">
      <c r="A28" s="20">
        <v>25</v>
      </c>
      <c r="B28" s="21" t="s">
        <v>321</v>
      </c>
      <c r="C28" s="22" t="s">
        <v>300</v>
      </c>
      <c r="D28" s="23">
        <v>4</v>
      </c>
      <c r="E28" s="27">
        <v>360416</v>
      </c>
    </row>
    <row r="29" spans="1:9" ht="15.75" x14ac:dyDescent="0.25">
      <c r="A29" s="20">
        <v>25</v>
      </c>
      <c r="B29" s="21" t="s">
        <v>322</v>
      </c>
      <c r="C29" s="22" t="s">
        <v>300</v>
      </c>
      <c r="D29" s="23">
        <v>1</v>
      </c>
      <c r="E29" s="27">
        <v>117600</v>
      </c>
    </row>
    <row r="30" spans="1:9" ht="15.75" x14ac:dyDescent="0.25">
      <c r="A30" s="20">
        <v>27</v>
      </c>
      <c r="B30" s="21" t="s">
        <v>323</v>
      </c>
      <c r="C30" s="22" t="s">
        <v>300</v>
      </c>
      <c r="D30" s="23">
        <v>1</v>
      </c>
      <c r="E30" s="27">
        <v>319200</v>
      </c>
    </row>
    <row r="31" spans="1:9" ht="15.75" x14ac:dyDescent="0.25">
      <c r="A31" s="20">
        <v>28</v>
      </c>
      <c r="B31" s="21" t="s">
        <v>324</v>
      </c>
      <c r="C31" s="22" t="s">
        <v>300</v>
      </c>
      <c r="D31" s="23">
        <v>1</v>
      </c>
      <c r="E31" s="27">
        <v>81760</v>
      </c>
    </row>
    <row r="32" spans="1:9" ht="15.75" x14ac:dyDescent="0.25">
      <c r="A32" s="20">
        <v>29</v>
      </c>
      <c r="B32" s="21" t="s">
        <v>325</v>
      </c>
      <c r="C32" s="22" t="s">
        <v>300</v>
      </c>
      <c r="D32" s="23">
        <v>1</v>
      </c>
      <c r="E32" s="27">
        <v>8400</v>
      </c>
    </row>
    <row r="33" spans="1:5" ht="15.75" x14ac:dyDescent="0.25">
      <c r="A33" s="20">
        <v>30</v>
      </c>
      <c r="B33" s="21" t="s">
        <v>326</v>
      </c>
      <c r="C33" s="22" t="s">
        <v>300</v>
      </c>
      <c r="D33" s="23">
        <v>1</v>
      </c>
      <c r="E33" s="27">
        <v>241900</v>
      </c>
    </row>
    <row r="34" spans="1:5" ht="15.75" x14ac:dyDescent="0.25">
      <c r="A34" s="20">
        <v>31</v>
      </c>
      <c r="B34" s="21" t="s">
        <v>327</v>
      </c>
      <c r="C34" s="22" t="s">
        <v>300</v>
      </c>
      <c r="D34" s="23">
        <v>1</v>
      </c>
      <c r="E34" s="27">
        <v>183490</v>
      </c>
    </row>
    <row r="35" spans="1:5" ht="15.75" x14ac:dyDescent="0.25">
      <c r="A35" s="20">
        <v>32</v>
      </c>
      <c r="B35" s="21" t="s">
        <v>328</v>
      </c>
      <c r="C35" s="22" t="s">
        <v>300</v>
      </c>
      <c r="D35" s="23">
        <v>1</v>
      </c>
      <c r="E35" s="27">
        <v>359900</v>
      </c>
    </row>
    <row r="36" spans="1:5" ht="15.75" x14ac:dyDescent="0.25">
      <c r="A36" s="20">
        <v>33</v>
      </c>
      <c r="B36" s="21" t="s">
        <v>329</v>
      </c>
      <c r="C36" s="22" t="s">
        <v>300</v>
      </c>
      <c r="D36" s="23">
        <v>1</v>
      </c>
      <c r="E36" s="27">
        <v>103712</v>
      </c>
    </row>
    <row r="37" spans="1:5" ht="15.75" x14ac:dyDescent="0.25">
      <c r="A37" s="20">
        <v>34</v>
      </c>
      <c r="B37" s="21" t="s">
        <v>330</v>
      </c>
      <c r="C37" s="22" t="s">
        <v>300</v>
      </c>
      <c r="D37" s="23">
        <v>1</v>
      </c>
      <c r="E37" s="27">
        <v>117600</v>
      </c>
    </row>
    <row r="38" spans="1:5" ht="15.75" x14ac:dyDescent="0.25">
      <c r="A38" s="20">
        <v>35</v>
      </c>
      <c r="B38" s="21" t="s">
        <v>331</v>
      </c>
      <c r="C38" s="22" t="s">
        <v>300</v>
      </c>
      <c r="D38" s="23">
        <v>1</v>
      </c>
      <c r="E38" s="27">
        <v>336000</v>
      </c>
    </row>
    <row r="39" spans="1:5" ht="15.75" x14ac:dyDescent="0.25">
      <c r="A39" s="20">
        <v>36</v>
      </c>
      <c r="B39" s="24" t="s">
        <v>332</v>
      </c>
      <c r="C39" s="22" t="s">
        <v>300</v>
      </c>
      <c r="D39" s="24">
        <v>2</v>
      </c>
      <c r="E39" s="27">
        <v>1881600</v>
      </c>
    </row>
    <row r="40" spans="1:5" ht="15.75" x14ac:dyDescent="0.25">
      <c r="A40" s="20">
        <v>37</v>
      </c>
      <c r="B40" s="24" t="s">
        <v>333</v>
      </c>
      <c r="C40" s="22" t="s">
        <v>300</v>
      </c>
      <c r="D40" s="24">
        <v>1</v>
      </c>
      <c r="E40" s="27">
        <v>299040</v>
      </c>
    </row>
    <row r="41" spans="1:5" ht="15.75" x14ac:dyDescent="0.25">
      <c r="A41" s="20">
        <v>38</v>
      </c>
      <c r="B41" s="24" t="s">
        <v>334</v>
      </c>
      <c r="C41" s="22" t="s">
        <v>300</v>
      </c>
      <c r="D41" s="24">
        <v>1</v>
      </c>
      <c r="E41" s="27">
        <v>118720</v>
      </c>
    </row>
    <row r="42" spans="1:5" ht="15.75" x14ac:dyDescent="0.25">
      <c r="A42" s="20">
        <v>39</v>
      </c>
      <c r="B42" s="24" t="s">
        <v>309</v>
      </c>
      <c r="C42" s="22" t="s">
        <v>300</v>
      </c>
      <c r="D42" s="24">
        <v>2</v>
      </c>
      <c r="E42" s="27">
        <v>50400</v>
      </c>
    </row>
    <row r="43" spans="1:5" ht="15.75" x14ac:dyDescent="0.25">
      <c r="A43" s="20">
        <v>40</v>
      </c>
      <c r="B43" s="24" t="s">
        <v>335</v>
      </c>
      <c r="C43" s="22" t="s">
        <v>300</v>
      </c>
      <c r="D43" s="24">
        <v>2</v>
      </c>
      <c r="E43" s="27">
        <v>39200</v>
      </c>
    </row>
    <row r="44" spans="1:5" ht="15.75" x14ac:dyDescent="0.25">
      <c r="A44" s="20">
        <v>41</v>
      </c>
      <c r="B44" s="24" t="s">
        <v>336</v>
      </c>
      <c r="C44" s="22" t="s">
        <v>300</v>
      </c>
      <c r="D44" s="24">
        <v>2</v>
      </c>
      <c r="E44" s="27">
        <v>169792</v>
      </c>
    </row>
    <row r="45" spans="1:5" ht="15.75" x14ac:dyDescent="0.25">
      <c r="A45" s="20">
        <v>42</v>
      </c>
      <c r="B45" s="24" t="s">
        <v>337</v>
      </c>
      <c r="C45" s="22" t="s">
        <v>300</v>
      </c>
      <c r="D45" s="24">
        <v>1</v>
      </c>
      <c r="E45" s="27">
        <v>424800</v>
      </c>
    </row>
    <row r="46" spans="1:5" ht="15.75" x14ac:dyDescent="0.25">
      <c r="A46" s="20">
        <v>43</v>
      </c>
      <c r="B46" s="24" t="s">
        <v>338</v>
      </c>
      <c r="C46" s="22" t="s">
        <v>300</v>
      </c>
      <c r="D46" s="24">
        <v>4</v>
      </c>
      <c r="E46" s="27">
        <v>2576000</v>
      </c>
    </row>
    <row r="47" spans="1:5" ht="15.75" x14ac:dyDescent="0.25">
      <c r="A47" s="20">
        <v>44</v>
      </c>
      <c r="B47" s="24" t="s">
        <v>339</v>
      </c>
      <c r="C47" s="22" t="s">
        <v>300</v>
      </c>
      <c r="D47" s="24">
        <v>1</v>
      </c>
      <c r="E47" s="27">
        <v>224000</v>
      </c>
    </row>
    <row r="48" spans="1:5" ht="15.75" x14ac:dyDescent="0.25">
      <c r="A48" s="20">
        <v>45</v>
      </c>
      <c r="B48" s="24" t="s">
        <v>340</v>
      </c>
      <c r="C48" s="22" t="s">
        <v>300</v>
      </c>
      <c r="D48" s="24">
        <v>1</v>
      </c>
      <c r="E48" s="27">
        <v>1825040</v>
      </c>
    </row>
    <row r="49" spans="1:5" ht="15.75" x14ac:dyDescent="0.25">
      <c r="A49" s="20">
        <v>46</v>
      </c>
      <c r="B49" s="24" t="s">
        <v>341</v>
      </c>
      <c r="C49" s="22" t="s">
        <v>300</v>
      </c>
      <c r="D49" s="24">
        <v>1</v>
      </c>
      <c r="E49" s="27">
        <v>2016000</v>
      </c>
    </row>
    <row r="50" spans="1:5" ht="15.75" x14ac:dyDescent="0.25">
      <c r="A50" s="20">
        <v>47</v>
      </c>
      <c r="B50" s="24" t="s">
        <v>342</v>
      </c>
      <c r="C50" s="22" t="s">
        <v>300</v>
      </c>
      <c r="D50" s="24">
        <v>1</v>
      </c>
      <c r="E50" s="27">
        <v>532000</v>
      </c>
    </row>
    <row r="51" spans="1:5" ht="15.75" x14ac:dyDescent="0.25">
      <c r="A51" s="20">
        <v>48</v>
      </c>
      <c r="B51" s="24" t="s">
        <v>332</v>
      </c>
      <c r="C51" s="22" t="s">
        <v>300</v>
      </c>
      <c r="D51" s="24">
        <v>2</v>
      </c>
      <c r="E51" s="27">
        <v>2800000</v>
      </c>
    </row>
    <row r="52" spans="1:5" ht="15.75" x14ac:dyDescent="0.25">
      <c r="A52" s="20">
        <v>49</v>
      </c>
      <c r="B52" s="24" t="s">
        <v>343</v>
      </c>
      <c r="C52" s="22" t="s">
        <v>300</v>
      </c>
      <c r="D52" s="24">
        <v>4</v>
      </c>
      <c r="E52" s="27">
        <v>360416</v>
      </c>
    </row>
    <row r="53" spans="1:5" ht="15.75" x14ac:dyDescent="0.25">
      <c r="A53" s="20">
        <v>50</v>
      </c>
      <c r="B53" s="24" t="s">
        <v>344</v>
      </c>
      <c r="C53" s="22" t="s">
        <v>300</v>
      </c>
      <c r="D53" s="24">
        <v>1</v>
      </c>
      <c r="E53" s="27">
        <v>211008</v>
      </c>
    </row>
    <row r="54" spans="1:5" ht="15.75" x14ac:dyDescent="0.25">
      <c r="A54" s="20">
        <v>51</v>
      </c>
      <c r="B54" s="24" t="s">
        <v>345</v>
      </c>
      <c r="C54" s="22" t="s">
        <v>300</v>
      </c>
      <c r="D54" s="24">
        <v>1</v>
      </c>
      <c r="E54" s="27">
        <v>1260000</v>
      </c>
    </row>
    <row r="55" spans="1:5" ht="15.75" x14ac:dyDescent="0.25">
      <c r="A55" s="20">
        <v>52</v>
      </c>
      <c r="B55" s="24" t="s">
        <v>346</v>
      </c>
      <c r="C55" s="22" t="s">
        <v>300</v>
      </c>
      <c r="D55" s="24">
        <v>1</v>
      </c>
      <c r="E55" s="27">
        <v>165760</v>
      </c>
    </row>
    <row r="56" spans="1:5" ht="15.75" x14ac:dyDescent="0.25">
      <c r="A56" s="20">
        <v>53</v>
      </c>
      <c r="B56" s="24" t="s">
        <v>347</v>
      </c>
      <c r="C56" s="22" t="s">
        <v>300</v>
      </c>
      <c r="D56" s="24">
        <v>4</v>
      </c>
      <c r="E56" s="27">
        <v>232960</v>
      </c>
    </row>
    <row r="57" spans="1:5" ht="15.75" x14ac:dyDescent="0.25">
      <c r="A57" s="20">
        <v>54</v>
      </c>
      <c r="B57" s="24" t="s">
        <v>348</v>
      </c>
      <c r="C57" s="22" t="s">
        <v>300</v>
      </c>
      <c r="D57" s="24">
        <v>1</v>
      </c>
      <c r="E57" s="27">
        <v>314720</v>
      </c>
    </row>
    <row r="58" spans="1:5" ht="15.75" x14ac:dyDescent="0.25">
      <c r="A58" s="20">
        <v>55</v>
      </c>
      <c r="B58" s="24" t="s">
        <v>349</v>
      </c>
      <c r="C58" s="22" t="s">
        <v>300</v>
      </c>
      <c r="D58" s="24">
        <v>1</v>
      </c>
      <c r="E58" s="27">
        <v>39200</v>
      </c>
    </row>
    <row r="59" spans="1:5" ht="15.75" x14ac:dyDescent="0.25">
      <c r="A59" s="20">
        <v>56</v>
      </c>
      <c r="B59" s="24" t="s">
        <v>349</v>
      </c>
      <c r="C59" s="22" t="s">
        <v>300</v>
      </c>
      <c r="D59" s="24">
        <v>1</v>
      </c>
      <c r="E59" s="27">
        <v>78400</v>
      </c>
    </row>
    <row r="60" spans="1:5" ht="15.75" x14ac:dyDescent="0.25">
      <c r="A60" s="20">
        <v>57</v>
      </c>
      <c r="B60" s="24" t="s">
        <v>350</v>
      </c>
      <c r="C60" s="22" t="s">
        <v>300</v>
      </c>
      <c r="D60" s="24">
        <v>1</v>
      </c>
      <c r="E60" s="27">
        <v>224000</v>
      </c>
    </row>
    <row r="61" spans="1:5" ht="15.75" x14ac:dyDescent="0.25">
      <c r="A61" s="20">
        <v>58</v>
      </c>
      <c r="B61" s="24" t="s">
        <v>351</v>
      </c>
      <c r="C61" s="22" t="s">
        <v>300</v>
      </c>
      <c r="D61" s="24">
        <v>1</v>
      </c>
      <c r="E61" s="27">
        <v>61600</v>
      </c>
    </row>
    <row r="62" spans="1:5" ht="15.75" x14ac:dyDescent="0.25">
      <c r="A62" s="20">
        <v>59</v>
      </c>
      <c r="B62" s="25" t="s">
        <v>352</v>
      </c>
      <c r="C62" s="22" t="s">
        <v>300</v>
      </c>
      <c r="D62" s="25">
        <v>1</v>
      </c>
      <c r="E62" s="27">
        <v>204960</v>
      </c>
    </row>
    <row r="63" spans="1:5" ht="15.75" x14ac:dyDescent="0.25">
      <c r="A63" s="20">
        <v>60</v>
      </c>
      <c r="B63" s="24" t="s">
        <v>353</v>
      </c>
      <c r="C63" s="22" t="s">
        <v>300</v>
      </c>
      <c r="D63" s="24">
        <v>1</v>
      </c>
      <c r="E63" s="27">
        <v>189840</v>
      </c>
    </row>
    <row r="64" spans="1:5" ht="15.75" x14ac:dyDescent="0.25">
      <c r="A64" s="20">
        <v>61</v>
      </c>
      <c r="B64" s="24" t="s">
        <v>354</v>
      </c>
      <c r="C64" s="22" t="s">
        <v>300</v>
      </c>
      <c r="D64" s="24">
        <v>1</v>
      </c>
      <c r="E64" s="27">
        <v>1176000</v>
      </c>
    </row>
    <row r="65" spans="1:5" ht="15.75" x14ac:dyDescent="0.25">
      <c r="A65" s="20">
        <v>62</v>
      </c>
      <c r="B65" s="24" t="s">
        <v>355</v>
      </c>
      <c r="C65" s="22" t="s">
        <v>300</v>
      </c>
      <c r="D65" s="24">
        <v>1</v>
      </c>
      <c r="E65" s="27">
        <v>140000</v>
      </c>
    </row>
    <row r="66" spans="1:5" ht="15.75" x14ac:dyDescent="0.25">
      <c r="A66" s="20">
        <v>63</v>
      </c>
      <c r="B66" s="24" t="s">
        <v>356</v>
      </c>
      <c r="C66" s="22" t="s">
        <v>300</v>
      </c>
      <c r="D66" s="24">
        <v>1</v>
      </c>
      <c r="E66" s="27">
        <v>1680000</v>
      </c>
    </row>
    <row r="67" spans="1:5" ht="15.75" x14ac:dyDescent="0.25">
      <c r="A67" s="20">
        <v>64</v>
      </c>
      <c r="B67" s="25" t="s">
        <v>357</v>
      </c>
      <c r="C67" s="25" t="s">
        <v>358</v>
      </c>
      <c r="D67" s="25">
        <v>1</v>
      </c>
      <c r="E67" s="27">
        <v>12099999</v>
      </c>
    </row>
    <row r="68" spans="1:5" ht="15.75" x14ac:dyDescent="0.25">
      <c r="A68" s="20">
        <v>65</v>
      </c>
      <c r="B68" s="25" t="s">
        <v>359</v>
      </c>
      <c r="C68" s="25" t="s">
        <v>358</v>
      </c>
      <c r="D68" s="25">
        <v>1</v>
      </c>
      <c r="E68" s="27">
        <v>1600000</v>
      </c>
    </row>
    <row r="69" spans="1:5" ht="15.75" x14ac:dyDescent="0.25">
      <c r="A69" s="20">
        <v>66</v>
      </c>
      <c r="B69" s="25" t="s">
        <v>360</v>
      </c>
      <c r="C69" s="25" t="s">
        <v>361</v>
      </c>
      <c r="D69" s="26" t="s">
        <v>362</v>
      </c>
      <c r="E69" s="27">
        <v>14879999</v>
      </c>
    </row>
    <row r="70" spans="1:5" ht="15.75" x14ac:dyDescent="0.25">
      <c r="A70" s="20">
        <v>66</v>
      </c>
      <c r="B70" s="24" t="s">
        <v>363</v>
      </c>
      <c r="C70" s="22" t="s">
        <v>364</v>
      </c>
      <c r="D70" s="26" t="s">
        <v>362</v>
      </c>
      <c r="E70" s="27">
        <v>34536907</v>
      </c>
    </row>
    <row r="71" spans="1:5" ht="15.75" x14ac:dyDescent="0.25">
      <c r="A71" s="20">
        <v>67</v>
      </c>
      <c r="B71" s="24" t="s">
        <v>365</v>
      </c>
      <c r="C71" s="22" t="s">
        <v>366</v>
      </c>
      <c r="D71" s="26" t="s">
        <v>362</v>
      </c>
      <c r="E71" s="27">
        <v>15473228</v>
      </c>
    </row>
    <row r="72" spans="1:5" x14ac:dyDescent="0.25">
      <c r="A72" s="52"/>
      <c r="B72" s="34" t="s">
        <v>11</v>
      </c>
      <c r="C72" s="52"/>
      <c r="D72" s="52"/>
      <c r="E72" s="85">
        <f>SUM(E4:E71)</f>
        <v>109927373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Assumptions</vt:lpstr>
      <vt:lpstr>Project Cost</vt:lpstr>
      <vt:lpstr>Project Details</vt:lpstr>
      <vt:lpstr>Proj P&amp;L</vt:lpstr>
      <vt:lpstr>BS Proj.</vt:lpstr>
      <vt:lpstr>Dep</vt:lpstr>
      <vt:lpstr>Bank Interest</vt:lpstr>
      <vt:lpstr>Furniture and Fixtures</vt:lpstr>
      <vt:lpstr>Plant &amp; Machinery</vt:lpstr>
      <vt:lpstr>Sheet2</vt:lpstr>
      <vt:lpstr>WC GAP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2023-02-24T11:45:10Z</dcterms:modified>
</cp:coreProperties>
</file>