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G:\DATAm Since 01-12-2021\Delhi NCR\Gurugram\VIS(2022-23)-PL627-518-860\Report &amp; Working\"/>
    </mc:Choice>
  </mc:AlternateContent>
  <xr:revisionPtr revIDLastSave="0" documentId="13_ncr:1_{B8874A34-0AA9-4852-B456-AF0D0CCEE5D7}" xr6:coauthVersionLast="47" xr6:coauthVersionMax="47" xr10:uidLastSave="{00000000-0000-0000-0000-000000000000}"/>
  <bookViews>
    <workbookView showVerticalScroll="0" xWindow="-120" yWindow="-120" windowWidth="21840" windowHeight="13140" xr2:uid="{00000000-000D-0000-FFFF-FFFF00000000}"/>
  </bookViews>
  <sheets>
    <sheet name="Building Valuation" sheetId="1" r:id="rId1"/>
    <sheet name="Building Area Details" sheetId="3" r:id="rId2"/>
    <sheet name="Land" sheetId="2" r:id="rId3"/>
    <sheet name="Sheet1" sheetId="4" r:id="rId4"/>
  </sheets>
  <definedNames>
    <definedName name="_xlnm.Print_Area" localSheetId="0">'Building Valuation'!$B$1:$U$10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E15" i="1"/>
  <c r="E13" i="1"/>
  <c r="J19" i="1"/>
  <c r="M15" i="1"/>
  <c r="W19" i="1"/>
  <c r="W18" i="1"/>
  <c r="W17" i="1"/>
  <c r="U18" i="1"/>
  <c r="U17" i="1"/>
  <c r="U14" i="1"/>
  <c r="U13" i="1"/>
  <c r="H6" i="3"/>
  <c r="H5" i="3"/>
  <c r="H4" i="3"/>
  <c r="F6" i="3"/>
  <c r="F5" i="3"/>
  <c r="F4" i="3"/>
  <c r="E6" i="3"/>
  <c r="E5" i="3"/>
  <c r="E4" i="3"/>
  <c r="F6" i="1"/>
  <c r="F5" i="1"/>
  <c r="F4" i="1"/>
  <c r="B2" i="1"/>
  <c r="B5" i="4"/>
  <c r="N17" i="2"/>
  <c r="M23" i="2"/>
  <c r="M22" i="2"/>
  <c r="M20" i="2"/>
  <c r="M17" i="2"/>
  <c r="E7" i="3" l="1"/>
  <c r="F7" i="3"/>
  <c r="F7" i="1"/>
  <c r="I22" i="2" l="1"/>
  <c r="F16" i="2"/>
  <c r="I16" i="2" s="1"/>
  <c r="G15" i="2"/>
  <c r="G17" i="2" s="1"/>
  <c r="E15" i="2"/>
  <c r="C15" i="2"/>
  <c r="F14" i="2"/>
  <c r="I14" i="2" s="1"/>
  <c r="F13" i="2"/>
  <c r="I13" i="2" s="1"/>
  <c r="F12" i="2"/>
  <c r="I12" i="2" s="1"/>
  <c r="F11" i="2"/>
  <c r="I11" i="2" s="1"/>
  <c r="F10" i="2"/>
  <c r="I10" i="2" s="1"/>
  <c r="F9" i="2"/>
  <c r="I9" i="2" s="1"/>
  <c r="C9" i="2"/>
  <c r="F8" i="2"/>
  <c r="I8" i="2" s="1"/>
  <c r="C8" i="2"/>
  <c r="E7" i="2"/>
  <c r="F7" i="2" s="1"/>
  <c r="I4" i="2"/>
  <c r="J3" i="2"/>
  <c r="K3" i="2" s="1"/>
  <c r="H7" i="1" l="1"/>
  <c r="I7" i="2"/>
  <c r="F15" i="2"/>
  <c r="I15" i="2" s="1"/>
  <c r="I17" i="2" s="1"/>
  <c r="K5" i="2" s="1"/>
  <c r="G5" i="1" l="1"/>
  <c r="G4" i="1"/>
  <c r="Q4" i="1" l="1"/>
  <c r="O6" i="1" l="1"/>
  <c r="L5" i="1"/>
  <c r="L6" i="1"/>
  <c r="Q5" i="1" l="1"/>
  <c r="O5" i="1"/>
  <c r="R5" i="1" l="1"/>
  <c r="S5" i="1" s="1"/>
  <c r="U5" i="1" l="1"/>
  <c r="V5" i="1" s="1"/>
  <c r="O4" i="1"/>
  <c r="L4" i="1" l="1"/>
  <c r="R4" i="1" s="1"/>
  <c r="S4" i="1" l="1"/>
  <c r="U4" i="1" l="1"/>
  <c r="G7" i="1"/>
  <c r="G13" i="1" s="1"/>
  <c r="V4" i="1" l="1"/>
  <c r="Q6" i="1"/>
  <c r="Q7" i="1" s="1"/>
  <c r="R6" i="1" l="1"/>
  <c r="S6" i="1" s="1"/>
  <c r="S7" i="1" s="1"/>
  <c r="U6" i="1" l="1"/>
  <c r="U7" i="1" s="1"/>
  <c r="V6" i="1" l="1"/>
</calcChain>
</file>

<file path=xl/sharedStrings.xml><?xml version="1.0" encoding="utf-8"?>
<sst xmlns="http://schemas.openxmlformats.org/spreadsheetml/2006/main" count="68" uniqueCount="53">
  <si>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</si>
  <si>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</si>
  <si>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</si>
  <si>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</si>
  <si>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</si>
  <si>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</si>
  <si>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</si>
  <si>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Discounting Factor</t>
  </si>
  <si>
    <t>Remarks:</t>
  </si>
  <si>
    <t>Unit</t>
  </si>
  <si>
    <t>LAND</t>
  </si>
  <si>
    <t xml:space="preserve">Ground Floor </t>
  </si>
  <si>
    <r>
      <t>Height (</t>
    </r>
    <r>
      <rPr>
        <b/>
        <i/>
        <sz val="10"/>
        <rFont val="Calibri"/>
        <family val="2"/>
        <scheme val="minor"/>
      </rPr>
      <t>in ft.)</t>
    </r>
  </si>
  <si>
    <t>permissible built up area(in sq. mtr.)</t>
  </si>
  <si>
    <t>Particular</t>
  </si>
  <si>
    <t xml:space="preserve">Permissible </t>
  </si>
  <si>
    <t>Proposed</t>
  </si>
  <si>
    <t xml:space="preserve">Plot area </t>
  </si>
  <si>
    <t>E-2364</t>
  </si>
  <si>
    <t>--</t>
  </si>
  <si>
    <t>First Floor</t>
  </si>
  <si>
    <t>Covered Area</t>
  </si>
  <si>
    <t>Second floor</t>
  </si>
  <si>
    <t xml:space="preserve">Basement area </t>
  </si>
  <si>
    <t xml:space="preserve">Total covered area </t>
  </si>
  <si>
    <t>Name</t>
  </si>
  <si>
    <t>Raj wanti Janghu</t>
  </si>
  <si>
    <t>Address</t>
  </si>
  <si>
    <t>Palam Vihar, Gurugram</t>
  </si>
  <si>
    <t>Approving Authority</t>
  </si>
  <si>
    <t>Building Plan Committee Controlled area, Gurugram</t>
  </si>
  <si>
    <t>Last paid Electricity Bill</t>
  </si>
  <si>
    <t xml:space="preserve"> RCC frame structure with  brick wall </t>
  </si>
  <si>
    <r>
      <t>2.</t>
    </r>
    <r>
      <rPr>
        <b/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</si>
  <si>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Premium</t>
  </si>
  <si>
    <t>Sr. No.</t>
  </si>
  <si>
    <r>
      <t xml:space="preserve">Area
</t>
    </r>
    <r>
      <rPr>
        <b/>
        <i/>
        <sz val="10"/>
        <rFont val="Calibri"/>
        <family val="2"/>
        <scheme val="minor"/>
      </rPr>
      <t>(in sq.mtr.)</t>
    </r>
  </si>
  <si>
    <r>
      <t xml:space="preserve">Area
</t>
    </r>
    <r>
      <rPr>
        <b/>
        <i/>
        <sz val="10"/>
        <rFont val="Calibri"/>
        <family val="2"/>
        <scheme val="minor"/>
      </rPr>
      <t>(in sq.ft.)</t>
    </r>
  </si>
  <si>
    <t>Depreciation</t>
  </si>
  <si>
    <t>Depreciated Value</t>
  </si>
  <si>
    <t>Depreciated Replacement Market Value</t>
  </si>
  <si>
    <t>Area
(in sq.mtr.)</t>
  </si>
  <si>
    <t>Area
(in sq.ft.)</t>
  </si>
  <si>
    <t>Height (in ft.)</t>
  </si>
  <si>
    <t>Total Life Consumed 
(in years)</t>
  </si>
  <si>
    <t>Total Economical Life
(in years)</t>
  </si>
  <si>
    <t>Plinth Area  Rate 
(in per sq.ft.)</t>
  </si>
  <si>
    <t>Market</t>
  </si>
  <si>
    <t>Guideline</t>
  </si>
  <si>
    <r>
      <t>3.</t>
    </r>
    <r>
      <rPr>
        <b/>
        <i/>
        <sz val="10"/>
        <color theme="1"/>
        <rFont val="Calibri"/>
        <family val="2"/>
        <scheme val="minor"/>
      </rPr>
      <t xml:space="preserve"> All the buildings are situated on both Plot No. 2918 P, Sector: 23-23 A, Gurugram, Haryana.</t>
    </r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</si>
  <si>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pertaing to the building area statement such as area, floor, etc has been taken as per the measurement during the site survey.</t>
    </r>
  </si>
  <si>
    <t xml:space="preserve"> RCC frame structure with brick wall </t>
  </si>
  <si>
    <t>Gross Current Replacement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</si>
</sst>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_ &quot;₹&quot;\ * #,##0.0000_ ;_ &quot;₹&quot;\ * \-#,##0.0000_ ;_ &quot;₹&quot;\ * &quot;-&quot;????_ ;_ @_ "/>
    <numFmt numFmtId="168" formatCode="_ * #,##0.0_ ;_ * \-#,##0.0_ ;_ * &quot;-&quot;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4" fontId="0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5" fillId="2" borderId="1" xfId="3" applyNumberFormat="1" applyFont="1" applyFill="1" applyBorder="1" applyAlignment="1">
      <alignment horizontal="center" vertical="center" wrapText="1"/>
    </xf>
    <xf numFmtId="164" fontId="0" fillId="0" borderId="0" xfId="3" applyNumberFormat="1" applyFont="1" applyAlignment="1">
      <alignment horizontal="center"/>
    </xf>
    <xf numFmtId="164" fontId="0" fillId="0" borderId="1" xfId="3" applyNumberFormat="1" applyFont="1" applyBorder="1" applyAlignment="1">
      <alignment horizontal="left" vertical="center"/>
    </xf>
    <xf numFmtId="0" fontId="0" fillId="0" borderId="1" xfId="0" applyBorder="1"/>
    <xf numFmtId="164" fontId="0" fillId="0" borderId="1" xfId="3" applyNumberFormat="1" applyFont="1" applyBorder="1" applyAlignment="1">
      <alignment horizontal="center" vertical="center"/>
    </xf>
    <xf numFmtId="43" fontId="0" fillId="0" borderId="0" xfId="0" applyNumberFormat="1"/>
    <xf numFmtId="0" fontId="0" fillId="0" borderId="0" xfId="0" applyAlignment="1">
      <alignment horizontal="center" vertical="center"/>
    </xf>
    <xf numFmtId="43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/>
    </xf>
    <xf numFmtId="43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wrapText="1"/>
    </xf>
    <xf numFmtId="43" fontId="0" fillId="0" borderId="0" xfId="3" applyFont="1"/>
    <xf numFmtId="0" fontId="9" fillId="4" borderId="1" xfId="0" applyFont="1" applyFill="1" applyBorder="1"/>
    <xf numFmtId="0" fontId="0" fillId="0" borderId="1" xfId="0" quotePrefix="1" applyBorder="1"/>
    <xf numFmtId="43" fontId="0" fillId="0" borderId="1" xfId="3" applyFont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167" fontId="0" fillId="0" borderId="0" xfId="0" applyNumberFormat="1"/>
    <xf numFmtId="164" fontId="2" fillId="0" borderId="1" xfId="3" applyNumberFormat="1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center" vertical="center"/>
    </xf>
    <xf numFmtId="44" fontId="0" fillId="0" borderId="0" xfId="0" applyNumberFormat="1" applyAlignment="1">
      <alignment horizontal="center"/>
    </xf>
    <xf numFmtId="166" fontId="0" fillId="0" borderId="0" xfId="1" applyNumberFormat="1" applyFont="1" applyAlignment="1">
      <alignment horizontal="center"/>
    </xf>
    <xf numFmtId="164" fontId="0" fillId="0" borderId="0" xfId="3" applyNumberFormat="1" applyFont="1"/>
    <xf numFmtId="164" fontId="0" fillId="0" borderId="0" xfId="3" applyNumberFormat="1" applyFont="1" applyBorder="1" applyAlignment="1">
      <alignment horizontal="center" vertical="center" wrapText="1"/>
    </xf>
    <xf numFmtId="43" fontId="0" fillId="0" borderId="0" xfId="3" applyFont="1" applyBorder="1" applyAlignment="1">
      <alignment horizontal="center" vertical="center" wrapText="1"/>
    </xf>
    <xf numFmtId="164" fontId="0" fillId="0" borderId="0" xfId="3" applyNumberFormat="1" applyFont="1" applyBorder="1" applyAlignment="1">
      <alignment horizontal="center" wrapText="1"/>
    </xf>
    <xf numFmtId="166" fontId="0" fillId="0" borderId="0" xfId="1" applyNumberFormat="1" applyFont="1"/>
    <xf numFmtId="168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center" vertical="center" wrapText="1"/>
    </xf>
    <xf numFmtId="166" fontId="2" fillId="0" borderId="0" xfId="1" applyNumberFormat="1" applyFont="1" applyAlignment="1">
      <alignment horizontal="center"/>
    </xf>
    <xf numFmtId="164" fontId="2" fillId="0" borderId="0" xfId="3" applyNumberFormat="1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43" fontId="0" fillId="0" borderId="0" xfId="3" applyNumberFormat="1" applyFont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29</xdr:row>
      <xdr:rowOff>0</xdr:rowOff>
    </xdr:from>
    <xdr:to>
      <xdr:col>17</xdr:col>
      <xdr:colOff>163981</xdr:colOff>
      <xdr:row>58</xdr:row>
      <xdr:rowOff>143666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5088" y="5334000"/>
          <a:ext cx="10717121" cy="566816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22"/>
  <sheetViews>
    <sheetView tabSelected="1" topLeftCell="A2" zoomScale="85" zoomScaleNormal="85" zoomScaleSheetLayoutView="85" workbookViewId="0">
      <selection activeCell="W6" sqref="W6"/>
    </sheetView>
  </sheetViews>
  <sheetFormatPr defaultRowHeight="15" x14ac:dyDescent="0.25"/>
  <cols>
    <col min="2" max="2" width="6.85546875" bestFit="1" customWidth="1"/>
    <col min="3" max="3" width="12.5703125" style="16" bestFit="1" customWidth="1"/>
    <col min="4" max="4" width="11" style="16" hidden="1" customWidth="1"/>
    <col min="5" max="5" width="19.5703125" style="16" customWidth="1"/>
    <col min="6" max="6" width="10.85546875" style="16" bestFit="1" customWidth="1"/>
    <col min="7" max="7" width="10" style="16" hidden="1" customWidth="1"/>
    <col min="8" max="8" width="9.140625" style="19" bestFit="1" customWidth="1"/>
    <col min="9" max="9" width="6.85546875" bestFit="1" customWidth="1"/>
    <col min="10" max="10" width="12.28515625" customWidth="1"/>
    <col min="11" max="11" width="11.7109375" hidden="1" customWidth="1"/>
    <col min="12" max="12" width="10.42578125" bestFit="1" customWidth="1"/>
    <col min="13" max="13" width="11" bestFit="1" customWidth="1"/>
    <col min="14" max="14" width="7.7109375" hidden="1" customWidth="1"/>
    <col min="15" max="15" width="16.28515625" hidden="1" customWidth="1"/>
    <col min="16" max="16" width="12.5703125" bestFit="1" customWidth="1"/>
    <col min="17" max="17" width="13.28515625" bestFit="1" customWidth="1"/>
    <col min="18" max="18" width="13.42578125" hidden="1" customWidth="1"/>
    <col min="19" max="19" width="16.140625" hidden="1" customWidth="1"/>
    <col min="20" max="20" width="14.28515625" hidden="1" customWidth="1"/>
    <col min="21" max="21" width="13.42578125" style="17" bestFit="1" customWidth="1"/>
    <col min="22" max="22" width="17" bestFit="1" customWidth="1"/>
    <col min="23" max="23" width="16.42578125" bestFit="1" customWidth="1"/>
    <col min="24" max="25" width="15.42578125" bestFit="1" customWidth="1"/>
  </cols>
  <sheetData>
    <row r="2" spans="2:25" ht="51.75" customHeight="1" x14ac:dyDescent="0.25">
      <c r="B2" s="52" t="str">
        <f>UPPER(("BUILDING VALUATION
property pertaining to Mr. L R singla s/o mr. mukund ram
PLOT NO. 2918 P, SECTOR: 23-23 A, GURUGRAM, HARYANA"))</f>
        <v>BUILDING VALUATION
PROPERTY PERTAINING TO MR. L R SINGLA S/O MR. MUKUND RAM
PLOT NO. 2918 P, SECTOR: 23-23 A, GURUGRAM, HARYANA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2:25" s="14" customFormat="1" ht="60" x14ac:dyDescent="0.25">
      <c r="B3" s="12" t="s">
        <v>35</v>
      </c>
      <c r="C3" s="13" t="s">
        <v>0</v>
      </c>
      <c r="D3" s="13" t="s">
        <v>9</v>
      </c>
      <c r="E3" s="13" t="s">
        <v>3</v>
      </c>
      <c r="F3" s="13" t="s">
        <v>41</v>
      </c>
      <c r="G3" s="13" t="s">
        <v>13</v>
      </c>
      <c r="H3" s="18" t="s">
        <v>42</v>
      </c>
      <c r="I3" s="13" t="s">
        <v>43</v>
      </c>
      <c r="J3" s="13" t="s">
        <v>1</v>
      </c>
      <c r="K3" s="13" t="s">
        <v>2</v>
      </c>
      <c r="L3" s="13" t="s">
        <v>44</v>
      </c>
      <c r="M3" s="13" t="s">
        <v>45</v>
      </c>
      <c r="N3" s="13" t="s">
        <v>4</v>
      </c>
      <c r="O3" s="13" t="s">
        <v>6</v>
      </c>
      <c r="P3" s="13" t="s">
        <v>46</v>
      </c>
      <c r="Q3" s="13" t="s">
        <v>52</v>
      </c>
      <c r="R3" s="13" t="s">
        <v>38</v>
      </c>
      <c r="S3" s="13" t="s">
        <v>39</v>
      </c>
      <c r="T3" s="13" t="s">
        <v>7</v>
      </c>
      <c r="U3" s="13" t="s">
        <v>40</v>
      </c>
    </row>
    <row r="4" spans="2:25" ht="37.5" customHeight="1" x14ac:dyDescent="0.25">
      <c r="B4" s="2">
        <v>1</v>
      </c>
      <c r="C4" s="15" t="s">
        <v>11</v>
      </c>
      <c r="D4" s="15"/>
      <c r="E4" s="15" t="s">
        <v>32</v>
      </c>
      <c r="F4" s="47">
        <f>H4/10.7639</f>
        <v>155.61274259329798</v>
      </c>
      <c r="G4" s="22">
        <f>H4/10.764</f>
        <v>155.61129691564474</v>
      </c>
      <c r="H4" s="22">
        <v>1675</v>
      </c>
      <c r="I4" s="9">
        <v>12</v>
      </c>
      <c r="J4" s="2">
        <v>2001</v>
      </c>
      <c r="K4" s="2">
        <v>2022</v>
      </c>
      <c r="L4" s="2">
        <f>K4-J4</f>
        <v>21</v>
      </c>
      <c r="M4" s="2">
        <v>60</v>
      </c>
      <c r="N4" s="3">
        <v>0.1</v>
      </c>
      <c r="O4" s="4">
        <f>(1-N4)/M4</f>
        <v>1.5000000000000001E-2</v>
      </c>
      <c r="P4" s="5">
        <v>1500</v>
      </c>
      <c r="Q4" s="5">
        <f>P4*H4</f>
        <v>2512500</v>
      </c>
      <c r="R4" s="5">
        <f t="shared" ref="R4" si="0">Q4*O4*L4</f>
        <v>791437.5</v>
      </c>
      <c r="S4" s="5">
        <f t="shared" ref="S4" si="1">MAX(Q4-R4,0)</f>
        <v>1721062.5</v>
      </c>
      <c r="T4" s="10">
        <v>0</v>
      </c>
      <c r="U4" s="5">
        <f t="shared" ref="U4:U6" si="2">IF(S4&gt;N4*Q4,S4*(1-T4),Q4*N4)</f>
        <v>1721062.5</v>
      </c>
      <c r="V4" s="11">
        <f>U4/H4</f>
        <v>1027.5</v>
      </c>
      <c r="W4" s="1"/>
      <c r="X4" s="1"/>
    </row>
    <row r="5" spans="2:25" ht="37.5" customHeight="1" x14ac:dyDescent="0.25">
      <c r="B5" s="2">
        <v>2</v>
      </c>
      <c r="C5" s="15" t="s">
        <v>20</v>
      </c>
      <c r="D5" s="15"/>
      <c r="E5" s="15" t="s">
        <v>32</v>
      </c>
      <c r="F5" s="47">
        <f t="shared" ref="F5:F6" si="3">H5/10.7639</f>
        <v>155.61274259329798</v>
      </c>
      <c r="G5" s="22">
        <f t="shared" ref="G5" si="4">H5/10.764</f>
        <v>155.61129691564474</v>
      </c>
      <c r="H5" s="22">
        <v>1675</v>
      </c>
      <c r="I5" s="9">
        <v>12</v>
      </c>
      <c r="J5" s="2">
        <v>2006</v>
      </c>
      <c r="K5" s="2">
        <v>2022</v>
      </c>
      <c r="L5" s="2">
        <f>K5-J5</f>
        <v>16</v>
      </c>
      <c r="M5" s="2">
        <v>60</v>
      </c>
      <c r="N5" s="3">
        <v>0.1</v>
      </c>
      <c r="O5" s="4">
        <f>(1-N5)/M5</f>
        <v>1.5000000000000001E-2</v>
      </c>
      <c r="P5" s="5">
        <v>1500</v>
      </c>
      <c r="Q5" s="5">
        <f>P5*H5</f>
        <v>2512500</v>
      </c>
      <c r="R5" s="5">
        <f>Q5*O5*L5</f>
        <v>603000</v>
      </c>
      <c r="S5" s="5">
        <f>MAX(Q5-R5,0)</f>
        <v>1909500</v>
      </c>
      <c r="T5" s="10">
        <v>0</v>
      </c>
      <c r="U5" s="5">
        <f t="shared" si="2"/>
        <v>1909500</v>
      </c>
      <c r="V5" s="11">
        <f t="shared" ref="V5:V6" si="5">U5/H5</f>
        <v>1140</v>
      </c>
      <c r="W5" s="1"/>
      <c r="X5" s="1"/>
    </row>
    <row r="6" spans="2:25" ht="37.5" customHeight="1" x14ac:dyDescent="0.25">
      <c r="B6" s="2">
        <v>3</v>
      </c>
      <c r="C6" s="15" t="s">
        <v>22</v>
      </c>
      <c r="D6" s="15"/>
      <c r="E6" s="15" t="s">
        <v>32</v>
      </c>
      <c r="F6" s="47">
        <f t="shared" si="3"/>
        <v>65.217997194325477</v>
      </c>
      <c r="G6" s="22">
        <v>1200</v>
      </c>
      <c r="H6" s="22">
        <v>702</v>
      </c>
      <c r="I6" s="9">
        <v>12</v>
      </c>
      <c r="J6" s="2">
        <v>2012</v>
      </c>
      <c r="K6" s="2">
        <v>2022</v>
      </c>
      <c r="L6" s="2">
        <f>K6-J6</f>
        <v>10</v>
      </c>
      <c r="M6" s="2">
        <v>60</v>
      </c>
      <c r="N6" s="3">
        <v>0.1</v>
      </c>
      <c r="O6" s="4">
        <f>(1-N6)/M6</f>
        <v>1.5000000000000001E-2</v>
      </c>
      <c r="P6" s="5">
        <v>1500</v>
      </c>
      <c r="Q6" s="5">
        <f>P6*H6</f>
        <v>1053000</v>
      </c>
      <c r="R6" s="5">
        <f>Q6*O6*L6</f>
        <v>157950.00000000003</v>
      </c>
      <c r="S6" s="5">
        <f>MAX(Q6-R6,0)</f>
        <v>895050</v>
      </c>
      <c r="T6" s="10">
        <v>0</v>
      </c>
      <c r="U6" s="5">
        <f t="shared" si="2"/>
        <v>895050</v>
      </c>
      <c r="V6" s="11">
        <f t="shared" si="5"/>
        <v>1275</v>
      </c>
      <c r="W6" s="1"/>
      <c r="X6" s="1"/>
    </row>
    <row r="7" spans="2:25" x14ac:dyDescent="0.25">
      <c r="B7" s="55" t="s">
        <v>5</v>
      </c>
      <c r="C7" s="56"/>
      <c r="D7" s="56"/>
      <c r="E7" s="57"/>
      <c r="F7" s="38">
        <f>SUM(F4:F6)</f>
        <v>376.44348238092141</v>
      </c>
      <c r="G7" s="20">
        <f>SUM(G4:G6)</f>
        <v>1511.2225938312895</v>
      </c>
      <c r="H7" s="37">
        <f>SUM(H4:H6)</f>
        <v>4052</v>
      </c>
      <c r="I7" s="8"/>
      <c r="J7" s="58"/>
      <c r="K7" s="58"/>
      <c r="L7" s="58"/>
      <c r="M7" s="58"/>
      <c r="N7" s="58"/>
      <c r="O7" s="58"/>
      <c r="P7" s="58"/>
      <c r="Q7" s="6">
        <f>SUM(Q4:Q6)</f>
        <v>6078000</v>
      </c>
      <c r="R7" s="6"/>
      <c r="S7" s="6">
        <f>SUM(S4:S6)</f>
        <v>4525612.5</v>
      </c>
      <c r="T7" s="6"/>
      <c r="U7" s="6">
        <f>SUM(U4:U6)</f>
        <v>4525612.5</v>
      </c>
      <c r="V7" s="11"/>
    </row>
    <row r="8" spans="2:25" x14ac:dyDescent="0.25">
      <c r="B8" s="51" t="s">
        <v>8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11"/>
    </row>
    <row r="9" spans="2:25" x14ac:dyDescent="0.25">
      <c r="B9" s="59" t="s">
        <v>50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11"/>
    </row>
    <row r="10" spans="2:25" x14ac:dyDescent="0.25">
      <c r="B10" s="51" t="s">
        <v>33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11"/>
      <c r="W10" s="36"/>
      <c r="Y10" s="41"/>
    </row>
    <row r="11" spans="2:25" x14ac:dyDescent="0.25">
      <c r="B11" s="51" t="s">
        <v>49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11"/>
      <c r="Y11" s="1"/>
    </row>
    <row r="12" spans="2:25" x14ac:dyDescent="0.25">
      <c r="U12" s="39"/>
      <c r="V12" s="11"/>
      <c r="Y12" s="41"/>
    </row>
    <row r="13" spans="2:25" x14ac:dyDescent="0.25">
      <c r="E13" s="19">
        <f>H7*1300</f>
        <v>5267600</v>
      </c>
      <c r="G13" s="29">
        <f>G7-G6</f>
        <v>311.22259383128949</v>
      </c>
      <c r="U13" s="40">
        <f>361.79*135000</f>
        <v>48841650</v>
      </c>
      <c r="V13" s="11"/>
      <c r="Y13" s="23"/>
    </row>
    <row r="14" spans="2:25" x14ac:dyDescent="0.25">
      <c r="C14" s="26"/>
      <c r="D14" s="42"/>
      <c r="E14" s="19">
        <v>14471600</v>
      </c>
      <c r="G14" s="24"/>
      <c r="S14" t="s">
        <v>34</v>
      </c>
      <c r="U14" s="49">
        <f>U13+U7</f>
        <v>53367262.5</v>
      </c>
    </row>
    <row r="15" spans="2:25" x14ac:dyDescent="0.25">
      <c r="C15" s="26"/>
      <c r="D15" s="27"/>
      <c r="E15" s="50">
        <f>SUM(E13:E14)</f>
        <v>19739200</v>
      </c>
      <c r="G15" s="24"/>
      <c r="M15">
        <f>135000/9</f>
        <v>15000</v>
      </c>
      <c r="U15" s="40"/>
      <c r="W15" s="41">
        <v>6000000</v>
      </c>
      <c r="X15" s="41"/>
    </row>
    <row r="16" spans="2:25" ht="15" customHeight="1" x14ac:dyDescent="0.25">
      <c r="C16" s="28"/>
      <c r="D16" s="43"/>
      <c r="E16" s="35"/>
      <c r="F16" s="24"/>
      <c r="G16" s="24"/>
      <c r="U16" s="49">
        <v>53400000</v>
      </c>
      <c r="W16">
        <v>6.9</v>
      </c>
      <c r="X16" s="41"/>
    </row>
    <row r="17" spans="4:25" x14ac:dyDescent="0.25">
      <c r="D17" s="44"/>
      <c r="E17" s="35"/>
      <c r="F17" s="24"/>
      <c r="G17" s="24"/>
      <c r="J17">
        <v>40000</v>
      </c>
      <c r="U17" s="40">
        <f>U16*0.85</f>
        <v>45390000</v>
      </c>
      <c r="W17" s="1">
        <f>W16*W15</f>
        <v>41400000</v>
      </c>
      <c r="X17" s="41"/>
      <c r="Y17" s="41"/>
    </row>
    <row r="18" spans="4:25" x14ac:dyDescent="0.25">
      <c r="G18" s="25"/>
      <c r="J18">
        <v>361.79</v>
      </c>
      <c r="U18" s="40">
        <f>U16*0.75</f>
        <v>40050000</v>
      </c>
      <c r="W18" s="1">
        <f>W17*0.85</f>
        <v>35190000</v>
      </c>
      <c r="X18" s="41"/>
      <c r="Y18" s="46"/>
    </row>
    <row r="19" spans="4:25" x14ac:dyDescent="0.25">
      <c r="J19">
        <f>J17*J18</f>
        <v>14471600</v>
      </c>
      <c r="U19" s="45"/>
      <c r="W19" s="1">
        <f>W17*0.75</f>
        <v>31050000</v>
      </c>
      <c r="X19" s="23"/>
      <c r="Y19" s="23"/>
    </row>
    <row r="21" spans="4:25" x14ac:dyDescent="0.25">
      <c r="H21" s="19">
        <v>3256.0828999999999</v>
      </c>
      <c r="J21">
        <v>1675</v>
      </c>
    </row>
    <row r="22" spans="4:25" x14ac:dyDescent="0.25">
      <c r="H22" s="61">
        <f>H21/H7</f>
        <v>0.80357425962487661</v>
      </c>
      <c r="J22" s="23">
        <f>J21/H7</f>
        <v>0.41337611056268508</v>
      </c>
    </row>
  </sheetData>
  <mergeCells count="7">
    <mergeCell ref="B11:U11"/>
    <mergeCell ref="B10:U10"/>
    <mergeCell ref="B2:U2"/>
    <mergeCell ref="B7:E7"/>
    <mergeCell ref="J7:P7"/>
    <mergeCell ref="B9:U9"/>
    <mergeCell ref="B8:U8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7"/>
  <sheetViews>
    <sheetView workbookViewId="0">
      <selection activeCell="B3" sqref="B3:H7"/>
    </sheetView>
  </sheetViews>
  <sheetFormatPr defaultRowHeight="15" x14ac:dyDescent="0.25"/>
  <cols>
    <col min="2" max="2" width="6.85546875" bestFit="1" customWidth="1"/>
    <col min="3" max="3" width="14.7109375" style="16" bestFit="1" customWidth="1"/>
    <col min="4" max="4" width="23.85546875" style="16" bestFit="1" customWidth="1"/>
    <col min="5" max="5" width="9.7109375" style="16" bestFit="1" customWidth="1"/>
    <col min="6" max="6" width="9.140625" style="19" bestFit="1" customWidth="1"/>
    <col min="7" max="7" width="7.140625" bestFit="1" customWidth="1"/>
    <col min="8" max="8" width="12.28515625" bestFit="1" customWidth="1"/>
  </cols>
  <sheetData>
    <row r="3" spans="2:8" s="14" customFormat="1" ht="30" x14ac:dyDescent="0.25">
      <c r="B3" s="12" t="s">
        <v>35</v>
      </c>
      <c r="C3" s="13" t="s">
        <v>0</v>
      </c>
      <c r="D3" s="13" t="s">
        <v>3</v>
      </c>
      <c r="E3" s="13" t="s">
        <v>36</v>
      </c>
      <c r="F3" s="48" t="s">
        <v>37</v>
      </c>
      <c r="G3" s="13" t="s">
        <v>12</v>
      </c>
      <c r="H3" s="13" t="s">
        <v>1</v>
      </c>
    </row>
    <row r="4" spans="2:8" ht="30" x14ac:dyDescent="0.25">
      <c r="B4" s="2">
        <v>1</v>
      </c>
      <c r="C4" s="2" t="s">
        <v>11</v>
      </c>
      <c r="D4" s="15" t="s">
        <v>51</v>
      </c>
      <c r="E4" s="47">
        <f>'Building Valuation'!F4</f>
        <v>155.61274259329798</v>
      </c>
      <c r="F4" s="22">
        <f>'Building Valuation'!H4</f>
        <v>1675</v>
      </c>
      <c r="G4" s="9">
        <v>12</v>
      </c>
      <c r="H4" s="2">
        <f>'Building Valuation'!J4</f>
        <v>2001</v>
      </c>
    </row>
    <row r="5" spans="2:8" ht="30" x14ac:dyDescent="0.25">
      <c r="B5" s="2">
        <v>2</v>
      </c>
      <c r="C5" s="2" t="s">
        <v>20</v>
      </c>
      <c r="D5" s="15" t="s">
        <v>51</v>
      </c>
      <c r="E5" s="47">
        <f>'Building Valuation'!F5</f>
        <v>155.61274259329798</v>
      </c>
      <c r="F5" s="22">
        <f>'Building Valuation'!H5</f>
        <v>1675</v>
      </c>
      <c r="G5" s="9">
        <v>12</v>
      </c>
      <c r="H5" s="2">
        <f>'Building Valuation'!J5</f>
        <v>2006</v>
      </c>
    </row>
    <row r="6" spans="2:8" ht="30" x14ac:dyDescent="0.25">
      <c r="B6" s="2">
        <v>3</v>
      </c>
      <c r="C6" s="2" t="s">
        <v>22</v>
      </c>
      <c r="D6" s="15" t="s">
        <v>51</v>
      </c>
      <c r="E6" s="47">
        <f>'Building Valuation'!F6</f>
        <v>65.217997194325477</v>
      </c>
      <c r="F6" s="22">
        <f>'Building Valuation'!H6</f>
        <v>702</v>
      </c>
      <c r="G6" s="9">
        <v>12</v>
      </c>
      <c r="H6" s="2">
        <f>'Building Valuation'!J6</f>
        <v>2012</v>
      </c>
    </row>
    <row r="7" spans="2:8" x14ac:dyDescent="0.25">
      <c r="B7" s="55" t="s">
        <v>5</v>
      </c>
      <c r="C7" s="56"/>
      <c r="D7" s="57"/>
      <c r="E7" s="38">
        <f>SUM(E4:E6)</f>
        <v>376.44348238092141</v>
      </c>
      <c r="F7" s="37">
        <f>SUM(F4:F6)</f>
        <v>4052</v>
      </c>
      <c r="G7" s="8"/>
      <c r="H7" s="8"/>
    </row>
  </sheetData>
  <mergeCells count="1">
    <mergeCell ref="B7:D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N25"/>
  <sheetViews>
    <sheetView zoomScaleNormal="100" workbookViewId="0">
      <selection activeCell="M20" sqref="M20"/>
    </sheetView>
  </sheetViews>
  <sheetFormatPr defaultRowHeight="15" x14ac:dyDescent="0.25"/>
  <cols>
    <col min="3" max="3" width="24.28515625" bestFit="1" customWidth="1"/>
    <col min="4" max="4" width="25.7109375" customWidth="1"/>
    <col min="5" max="5" width="11.85546875" bestFit="1" customWidth="1"/>
    <col min="9" max="9" width="14.28515625" bestFit="1" customWidth="1"/>
    <col min="10" max="10" width="12.5703125" hidden="1" customWidth="1"/>
    <col min="11" max="11" width="15.28515625" bestFit="1" customWidth="1"/>
    <col min="13" max="13" width="14.28515625" bestFit="1" customWidth="1"/>
    <col min="14" max="14" width="13.28515625" bestFit="1" customWidth="1"/>
  </cols>
  <sheetData>
    <row r="3" spans="3:14" x14ac:dyDescent="0.25">
      <c r="H3">
        <v>672.32</v>
      </c>
      <c r="I3">
        <v>13500</v>
      </c>
      <c r="J3" s="30">
        <f>I3*H3</f>
        <v>9076320</v>
      </c>
      <c r="K3" s="30">
        <f>J3*9</f>
        <v>81686880</v>
      </c>
    </row>
    <row r="4" spans="3:14" x14ac:dyDescent="0.25">
      <c r="I4">
        <f>I3*9</f>
        <v>121500</v>
      </c>
    </row>
    <row r="5" spans="3:14" x14ac:dyDescent="0.25">
      <c r="K5" s="23">
        <f>K3+I17</f>
        <v>108021116.5587</v>
      </c>
    </row>
    <row r="6" spans="3:14" x14ac:dyDescent="0.25">
      <c r="C6" s="31" t="s">
        <v>14</v>
      </c>
      <c r="D6" s="31"/>
      <c r="E6" s="31" t="s">
        <v>15</v>
      </c>
      <c r="F6" s="31"/>
      <c r="G6" s="31" t="s">
        <v>16</v>
      </c>
      <c r="H6" s="21"/>
      <c r="I6" s="21"/>
    </row>
    <row r="7" spans="3:14" x14ac:dyDescent="0.25">
      <c r="C7" s="21" t="s">
        <v>17</v>
      </c>
      <c r="D7" s="21" t="s">
        <v>18</v>
      </c>
      <c r="E7" s="21">
        <f>16.808*40</f>
        <v>672.31999999999994</v>
      </c>
      <c r="F7" s="32">
        <f>E7*1.1959</f>
        <v>804.02748799999995</v>
      </c>
      <c r="G7" s="32" t="s">
        <v>19</v>
      </c>
      <c r="H7" s="21"/>
      <c r="I7" s="21">
        <f>F7*H7</f>
        <v>0</v>
      </c>
    </row>
    <row r="8" spans="3:14" x14ac:dyDescent="0.25">
      <c r="C8" s="21" t="str">
        <f>PROPER(" COVERED AREA")</f>
        <v xml:space="preserve"> Covered Area</v>
      </c>
      <c r="D8" s="21" t="s">
        <v>11</v>
      </c>
      <c r="E8" s="21">
        <v>302.81200000000001</v>
      </c>
      <c r="F8" s="21">
        <f t="shared" ref="F8:F16" si="0">G8*10.7639</f>
        <v>3259.3196838999997</v>
      </c>
      <c r="G8" s="21">
        <v>302.80099999999999</v>
      </c>
      <c r="H8" s="21">
        <v>1600</v>
      </c>
      <c r="I8" s="33">
        <f t="shared" ref="I8:I16" si="1">H8*F8</f>
        <v>5214911.4942399999</v>
      </c>
    </row>
    <row r="9" spans="3:14" x14ac:dyDescent="0.25">
      <c r="C9" s="21" t="str">
        <f>PROPER("COVERED AREA")</f>
        <v>Covered Area</v>
      </c>
      <c r="D9" s="21" t="s">
        <v>20</v>
      </c>
      <c r="E9" s="21">
        <v>258.08</v>
      </c>
      <c r="F9" s="21">
        <f t="shared" si="0"/>
        <v>2772.0486947999998</v>
      </c>
      <c r="G9" s="21">
        <v>257.53199999999998</v>
      </c>
      <c r="H9" s="21">
        <v>1600</v>
      </c>
      <c r="I9" s="33">
        <f t="shared" si="1"/>
        <v>4435277.9116799999</v>
      </c>
      <c r="M9" s="60" t="s">
        <v>10</v>
      </c>
      <c r="N9" s="60"/>
    </row>
    <row r="10" spans="3:14" x14ac:dyDescent="0.25">
      <c r="C10" s="21" t="s">
        <v>21</v>
      </c>
      <c r="D10" s="21" t="s">
        <v>22</v>
      </c>
      <c r="E10" s="21">
        <v>149.57300000000001</v>
      </c>
      <c r="F10" s="21">
        <f t="shared" si="0"/>
        <v>1609.6766616</v>
      </c>
      <c r="G10" s="21">
        <v>149.54400000000001</v>
      </c>
      <c r="H10" s="21">
        <v>1400</v>
      </c>
      <c r="I10" s="33">
        <f t="shared" si="1"/>
        <v>2253547.3262399998</v>
      </c>
      <c r="M10" t="s">
        <v>47</v>
      </c>
      <c r="N10" t="s">
        <v>48</v>
      </c>
    </row>
    <row r="11" spans="3:14" hidden="1" x14ac:dyDescent="0.25">
      <c r="C11" s="21"/>
      <c r="D11" s="21"/>
      <c r="E11" s="21">
        <v>303.05</v>
      </c>
      <c r="F11" s="21">
        <f t="shared" si="0"/>
        <v>0</v>
      </c>
      <c r="G11" s="21"/>
      <c r="H11" s="21">
        <v>1500</v>
      </c>
      <c r="I11" s="33">
        <f t="shared" si="1"/>
        <v>0</v>
      </c>
    </row>
    <row r="12" spans="3:14" hidden="1" x14ac:dyDescent="0.25">
      <c r="C12" s="21"/>
      <c r="D12" s="21"/>
      <c r="E12" s="21">
        <v>91</v>
      </c>
      <c r="F12" s="21">
        <f t="shared" si="0"/>
        <v>0</v>
      </c>
      <c r="G12" s="21"/>
      <c r="H12" s="21">
        <v>1500</v>
      </c>
      <c r="I12" s="33">
        <f t="shared" si="1"/>
        <v>0</v>
      </c>
    </row>
    <row r="13" spans="3:14" hidden="1" x14ac:dyDescent="0.25">
      <c r="C13" s="21"/>
      <c r="D13" s="21"/>
      <c r="E13" s="21">
        <v>114</v>
      </c>
      <c r="F13" s="21">
        <f t="shared" si="0"/>
        <v>0</v>
      </c>
      <c r="G13" s="21"/>
      <c r="H13" s="21">
        <v>1500</v>
      </c>
      <c r="I13" s="33">
        <f t="shared" si="1"/>
        <v>0</v>
      </c>
    </row>
    <row r="14" spans="3:14" hidden="1" x14ac:dyDescent="0.25">
      <c r="C14" s="21"/>
      <c r="D14" s="21"/>
      <c r="E14" s="21">
        <v>201.85599999999999</v>
      </c>
      <c r="F14" s="21">
        <f t="shared" si="0"/>
        <v>0</v>
      </c>
      <c r="G14" s="21"/>
      <c r="H14" s="21">
        <v>1500</v>
      </c>
      <c r="I14" s="33">
        <f t="shared" si="1"/>
        <v>0</v>
      </c>
    </row>
    <row r="15" spans="3:14" x14ac:dyDescent="0.25">
      <c r="C15" s="21" t="str">
        <f>UPPER("FAR")</f>
        <v>FAR</v>
      </c>
      <c r="D15" s="21"/>
      <c r="E15" s="21">
        <f>SUM(E11:E14)</f>
        <v>709.90599999999995</v>
      </c>
      <c r="F15" s="21">
        <f t="shared" si="0"/>
        <v>7641.0450402999995</v>
      </c>
      <c r="G15" s="21">
        <f>SUM(G8:G14)</f>
        <v>709.87699999999995</v>
      </c>
      <c r="H15" s="21">
        <v>1400</v>
      </c>
      <c r="I15" s="33">
        <f t="shared" si="1"/>
        <v>10697463.056419998</v>
      </c>
      <c r="M15">
        <v>804.1</v>
      </c>
      <c r="N15">
        <v>804.1</v>
      </c>
    </row>
    <row r="16" spans="3:14" x14ac:dyDescent="0.25">
      <c r="C16" s="21" t="s">
        <v>23</v>
      </c>
      <c r="D16" s="21"/>
      <c r="E16" s="21"/>
      <c r="F16" s="21">
        <f t="shared" si="0"/>
        <v>3110.8639751000001</v>
      </c>
      <c r="G16" s="21">
        <v>289.00900000000001</v>
      </c>
      <c r="H16" s="21">
        <v>1200</v>
      </c>
      <c r="I16" s="33">
        <f t="shared" si="1"/>
        <v>3733036.77012</v>
      </c>
      <c r="M16" s="45">
        <v>120000</v>
      </c>
      <c r="N16" s="45">
        <v>42500</v>
      </c>
    </row>
    <row r="17" spans="3:14" x14ac:dyDescent="0.25">
      <c r="C17" s="21" t="s">
        <v>24</v>
      </c>
      <c r="D17" s="21"/>
      <c r="E17" s="21"/>
      <c r="F17" s="21"/>
      <c r="G17" s="21">
        <f>G16+G15</f>
        <v>998.88599999999997</v>
      </c>
      <c r="H17" s="21"/>
      <c r="I17" s="33">
        <f>SUM(I8:I16)</f>
        <v>26334236.558699995</v>
      </c>
      <c r="J17" s="30"/>
      <c r="M17" s="45">
        <f>M16*M15</f>
        <v>96492000</v>
      </c>
      <c r="N17" s="45">
        <f>N16*N15</f>
        <v>34174250</v>
      </c>
    </row>
    <row r="18" spans="3:14" x14ac:dyDescent="0.25">
      <c r="M18" s="45">
        <v>12598809</v>
      </c>
    </row>
    <row r="19" spans="3:14" x14ac:dyDescent="0.25">
      <c r="M19" s="45">
        <v>2450000</v>
      </c>
    </row>
    <row r="20" spans="3:14" x14ac:dyDescent="0.25">
      <c r="M20" s="7">
        <f>SUM(M17:M19)</f>
        <v>111540809</v>
      </c>
    </row>
    <row r="21" spans="3:14" x14ac:dyDescent="0.25">
      <c r="C21" t="s">
        <v>25</v>
      </c>
      <c r="D21" t="s">
        <v>26</v>
      </c>
      <c r="M21" s="7">
        <v>111500000</v>
      </c>
    </row>
    <row r="22" spans="3:14" ht="45" x14ac:dyDescent="0.25">
      <c r="C22" t="s">
        <v>27</v>
      </c>
      <c r="D22" t="s">
        <v>28</v>
      </c>
      <c r="I22" s="16" t="str">
        <f>CONCATENATE(D7,", ",D22)</f>
        <v>E-2364, Palam Vihar, Gurugram</v>
      </c>
      <c r="M22" s="7">
        <f>M21*0.85</f>
        <v>94775000</v>
      </c>
    </row>
    <row r="23" spans="3:14" ht="30" customHeight="1" x14ac:dyDescent="0.25">
      <c r="C23" t="s">
        <v>29</v>
      </c>
      <c r="D23" s="16" t="s">
        <v>30</v>
      </c>
      <c r="M23" s="7">
        <f>M21*0.75</f>
        <v>83625000</v>
      </c>
    </row>
    <row r="25" spans="3:14" x14ac:dyDescent="0.25">
      <c r="C25" t="s">
        <v>31</v>
      </c>
      <c r="D25" s="34">
        <v>44766</v>
      </c>
    </row>
  </sheetData>
  <mergeCells count="1">
    <mergeCell ref="M9:N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E2589-9AC8-414D-BD9B-47C3020E82FC}">
  <dimension ref="B3:B5"/>
  <sheetViews>
    <sheetView workbookViewId="0">
      <selection activeCell="D5" sqref="D5"/>
    </sheetView>
  </sheetViews>
  <sheetFormatPr defaultRowHeight="15" x14ac:dyDescent="0.25"/>
  <cols>
    <col min="2" max="2" width="14.28515625" bestFit="1" customWidth="1"/>
  </cols>
  <sheetData>
    <row r="3" spans="2:2" x14ac:dyDescent="0.25">
      <c r="B3" s="41">
        <v>120000</v>
      </c>
    </row>
    <row r="4" spans="2:2" x14ac:dyDescent="0.25">
      <c r="B4" s="41">
        <v>361.79</v>
      </c>
    </row>
    <row r="5" spans="2:2" x14ac:dyDescent="0.25">
      <c r="B5" s="41">
        <f>B4*B3</f>
        <v>43414800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Building Valuation</vt:lpstr>
      <vt:lpstr>Building Area Details</vt:lpstr>
      <vt:lpstr>Land</vt:lpstr>
      <vt:lpstr>Sheet1</vt:lpstr>
      <vt:lpstr>'Building Valuation'!Print_Area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Manas Upmanyu</cp:lastModifiedBy>
  <cp:lastPrinted>2022-01-07T08:12:53Z</cp:lastPrinted>
  <dcterms:created xsi:type="dcterms:W3CDTF">2021-09-16T11:33:35Z</dcterms:created>
  <dcterms:modified xsi:type="dcterms:W3CDTF">2023-02-07T10:42:38Z</dcterms:modified>
</cp:coreProperties>
</file>