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15" tabRatio="879" activeTab="2"/>
  </bookViews>
  <sheets>
    <sheet name="CA Certificate" sheetId="1" r:id="rId1"/>
    <sheet name="Cost Assessment" sheetId="3" r:id="rId2"/>
    <sheet name="Progress Calc." sheetId="4" r:id="rId3"/>
    <sheet name="Means of Finance" sheetId="5" r:id="rId4"/>
    <sheet name="Rough" sheetId="2" r:id="rId5"/>
    <sheet name="Project Schedule" sheetId="6" r:id="rId6"/>
  </sheets>
  <calcPr calcId="152511"/>
</workbook>
</file>

<file path=xl/calcChain.xml><?xml version="1.0" encoding="utf-8"?>
<calcChain xmlns="http://schemas.openxmlformats.org/spreadsheetml/2006/main">
  <c r="D26" i="3" l="1"/>
  <c r="E40" i="3"/>
  <c r="E13" i="5"/>
  <c r="G16" i="3"/>
  <c r="I15" i="3"/>
  <c r="I8" i="3"/>
  <c r="G8" i="3"/>
  <c r="G15" i="3"/>
  <c r="H15" i="3"/>
  <c r="H16" i="3" s="1"/>
  <c r="F15" i="3"/>
  <c r="F16" i="3" s="1"/>
  <c r="E15" i="3"/>
  <c r="H8" i="3"/>
  <c r="F8" i="3"/>
  <c r="E8" i="3"/>
  <c r="E16" i="3" s="1"/>
  <c r="D16" i="3"/>
  <c r="D15" i="3"/>
  <c r="D8" i="3"/>
  <c r="H5" i="1"/>
  <c r="F6" i="5" l="1"/>
  <c r="F7" i="5"/>
  <c r="F8" i="5"/>
  <c r="F9" i="5"/>
  <c r="F5" i="5"/>
  <c r="E10" i="5"/>
  <c r="F10" i="5" s="1"/>
  <c r="D10" i="5"/>
  <c r="H11" i="3"/>
  <c r="I11" i="3" s="1"/>
  <c r="H12" i="3"/>
  <c r="H13" i="3"/>
  <c r="I13" i="3" s="1"/>
  <c r="H14" i="3"/>
  <c r="H10" i="3"/>
  <c r="I10" i="3" s="1"/>
  <c r="G7" i="3"/>
  <c r="G10" i="3"/>
  <c r="G11" i="3"/>
  <c r="G12" i="3"/>
  <c r="G13" i="3"/>
  <c r="G14" i="3"/>
  <c r="G6" i="3"/>
  <c r="I6" i="3"/>
  <c r="I7" i="3"/>
  <c r="I12" i="3"/>
  <c r="I14" i="3"/>
  <c r="D33" i="4"/>
  <c r="D32" i="4"/>
  <c r="D31" i="4"/>
  <c r="D30" i="4"/>
  <c r="D29" i="4"/>
  <c r="D28" i="4"/>
  <c r="D27" i="4"/>
  <c r="D26" i="4"/>
  <c r="D25" i="4"/>
  <c r="E17" i="4"/>
  <c r="D17" i="4"/>
  <c r="C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D18" i="4" l="1"/>
  <c r="D24" i="3" s="1"/>
  <c r="D25" i="3" s="1"/>
  <c r="D27" i="3" s="1"/>
  <c r="H29" i="2"/>
  <c r="H30" i="2"/>
  <c r="F33" i="2"/>
  <c r="G33" i="2"/>
  <c r="I33" i="2" s="1"/>
  <c r="I34" i="2" s="1"/>
  <c r="I35" i="2" s="1"/>
  <c r="H33" i="2"/>
  <c r="E40" i="2" s="1"/>
  <c r="C36" i="2"/>
  <c r="C37" i="2" s="1"/>
  <c r="E36" i="2"/>
  <c r="E37" i="2" s="1"/>
  <c r="E38" i="2" s="1"/>
  <c r="G38" i="2"/>
  <c r="E43" i="2"/>
  <c r="E45" i="2" s="1"/>
  <c r="C45" i="2"/>
  <c r="D46" i="2"/>
  <c r="E46" i="2"/>
  <c r="J59" i="2"/>
  <c r="K59" i="2"/>
  <c r="K60" i="2"/>
  <c r="K61" i="2"/>
  <c r="J62" i="2"/>
  <c r="K62" i="2"/>
  <c r="I16" i="3" l="1"/>
  <c r="F45" i="2"/>
  <c r="D45" i="2"/>
  <c r="E47" i="2"/>
  <c r="D19" i="2"/>
  <c r="E19" i="2" s="1"/>
  <c r="F20" i="2" s="1"/>
  <c r="D20" i="2"/>
  <c r="D21" i="2" s="1"/>
  <c r="E16" i="2" l="1"/>
  <c r="E12" i="2"/>
  <c r="D9" i="2"/>
  <c r="C9" i="2" s="1"/>
  <c r="C16" i="2" s="1"/>
  <c r="D12" i="2"/>
  <c r="B12" i="2"/>
  <c r="B13" i="2" s="1"/>
  <c r="C10" i="2" s="1"/>
  <c r="D10" i="2" s="1"/>
  <c r="D11" i="2" s="1"/>
  <c r="B4" i="2"/>
  <c r="F7" i="1"/>
  <c r="D7" i="1"/>
  <c r="F6" i="1"/>
  <c r="F5" i="1"/>
  <c r="D4" i="1"/>
  <c r="E4" i="1" s="1"/>
  <c r="E7" i="1" s="1"/>
  <c r="C7" i="1"/>
  <c r="E13" i="2" l="1"/>
</calcChain>
</file>

<file path=xl/sharedStrings.xml><?xml version="1.0" encoding="utf-8"?>
<sst xmlns="http://schemas.openxmlformats.org/spreadsheetml/2006/main" count="165" uniqueCount="125">
  <si>
    <t>Land</t>
  </si>
  <si>
    <t>Construction of Building</t>
  </si>
  <si>
    <t>Pre-Operative and Preliminary expenses &amp; other Misc.</t>
  </si>
  <si>
    <t>Original</t>
  </si>
  <si>
    <t>Revised Cost of Project</t>
  </si>
  <si>
    <t>Escalation in Cost of Project</t>
  </si>
  <si>
    <t>Total</t>
  </si>
  <si>
    <t>Particulars</t>
  </si>
  <si>
    <t>(amount in Lakhs)</t>
  </si>
  <si>
    <t>covered area</t>
  </si>
  <si>
    <t>Cost of Construction</t>
  </si>
  <si>
    <t>External Development and other costs</t>
  </si>
  <si>
    <t>Common Areas</t>
  </si>
  <si>
    <t>Recreation Floors</t>
  </si>
  <si>
    <t>Cost of Land &amp; Land Development</t>
  </si>
  <si>
    <t>Cost of construction</t>
  </si>
  <si>
    <t>Legal Consultation &amp; Other Charges</t>
  </si>
  <si>
    <t>Costof Approvals</t>
  </si>
  <si>
    <t>Marketing Expenses &amp; Others</t>
  </si>
  <si>
    <t>Pre-Operative and preliminary expenses</t>
  </si>
  <si>
    <t>Bank Interest</t>
  </si>
  <si>
    <t>S. No.</t>
  </si>
  <si>
    <t>Revised Project Cost</t>
  </si>
  <si>
    <t>Sanctioned dated 31/8/2019</t>
  </si>
  <si>
    <t>A</t>
  </si>
  <si>
    <t>B</t>
  </si>
  <si>
    <t>C</t>
  </si>
  <si>
    <t>D</t>
  </si>
  <si>
    <t>E</t>
  </si>
  <si>
    <t>F</t>
  </si>
  <si>
    <t>G</t>
  </si>
  <si>
    <t>As per RKA</t>
  </si>
  <si>
    <t>As per CA 
Certificate</t>
  </si>
  <si>
    <t>Amount in Rs. Cr. till 13/12/2022</t>
  </si>
  <si>
    <t>Figure</t>
  </si>
  <si>
    <t>UOM</t>
  </si>
  <si>
    <t>Built-up area</t>
  </si>
  <si>
    <t>Lakh sq. ft.</t>
  </si>
  <si>
    <t>Construction Rate adopted</t>
  </si>
  <si>
    <t>Rs. Per sq. ft.</t>
  </si>
  <si>
    <t>% Completion (as estimated by us)</t>
  </si>
  <si>
    <t>Estimated Cost incurred as per RKA</t>
  </si>
  <si>
    <t>Rs. Lakhs</t>
  </si>
  <si>
    <t>Actual cost incurred as per CA certificate</t>
  </si>
  <si>
    <t>Different Parameters</t>
  </si>
  <si>
    <t>Tower-1</t>
  </si>
  <si>
    <t>Tower-2</t>
  </si>
  <si>
    <t>Cutting, Filling and Levelling</t>
  </si>
  <si>
    <t>Footings</t>
  </si>
  <si>
    <t>Slab Casting</t>
  </si>
  <si>
    <t>Common Staircase, lift and lobby etc.</t>
  </si>
  <si>
    <t>Brickwork</t>
  </si>
  <si>
    <t>Plaster</t>
  </si>
  <si>
    <t>Flooring</t>
  </si>
  <si>
    <t>MEP Services</t>
  </si>
  <si>
    <t>Door/ Window</t>
  </si>
  <si>
    <t>Finishing</t>
  </si>
  <si>
    <t>Completion status (in %)</t>
  </si>
  <si>
    <t>Average Completion Status (in %)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</si>
  <si>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</si>
  <si>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</si>
  <si>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</si>
  <si>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</si>
  <si>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</si>
  <si>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</si>
  <si>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</si>
  <si>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t>MEP Works (Mechanical, Electrical &amp; Plumbing)</t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</si>
  <si>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</si>
  <si>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</si>
  <si>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</si>
  <si>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</si>
  <si>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</si>
  <si>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5% of total cost  (i+ii+iii+iv+v+vi)           </t>
  </si>
  <si>
    <t>viii</t>
  </si>
  <si>
    <t>Marketing &amp; Selling charges @ 3% of Rs.2,800/- &amp; Rs.7,500/-</t>
  </si>
  <si>
    <t>ix</t>
  </si>
  <si>
    <t>Institutional Borrowing for 03 years @ 12.5% on 75% of total cost (i+ii+iii+iv+v+vi+vii+viii)</t>
  </si>
  <si>
    <t xml:space="preserve">Total </t>
  </si>
  <si>
    <t>HARD COST</t>
  </si>
  <si>
    <t>SOFT COST</t>
  </si>
  <si>
    <t xml:space="preserve">As on </t>
  </si>
  <si>
    <t>As on
13/12/22</t>
  </si>
  <si>
    <t>Capital</t>
  </si>
  <si>
    <t>Unsecured Loan</t>
  </si>
  <si>
    <t>Advance from Customers</t>
  </si>
  <si>
    <t>Term Loan</t>
  </si>
  <si>
    <t>Particular</t>
  </si>
  <si>
    <t>GECL-1 &amp; 2</t>
  </si>
  <si>
    <t>Balance</t>
  </si>
  <si>
    <t>Present position as on 31-12-2022</t>
  </si>
  <si>
    <t>CURRENT STATE OF INVESTMENT UP TO 31/12/22</t>
  </si>
  <si>
    <t>Task Name</t>
  </si>
  <si>
    <t xml:space="preserve">Start </t>
  </si>
  <si>
    <t>Finish</t>
  </si>
  <si>
    <t>Actual Start</t>
  </si>
  <si>
    <t>Actual Finish</t>
  </si>
  <si>
    <t>Status</t>
  </si>
  <si>
    <t>Foundation</t>
  </si>
  <si>
    <t>Duration
(in days)</t>
  </si>
  <si>
    <t>NA</t>
  </si>
  <si>
    <t>Brick Work</t>
  </si>
  <si>
    <t>Electrical Conduit &amp; Wiring</t>
  </si>
  <si>
    <t>Waterproofing Works</t>
  </si>
  <si>
    <t>Plumbing Works</t>
  </si>
  <si>
    <t>Railing Works</t>
  </si>
  <si>
    <t>HVAC Works</t>
  </si>
  <si>
    <t>False Ceiling &amp; Wall Punning</t>
  </si>
  <si>
    <t>Flooring Works</t>
  </si>
  <si>
    <t>Whitewash &amp; Painting Works</t>
  </si>
  <si>
    <t>Door Frame, Shutter, Modular Kitchen &amp; CB Works</t>
  </si>
  <si>
    <t>External Works</t>
  </si>
  <si>
    <t>Project Completion</t>
  </si>
  <si>
    <t>Completed</t>
  </si>
  <si>
    <t>In Progress
(Mumty and OHT left)</t>
  </si>
  <si>
    <t>In Progress
(10th Floor Left)</t>
  </si>
  <si>
    <t>In Progress
(7th - 10th Floor Left)</t>
  </si>
  <si>
    <t>In Progress
(8th - 10th Floor Left)</t>
  </si>
  <si>
    <t>In Progress
(6th - 10th Floor Left)</t>
  </si>
  <si>
    <t>In Progress
(3rd - 10th Floor Left)</t>
  </si>
  <si>
    <t>Yet to start</t>
  </si>
  <si>
    <t xml:space="preserve">Revised Cost </t>
  </si>
  <si>
    <t>of Project</t>
  </si>
  <si>
    <t xml:space="preserve">Present position </t>
  </si>
  <si>
    <t>as on 31-12-2022</t>
  </si>
  <si>
    <t>Cost of Approvals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</si>
</sst>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1" applyNumberFormat="1" applyFont="1" applyAlignment="1">
      <alignment vertical="center"/>
    </xf>
    <xf numFmtId="9" fontId="0" fillId="0" borderId="0" xfId="2" applyFont="1" applyAlignment="1">
      <alignment vertical="center"/>
    </xf>
    <xf numFmtId="4" fontId="5" fillId="0" borderId="0" xfId="0" applyNumberFormat="1" applyFont="1"/>
    <xf numFmtId="43" fontId="3" fillId="0" borderId="0" xfId="0" applyNumberFormat="1" applyFont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2" applyFont="1" applyFill="1" applyBorder="1" applyAlignment="1">
      <alignment horizontal="center" vertical="center"/>
    </xf>
    <xf numFmtId="9" fontId="0" fillId="0" borderId="1" xfId="2" applyFont="1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9" fontId="3" fillId="0" borderId="1" xfId="2" applyFont="1" applyBorder="1" applyAlignment="1">
      <alignment vertical="center"/>
    </xf>
    <xf numFmtId="165" fontId="0" fillId="4" borderId="1" xfId="3" applyNumberFormat="1" applyFont="1" applyFill="1" applyBorder="1" applyAlignment="1">
      <alignment horizontal="right" vertical="center"/>
    </xf>
    <xf numFmtId="165" fontId="0" fillId="4" borderId="7" xfId="3" applyNumberFormat="1" applyFont="1" applyFill="1" applyBorder="1" applyAlignment="1">
      <alignment horizontal="right" vertical="center"/>
    </xf>
    <xf numFmtId="165" fontId="0" fillId="5" borderId="1" xfId="3" applyNumberFormat="1" applyFont="1" applyFill="1" applyBorder="1" applyAlignment="1">
      <alignment horizontal="right" vertical="center"/>
    </xf>
    <xf numFmtId="165" fontId="9" fillId="0" borderId="8" xfId="3" applyNumberFormat="1" applyFont="1" applyBorder="1" applyAlignment="1">
      <alignment horizontal="right" vertical="center"/>
    </xf>
    <xf numFmtId="9" fontId="6" fillId="0" borderId="1" xfId="0" applyNumberFormat="1" applyFont="1" applyBorder="1" applyAlignment="1">
      <alignment horizontal="right" vertical="center"/>
    </xf>
    <xf numFmtId="0" fontId="7" fillId="3" borderId="0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3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vertical="center" wrapText="1"/>
    </xf>
    <xf numFmtId="43" fontId="0" fillId="0" borderId="5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9" fontId="3" fillId="2" borderId="1" xfId="2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10" fillId="6" borderId="11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horizontal="right" vertical="center"/>
    </xf>
    <xf numFmtId="43" fontId="6" fillId="0" borderId="11" xfId="1" applyNumberFormat="1" applyFont="1" applyBorder="1" applyAlignment="1">
      <alignment horizontal="right" vertical="center"/>
    </xf>
    <xf numFmtId="43" fontId="10" fillId="6" borderId="11" xfId="1" applyNumberFormat="1" applyFont="1" applyFill="1" applyBorder="1" applyAlignment="1">
      <alignment horizontal="right" vertical="center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workbookViewId="0">
      <selection activeCell="F13" sqref="F13"/>
    </sheetView>
  </sheetViews>
  <sheetFormatPr defaultRowHeight="15" x14ac:dyDescent="0.25"/>
  <cols>
    <col min="1" max="1" width="9.140625" style="1"/>
    <col min="2" max="2" width="28.7109375" style="1" customWidth="1"/>
    <col min="3" max="3" width="12" style="1" customWidth="1"/>
    <col min="4" max="4" width="14" style="1" customWidth="1"/>
    <col min="5" max="5" width="12" style="1" customWidth="1"/>
    <col min="6" max="6" width="16.7109375" style="1" customWidth="1"/>
    <col min="7" max="7" width="11.5703125" style="1" bestFit="1" customWidth="1"/>
    <col min="8" max="8" width="15.28515625" style="1" bestFit="1" customWidth="1"/>
    <col min="9" max="16384" width="9.140625" style="1"/>
  </cols>
  <sheetData>
    <row r="2" spans="2:8" x14ac:dyDescent="0.25">
      <c r="F2" s="13" t="s">
        <v>8</v>
      </c>
    </row>
    <row r="3" spans="2:8" s="5" customFormat="1" ht="45" x14ac:dyDescent="0.25">
      <c r="B3" s="12" t="s">
        <v>7</v>
      </c>
      <c r="C3" s="12" t="s">
        <v>3</v>
      </c>
      <c r="D3" s="12" t="s">
        <v>89</v>
      </c>
      <c r="E3" s="12" t="s">
        <v>4</v>
      </c>
      <c r="F3" s="12" t="s">
        <v>5</v>
      </c>
    </row>
    <row r="4" spans="2:8" x14ac:dyDescent="0.25">
      <c r="B4" s="4" t="s">
        <v>0</v>
      </c>
      <c r="C4" s="6">
        <v>834.36</v>
      </c>
      <c r="D4" s="6">
        <f>C4</f>
        <v>834.36</v>
      </c>
      <c r="E4" s="6">
        <f>D4</f>
        <v>834.36</v>
      </c>
      <c r="F4" s="7">
        <v>0</v>
      </c>
    </row>
    <row r="5" spans="2:8" x14ac:dyDescent="0.25">
      <c r="B5" s="4" t="s">
        <v>1</v>
      </c>
      <c r="C5" s="6">
        <v>4458.5</v>
      </c>
      <c r="D5" s="6">
        <v>3642.06</v>
      </c>
      <c r="E5" s="6">
        <v>7432.73</v>
      </c>
      <c r="F5" s="7">
        <f>E5-C5</f>
        <v>2974.2299999999996</v>
      </c>
      <c r="G5" s="18">
        <v>3438.5</v>
      </c>
      <c r="H5" s="18">
        <f>(D5-G5)/100</f>
        <v>2.0355999999999996</v>
      </c>
    </row>
    <row r="6" spans="2:8" ht="30" x14ac:dyDescent="0.25">
      <c r="B6" s="4" t="s">
        <v>2</v>
      </c>
      <c r="C6" s="6">
        <v>181.18</v>
      </c>
      <c r="D6" s="6">
        <v>324.92</v>
      </c>
      <c r="E6" s="6">
        <v>585.12</v>
      </c>
      <c r="F6" s="7">
        <f>E6-C6</f>
        <v>403.94</v>
      </c>
    </row>
    <row r="7" spans="2:8" x14ac:dyDescent="0.25">
      <c r="B7" s="10" t="s">
        <v>6</v>
      </c>
      <c r="C7" s="11">
        <f>SUM(C4:C6)</f>
        <v>5474.04</v>
      </c>
      <c r="D7" s="11">
        <f>SUM(D4:D6)</f>
        <v>4801.34</v>
      </c>
      <c r="E7" s="11">
        <f>SUM(E4:E6)</f>
        <v>8852.2100000000009</v>
      </c>
      <c r="F7" s="11">
        <f>SUM(F4:F6)</f>
        <v>3378.1699999999996</v>
      </c>
    </row>
    <row r="52" spans="2:5" x14ac:dyDescent="0.25">
      <c r="B52" s="23"/>
      <c r="C52" s="23"/>
      <c r="D52" s="23"/>
      <c r="E52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0"/>
  <sheetViews>
    <sheetView topLeftCell="A10" workbookViewId="0">
      <selection activeCell="G26" sqref="G26"/>
    </sheetView>
  </sheetViews>
  <sheetFormatPr defaultRowHeight="15" x14ac:dyDescent="0.25"/>
  <cols>
    <col min="1" max="1" width="9.140625" style="1"/>
    <col min="2" max="2" width="6.140625" style="1" bestFit="1" customWidth="1"/>
    <col min="3" max="3" width="37.7109375" style="1" bestFit="1" customWidth="1"/>
    <col min="4" max="4" width="10.85546875" style="1" bestFit="1" customWidth="1"/>
    <col min="5" max="5" width="12.42578125" style="1" bestFit="1" customWidth="1"/>
    <col min="6" max="7" width="10.28515625" style="1" customWidth="1"/>
    <col min="8" max="8" width="11.7109375" style="1" customWidth="1"/>
    <col min="9" max="16384" width="9.140625" style="1"/>
  </cols>
  <sheetData>
    <row r="2" spans="2:12" x14ac:dyDescent="0.2">
      <c r="H2" s="33" t="s">
        <v>33</v>
      </c>
    </row>
    <row r="3" spans="2:12" ht="30.75" customHeight="1" thickBot="1" x14ac:dyDescent="0.3">
      <c r="F3" s="53" t="s">
        <v>32</v>
      </c>
      <c r="G3" s="53"/>
      <c r="H3" s="59" t="s">
        <v>31</v>
      </c>
    </row>
    <row r="4" spans="2:12" ht="45.75" thickBot="1" x14ac:dyDescent="0.3">
      <c r="B4" s="12" t="s">
        <v>21</v>
      </c>
      <c r="C4" s="12" t="s">
        <v>7</v>
      </c>
      <c r="D4" s="12" t="s">
        <v>23</v>
      </c>
      <c r="E4" s="32" t="s">
        <v>22</v>
      </c>
      <c r="F4" s="58">
        <v>44926</v>
      </c>
      <c r="G4" s="58"/>
      <c r="H4" s="58" t="s">
        <v>81</v>
      </c>
      <c r="K4" s="30"/>
      <c r="L4" s="31" t="s">
        <v>80</v>
      </c>
    </row>
    <row r="5" spans="2:12" x14ac:dyDescent="0.25">
      <c r="B5" s="54"/>
      <c r="C5" s="55" t="s">
        <v>78</v>
      </c>
      <c r="D5" s="56"/>
      <c r="E5" s="56"/>
      <c r="F5" s="56"/>
      <c r="G5" s="56"/>
      <c r="H5" s="57"/>
    </row>
    <row r="6" spans="2:12" x14ac:dyDescent="0.25">
      <c r="B6" s="25" t="s">
        <v>24</v>
      </c>
      <c r="C6" s="2" t="s">
        <v>14</v>
      </c>
      <c r="D6" s="24">
        <v>8.3436000000000003</v>
      </c>
      <c r="E6" s="24">
        <v>8.3436000000000003</v>
      </c>
      <c r="F6" s="24">
        <v>8.3436000000000003</v>
      </c>
      <c r="G6" s="44">
        <f>F6/E6</f>
        <v>1</v>
      </c>
      <c r="H6" s="2">
        <v>8.34</v>
      </c>
      <c r="I6" s="21">
        <f>H6/E6</f>
        <v>0.99956853156910686</v>
      </c>
    </row>
    <row r="7" spans="2:12" x14ac:dyDescent="0.25">
      <c r="B7" s="25" t="s">
        <v>25</v>
      </c>
      <c r="C7" s="2" t="s">
        <v>15</v>
      </c>
      <c r="D7" s="24">
        <v>38.474499999999999</v>
      </c>
      <c r="E7" s="24">
        <v>63.701700000000002</v>
      </c>
      <c r="F7" s="24">
        <v>36.4206</v>
      </c>
      <c r="G7" s="44">
        <f t="shared" ref="G7:I16" si="0">F7/E7</f>
        <v>0.57173670404400512</v>
      </c>
      <c r="H7" s="2">
        <v>29.87</v>
      </c>
      <c r="I7" s="21">
        <f>H7/E7</f>
        <v>0.46890428355915148</v>
      </c>
    </row>
    <row r="8" spans="2:12" x14ac:dyDescent="0.25">
      <c r="B8" s="25"/>
      <c r="C8" s="2"/>
      <c r="D8" s="66">
        <f>SUM(D6:D7)</f>
        <v>46.818100000000001</v>
      </c>
      <c r="E8" s="66">
        <f t="shared" ref="E8:H8" si="1">SUM(E6:E7)</f>
        <v>72.045299999999997</v>
      </c>
      <c r="F8" s="66">
        <f t="shared" si="1"/>
        <v>44.764200000000002</v>
      </c>
      <c r="G8" s="44">
        <f t="shared" si="0"/>
        <v>0.6213340773096927</v>
      </c>
      <c r="H8" s="66">
        <f t="shared" si="1"/>
        <v>38.21</v>
      </c>
      <c r="I8" s="21">
        <f>H8/E8</f>
        <v>0.53036075913348968</v>
      </c>
    </row>
    <row r="9" spans="2:12" x14ac:dyDescent="0.25">
      <c r="B9" s="54"/>
      <c r="C9" s="55" t="s">
        <v>79</v>
      </c>
      <c r="D9" s="56"/>
      <c r="E9" s="56"/>
      <c r="F9" s="56"/>
      <c r="G9" s="56"/>
      <c r="H9" s="57"/>
      <c r="I9" s="21"/>
    </row>
    <row r="10" spans="2:12" x14ac:dyDescent="0.25">
      <c r="B10" s="25" t="s">
        <v>26</v>
      </c>
      <c r="C10" s="2" t="s">
        <v>16</v>
      </c>
      <c r="D10" s="24">
        <v>0.8176000000000001</v>
      </c>
      <c r="E10" s="60">
        <v>0.39750000000000002</v>
      </c>
      <c r="F10" s="61">
        <v>0.1598</v>
      </c>
      <c r="G10" s="44">
        <f t="shared" si="0"/>
        <v>0.4020125786163522</v>
      </c>
      <c r="H10" s="24">
        <f>F10</f>
        <v>0.1598</v>
      </c>
      <c r="I10" s="21">
        <f t="shared" ref="I10:I16" si="2">H10/E10</f>
        <v>0.4020125786163522</v>
      </c>
    </row>
    <row r="11" spans="2:12" x14ac:dyDescent="0.25">
      <c r="B11" s="25" t="s">
        <v>27</v>
      </c>
      <c r="C11" s="2" t="s">
        <v>17</v>
      </c>
      <c r="D11" s="24">
        <v>2.9</v>
      </c>
      <c r="E11" s="60">
        <v>2.9</v>
      </c>
      <c r="F11" s="61">
        <v>2.9</v>
      </c>
      <c r="G11" s="44">
        <f t="shared" si="0"/>
        <v>1</v>
      </c>
      <c r="H11" s="24">
        <f t="shared" ref="H11:H14" si="3">F11</f>
        <v>2.9</v>
      </c>
      <c r="I11" s="21">
        <f t="shared" si="2"/>
        <v>1</v>
      </c>
    </row>
    <row r="12" spans="2:12" x14ac:dyDescent="0.25">
      <c r="B12" s="25" t="s">
        <v>28</v>
      </c>
      <c r="C12" s="2" t="s">
        <v>18</v>
      </c>
      <c r="D12" s="24">
        <v>1.1911</v>
      </c>
      <c r="E12" s="60">
        <v>3.4950999999999999</v>
      </c>
      <c r="F12" s="61">
        <v>0.5988</v>
      </c>
      <c r="G12" s="44">
        <f t="shared" si="0"/>
        <v>0.17132557008383165</v>
      </c>
      <c r="H12" s="24">
        <f t="shared" si="3"/>
        <v>0.5988</v>
      </c>
      <c r="I12" s="21">
        <f t="shared" si="2"/>
        <v>0.17132557008383165</v>
      </c>
    </row>
    <row r="13" spans="2:12" x14ac:dyDescent="0.25">
      <c r="B13" s="25" t="s">
        <v>29</v>
      </c>
      <c r="C13" s="2" t="s">
        <v>19</v>
      </c>
      <c r="D13" s="24">
        <v>0.8589</v>
      </c>
      <c r="E13" s="60">
        <v>6.2177999999999995</v>
      </c>
      <c r="F13" s="61">
        <v>0.34499999999999997</v>
      </c>
      <c r="G13" s="44">
        <f t="shared" si="0"/>
        <v>5.5485863167036575E-2</v>
      </c>
      <c r="H13" s="24">
        <f t="shared" si="3"/>
        <v>0.34499999999999997</v>
      </c>
      <c r="I13" s="21">
        <f t="shared" si="2"/>
        <v>5.5485863167036575E-2</v>
      </c>
    </row>
    <row r="14" spans="2:12" x14ac:dyDescent="0.25">
      <c r="B14" s="25" t="s">
        <v>30</v>
      </c>
      <c r="C14" s="2" t="s">
        <v>20</v>
      </c>
      <c r="D14" s="24">
        <v>2.1547000000000001</v>
      </c>
      <c r="E14" s="60">
        <v>3.4663999999999997</v>
      </c>
      <c r="F14" s="61">
        <v>2.0251000000000001</v>
      </c>
      <c r="G14" s="44">
        <f t="shared" si="0"/>
        <v>0.58420840064620361</v>
      </c>
      <c r="H14" s="24">
        <f t="shared" si="3"/>
        <v>2.0251000000000001</v>
      </c>
      <c r="I14" s="21">
        <f t="shared" si="2"/>
        <v>0.58420840064620361</v>
      </c>
    </row>
    <row r="15" spans="2:12" x14ac:dyDescent="0.25">
      <c r="B15" s="25"/>
      <c r="C15" s="2"/>
      <c r="D15" s="66">
        <f>SUM(D10:D14)</f>
        <v>7.9222999999999999</v>
      </c>
      <c r="E15" s="66">
        <f t="shared" ref="E15:H15" si="4">SUM(E10:E14)</f>
        <v>16.476800000000001</v>
      </c>
      <c r="F15" s="66">
        <f t="shared" si="4"/>
        <v>6.0286999999999997</v>
      </c>
      <c r="G15" s="44">
        <f t="shared" si="0"/>
        <v>0.365890221402214</v>
      </c>
      <c r="H15" s="66">
        <f t="shared" si="4"/>
        <v>6.0286999999999997</v>
      </c>
      <c r="I15" s="21">
        <f t="shared" si="2"/>
        <v>0.365890221402214</v>
      </c>
    </row>
    <row r="16" spans="2:12" x14ac:dyDescent="0.25">
      <c r="B16" s="27"/>
      <c r="C16" s="28" t="s">
        <v>6</v>
      </c>
      <c r="D16" s="29">
        <f>D15+D8</f>
        <v>54.740400000000001</v>
      </c>
      <c r="E16" s="29">
        <f t="shared" ref="E16:H16" si="5">E15+E8</f>
        <v>88.522099999999995</v>
      </c>
      <c r="F16" s="29">
        <f t="shared" si="5"/>
        <v>50.792900000000003</v>
      </c>
      <c r="G16" s="62">
        <f t="shared" si="0"/>
        <v>0.57378778858612711</v>
      </c>
      <c r="H16" s="29">
        <f t="shared" si="5"/>
        <v>44.238700000000001</v>
      </c>
      <c r="I16" s="21">
        <f t="shared" si="2"/>
        <v>0.49974752067562794</v>
      </c>
    </row>
    <row r="21" spans="2:5" x14ac:dyDescent="0.25">
      <c r="B21" s="34" t="s">
        <v>21</v>
      </c>
      <c r="C21" s="34" t="s">
        <v>7</v>
      </c>
      <c r="D21" s="34" t="s">
        <v>34</v>
      </c>
      <c r="E21" s="34" t="s">
        <v>35</v>
      </c>
    </row>
    <row r="22" spans="2:5" x14ac:dyDescent="0.25">
      <c r="B22" s="35">
        <v>1</v>
      </c>
      <c r="C22" s="36" t="s">
        <v>36</v>
      </c>
      <c r="D22" s="37">
        <v>2.27</v>
      </c>
      <c r="E22" s="38" t="s">
        <v>37</v>
      </c>
    </row>
    <row r="23" spans="2:5" x14ac:dyDescent="0.25">
      <c r="B23" s="35">
        <v>2</v>
      </c>
      <c r="C23" s="36" t="s">
        <v>38</v>
      </c>
      <c r="D23" s="39">
        <v>2000</v>
      </c>
      <c r="E23" s="38" t="s">
        <v>39</v>
      </c>
    </row>
    <row r="24" spans="2:5" x14ac:dyDescent="0.25">
      <c r="B24" s="35">
        <v>3</v>
      </c>
      <c r="C24" s="36" t="s">
        <v>40</v>
      </c>
      <c r="D24" s="52">
        <f>'Progress Calc.'!D18:E18</f>
        <v>0.66041666666666665</v>
      </c>
      <c r="E24" s="38"/>
    </row>
    <row r="25" spans="2:5" x14ac:dyDescent="0.25">
      <c r="B25" s="35">
        <v>4</v>
      </c>
      <c r="C25" s="36" t="s">
        <v>41</v>
      </c>
      <c r="D25" s="41">
        <f>D24*D23*D22</f>
        <v>2998.2916666666665</v>
      </c>
      <c r="E25" s="38" t="s">
        <v>42</v>
      </c>
    </row>
    <row r="26" spans="2:5" x14ac:dyDescent="0.25">
      <c r="B26" s="35">
        <v>5</v>
      </c>
      <c r="C26" s="36" t="s">
        <v>43</v>
      </c>
      <c r="D26" s="40">
        <f>E34</f>
        <v>3363.7</v>
      </c>
      <c r="E26" s="38" t="s">
        <v>42</v>
      </c>
    </row>
    <row r="27" spans="2:5" x14ac:dyDescent="0.25">
      <c r="D27" s="21">
        <f>1-(D25/D26)</f>
        <v>0.10863285469374007</v>
      </c>
    </row>
    <row r="30" spans="2:5" ht="15.75" thickBot="1" x14ac:dyDescent="0.3"/>
    <row r="31" spans="2:5" ht="30" x14ac:dyDescent="0.25">
      <c r="B31" s="80" t="s">
        <v>21</v>
      </c>
      <c r="C31" s="80" t="s">
        <v>7</v>
      </c>
      <c r="D31" s="31" t="s">
        <v>120</v>
      </c>
      <c r="E31" s="31" t="s">
        <v>122</v>
      </c>
    </row>
    <row r="32" spans="2:5" ht="30.75" thickBot="1" x14ac:dyDescent="0.3">
      <c r="B32" s="81"/>
      <c r="C32" s="81"/>
      <c r="D32" s="74" t="s">
        <v>121</v>
      </c>
      <c r="E32" s="74" t="s">
        <v>123</v>
      </c>
    </row>
    <row r="33" spans="2:5" ht="15.75" thickBot="1" x14ac:dyDescent="0.3">
      <c r="B33" s="75">
        <v>1</v>
      </c>
      <c r="C33" s="76" t="s">
        <v>14</v>
      </c>
      <c r="D33" s="77">
        <v>834.36</v>
      </c>
      <c r="E33" s="84">
        <v>834.36</v>
      </c>
    </row>
    <row r="34" spans="2:5" ht="15.75" thickBot="1" x14ac:dyDescent="0.3">
      <c r="B34" s="75">
        <v>2</v>
      </c>
      <c r="C34" s="76" t="s">
        <v>15</v>
      </c>
      <c r="D34" s="78">
        <v>6370.17</v>
      </c>
      <c r="E34" s="84">
        <v>3363.7</v>
      </c>
    </row>
    <row r="35" spans="2:5" ht="15.75" thickBot="1" x14ac:dyDescent="0.3">
      <c r="B35" s="75">
        <v>3</v>
      </c>
      <c r="C35" s="76" t="s">
        <v>16</v>
      </c>
      <c r="D35" s="77">
        <v>39.75</v>
      </c>
      <c r="E35" s="84">
        <v>15.98</v>
      </c>
    </row>
    <row r="36" spans="2:5" ht="15.75" thickBot="1" x14ac:dyDescent="0.3">
      <c r="B36" s="75">
        <v>4</v>
      </c>
      <c r="C36" s="76" t="s">
        <v>124</v>
      </c>
      <c r="D36" s="77">
        <v>290</v>
      </c>
      <c r="E36" s="84">
        <v>290</v>
      </c>
    </row>
    <row r="37" spans="2:5" ht="15.75" thickBot="1" x14ac:dyDescent="0.3">
      <c r="B37" s="75">
        <v>5</v>
      </c>
      <c r="C37" s="76" t="s">
        <v>18</v>
      </c>
      <c r="D37" s="77">
        <v>349.51</v>
      </c>
      <c r="E37" s="84">
        <v>59.88</v>
      </c>
    </row>
    <row r="38" spans="2:5" ht="15.75" thickBot="1" x14ac:dyDescent="0.3">
      <c r="B38" s="75">
        <v>6</v>
      </c>
      <c r="C38" s="76" t="s">
        <v>19</v>
      </c>
      <c r="D38" s="77">
        <v>621.78</v>
      </c>
      <c r="E38" s="84">
        <v>34.92</v>
      </c>
    </row>
    <row r="39" spans="2:5" ht="15.75" thickBot="1" x14ac:dyDescent="0.3">
      <c r="B39" s="75">
        <v>7</v>
      </c>
      <c r="C39" s="76" t="s">
        <v>20</v>
      </c>
      <c r="D39" s="77">
        <v>346.64</v>
      </c>
      <c r="E39" s="84">
        <v>202.51</v>
      </c>
    </row>
    <row r="40" spans="2:5" ht="15.75" thickBot="1" x14ac:dyDescent="0.3">
      <c r="B40" s="82" t="s">
        <v>6</v>
      </c>
      <c r="C40" s="83"/>
      <c r="D40" s="79">
        <v>8852.2099999999991</v>
      </c>
      <c r="E40" s="85">
        <f>SUM(E33:E39)</f>
        <v>4801.3499999999995</v>
      </c>
    </row>
  </sheetData>
  <mergeCells count="3">
    <mergeCell ref="B31:B32"/>
    <mergeCell ref="C31:C32"/>
    <mergeCell ref="B40:C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34"/>
  <sheetViews>
    <sheetView tabSelected="1" topLeftCell="B1" workbookViewId="0">
      <selection activeCell="D11" sqref="D11"/>
    </sheetView>
  </sheetViews>
  <sheetFormatPr defaultRowHeight="15" x14ac:dyDescent="0.25"/>
  <cols>
    <col min="1" max="1" width="9.140625" style="1"/>
    <col min="2" max="2" width="35.5703125" style="1" customWidth="1"/>
    <col min="3" max="3" width="9.140625" style="21"/>
    <col min="4" max="16384" width="9.140625" style="1"/>
  </cols>
  <sheetData>
    <row r="5" spans="1:9" x14ac:dyDescent="0.25">
      <c r="H5" s="1">
        <v>12</v>
      </c>
      <c r="I5" s="1">
        <v>12</v>
      </c>
    </row>
    <row r="6" spans="1:9" x14ac:dyDescent="0.25">
      <c r="A6" s="42" t="s">
        <v>21</v>
      </c>
      <c r="B6" s="42" t="s">
        <v>44</v>
      </c>
      <c r="C6" s="43"/>
      <c r="D6" s="42" t="s">
        <v>45</v>
      </c>
      <c r="E6" s="42" t="s">
        <v>46</v>
      </c>
      <c r="H6" s="42" t="s">
        <v>45</v>
      </c>
      <c r="I6" s="42" t="s">
        <v>46</v>
      </c>
    </row>
    <row r="7" spans="1:9" x14ac:dyDescent="0.25">
      <c r="A7" s="25">
        <v>1</v>
      </c>
      <c r="B7" s="2" t="s">
        <v>47</v>
      </c>
      <c r="C7" s="44">
        <v>0.01</v>
      </c>
      <c r="D7" s="45">
        <f t="shared" ref="D7:D16" si="0">H7/$H$5</f>
        <v>1</v>
      </c>
      <c r="E7" s="44">
        <f t="shared" ref="E7:E16" si="1">I7/$I$5</f>
        <v>1</v>
      </c>
      <c r="H7" s="1">
        <v>12</v>
      </c>
      <c r="I7" s="1">
        <v>12</v>
      </c>
    </row>
    <row r="8" spans="1:9" x14ac:dyDescent="0.25">
      <c r="A8" s="25">
        <v>3</v>
      </c>
      <c r="B8" s="2" t="s">
        <v>48</v>
      </c>
      <c r="C8" s="44">
        <v>0.06</v>
      </c>
      <c r="D8" s="45">
        <f t="shared" si="0"/>
        <v>1</v>
      </c>
      <c r="E8" s="44">
        <f t="shared" si="1"/>
        <v>1</v>
      </c>
      <c r="H8" s="1">
        <v>12</v>
      </c>
      <c r="I8" s="1">
        <v>12</v>
      </c>
    </row>
    <row r="9" spans="1:9" x14ac:dyDescent="0.25">
      <c r="A9" s="25">
        <v>4</v>
      </c>
      <c r="B9" s="2" t="s">
        <v>49</v>
      </c>
      <c r="C9" s="44">
        <v>0.25</v>
      </c>
      <c r="D9" s="45">
        <f t="shared" si="0"/>
        <v>1</v>
      </c>
      <c r="E9" s="44">
        <f t="shared" si="1"/>
        <v>1</v>
      </c>
      <c r="H9" s="1">
        <v>12</v>
      </c>
      <c r="I9" s="1">
        <v>12</v>
      </c>
    </row>
    <row r="10" spans="1:9" x14ac:dyDescent="0.25">
      <c r="A10" s="25">
        <v>5</v>
      </c>
      <c r="B10" s="2" t="s">
        <v>50</v>
      </c>
      <c r="C10" s="44">
        <v>0.02</v>
      </c>
      <c r="D10" s="45">
        <f t="shared" si="0"/>
        <v>1</v>
      </c>
      <c r="E10" s="44">
        <f t="shared" si="1"/>
        <v>1</v>
      </c>
      <c r="H10" s="1">
        <v>12</v>
      </c>
      <c r="I10" s="1">
        <v>12</v>
      </c>
    </row>
    <row r="11" spans="1:9" x14ac:dyDescent="0.25">
      <c r="A11" s="25">
        <v>7</v>
      </c>
      <c r="B11" s="2" t="s">
        <v>51</v>
      </c>
      <c r="C11" s="44">
        <v>0.06</v>
      </c>
      <c r="D11" s="45">
        <f t="shared" si="0"/>
        <v>1</v>
      </c>
      <c r="E11" s="44">
        <f t="shared" si="1"/>
        <v>1</v>
      </c>
      <c r="H11" s="1">
        <v>12</v>
      </c>
      <c r="I11" s="1">
        <v>12</v>
      </c>
    </row>
    <row r="12" spans="1:9" x14ac:dyDescent="0.25">
      <c r="A12" s="25">
        <v>9</v>
      </c>
      <c r="B12" s="2" t="s">
        <v>52</v>
      </c>
      <c r="C12" s="44">
        <v>0.05</v>
      </c>
      <c r="D12" s="45">
        <f t="shared" si="0"/>
        <v>0.91666666666666663</v>
      </c>
      <c r="E12" s="44">
        <f t="shared" si="1"/>
        <v>0.5</v>
      </c>
      <c r="H12" s="1">
        <v>11</v>
      </c>
      <c r="I12" s="1">
        <v>6</v>
      </c>
    </row>
    <row r="13" spans="1:9" x14ac:dyDescent="0.25">
      <c r="A13" s="25">
        <v>10</v>
      </c>
      <c r="B13" s="2" t="s">
        <v>53</v>
      </c>
      <c r="C13" s="44">
        <v>0.1</v>
      </c>
      <c r="D13" s="45">
        <f t="shared" si="0"/>
        <v>0.58333333333333337</v>
      </c>
      <c r="E13" s="44">
        <f t="shared" si="1"/>
        <v>0.41666666666666669</v>
      </c>
      <c r="H13" s="1">
        <v>7</v>
      </c>
      <c r="I13" s="1">
        <v>5</v>
      </c>
    </row>
    <row r="14" spans="1:9" x14ac:dyDescent="0.25">
      <c r="A14" s="25">
        <v>11</v>
      </c>
      <c r="B14" s="2" t="s">
        <v>54</v>
      </c>
      <c r="C14" s="44">
        <v>0.2</v>
      </c>
      <c r="D14" s="45">
        <f t="shared" si="0"/>
        <v>0.91666666666666663</v>
      </c>
      <c r="E14" s="44">
        <f t="shared" si="1"/>
        <v>0.83333333333333337</v>
      </c>
      <c r="H14" s="1">
        <v>11</v>
      </c>
      <c r="I14" s="1">
        <v>10</v>
      </c>
    </row>
    <row r="15" spans="1:9" x14ac:dyDescent="0.25">
      <c r="A15" s="25">
        <v>12</v>
      </c>
      <c r="B15" s="2" t="s">
        <v>55</v>
      </c>
      <c r="C15" s="44">
        <v>0.1</v>
      </c>
      <c r="D15" s="45">
        <f t="shared" si="0"/>
        <v>0</v>
      </c>
      <c r="E15" s="44">
        <f t="shared" si="1"/>
        <v>0</v>
      </c>
      <c r="H15" s="1">
        <v>0</v>
      </c>
      <c r="I15" s="1">
        <v>0</v>
      </c>
    </row>
    <row r="16" spans="1:9" x14ac:dyDescent="0.25">
      <c r="A16" s="25">
        <v>13</v>
      </c>
      <c r="B16" s="2" t="s">
        <v>56</v>
      </c>
      <c r="C16" s="44">
        <v>0.15</v>
      </c>
      <c r="D16" s="45">
        <f t="shared" si="0"/>
        <v>0</v>
      </c>
      <c r="E16" s="44">
        <f t="shared" si="1"/>
        <v>0</v>
      </c>
      <c r="H16" s="1">
        <v>0</v>
      </c>
      <c r="I16" s="1">
        <v>0</v>
      </c>
    </row>
    <row r="17" spans="1:5" x14ac:dyDescent="0.25">
      <c r="A17" s="25"/>
      <c r="B17" s="46" t="s">
        <v>57</v>
      </c>
      <c r="C17" s="47">
        <f>SUM(C7:C16)</f>
        <v>1</v>
      </c>
      <c r="D17" s="47">
        <f>SUMPRODUCT($C$7:$C$16,D7:D16)</f>
        <v>0.6875</v>
      </c>
      <c r="E17" s="47">
        <f>SUMPRODUCT($C$7:$C$16,E7:E16)</f>
        <v>0.63333333333333341</v>
      </c>
    </row>
    <row r="18" spans="1:5" x14ac:dyDescent="0.25">
      <c r="A18" s="26"/>
      <c r="B18" s="3" t="s">
        <v>58</v>
      </c>
      <c r="C18" s="47"/>
      <c r="D18" s="67">
        <f>AVERAGE(D17:E17)</f>
        <v>0.66041666666666665</v>
      </c>
      <c r="E18" s="68"/>
    </row>
    <row r="25" spans="1:5" x14ac:dyDescent="0.25">
      <c r="A25" s="1" t="s">
        <v>59</v>
      </c>
      <c r="B25" s="1" t="s">
        <v>60</v>
      </c>
      <c r="C25" s="48">
        <v>800</v>
      </c>
      <c r="D25" s="21">
        <f>C25/$C$34</f>
        <v>0.35476718403547675</v>
      </c>
    </row>
    <row r="26" spans="1:5" x14ac:dyDescent="0.25">
      <c r="A26" s="1" t="s">
        <v>61</v>
      </c>
      <c r="B26" s="1" t="s">
        <v>62</v>
      </c>
      <c r="C26" s="48">
        <v>50</v>
      </c>
      <c r="D26" s="21">
        <f t="shared" ref="D26:D33" si="2">C26/$C$34</f>
        <v>2.2172949002217297E-2</v>
      </c>
    </row>
    <row r="27" spans="1:5" x14ac:dyDescent="0.25">
      <c r="A27" s="1" t="s">
        <v>63</v>
      </c>
      <c r="B27" s="1" t="s">
        <v>64</v>
      </c>
      <c r="C27" s="48">
        <v>300</v>
      </c>
      <c r="D27" s="21">
        <f t="shared" si="2"/>
        <v>0.13303769401330376</v>
      </c>
    </row>
    <row r="28" spans="1:5" x14ac:dyDescent="0.25">
      <c r="A28" s="1" t="s">
        <v>65</v>
      </c>
      <c r="B28" s="1" t="s">
        <v>66</v>
      </c>
      <c r="C28" s="48">
        <v>200</v>
      </c>
      <c r="D28" s="21">
        <f t="shared" si="2"/>
        <v>8.8691796008869186E-2</v>
      </c>
    </row>
    <row r="29" spans="1:5" x14ac:dyDescent="0.25">
      <c r="A29" s="1" t="s">
        <v>67</v>
      </c>
      <c r="B29" s="1" t="s">
        <v>68</v>
      </c>
      <c r="C29" s="49">
        <v>200</v>
      </c>
      <c r="D29" s="21">
        <f t="shared" si="2"/>
        <v>8.8691796008869186E-2</v>
      </c>
    </row>
    <row r="30" spans="1:5" x14ac:dyDescent="0.25">
      <c r="A30" s="1" t="s">
        <v>69</v>
      </c>
      <c r="B30" s="1" t="s">
        <v>70</v>
      </c>
      <c r="C30" s="50">
        <v>24</v>
      </c>
      <c r="D30" s="21">
        <f t="shared" si="2"/>
        <v>1.0643015521064302E-2</v>
      </c>
    </row>
    <row r="31" spans="1:5" x14ac:dyDescent="0.25">
      <c r="A31" s="1" t="s">
        <v>71</v>
      </c>
      <c r="B31" s="1" t="s">
        <v>72</v>
      </c>
      <c r="C31" s="50">
        <v>81</v>
      </c>
      <c r="D31" s="21">
        <f t="shared" si="2"/>
        <v>3.5920177383592017E-2</v>
      </c>
    </row>
    <row r="32" spans="1:5" x14ac:dyDescent="0.25">
      <c r="A32" s="1" t="s">
        <v>73</v>
      </c>
      <c r="B32" s="1" t="s">
        <v>74</v>
      </c>
      <c r="C32" s="48">
        <v>70</v>
      </c>
      <c r="D32" s="21">
        <f t="shared" si="2"/>
        <v>3.1042128603104215E-2</v>
      </c>
    </row>
    <row r="33" spans="1:4" x14ac:dyDescent="0.25">
      <c r="A33" s="1" t="s">
        <v>75</v>
      </c>
      <c r="B33" s="1" t="s">
        <v>76</v>
      </c>
      <c r="C33" s="50">
        <v>479</v>
      </c>
      <c r="D33" s="21">
        <f t="shared" si="2"/>
        <v>0.21241685144124167</v>
      </c>
    </row>
    <row r="34" spans="1:4" ht="15.75" x14ac:dyDescent="0.25">
      <c r="A34" s="1" t="s">
        <v>77</v>
      </c>
      <c r="C34" s="51">
        <v>2255</v>
      </c>
    </row>
  </sheetData>
  <mergeCells count="1">
    <mergeCell ref="D18:E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"/>
  <sheetViews>
    <sheetView workbookViewId="0">
      <selection activeCell="F14" sqref="F14"/>
    </sheetView>
  </sheetViews>
  <sheetFormatPr defaultRowHeight="15" x14ac:dyDescent="0.25"/>
  <cols>
    <col min="1" max="2" width="9.140625" style="1"/>
    <col min="3" max="3" width="23.5703125" style="1" bestFit="1" customWidth="1"/>
    <col min="4" max="4" width="13.42578125" style="8" customWidth="1"/>
    <col min="5" max="5" width="18.7109375" style="1" bestFit="1" customWidth="1"/>
    <col min="6" max="16384" width="9.140625" style="1"/>
  </cols>
  <sheetData>
    <row r="4" spans="3:7" ht="45" x14ac:dyDescent="0.25">
      <c r="C4" s="64" t="s">
        <v>86</v>
      </c>
      <c r="D4" s="65" t="s">
        <v>4</v>
      </c>
      <c r="E4" s="64" t="s">
        <v>90</v>
      </c>
      <c r="F4" s="64" t="s">
        <v>88</v>
      </c>
      <c r="G4" s="63"/>
    </row>
    <row r="5" spans="3:7" x14ac:dyDescent="0.25">
      <c r="C5" s="2" t="s">
        <v>82</v>
      </c>
      <c r="D5" s="7">
        <v>2.5</v>
      </c>
      <c r="E5" s="7">
        <v>2.5</v>
      </c>
      <c r="F5" s="24">
        <f>D5-E5</f>
        <v>0</v>
      </c>
    </row>
    <row r="6" spans="3:7" x14ac:dyDescent="0.25">
      <c r="C6" s="2" t="s">
        <v>83</v>
      </c>
      <c r="D6" s="7">
        <v>14.46</v>
      </c>
      <c r="E6" s="7">
        <v>16.639600000000002</v>
      </c>
      <c r="F6" s="24">
        <f t="shared" ref="F6:F9" si="0">D6-E6</f>
        <v>-2.1796000000000006</v>
      </c>
    </row>
    <row r="7" spans="3:7" x14ac:dyDescent="0.25">
      <c r="C7" s="2" t="s">
        <v>84</v>
      </c>
      <c r="D7" s="7">
        <v>59.667200000000001</v>
      </c>
      <c r="E7" s="7">
        <v>18.499099999999999</v>
      </c>
      <c r="F7" s="24">
        <f t="shared" si="0"/>
        <v>41.168100000000003</v>
      </c>
    </row>
    <row r="8" spans="3:7" x14ac:dyDescent="0.25">
      <c r="C8" s="2" t="s">
        <v>85</v>
      </c>
      <c r="D8" s="7">
        <v>10</v>
      </c>
      <c r="E8" s="7">
        <v>8.4786000000000001</v>
      </c>
      <c r="F8" s="24">
        <f t="shared" si="0"/>
        <v>1.5213999999999999</v>
      </c>
    </row>
    <row r="9" spans="3:7" x14ac:dyDescent="0.25">
      <c r="C9" s="2" t="s">
        <v>87</v>
      </c>
      <c r="D9" s="7">
        <v>1.8949</v>
      </c>
      <c r="E9" s="7">
        <v>1.8949</v>
      </c>
      <c r="F9" s="24">
        <f t="shared" si="0"/>
        <v>0</v>
      </c>
    </row>
    <row r="10" spans="3:7" x14ac:dyDescent="0.25">
      <c r="C10" s="3" t="s">
        <v>6</v>
      </c>
      <c r="D10" s="9">
        <f>SUM(D5:D9)</f>
        <v>88.522100000000009</v>
      </c>
      <c r="E10" s="66">
        <f>SUM(E5:E9)</f>
        <v>48.0122</v>
      </c>
      <c r="F10" s="66">
        <f>D10-E10</f>
        <v>40.509900000000009</v>
      </c>
    </row>
    <row r="13" spans="3:7" x14ac:dyDescent="0.25">
      <c r="E13" s="18">
        <f>E8+E9</f>
        <v>10.3735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4"/>
  <sheetViews>
    <sheetView topLeftCell="A10" workbookViewId="0">
      <selection activeCell="C30" sqref="C30"/>
    </sheetView>
  </sheetViews>
  <sheetFormatPr defaultRowHeight="15" x14ac:dyDescent="0.25"/>
  <cols>
    <col min="2" max="2" width="7.140625" customWidth="1"/>
    <col min="3" max="3" width="37.7109375" bestFit="1" customWidth="1"/>
    <col min="4" max="4" width="12.5703125" bestFit="1" customWidth="1"/>
    <col min="5" max="5" width="12.7109375" customWidth="1"/>
    <col min="6" max="6" width="13.42578125" bestFit="1" customWidth="1"/>
    <col min="7" max="7" width="8.28515625" customWidth="1"/>
  </cols>
  <sheetData>
    <row r="3" spans="2:5" x14ac:dyDescent="0.25">
      <c r="B3" s="15">
        <v>12450</v>
      </c>
      <c r="C3" t="s">
        <v>9</v>
      </c>
    </row>
    <row r="4" spans="2:5" x14ac:dyDescent="0.25">
      <c r="B4" s="15">
        <f>B3*10.764</f>
        <v>134011.79999999999</v>
      </c>
    </row>
    <row r="9" spans="2:5" x14ac:dyDescent="0.25">
      <c r="C9" s="15">
        <f>D9/B10</f>
        <v>1964.0969162995596</v>
      </c>
      <c r="D9" s="16">
        <f>'CA Certificate'!C5*10^5</f>
        <v>445850000</v>
      </c>
    </row>
    <row r="10" spans="2:5" x14ac:dyDescent="0.25">
      <c r="B10" s="15">
        <v>227000</v>
      </c>
      <c r="C10" s="15">
        <f>B13</f>
        <v>3274.3303964757711</v>
      </c>
      <c r="D10" s="15">
        <f>C10*B10</f>
        <v>743273000</v>
      </c>
    </row>
    <row r="11" spans="2:5" x14ac:dyDescent="0.25">
      <c r="B11" s="15"/>
      <c r="D11" s="16">
        <f>D10*66%</f>
        <v>490560180</v>
      </c>
    </row>
    <row r="12" spans="2:5" x14ac:dyDescent="0.25">
      <c r="B12" s="15">
        <f>'CA Certificate'!E5*10^5</f>
        <v>743273000</v>
      </c>
      <c r="C12" s="15">
        <v>1100</v>
      </c>
      <c r="D12" s="16">
        <f>C12*B10</f>
        <v>249700000</v>
      </c>
      <c r="E12" s="15">
        <f>25.5*10^7</f>
        <v>255000000</v>
      </c>
    </row>
    <row r="13" spans="2:5" x14ac:dyDescent="0.25">
      <c r="B13" s="15">
        <f>B12/B10</f>
        <v>3274.3303964757711</v>
      </c>
      <c r="E13" s="14">
        <f>E12/D12</f>
        <v>1.0212254705646777</v>
      </c>
    </row>
    <row r="16" spans="2:5" x14ac:dyDescent="0.25">
      <c r="C16" s="15">
        <f>B10*C9</f>
        <v>445850000</v>
      </c>
      <c r="D16">
        <v>343850000</v>
      </c>
      <c r="E16" s="17">
        <f>D16/B10</f>
        <v>1514.7577092511012</v>
      </c>
    </row>
    <row r="19" spans="2:13" x14ac:dyDescent="0.25">
      <c r="D19" s="15">
        <f>4529.45*10^5</f>
        <v>452945000</v>
      </c>
      <c r="E19" s="17">
        <f>D19/B10</f>
        <v>1995.352422907489</v>
      </c>
    </row>
    <row r="20" spans="2:13" x14ac:dyDescent="0.25">
      <c r="C20">
        <v>1500</v>
      </c>
      <c r="D20" s="16">
        <f>C20*B10</f>
        <v>340500000</v>
      </c>
      <c r="F20" s="15">
        <f>E19*B10*66%</f>
        <v>298943700</v>
      </c>
    </row>
    <row r="21" spans="2:13" x14ac:dyDescent="0.25">
      <c r="D21" s="16">
        <f>D20*66%</f>
        <v>224730000</v>
      </c>
    </row>
    <row r="25" spans="2:13" x14ac:dyDescent="0.25">
      <c r="B25" s="1"/>
      <c r="C25" s="1"/>
      <c r="D25" s="1"/>
      <c r="E25" s="1"/>
      <c r="F25" s="1"/>
      <c r="G25" s="1"/>
      <c r="H25" s="8">
        <v>86.02</v>
      </c>
      <c r="I25" s="1"/>
      <c r="J25" s="1"/>
      <c r="K25" s="1"/>
      <c r="L25" s="1"/>
      <c r="M25" s="1"/>
    </row>
    <row r="26" spans="2:13" x14ac:dyDescent="0.25">
      <c r="B26" s="1"/>
      <c r="C26" s="1"/>
      <c r="D26" s="1"/>
      <c r="E26" s="1"/>
      <c r="F26" s="1"/>
      <c r="G26" s="1"/>
      <c r="H26" s="8">
        <v>1.26</v>
      </c>
      <c r="I26" s="1"/>
      <c r="J26" s="1"/>
      <c r="K26" s="1"/>
      <c r="L26" s="1"/>
      <c r="M26" s="1"/>
    </row>
    <row r="27" spans="2:13" x14ac:dyDescent="0.25">
      <c r="B27" s="1"/>
      <c r="C27" s="1"/>
      <c r="D27" s="1"/>
      <c r="E27" s="1"/>
      <c r="F27" s="1"/>
      <c r="G27" s="1"/>
      <c r="H27" s="8">
        <v>168</v>
      </c>
      <c r="I27" s="1"/>
      <c r="J27" s="1"/>
      <c r="K27" s="1"/>
      <c r="L27" s="1"/>
      <c r="M27" s="1"/>
    </row>
    <row r="28" spans="2:13" x14ac:dyDescent="0.25">
      <c r="B28" s="1"/>
      <c r="C28" s="1"/>
      <c r="D28" s="1"/>
      <c r="E28" s="1"/>
      <c r="F28" s="1"/>
      <c r="G28" s="1"/>
      <c r="H28" s="8">
        <v>9.41</v>
      </c>
      <c r="I28" s="1"/>
      <c r="J28" s="1"/>
      <c r="K28" s="1"/>
      <c r="L28" s="1"/>
      <c r="M28" s="1"/>
    </row>
    <row r="29" spans="2:13" x14ac:dyDescent="0.25">
      <c r="B29" s="1"/>
      <c r="C29" s="1" t="s">
        <v>10</v>
      </c>
      <c r="D29" s="1"/>
      <c r="E29" s="1"/>
      <c r="F29" s="8">
        <v>4529.45</v>
      </c>
      <c r="G29" s="1"/>
      <c r="H29" s="8">
        <f>SUM(H25:H28)</f>
        <v>264.69</v>
      </c>
      <c r="I29" s="1"/>
      <c r="J29" s="1"/>
      <c r="K29" s="1"/>
      <c r="L29" s="1"/>
      <c r="M29" s="1"/>
    </row>
    <row r="30" spans="2:13" x14ac:dyDescent="0.25">
      <c r="B30" s="1"/>
      <c r="C30" s="1" t="s">
        <v>11</v>
      </c>
      <c r="D30" s="1"/>
      <c r="E30" s="1"/>
      <c r="F30" s="8">
        <v>623.92999999999995</v>
      </c>
      <c r="G30" s="1"/>
      <c r="H30" s="8">
        <f>H29+F33</f>
        <v>6370.1699999999992</v>
      </c>
      <c r="I30" s="1"/>
      <c r="J30" s="1"/>
      <c r="K30" s="1"/>
      <c r="L30" s="1"/>
      <c r="M30" s="1"/>
    </row>
    <row r="31" spans="2:13" x14ac:dyDescent="0.25">
      <c r="B31" s="1"/>
      <c r="C31" s="1" t="s">
        <v>12</v>
      </c>
      <c r="D31" s="1"/>
      <c r="E31" s="1"/>
      <c r="F31" s="8">
        <v>509.15</v>
      </c>
      <c r="G31" s="1"/>
      <c r="H31" s="1"/>
      <c r="I31" s="1"/>
      <c r="J31" s="1"/>
      <c r="K31" s="1"/>
      <c r="L31" s="1"/>
      <c r="M31" s="1"/>
    </row>
    <row r="32" spans="2:13" x14ac:dyDescent="0.25">
      <c r="B32" s="1"/>
      <c r="C32" s="1" t="s">
        <v>13</v>
      </c>
      <c r="D32" s="1"/>
      <c r="E32" s="1"/>
      <c r="F32" s="8">
        <v>442.95</v>
      </c>
      <c r="G32" s="1"/>
      <c r="H32" s="1"/>
      <c r="I32" s="1"/>
      <c r="J32" s="1"/>
      <c r="K32" s="1"/>
      <c r="L32" s="1"/>
      <c r="M32" s="1"/>
    </row>
    <row r="33" spans="2:13" x14ac:dyDescent="0.25">
      <c r="B33" s="1"/>
      <c r="C33" s="1"/>
      <c r="D33" s="1"/>
      <c r="E33" s="1"/>
      <c r="F33" s="8">
        <f>SUM(F29:F32)</f>
        <v>6105.48</v>
      </c>
      <c r="G33" s="19">
        <f>F33*10^5</f>
        <v>610548000</v>
      </c>
      <c r="H33" s="20">
        <f>Rough!B10</f>
        <v>227000</v>
      </c>
      <c r="I33" s="18">
        <f>G33/H33</f>
        <v>2689.638766519824</v>
      </c>
      <c r="J33" s="1"/>
      <c r="K33" s="1"/>
      <c r="L33" s="1"/>
      <c r="M33" s="1"/>
    </row>
    <row r="34" spans="2:13" x14ac:dyDescent="0.25">
      <c r="B34" s="1"/>
      <c r="C34" s="1"/>
      <c r="D34" s="1"/>
      <c r="E34" s="1"/>
      <c r="F34" s="8"/>
      <c r="G34" s="1"/>
      <c r="H34" s="1"/>
      <c r="I34" s="18">
        <f>I33*66%</f>
        <v>1775.161585903084</v>
      </c>
      <c r="J34" s="1"/>
      <c r="K34" s="1"/>
      <c r="L34" s="1"/>
      <c r="M34" s="1"/>
    </row>
    <row r="35" spans="2:13" x14ac:dyDescent="0.25">
      <c r="B35" s="1"/>
      <c r="C35" s="22">
        <v>6370.17</v>
      </c>
      <c r="D35" s="1"/>
      <c r="E35" s="1"/>
      <c r="F35" s="1"/>
      <c r="G35" s="1"/>
      <c r="H35" s="1"/>
      <c r="I35" s="20">
        <f>I34*H33</f>
        <v>402961680.00000006</v>
      </c>
      <c r="J35" s="1"/>
      <c r="K35" s="1"/>
      <c r="L35" s="1"/>
      <c r="M35" s="1"/>
    </row>
    <row r="36" spans="2:13" x14ac:dyDescent="0.25">
      <c r="B36" s="1"/>
      <c r="C36" s="1">
        <f>C35*10^5</f>
        <v>637017000</v>
      </c>
      <c r="D36" s="1"/>
      <c r="E36" s="19">
        <f>F29+F32+F31</f>
        <v>5481.5499999999993</v>
      </c>
      <c r="F36" s="1"/>
      <c r="G36" s="1"/>
      <c r="H36" s="1"/>
      <c r="I36" s="1"/>
      <c r="J36" s="1"/>
      <c r="K36" s="1"/>
      <c r="L36" s="1"/>
      <c r="M36" s="1"/>
    </row>
    <row r="37" spans="2:13" x14ac:dyDescent="0.25">
      <c r="B37" s="1"/>
      <c r="C37" s="18">
        <f>C36/H33</f>
        <v>2806.2422907488985</v>
      </c>
      <c r="D37" s="1"/>
      <c r="E37" s="19">
        <f>E36*10^5</f>
        <v>548154999.99999988</v>
      </c>
      <c r="F37" s="1"/>
      <c r="G37" s="1"/>
      <c r="H37" s="1"/>
      <c r="I37" s="1"/>
      <c r="J37" s="1"/>
      <c r="K37" s="1"/>
      <c r="L37" s="1"/>
      <c r="M37" s="1"/>
    </row>
    <row r="38" spans="2:13" x14ac:dyDescent="0.25">
      <c r="B38" s="1"/>
      <c r="C38" s="1"/>
      <c r="D38" s="1"/>
      <c r="E38" s="19">
        <f>E37/H33</f>
        <v>2414.7797356828187</v>
      </c>
      <c r="F38" s="1"/>
      <c r="G38" s="1">
        <f>SUM(G39:G47)</f>
        <v>4597.3700000000008</v>
      </c>
      <c r="H38" s="1"/>
      <c r="I38" s="1"/>
      <c r="J38" s="1"/>
      <c r="K38" s="1"/>
      <c r="L38" s="1"/>
      <c r="M38" s="1"/>
    </row>
    <row r="39" spans="2:13" x14ac:dyDescent="0.25">
      <c r="B39" s="1"/>
      <c r="C39" s="1"/>
      <c r="D39" s="1"/>
      <c r="E39" s="1">
        <v>2300</v>
      </c>
      <c r="F39" s="1"/>
      <c r="G39" s="1">
        <v>834.36</v>
      </c>
      <c r="H39" s="1"/>
      <c r="I39" s="1"/>
      <c r="J39" s="1"/>
      <c r="K39" s="1"/>
      <c r="L39" s="1"/>
      <c r="M39" s="1"/>
    </row>
    <row r="40" spans="2:13" x14ac:dyDescent="0.25">
      <c r="B40" s="1"/>
      <c r="C40" s="1"/>
      <c r="D40" s="1"/>
      <c r="E40" s="20">
        <f>E39*0.66*H33</f>
        <v>344586000</v>
      </c>
      <c r="F40" s="1"/>
      <c r="G40" s="1">
        <v>3160.14</v>
      </c>
      <c r="H40" s="1"/>
      <c r="I40" s="1"/>
      <c r="J40" s="1"/>
      <c r="K40" s="1"/>
      <c r="L40" s="1"/>
      <c r="M40" s="1"/>
    </row>
    <row r="41" spans="2:13" x14ac:dyDescent="0.25">
      <c r="B41" s="1"/>
      <c r="C41" s="1"/>
      <c r="D41" s="1"/>
      <c r="E41" s="1"/>
      <c r="F41" s="1"/>
      <c r="G41" s="1">
        <v>15.98</v>
      </c>
      <c r="H41" s="1"/>
      <c r="I41" s="1"/>
      <c r="J41" s="1"/>
      <c r="K41" s="1"/>
      <c r="L41" s="1"/>
      <c r="M41" s="1"/>
    </row>
    <row r="42" spans="2:13" x14ac:dyDescent="0.25">
      <c r="B42" s="1"/>
      <c r="C42" s="1"/>
      <c r="D42" s="1"/>
      <c r="E42" s="1"/>
      <c r="F42" s="1"/>
      <c r="G42" s="1">
        <v>59.88</v>
      </c>
      <c r="H42" s="1"/>
      <c r="I42" s="1"/>
      <c r="J42" s="1"/>
      <c r="K42" s="1"/>
      <c r="L42" s="1"/>
      <c r="M42" s="1"/>
    </row>
    <row r="43" spans="2:13" x14ac:dyDescent="0.25">
      <c r="B43" s="1"/>
      <c r="C43" s="20">
        <v>227000</v>
      </c>
      <c r="D43" s="20">
        <v>2000</v>
      </c>
      <c r="E43" s="20">
        <f>D43*C43</f>
        <v>454000000</v>
      </c>
      <c r="F43" s="1"/>
      <c r="G43" s="1">
        <v>34.5</v>
      </c>
      <c r="H43" s="1"/>
      <c r="I43" s="1"/>
      <c r="J43" s="1"/>
      <c r="K43" s="1"/>
      <c r="L43" s="1"/>
      <c r="M43" s="1"/>
    </row>
    <row r="44" spans="2:13" x14ac:dyDescent="0.25">
      <c r="B44" s="1"/>
      <c r="C44" s="1"/>
      <c r="D44" s="1"/>
      <c r="E44" s="21">
        <v>0.65791666666666671</v>
      </c>
      <c r="F44" s="21"/>
      <c r="G44" s="1">
        <v>202.51</v>
      </c>
      <c r="H44" s="1"/>
      <c r="I44" s="1"/>
      <c r="J44" s="1"/>
      <c r="K44" s="1"/>
      <c r="L44" s="1"/>
      <c r="M44" s="1"/>
    </row>
    <row r="45" spans="2:13" x14ac:dyDescent="0.25">
      <c r="B45" s="1"/>
      <c r="C45" s="20">
        <f>C46/C43</f>
        <v>1315.8590308370044</v>
      </c>
      <c r="D45" s="1">
        <f>E45/C43</f>
        <v>1315.8333333333335</v>
      </c>
      <c r="E45" s="19">
        <f>E44*E43</f>
        <v>298694166.66666669</v>
      </c>
      <c r="F45" s="8">
        <f>E45/10^5</f>
        <v>2986.9416666666671</v>
      </c>
      <c r="G45" s="1">
        <v>290</v>
      </c>
      <c r="H45" s="1"/>
      <c r="I45" s="1"/>
      <c r="J45" s="1"/>
      <c r="K45" s="1"/>
      <c r="L45" s="1"/>
      <c r="M45" s="1"/>
    </row>
    <row r="46" spans="2:13" x14ac:dyDescent="0.25">
      <c r="B46" s="1"/>
      <c r="C46" s="19">
        <v>298700000</v>
      </c>
      <c r="D46" s="1">
        <f>E46/C43</f>
        <v>1392.1321585903083</v>
      </c>
      <c r="E46" s="20">
        <f>3160.14*10^5</f>
        <v>316014000</v>
      </c>
      <c r="F46" s="1"/>
      <c r="G46" s="1"/>
      <c r="H46" s="1"/>
      <c r="I46" s="1"/>
      <c r="J46" s="1"/>
      <c r="K46" s="1"/>
      <c r="L46" s="1"/>
      <c r="M46" s="1"/>
    </row>
    <row r="47" spans="2:13" x14ac:dyDescent="0.25">
      <c r="B47" s="1"/>
      <c r="C47" s="1"/>
      <c r="D47" s="1"/>
      <c r="E47" s="1">
        <f>E46/E45</f>
        <v>1.0579851743561557</v>
      </c>
      <c r="F47" s="1"/>
      <c r="G47" s="1"/>
      <c r="H47" s="1"/>
      <c r="I47" s="1"/>
      <c r="J47" s="1"/>
      <c r="K47" s="1"/>
      <c r="L47" s="1"/>
      <c r="M47" s="1"/>
    </row>
    <row r="48" spans="2:13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>
        <v>361.41</v>
      </c>
      <c r="K51" s="1"/>
      <c r="L51" s="1"/>
      <c r="M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>
        <v>1439.95</v>
      </c>
      <c r="K53" s="1"/>
      <c r="L53" s="1"/>
      <c r="M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>
        <v>13230</v>
      </c>
      <c r="K54" s="1"/>
      <c r="L54" s="1"/>
      <c r="M54" s="1"/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>
        <v>1148.52</v>
      </c>
      <c r="K55" s="1"/>
      <c r="L55" s="1"/>
      <c r="M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>
        <v>1150.53</v>
      </c>
      <c r="K56" s="1"/>
      <c r="L56" s="1"/>
      <c r="M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>
        <v>171</v>
      </c>
      <c r="K57" s="1"/>
      <c r="L57" s="1"/>
      <c r="M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>
        <v>1776.72</v>
      </c>
      <c r="K58" s="1"/>
      <c r="L58" s="1"/>
      <c r="M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>
        <f>SUM(J53:J58)</f>
        <v>18916.72</v>
      </c>
      <c r="K59" s="20">
        <f>J59*10.764</f>
        <v>203619.57407999999</v>
      </c>
      <c r="L59" s="1"/>
      <c r="M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>
        <v>2110.1</v>
      </c>
      <c r="K60" s="20">
        <f>J60*10.764</f>
        <v>22713.116399999999</v>
      </c>
      <c r="L60" s="1"/>
      <c r="M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>
        <v>135.34</v>
      </c>
      <c r="K61" s="20">
        <f>J61*10.764</f>
        <v>1456.7997599999999</v>
      </c>
      <c r="L61" s="1"/>
      <c r="M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>
        <f>SUM(J59:J61)</f>
        <v>21162.16</v>
      </c>
      <c r="K62" s="20">
        <f>J62*10.764</f>
        <v>227789.49023999998</v>
      </c>
      <c r="L62" s="1"/>
      <c r="M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7"/>
  <sheetViews>
    <sheetView topLeftCell="B1" workbookViewId="0">
      <selection activeCell="D5" sqref="D5"/>
    </sheetView>
  </sheetViews>
  <sheetFormatPr defaultRowHeight="15" x14ac:dyDescent="0.25"/>
  <cols>
    <col min="1" max="1" width="9.140625" style="5"/>
    <col min="2" max="2" width="6.140625" style="5" bestFit="1" customWidth="1"/>
    <col min="3" max="3" width="27.85546875" style="73" customWidth="1"/>
    <col min="4" max="4" width="8.7109375" style="5" bestFit="1" customWidth="1"/>
    <col min="5" max="6" width="10.42578125" style="5" bestFit="1" customWidth="1"/>
    <col min="7" max="7" width="11.140625" style="5" bestFit="1" customWidth="1"/>
    <col min="8" max="8" width="12.28515625" style="5" bestFit="1" customWidth="1"/>
    <col min="9" max="9" width="20.140625" style="5" customWidth="1"/>
    <col min="10" max="16384" width="9.140625" style="5"/>
  </cols>
  <sheetData>
    <row r="3" spans="2:9" ht="30" x14ac:dyDescent="0.25">
      <c r="B3" s="42" t="s">
        <v>21</v>
      </c>
      <c r="C3" s="12" t="s">
        <v>91</v>
      </c>
      <c r="D3" s="12" t="s">
        <v>98</v>
      </c>
      <c r="E3" s="42" t="s">
        <v>92</v>
      </c>
      <c r="F3" s="42" t="s">
        <v>93</v>
      </c>
      <c r="G3" s="42" t="s">
        <v>94</v>
      </c>
      <c r="H3" s="42" t="s">
        <v>95</v>
      </c>
      <c r="I3" s="42" t="s">
        <v>96</v>
      </c>
    </row>
    <row r="4" spans="2:9" x14ac:dyDescent="0.25">
      <c r="B4" s="25">
        <v>1</v>
      </c>
      <c r="C4" s="71" t="s">
        <v>97</v>
      </c>
      <c r="D4" s="25">
        <v>169</v>
      </c>
      <c r="E4" s="69">
        <v>43682</v>
      </c>
      <c r="F4" s="69">
        <v>43615</v>
      </c>
      <c r="G4" s="69">
        <v>43682</v>
      </c>
      <c r="H4" s="69">
        <v>43850</v>
      </c>
      <c r="I4" s="25" t="s">
        <v>112</v>
      </c>
    </row>
    <row r="5" spans="2:9" ht="45" x14ac:dyDescent="0.25">
      <c r="B5" s="25">
        <v>2</v>
      </c>
      <c r="C5" s="71" t="s">
        <v>49</v>
      </c>
      <c r="D5" s="25">
        <v>1118</v>
      </c>
      <c r="E5" s="69">
        <v>43819</v>
      </c>
      <c r="F5" s="69">
        <v>44936</v>
      </c>
      <c r="G5" s="69">
        <v>43819</v>
      </c>
      <c r="H5" s="25" t="s">
        <v>99</v>
      </c>
      <c r="I5" s="70" t="s">
        <v>113</v>
      </c>
    </row>
    <row r="6" spans="2:9" x14ac:dyDescent="0.25">
      <c r="B6" s="25">
        <v>3</v>
      </c>
      <c r="C6" s="71" t="s">
        <v>100</v>
      </c>
      <c r="D6" s="25">
        <v>848</v>
      </c>
      <c r="E6" s="69">
        <v>43988</v>
      </c>
      <c r="F6" s="69">
        <v>44835</v>
      </c>
      <c r="G6" s="69">
        <v>43988</v>
      </c>
      <c r="H6" s="69">
        <v>44835</v>
      </c>
      <c r="I6" s="25" t="s">
        <v>112</v>
      </c>
    </row>
    <row r="7" spans="2:9" ht="30" x14ac:dyDescent="0.25">
      <c r="B7" s="25">
        <v>4</v>
      </c>
      <c r="C7" s="72" t="s">
        <v>101</v>
      </c>
      <c r="D7" s="25">
        <v>451</v>
      </c>
      <c r="E7" s="69">
        <v>44479</v>
      </c>
      <c r="F7" s="69">
        <v>44929</v>
      </c>
      <c r="G7" s="69">
        <v>44479</v>
      </c>
      <c r="H7" s="25" t="s">
        <v>99</v>
      </c>
      <c r="I7" s="70" t="s">
        <v>114</v>
      </c>
    </row>
    <row r="8" spans="2:9" ht="30" x14ac:dyDescent="0.25">
      <c r="B8" s="25">
        <v>5</v>
      </c>
      <c r="C8" s="72" t="s">
        <v>102</v>
      </c>
      <c r="D8" s="25">
        <v>295</v>
      </c>
      <c r="E8" s="69">
        <v>44621</v>
      </c>
      <c r="F8" s="69">
        <v>44915</v>
      </c>
      <c r="G8" s="69">
        <v>44621</v>
      </c>
      <c r="H8" s="25" t="s">
        <v>99</v>
      </c>
      <c r="I8" s="70" t="s">
        <v>114</v>
      </c>
    </row>
    <row r="9" spans="2:9" ht="30" x14ac:dyDescent="0.25">
      <c r="B9" s="25">
        <v>6</v>
      </c>
      <c r="C9" s="72" t="s">
        <v>103</v>
      </c>
      <c r="D9" s="25">
        <v>451</v>
      </c>
      <c r="E9" s="69">
        <v>44479</v>
      </c>
      <c r="F9" s="69">
        <v>44929</v>
      </c>
      <c r="G9" s="69">
        <v>44479</v>
      </c>
      <c r="H9" s="25" t="s">
        <v>99</v>
      </c>
      <c r="I9" s="70" t="s">
        <v>114</v>
      </c>
    </row>
    <row r="10" spans="2:9" ht="30" x14ac:dyDescent="0.25">
      <c r="B10" s="25">
        <v>7</v>
      </c>
      <c r="C10" s="72" t="s">
        <v>104</v>
      </c>
      <c r="D10" s="25">
        <v>191</v>
      </c>
      <c r="E10" s="69">
        <v>44757</v>
      </c>
      <c r="F10" s="69">
        <v>44947</v>
      </c>
      <c r="G10" s="69">
        <v>44757</v>
      </c>
      <c r="H10" s="25" t="s">
        <v>99</v>
      </c>
      <c r="I10" s="70" t="s">
        <v>115</v>
      </c>
    </row>
    <row r="11" spans="2:9" x14ac:dyDescent="0.25">
      <c r="B11" s="25">
        <v>8</v>
      </c>
      <c r="C11" s="72" t="s">
        <v>105</v>
      </c>
      <c r="D11" s="25">
        <v>163</v>
      </c>
      <c r="E11" s="69">
        <v>44743</v>
      </c>
      <c r="F11" s="69">
        <v>44905</v>
      </c>
      <c r="G11" s="69">
        <v>44743</v>
      </c>
      <c r="H11" s="69">
        <v>44905</v>
      </c>
      <c r="I11" s="25" t="s">
        <v>112</v>
      </c>
    </row>
    <row r="12" spans="2:9" ht="30" x14ac:dyDescent="0.25">
      <c r="B12" s="25">
        <v>9</v>
      </c>
      <c r="C12" s="72" t="s">
        <v>106</v>
      </c>
      <c r="D12" s="25">
        <v>170</v>
      </c>
      <c r="E12" s="69">
        <v>44777</v>
      </c>
      <c r="F12" s="69">
        <v>44946</v>
      </c>
      <c r="G12" s="69">
        <v>44777</v>
      </c>
      <c r="H12" s="25" t="s">
        <v>99</v>
      </c>
      <c r="I12" s="70" t="s">
        <v>116</v>
      </c>
    </row>
    <row r="13" spans="2:9" ht="30" x14ac:dyDescent="0.25">
      <c r="B13" s="25">
        <v>10</v>
      </c>
      <c r="C13" s="72" t="s">
        <v>107</v>
      </c>
      <c r="D13" s="25">
        <v>181</v>
      </c>
      <c r="E13" s="69">
        <v>44805</v>
      </c>
      <c r="F13" s="69">
        <v>44985</v>
      </c>
      <c r="G13" s="69">
        <v>44805</v>
      </c>
      <c r="H13" s="25" t="s">
        <v>99</v>
      </c>
      <c r="I13" s="70" t="s">
        <v>117</v>
      </c>
    </row>
    <row r="14" spans="2:9" ht="30" x14ac:dyDescent="0.25">
      <c r="B14" s="25">
        <v>11</v>
      </c>
      <c r="C14" s="72" t="s">
        <v>108</v>
      </c>
      <c r="D14" s="25">
        <v>153</v>
      </c>
      <c r="E14" s="69">
        <v>44866</v>
      </c>
      <c r="F14" s="69">
        <v>45018</v>
      </c>
      <c r="G14" s="69">
        <v>44866</v>
      </c>
      <c r="H14" s="25" t="s">
        <v>99</v>
      </c>
      <c r="I14" s="70" t="s">
        <v>118</v>
      </c>
    </row>
    <row r="15" spans="2:9" ht="30" x14ac:dyDescent="0.25">
      <c r="B15" s="25">
        <v>12</v>
      </c>
      <c r="C15" s="72" t="s">
        <v>109</v>
      </c>
      <c r="D15" s="25">
        <v>150</v>
      </c>
      <c r="E15" s="69">
        <v>44927</v>
      </c>
      <c r="F15" s="69">
        <v>45076</v>
      </c>
      <c r="G15" s="25" t="s">
        <v>99</v>
      </c>
      <c r="H15" s="25" t="s">
        <v>99</v>
      </c>
      <c r="I15" s="25" t="s">
        <v>119</v>
      </c>
    </row>
    <row r="16" spans="2:9" x14ac:dyDescent="0.25">
      <c r="B16" s="25">
        <v>13</v>
      </c>
      <c r="C16" s="72" t="s">
        <v>110</v>
      </c>
      <c r="D16" s="25">
        <v>147</v>
      </c>
      <c r="E16" s="69">
        <v>44900</v>
      </c>
      <c r="F16" s="69">
        <v>45046</v>
      </c>
      <c r="G16" s="25" t="s">
        <v>99</v>
      </c>
      <c r="H16" s="25" t="s">
        <v>99</v>
      </c>
      <c r="I16" s="25" t="s">
        <v>119</v>
      </c>
    </row>
    <row r="17" spans="2:9" x14ac:dyDescent="0.25">
      <c r="B17" s="25">
        <v>14</v>
      </c>
      <c r="C17" s="72" t="s">
        <v>111</v>
      </c>
      <c r="D17" s="25"/>
      <c r="E17" s="69">
        <v>45076</v>
      </c>
      <c r="F17" s="69">
        <v>45076</v>
      </c>
      <c r="G17" s="25" t="s">
        <v>99</v>
      </c>
      <c r="H17" s="25" t="s">
        <v>99</v>
      </c>
      <c r="I17" s="25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 Certificate</vt:lpstr>
      <vt:lpstr>Cost Assessment</vt:lpstr>
      <vt:lpstr>Progress Calc.</vt:lpstr>
      <vt:lpstr>Means of Finance</vt:lpstr>
      <vt:lpstr>Rough</vt:lpstr>
      <vt:lpstr>Project Schedule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2023-03-06T13:34:37Z</dcterms:modified>
</cp:coreProperties>
</file>