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5EFCF556-D8AD-4518-89CF-AB15F9B2C37C}" xr6:coauthVersionLast="47" xr6:coauthVersionMax="47" xr10:uidLastSave="{00000000-0000-0000-0000-000000000000}"/>
  <bookViews>
    <workbookView xWindow="-120" yWindow="-120" windowWidth="21840" windowHeight="13140" firstSheet="2" activeTab="5" xr2:uid="{00000000-000D-0000-FFFF-FFFF00000000}"/>
  </bookViews>
  <sheets>
    <sheet name="Payback Period" sheetId="18" r:id="rId1"/>
    <sheet name="BS" sheetId="8" r:id="rId2"/>
    <sheet name="CFS" sheetId="9" r:id="rId3"/>
    <sheet name="Sheet2" sheetId="11" state="hidden" r:id="rId4"/>
    <sheet name="Sheet3" sheetId="13" r:id="rId5"/>
    <sheet name="P&amp;L" sheetId="7" r:id="rId6"/>
    <sheet name="DCF Valuation (1)" sheetId="17" r:id="rId7"/>
    <sheet name="DCF Valuation (2)" sheetId="20" r:id="rId8"/>
    <sheet name="DCF Valuation (3)" sheetId="19" r:id="rId9"/>
    <sheet name="Discount Rate" sheetId="16" r:id="rId10"/>
    <sheet name="Relative Valuation RK" sheetId="10" state="hidden" r:id="rId11"/>
  </sheets>
  <calcPr calcId="181029"/>
</workbook>
</file>

<file path=xl/calcChain.xml><?xml version="1.0" encoding="utf-8"?>
<calcChain xmlns="http://schemas.openxmlformats.org/spreadsheetml/2006/main">
  <c r="I34" i="7" l="1"/>
  <c r="D23" i="7"/>
  <c r="E23" i="7"/>
  <c r="F23" i="7"/>
  <c r="G23" i="7"/>
  <c r="H23" i="7"/>
  <c r="I23" i="7"/>
  <c r="C23" i="7"/>
  <c r="I22" i="7"/>
  <c r="H29" i="20"/>
  <c r="I29" i="20" s="1"/>
  <c r="J29" i="20" s="1"/>
  <c r="K29" i="20" s="1"/>
  <c r="L29" i="20" s="1"/>
  <c r="L24" i="20"/>
  <c r="M20" i="20"/>
  <c r="L20" i="20"/>
  <c r="K20" i="20"/>
  <c r="J20" i="20"/>
  <c r="I20" i="20"/>
  <c r="H20" i="20"/>
  <c r="G15" i="20"/>
  <c r="F15" i="20"/>
  <c r="E15" i="20"/>
  <c r="D15" i="20"/>
  <c r="C15" i="20"/>
  <c r="U11" i="20"/>
  <c r="T11" i="20"/>
  <c r="S11" i="20"/>
  <c r="R11" i="20"/>
  <c r="Q11" i="20"/>
  <c r="U10" i="20"/>
  <c r="T10" i="20"/>
  <c r="S10" i="20"/>
  <c r="R10" i="20"/>
  <c r="Q10" i="20"/>
  <c r="G9" i="20"/>
  <c r="U9" i="20" s="1"/>
  <c r="F9" i="20"/>
  <c r="F10" i="20" s="1"/>
  <c r="F16" i="20" s="1"/>
  <c r="F18" i="20" s="1"/>
  <c r="E9" i="20"/>
  <c r="S9" i="20" s="1"/>
  <c r="D9" i="20"/>
  <c r="R9" i="20" s="1"/>
  <c r="C9" i="20"/>
  <c r="C10" i="20" s="1"/>
  <c r="C16" i="20" s="1"/>
  <c r="C18" i="20" s="1"/>
  <c r="R8" i="20"/>
  <c r="S8" i="20" s="1"/>
  <c r="T8" i="20" s="1"/>
  <c r="U8" i="20" s="1"/>
  <c r="H8" i="20"/>
  <c r="I8" i="20" s="1"/>
  <c r="F6" i="20"/>
  <c r="G6" i="20" s="1"/>
  <c r="H6" i="20" s="1"/>
  <c r="I6" i="20" s="1"/>
  <c r="J6" i="20" s="1"/>
  <c r="K6" i="20" s="1"/>
  <c r="L6" i="20" s="1"/>
  <c r="E6" i="20"/>
  <c r="D6" i="20"/>
  <c r="H29" i="19"/>
  <c r="I29" i="19" s="1"/>
  <c r="J29" i="19" s="1"/>
  <c r="K29" i="19" s="1"/>
  <c r="L29" i="19" s="1"/>
  <c r="L24" i="19"/>
  <c r="M20" i="19"/>
  <c r="L20" i="19"/>
  <c r="K20" i="19"/>
  <c r="J20" i="19"/>
  <c r="I20" i="19"/>
  <c r="H20" i="19"/>
  <c r="G15" i="19"/>
  <c r="F15" i="19"/>
  <c r="E15" i="19"/>
  <c r="D15" i="19"/>
  <c r="C15" i="19"/>
  <c r="H14" i="19"/>
  <c r="V12" i="19"/>
  <c r="U11" i="19"/>
  <c r="T11" i="19"/>
  <c r="S11" i="19"/>
  <c r="R11" i="19"/>
  <c r="Q11" i="19"/>
  <c r="V10" i="19"/>
  <c r="U10" i="19"/>
  <c r="T10" i="19"/>
  <c r="S10" i="19"/>
  <c r="R10" i="19"/>
  <c r="W10" i="19" s="1"/>
  <c r="Q10" i="19"/>
  <c r="D10" i="19"/>
  <c r="D16" i="19" s="1"/>
  <c r="D18" i="19" s="1"/>
  <c r="T9" i="19"/>
  <c r="R9" i="19"/>
  <c r="G9" i="19"/>
  <c r="G10" i="19" s="1"/>
  <c r="G16" i="19" s="1"/>
  <c r="G18" i="19" s="1"/>
  <c r="F9" i="19"/>
  <c r="F10" i="19" s="1"/>
  <c r="F16" i="19" s="1"/>
  <c r="F18" i="19" s="1"/>
  <c r="E9" i="19"/>
  <c r="S9" i="19" s="1"/>
  <c r="D9" i="19"/>
  <c r="C9" i="19"/>
  <c r="C10" i="19" s="1"/>
  <c r="C16" i="19" s="1"/>
  <c r="C18" i="19" s="1"/>
  <c r="R8" i="19"/>
  <c r="S8" i="19" s="1"/>
  <c r="T8" i="19" s="1"/>
  <c r="U8" i="19" s="1"/>
  <c r="H8" i="19"/>
  <c r="D6" i="19"/>
  <c r="E6" i="19" s="1"/>
  <c r="F6" i="19" s="1"/>
  <c r="G6" i="19" s="1"/>
  <c r="H6" i="19" s="1"/>
  <c r="I6" i="19" s="1"/>
  <c r="J6" i="19" s="1"/>
  <c r="K6" i="19" s="1"/>
  <c r="L6" i="19" s="1"/>
  <c r="L24" i="17"/>
  <c r="M20" i="17"/>
  <c r="K40" i="8"/>
  <c r="L40" i="8"/>
  <c r="M40" i="8"/>
  <c r="N40" i="8"/>
  <c r="J40" i="8"/>
  <c r="C7" i="16"/>
  <c r="H27" i="19" s="1"/>
  <c r="I30" i="19" s="1"/>
  <c r="D9" i="17"/>
  <c r="R9" i="17" s="1"/>
  <c r="E9" i="17"/>
  <c r="S9" i="17" s="1"/>
  <c r="F9" i="17"/>
  <c r="T9" i="17" s="1"/>
  <c r="G9" i="17"/>
  <c r="U9" i="17" s="1"/>
  <c r="C9" i="17"/>
  <c r="Q9" i="17" s="1"/>
  <c r="Q10" i="17"/>
  <c r="H14" i="17"/>
  <c r="H8" i="17"/>
  <c r="V12" i="17"/>
  <c r="Q11" i="7"/>
  <c r="V10" i="17" s="1"/>
  <c r="Q12" i="7"/>
  <c r="V11" i="17" s="1"/>
  <c r="Q13" i="7"/>
  <c r="V12" i="20" s="1"/>
  <c r="Q10" i="7"/>
  <c r="P10" i="7"/>
  <c r="C4" i="13"/>
  <c r="P19" i="8"/>
  <c r="C5" i="13"/>
  <c r="I18" i="7"/>
  <c r="I28" i="7"/>
  <c r="I16" i="7"/>
  <c r="P21" i="8" s="1"/>
  <c r="I12" i="7"/>
  <c r="H13" i="20" s="1"/>
  <c r="I13" i="7"/>
  <c r="H14" i="20" s="1"/>
  <c r="I11" i="7"/>
  <c r="I14" i="7" s="1"/>
  <c r="I8" i="7"/>
  <c r="H9" i="20" s="1"/>
  <c r="V9" i="20" s="1"/>
  <c r="I7" i="7"/>
  <c r="N11" i="8"/>
  <c r="O20" i="8"/>
  <c r="H28" i="7"/>
  <c r="H34" i="7"/>
  <c r="H14" i="7"/>
  <c r="H9" i="7"/>
  <c r="O10" i="8"/>
  <c r="J10" i="8"/>
  <c r="H60" i="8"/>
  <c r="H47" i="8"/>
  <c r="H41" i="8"/>
  <c r="H33" i="8"/>
  <c r="H21" i="8"/>
  <c r="Z28" i="18"/>
  <c r="AA28" i="18" s="1"/>
  <c r="Z6" i="18"/>
  <c r="AA6" i="18" s="1"/>
  <c r="AB6" i="18" s="1"/>
  <c r="AC6" i="18" s="1"/>
  <c r="AD6" i="18" s="1"/>
  <c r="AE6" i="18" s="1"/>
  <c r="AF6" i="18" s="1"/>
  <c r="AG6" i="18" s="1"/>
  <c r="AH6" i="18" s="1"/>
  <c r="AI6" i="18" s="1"/>
  <c r="AJ6" i="18" s="1"/>
  <c r="AK6" i="18" s="1"/>
  <c r="AL6" i="18" s="1"/>
  <c r="AM6" i="18" s="1"/>
  <c r="AN6" i="18" s="1"/>
  <c r="AO6" i="18" s="1"/>
  <c r="Z8" i="18"/>
  <c r="AA8" i="18" s="1"/>
  <c r="Z9" i="18"/>
  <c r="Z11" i="18"/>
  <c r="Z12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Z23" i="18"/>
  <c r="AA23" i="18"/>
  <c r="AB23" i="18" s="1"/>
  <c r="AC23" i="18" s="1"/>
  <c r="AD23" i="18" s="1"/>
  <c r="AE23" i="18" s="1"/>
  <c r="AF23" i="18" s="1"/>
  <c r="AG23" i="18" s="1"/>
  <c r="AH23" i="18" s="1"/>
  <c r="AI23" i="18" s="1"/>
  <c r="AJ23" i="18" s="1"/>
  <c r="AK23" i="18" s="1"/>
  <c r="AL23" i="18" s="1"/>
  <c r="AM23" i="18" s="1"/>
  <c r="AN23" i="18" s="1"/>
  <c r="AO23" i="18" s="1"/>
  <c r="M28" i="18"/>
  <c r="N28" i="18" s="1"/>
  <c r="H4" i="13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N23" i="18"/>
  <c r="O23" i="18" s="1"/>
  <c r="P23" i="18" s="1"/>
  <c r="Q23" i="18" s="1"/>
  <c r="R23" i="18" s="1"/>
  <c r="S23" i="18" s="1"/>
  <c r="T23" i="18" s="1"/>
  <c r="U23" i="18" s="1"/>
  <c r="V23" i="18" s="1"/>
  <c r="W23" i="18" s="1"/>
  <c r="X23" i="18" s="1"/>
  <c r="Y23" i="18" s="1"/>
  <c r="M8" i="18"/>
  <c r="N8" i="18" s="1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M6" i="18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X6" i="18" s="1"/>
  <c r="Y6" i="18" s="1"/>
  <c r="H28" i="18"/>
  <c r="I28" i="18" s="1"/>
  <c r="J28" i="18" s="1"/>
  <c r="K28" i="18" s="1"/>
  <c r="L28" i="18" s="1"/>
  <c r="L23" i="18"/>
  <c r="L19" i="18"/>
  <c r="K19" i="18"/>
  <c r="J19" i="18"/>
  <c r="I19" i="18"/>
  <c r="H19" i="18"/>
  <c r="G14" i="18"/>
  <c r="F14" i="18"/>
  <c r="E14" i="18"/>
  <c r="D14" i="18"/>
  <c r="C14" i="18"/>
  <c r="BW10" i="18"/>
  <c r="BV10" i="18"/>
  <c r="BU10" i="18"/>
  <c r="BT10" i="18"/>
  <c r="BS10" i="18"/>
  <c r="BW9" i="18"/>
  <c r="BV9" i="18"/>
  <c r="BU9" i="18"/>
  <c r="BT9" i="18"/>
  <c r="BS9" i="18"/>
  <c r="G9" i="18"/>
  <c r="F9" i="18"/>
  <c r="E9" i="18"/>
  <c r="E15" i="18" s="1"/>
  <c r="E17" i="18" s="1"/>
  <c r="D9" i="18"/>
  <c r="C9" i="18"/>
  <c r="C15" i="18" s="1"/>
  <c r="C17" i="18" s="1"/>
  <c r="BT8" i="18"/>
  <c r="BU8" i="18" s="1"/>
  <c r="BV8" i="18" s="1"/>
  <c r="BW8" i="18" s="1"/>
  <c r="H8" i="18"/>
  <c r="H9" i="18" s="1"/>
  <c r="D6" i="18"/>
  <c r="E6" i="18" s="1"/>
  <c r="F6" i="18" s="1"/>
  <c r="G6" i="18" s="1"/>
  <c r="H6" i="18" s="1"/>
  <c r="I6" i="18" s="1"/>
  <c r="J6" i="18" s="1"/>
  <c r="K6" i="18" s="1"/>
  <c r="L6" i="18" s="1"/>
  <c r="H29" i="17"/>
  <c r="P22" i="8" l="1"/>
  <c r="P20" i="8"/>
  <c r="O18" i="8" s="1"/>
  <c r="H10" i="19"/>
  <c r="Q9" i="20"/>
  <c r="D10" i="20"/>
  <c r="D16" i="20" s="1"/>
  <c r="D18" i="20" s="1"/>
  <c r="V10" i="20"/>
  <c r="W10" i="20" s="1"/>
  <c r="I12" i="20" s="1"/>
  <c r="H12" i="20"/>
  <c r="H15" i="20" s="1"/>
  <c r="H12" i="19"/>
  <c r="C6" i="13"/>
  <c r="H12" i="17"/>
  <c r="I8" i="19"/>
  <c r="I13" i="19" s="1"/>
  <c r="H9" i="19"/>
  <c r="V9" i="19" s="1"/>
  <c r="U9" i="19"/>
  <c r="T9" i="20"/>
  <c r="G10" i="20"/>
  <c r="G16" i="20" s="1"/>
  <c r="G18" i="20" s="1"/>
  <c r="H10" i="20"/>
  <c r="H16" i="20" s="1"/>
  <c r="V11" i="20"/>
  <c r="W11" i="20" s="1"/>
  <c r="I13" i="20" s="1"/>
  <c r="H9" i="17"/>
  <c r="V9" i="17" s="1"/>
  <c r="W9" i="17" s="1"/>
  <c r="Q9" i="19"/>
  <c r="V11" i="19"/>
  <c r="W11" i="19" s="1"/>
  <c r="H15" i="7"/>
  <c r="H17" i="7" s="1"/>
  <c r="I9" i="7"/>
  <c r="I15" i="7" s="1"/>
  <c r="H13" i="17"/>
  <c r="H13" i="19"/>
  <c r="H27" i="20"/>
  <c r="I30" i="20" s="1"/>
  <c r="W9" i="20"/>
  <c r="I9" i="20" s="1"/>
  <c r="I10" i="20" s="1"/>
  <c r="J30" i="20"/>
  <c r="E10" i="20"/>
  <c r="E16" i="20" s="1"/>
  <c r="E18" i="20" s="1"/>
  <c r="H30" i="20"/>
  <c r="L30" i="20"/>
  <c r="J8" i="20"/>
  <c r="W9" i="19"/>
  <c r="J30" i="19"/>
  <c r="K30" i="19"/>
  <c r="E10" i="19"/>
  <c r="E16" i="19" s="1"/>
  <c r="E18" i="19" s="1"/>
  <c r="H30" i="19"/>
  <c r="L30" i="19"/>
  <c r="G10" i="17"/>
  <c r="F10" i="17"/>
  <c r="E10" i="17"/>
  <c r="C10" i="17"/>
  <c r="D10" i="17"/>
  <c r="H10" i="17"/>
  <c r="H32" i="7"/>
  <c r="H19" i="7"/>
  <c r="H24" i="7" s="1"/>
  <c r="H31" i="7"/>
  <c r="H34" i="8"/>
  <c r="H61" i="8"/>
  <c r="AB28" i="18"/>
  <c r="AA9" i="18"/>
  <c r="AB8" i="18"/>
  <c r="O28" i="18"/>
  <c r="O8" i="18"/>
  <c r="N9" i="18"/>
  <c r="M9" i="18"/>
  <c r="BX9" i="18"/>
  <c r="BX10" i="18"/>
  <c r="H12" i="18" s="1"/>
  <c r="G10" i="18"/>
  <c r="F10" i="18"/>
  <c r="I8" i="18"/>
  <c r="J8" i="18" s="1"/>
  <c r="K8" i="18" s="1"/>
  <c r="D15" i="18"/>
  <c r="D17" i="18" s="1"/>
  <c r="D10" i="18"/>
  <c r="F15" i="18"/>
  <c r="F17" i="18" s="1"/>
  <c r="E10" i="18"/>
  <c r="G15" i="18"/>
  <c r="G17" i="18" s="1"/>
  <c r="H11" i="18"/>
  <c r="I29" i="17"/>
  <c r="J29" i="17" s="1"/>
  <c r="K29" i="17" s="1"/>
  <c r="L29" i="17" s="1"/>
  <c r="L20" i="17"/>
  <c r="K20" i="17"/>
  <c r="J20" i="17"/>
  <c r="I20" i="17"/>
  <c r="H20" i="17"/>
  <c r="G15" i="17"/>
  <c r="F15" i="17"/>
  <c r="E15" i="17"/>
  <c r="E16" i="17" s="1"/>
  <c r="E18" i="17" s="1"/>
  <c r="D15" i="17"/>
  <c r="C15" i="17"/>
  <c r="U11" i="17"/>
  <c r="T11" i="17"/>
  <c r="S11" i="17"/>
  <c r="R11" i="17"/>
  <c r="Q11" i="17"/>
  <c r="U10" i="17"/>
  <c r="T10" i="17"/>
  <c r="S10" i="17"/>
  <c r="R10" i="17"/>
  <c r="R8" i="17"/>
  <c r="S8" i="17" s="1"/>
  <c r="T8" i="17" s="1"/>
  <c r="U8" i="17" s="1"/>
  <c r="I8" i="17"/>
  <c r="D6" i="17"/>
  <c r="E6" i="17" s="1"/>
  <c r="F6" i="17" s="1"/>
  <c r="G6" i="17" s="1"/>
  <c r="H6" i="17" s="1"/>
  <c r="I6" i="17" s="1"/>
  <c r="J6" i="17" s="1"/>
  <c r="K6" i="17" s="1"/>
  <c r="L6" i="17" s="1"/>
  <c r="J8" i="19" l="1"/>
  <c r="K8" i="19" s="1"/>
  <c r="I12" i="19"/>
  <c r="H17" i="19"/>
  <c r="H22" i="19" s="1"/>
  <c r="H17" i="20"/>
  <c r="H22" i="20" s="1"/>
  <c r="I9" i="19"/>
  <c r="I10" i="19" s="1"/>
  <c r="H18" i="20"/>
  <c r="H21" i="20" s="1"/>
  <c r="H25" i="20" s="1"/>
  <c r="H26" i="20" s="1"/>
  <c r="H32" i="20" s="1"/>
  <c r="H34" i="20" s="1"/>
  <c r="H15" i="19"/>
  <c r="H16" i="19" s="1"/>
  <c r="H18" i="19" s="1"/>
  <c r="H21" i="19" s="1"/>
  <c r="H25" i="19" s="1"/>
  <c r="H26" i="19" s="1"/>
  <c r="H32" i="19" s="1"/>
  <c r="H34" i="19" s="1"/>
  <c r="K30" i="20"/>
  <c r="I9" i="17"/>
  <c r="I10" i="17" s="1"/>
  <c r="J12" i="20"/>
  <c r="J13" i="20"/>
  <c r="K8" i="20"/>
  <c r="J9" i="20"/>
  <c r="J10" i="20" s="1"/>
  <c r="J12" i="19"/>
  <c r="J13" i="19"/>
  <c r="W10" i="17"/>
  <c r="I12" i="17" s="1"/>
  <c r="W11" i="17"/>
  <c r="I13" i="17" s="1"/>
  <c r="C16" i="17"/>
  <c r="C18" i="17" s="1"/>
  <c r="G16" i="17"/>
  <c r="G18" i="17" s="1"/>
  <c r="D16" i="17"/>
  <c r="D18" i="17" s="1"/>
  <c r="I31" i="7"/>
  <c r="I17" i="7"/>
  <c r="H33" i="7"/>
  <c r="H29" i="7"/>
  <c r="H63" i="8"/>
  <c r="AC28" i="18"/>
  <c r="AB9" i="18"/>
  <c r="AC8" i="18"/>
  <c r="AA11" i="18"/>
  <c r="AA12" i="18"/>
  <c r="P28" i="18"/>
  <c r="M12" i="18"/>
  <c r="M11" i="18"/>
  <c r="N12" i="18"/>
  <c r="N11" i="18"/>
  <c r="O9" i="18"/>
  <c r="P8" i="18"/>
  <c r="I9" i="18"/>
  <c r="J9" i="18"/>
  <c r="K9" i="18"/>
  <c r="L8" i="18"/>
  <c r="I12" i="18"/>
  <c r="I11" i="18"/>
  <c r="J8" i="17"/>
  <c r="F16" i="17"/>
  <c r="F18" i="17" s="1"/>
  <c r="C16" i="16"/>
  <c r="C19" i="16" s="1"/>
  <c r="G55" i="11"/>
  <c r="H55" i="11"/>
  <c r="I55" i="11"/>
  <c r="H26" i="18"/>
  <c r="AB29" i="18" s="1"/>
  <c r="J9" i="19" l="1"/>
  <c r="J10" i="19" s="1"/>
  <c r="L8" i="20"/>
  <c r="K9" i="20"/>
  <c r="K10" i="20" s="1"/>
  <c r="K13" i="20"/>
  <c r="K12" i="20"/>
  <c r="L8" i="19"/>
  <c r="K9" i="19"/>
  <c r="K10" i="19" s="1"/>
  <c r="K13" i="19"/>
  <c r="K12" i="19"/>
  <c r="J9" i="17"/>
  <c r="J10" i="17" s="1"/>
  <c r="J13" i="17"/>
  <c r="J12" i="17"/>
  <c r="Z29" i="18"/>
  <c r="M29" i="18"/>
  <c r="J29" i="18"/>
  <c r="I29" i="18"/>
  <c r="H29" i="18"/>
  <c r="K29" i="18"/>
  <c r="AA29" i="18"/>
  <c r="L29" i="18"/>
  <c r="N29" i="18"/>
  <c r="O29" i="18"/>
  <c r="I32" i="7"/>
  <c r="I19" i="7"/>
  <c r="I24" i="7" s="1"/>
  <c r="AD28" i="18"/>
  <c r="AC29" i="18"/>
  <c r="AD8" i="18"/>
  <c r="AC9" i="18"/>
  <c r="AB11" i="18"/>
  <c r="AB12" i="18"/>
  <c r="Q28" i="18"/>
  <c r="P29" i="18"/>
  <c r="Q8" i="18"/>
  <c r="P9" i="18"/>
  <c r="O11" i="18"/>
  <c r="O12" i="18"/>
  <c r="J11" i="18"/>
  <c r="J12" i="18"/>
  <c r="L9" i="18"/>
  <c r="K12" i="18"/>
  <c r="K11" i="18"/>
  <c r="H27" i="17"/>
  <c r="K8" i="17"/>
  <c r="M10" i="7"/>
  <c r="N10" i="7"/>
  <c r="O10" i="7"/>
  <c r="L10" i="7"/>
  <c r="L12" i="7"/>
  <c r="M12" i="7"/>
  <c r="N12" i="7"/>
  <c r="O12" i="7"/>
  <c r="P12" i="7"/>
  <c r="L13" i="7"/>
  <c r="M13" i="7"/>
  <c r="N13" i="7"/>
  <c r="O13" i="7"/>
  <c r="P13" i="7"/>
  <c r="M11" i="7"/>
  <c r="N11" i="7"/>
  <c r="O11" i="7"/>
  <c r="P11" i="7"/>
  <c r="L11" i="7"/>
  <c r="N15" i="7"/>
  <c r="O15" i="7"/>
  <c r="P15" i="7"/>
  <c r="M15" i="7"/>
  <c r="N18" i="7"/>
  <c r="N19" i="7" s="1"/>
  <c r="L18" i="7"/>
  <c r="L19" i="7" s="1"/>
  <c r="M16" i="7"/>
  <c r="M18" i="7" s="1"/>
  <c r="M19" i="7" s="1"/>
  <c r="N16" i="7"/>
  <c r="O16" i="7"/>
  <c r="O18" i="7" s="1"/>
  <c r="O19" i="7" s="1"/>
  <c r="P16" i="7"/>
  <c r="P18" i="7" s="1"/>
  <c r="P19" i="7" s="1"/>
  <c r="L16" i="7"/>
  <c r="L19" i="8"/>
  <c r="M19" i="8" s="1"/>
  <c r="N19" i="8" s="1"/>
  <c r="O19" i="8" s="1"/>
  <c r="L20" i="8"/>
  <c r="M20" i="8"/>
  <c r="N20" i="8"/>
  <c r="K20" i="8"/>
  <c r="D4" i="13"/>
  <c r="E4" i="13" s="1"/>
  <c r="F4" i="13" s="1"/>
  <c r="G4" i="13" s="1"/>
  <c r="Q12" i="20" l="1"/>
  <c r="Q12" i="19"/>
  <c r="T12" i="19"/>
  <c r="T12" i="20"/>
  <c r="S12" i="20"/>
  <c r="S12" i="19"/>
  <c r="R12" i="19"/>
  <c r="R12" i="20"/>
  <c r="U12" i="20"/>
  <c r="U12" i="19"/>
  <c r="L9" i="20"/>
  <c r="L10" i="20" s="1"/>
  <c r="L13" i="20"/>
  <c r="L12" i="20"/>
  <c r="M8" i="20"/>
  <c r="L9" i="19"/>
  <c r="M8" i="19"/>
  <c r="L13" i="19"/>
  <c r="L12" i="19"/>
  <c r="L10" i="19"/>
  <c r="K9" i="17"/>
  <c r="K10" i="17" s="1"/>
  <c r="K13" i="17"/>
  <c r="K12" i="17"/>
  <c r="I33" i="7"/>
  <c r="I29" i="7"/>
  <c r="BW11" i="18"/>
  <c r="U12" i="17"/>
  <c r="BV11" i="18"/>
  <c r="T12" i="17"/>
  <c r="BS11" i="18"/>
  <c r="Q12" i="17"/>
  <c r="BT11" i="18"/>
  <c r="R12" i="17"/>
  <c r="BU11" i="18"/>
  <c r="S12" i="17"/>
  <c r="AD29" i="18"/>
  <c r="AE28" i="18"/>
  <c r="AC11" i="18"/>
  <c r="AC12" i="18"/>
  <c r="AD9" i="18"/>
  <c r="AE8" i="18"/>
  <c r="Q29" i="18"/>
  <c r="R28" i="18"/>
  <c r="P11" i="18"/>
  <c r="P12" i="18"/>
  <c r="R8" i="18"/>
  <c r="Q9" i="18"/>
  <c r="L12" i="18"/>
  <c r="L11" i="18"/>
  <c r="J30" i="17"/>
  <c r="K30" i="17"/>
  <c r="I30" i="17"/>
  <c r="H30" i="17"/>
  <c r="L30" i="17"/>
  <c r="L8" i="17"/>
  <c r="M8" i="17" s="1"/>
  <c r="L21" i="8"/>
  <c r="L22" i="8" s="1"/>
  <c r="M21" i="8"/>
  <c r="N21" i="8"/>
  <c r="N22" i="8" s="1"/>
  <c r="O21" i="8"/>
  <c r="O22" i="8" s="1"/>
  <c r="K21" i="8"/>
  <c r="W12" i="19" l="1"/>
  <c r="W12" i="20"/>
  <c r="M13" i="20"/>
  <c r="M14" i="20"/>
  <c r="M12" i="20"/>
  <c r="M9" i="20"/>
  <c r="M10" i="20" s="1"/>
  <c r="M13" i="19"/>
  <c r="M12" i="19"/>
  <c r="M9" i="19"/>
  <c r="M10" i="19" s="1"/>
  <c r="M14" i="19"/>
  <c r="M13" i="17"/>
  <c r="M9" i="17"/>
  <c r="M10" i="17" s="1"/>
  <c r="M12" i="17"/>
  <c r="L9" i="17"/>
  <c r="L10" i="17" s="1"/>
  <c r="L13" i="17"/>
  <c r="L12" i="17"/>
  <c r="W12" i="17"/>
  <c r="L14" i="17" s="1"/>
  <c r="BX11" i="18"/>
  <c r="AC13" i="18" s="1"/>
  <c r="H13" i="18"/>
  <c r="H14" i="18" s="1"/>
  <c r="H15" i="18" s="1"/>
  <c r="N13" i="18"/>
  <c r="N14" i="18" s="1"/>
  <c r="N15" i="18" s="1"/>
  <c r="M13" i="18"/>
  <c r="M14" i="18" s="1"/>
  <c r="M15" i="18" s="1"/>
  <c r="I13" i="18"/>
  <c r="I14" i="18" s="1"/>
  <c r="I15" i="18" s="1"/>
  <c r="K13" i="18"/>
  <c r="K14" i="18" s="1"/>
  <c r="K15" i="18" s="1"/>
  <c r="AB13" i="18"/>
  <c r="AB14" i="18" s="1"/>
  <c r="AB15" i="18" s="1"/>
  <c r="AB17" i="18" s="1"/>
  <c r="AB20" i="18" s="1"/>
  <c r="AB24" i="18" s="1"/>
  <c r="J13" i="18"/>
  <c r="J14" i="18" s="1"/>
  <c r="J15" i="18" s="1"/>
  <c r="O13" i="18"/>
  <c r="O14" i="18" s="1"/>
  <c r="O15" i="18" s="1"/>
  <c r="L13" i="18"/>
  <c r="L14" i="18" s="1"/>
  <c r="L15" i="18" s="1"/>
  <c r="P13" i="18"/>
  <c r="P14" i="18" s="1"/>
  <c r="P15" i="18" s="1"/>
  <c r="AE29" i="18"/>
  <c r="AF28" i="18"/>
  <c r="AE9" i="18"/>
  <c r="AF8" i="18"/>
  <c r="AD11" i="18"/>
  <c r="AD12" i="18"/>
  <c r="AD13" i="18"/>
  <c r="AC14" i="18"/>
  <c r="AC15" i="18" s="1"/>
  <c r="AC17" i="18" s="1"/>
  <c r="AC20" i="18" s="1"/>
  <c r="AC24" i="18" s="1"/>
  <c r="S28" i="18"/>
  <c r="R29" i="18"/>
  <c r="Q13" i="18"/>
  <c r="Q11" i="18"/>
  <c r="Q12" i="18"/>
  <c r="S8" i="18"/>
  <c r="R9" i="18"/>
  <c r="M22" i="8"/>
  <c r="L23" i="8" s="1"/>
  <c r="Z13" i="18" l="1"/>
  <c r="Z14" i="18" s="1"/>
  <c r="Z15" i="18" s="1"/>
  <c r="Z17" i="18" s="1"/>
  <c r="Z20" i="18" s="1"/>
  <c r="Z24" i="18" s="1"/>
  <c r="I14" i="19"/>
  <c r="I15" i="19" s="1"/>
  <c r="I16" i="19" s="1"/>
  <c r="J14" i="19"/>
  <c r="J15" i="19" s="1"/>
  <c r="J16" i="19" s="1"/>
  <c r="K14" i="19"/>
  <c r="K15" i="19" s="1"/>
  <c r="K16" i="19" s="1"/>
  <c r="L14" i="19"/>
  <c r="L15" i="19" s="1"/>
  <c r="L16" i="19" s="1"/>
  <c r="AA13" i="18"/>
  <c r="AA14" i="18" s="1"/>
  <c r="AA15" i="18" s="1"/>
  <c r="AA17" i="18" s="1"/>
  <c r="AA20" i="18" s="1"/>
  <c r="AA24" i="18" s="1"/>
  <c r="AA25" i="18" s="1"/>
  <c r="M15" i="20"/>
  <c r="M16" i="20" s="1"/>
  <c r="I14" i="20"/>
  <c r="I15" i="20" s="1"/>
  <c r="I16" i="20" s="1"/>
  <c r="J14" i="20"/>
  <c r="J15" i="20" s="1"/>
  <c r="J16" i="20" s="1"/>
  <c r="K14" i="20"/>
  <c r="K15" i="20" s="1"/>
  <c r="K16" i="20" s="1"/>
  <c r="L14" i="20"/>
  <c r="L15" i="20" s="1"/>
  <c r="L16" i="20" s="1"/>
  <c r="M15" i="19"/>
  <c r="M16" i="19" s="1"/>
  <c r="M14" i="17"/>
  <c r="M15" i="17" s="1"/>
  <c r="M16" i="17" s="1"/>
  <c r="I14" i="17"/>
  <c r="I15" i="17" s="1"/>
  <c r="I16" i="17" s="1"/>
  <c r="J14" i="17"/>
  <c r="J15" i="17" s="1"/>
  <c r="J16" i="17" s="1"/>
  <c r="K14" i="17"/>
  <c r="K15" i="17" s="1"/>
  <c r="K16" i="17" s="1"/>
  <c r="AA31" i="18"/>
  <c r="AA33" i="18" s="1"/>
  <c r="AC25" i="18"/>
  <c r="AC31" i="18"/>
  <c r="AC33" i="18" s="1"/>
  <c r="H15" i="17"/>
  <c r="H16" i="17" s="1"/>
  <c r="Z25" i="18"/>
  <c r="Z31" i="18"/>
  <c r="Z33" i="18" s="1"/>
  <c r="AB25" i="18"/>
  <c r="AB31" i="18"/>
  <c r="AB33" i="18" s="1"/>
  <c r="H16" i="18"/>
  <c r="H17" i="17"/>
  <c r="C7" i="13"/>
  <c r="D5" i="13" s="1"/>
  <c r="D6" i="13" s="1"/>
  <c r="AF29" i="18"/>
  <c r="AG28" i="18"/>
  <c r="AF9" i="18"/>
  <c r="AG8" i="18"/>
  <c r="AD14" i="18"/>
  <c r="AD15" i="18" s="1"/>
  <c r="AD17" i="18" s="1"/>
  <c r="AD20" i="18" s="1"/>
  <c r="AD24" i="18" s="1"/>
  <c r="AE11" i="18"/>
  <c r="AE12" i="18"/>
  <c r="AE13" i="18"/>
  <c r="T28" i="18"/>
  <c r="S29" i="18"/>
  <c r="Q14" i="18"/>
  <c r="Q15" i="18" s="1"/>
  <c r="R12" i="18"/>
  <c r="R13" i="18"/>
  <c r="R11" i="18"/>
  <c r="T8" i="18"/>
  <c r="S9" i="18"/>
  <c r="L32" i="18"/>
  <c r="I17" i="20" l="1"/>
  <c r="I22" i="20" s="1"/>
  <c r="I17" i="19"/>
  <c r="I22" i="19" s="1"/>
  <c r="AD25" i="18"/>
  <c r="AD31" i="18"/>
  <c r="AD33" i="18" s="1"/>
  <c r="R14" i="18"/>
  <c r="R15" i="18" s="1"/>
  <c r="I16" i="18"/>
  <c r="I17" i="17"/>
  <c r="H22" i="17"/>
  <c r="H18" i="17"/>
  <c r="H21" i="17" s="1"/>
  <c r="H25" i="17" s="1"/>
  <c r="H26" i="17" s="1"/>
  <c r="H32" i="17" s="1"/>
  <c r="H34" i="17" s="1"/>
  <c r="H21" i="18"/>
  <c r="H17" i="18"/>
  <c r="H20" i="18" s="1"/>
  <c r="AH28" i="18"/>
  <c r="AG29" i="18"/>
  <c r="AE14" i="18"/>
  <c r="AE15" i="18" s="1"/>
  <c r="AE17" i="18" s="1"/>
  <c r="AE20" i="18" s="1"/>
  <c r="AE24" i="18" s="1"/>
  <c r="AH8" i="18"/>
  <c r="AG9" i="18"/>
  <c r="AF11" i="18"/>
  <c r="AF12" i="18"/>
  <c r="AF13" i="18"/>
  <c r="U28" i="18"/>
  <c r="T29" i="18"/>
  <c r="S11" i="18"/>
  <c r="S12" i="18"/>
  <c r="S13" i="18"/>
  <c r="U8" i="18"/>
  <c r="T9" i="18"/>
  <c r="L15" i="17"/>
  <c r="L16" i="17" s="1"/>
  <c r="D7" i="13"/>
  <c r="E5" i="13" s="1"/>
  <c r="E6" i="13" s="1"/>
  <c r="I18" i="20" l="1"/>
  <c r="I21" i="20" s="1"/>
  <c r="I25" i="20" s="1"/>
  <c r="I18" i="19"/>
  <c r="I21" i="19" s="1"/>
  <c r="I25" i="19" s="1"/>
  <c r="J17" i="19"/>
  <c r="J17" i="20"/>
  <c r="H24" i="18"/>
  <c r="H25" i="18" s="1"/>
  <c r="H31" i="18" s="1"/>
  <c r="H33" i="18" s="1"/>
  <c r="AE25" i="18"/>
  <c r="AE31" i="18"/>
  <c r="AE33" i="18" s="1"/>
  <c r="J16" i="18"/>
  <c r="J17" i="17"/>
  <c r="I22" i="17"/>
  <c r="I18" i="17"/>
  <c r="I21" i="17" s="1"/>
  <c r="I25" i="17" s="1"/>
  <c r="I21" i="18"/>
  <c r="I17" i="18"/>
  <c r="I20" i="18" s="1"/>
  <c r="AH29" i="18"/>
  <c r="AI28" i="18"/>
  <c r="AF14" i="18"/>
  <c r="AF15" i="18" s="1"/>
  <c r="AF17" i="18" s="1"/>
  <c r="AF20" i="18" s="1"/>
  <c r="AF24" i="18" s="1"/>
  <c r="AG11" i="18"/>
  <c r="AG12" i="18"/>
  <c r="AG13" i="18"/>
  <c r="AH9" i="18"/>
  <c r="AI8" i="18"/>
  <c r="U29" i="18"/>
  <c r="V28" i="18"/>
  <c r="V8" i="18"/>
  <c r="U9" i="18"/>
  <c r="T11" i="18"/>
  <c r="T12" i="18"/>
  <c r="T13" i="18"/>
  <c r="S14" i="18"/>
  <c r="S15" i="18" s="1"/>
  <c r="E7" i="13"/>
  <c r="F5" i="13" s="1"/>
  <c r="F6" i="13" s="1"/>
  <c r="J22" i="19" l="1"/>
  <c r="J18" i="19"/>
  <c r="J21" i="19" s="1"/>
  <c r="J25" i="19" s="1"/>
  <c r="J22" i="20"/>
  <c r="J18" i="20"/>
  <c r="J21" i="20" s="1"/>
  <c r="J25" i="20" s="1"/>
  <c r="K17" i="20"/>
  <c r="K17" i="19"/>
  <c r="I26" i="19"/>
  <c r="I32" i="19"/>
  <c r="I34" i="19" s="1"/>
  <c r="I32" i="20"/>
  <c r="I34" i="20" s="1"/>
  <c r="I26" i="20"/>
  <c r="AF25" i="18"/>
  <c r="AF31" i="18"/>
  <c r="AF33" i="18" s="1"/>
  <c r="I26" i="17"/>
  <c r="I32" i="17"/>
  <c r="I34" i="17" s="1"/>
  <c r="I24" i="18"/>
  <c r="J22" i="17"/>
  <c r="J18" i="17"/>
  <c r="J21" i="17" s="1"/>
  <c r="K16" i="18"/>
  <c r="K17" i="17"/>
  <c r="J21" i="18"/>
  <c r="J17" i="18"/>
  <c r="J20" i="18" s="1"/>
  <c r="AI29" i="18"/>
  <c r="AJ28" i="18"/>
  <c r="AI9" i="18"/>
  <c r="AJ8" i="18"/>
  <c r="AH11" i="18"/>
  <c r="AH12" i="18"/>
  <c r="AH13" i="18"/>
  <c r="AG14" i="18"/>
  <c r="AG15" i="18" s="1"/>
  <c r="AG17" i="18" s="1"/>
  <c r="AG20" i="18" s="1"/>
  <c r="AG24" i="18" s="1"/>
  <c r="W28" i="18"/>
  <c r="V29" i="18"/>
  <c r="W8" i="18"/>
  <c r="V9" i="18"/>
  <c r="T14" i="18"/>
  <c r="T15" i="18" s="1"/>
  <c r="U13" i="18"/>
  <c r="U12" i="18"/>
  <c r="U11" i="18"/>
  <c r="U14" i="18" s="1"/>
  <c r="U15" i="18" s="1"/>
  <c r="F7" i="13"/>
  <c r="J26" i="20" l="1"/>
  <c r="J32" i="20"/>
  <c r="J34" i="20" s="1"/>
  <c r="K22" i="19"/>
  <c r="K18" i="19"/>
  <c r="K21" i="19" s="1"/>
  <c r="K25" i="19" s="1"/>
  <c r="J32" i="19"/>
  <c r="J34" i="19" s="1"/>
  <c r="J26" i="19"/>
  <c r="K22" i="20"/>
  <c r="K18" i="20"/>
  <c r="K21" i="20" s="1"/>
  <c r="K25" i="20" s="1"/>
  <c r="AG25" i="18"/>
  <c r="AG31" i="18"/>
  <c r="AG33" i="18" s="1"/>
  <c r="AH14" i="18"/>
  <c r="AH15" i="18" s="1"/>
  <c r="AH17" i="18" s="1"/>
  <c r="AH20" i="18" s="1"/>
  <c r="AH24" i="18" s="1"/>
  <c r="K22" i="17"/>
  <c r="K18" i="17"/>
  <c r="K21" i="17" s="1"/>
  <c r="I31" i="18"/>
  <c r="I33" i="18" s="1"/>
  <c r="I25" i="18"/>
  <c r="K21" i="18"/>
  <c r="K17" i="18"/>
  <c r="K20" i="18" s="1"/>
  <c r="G5" i="13"/>
  <c r="G6" i="13" s="1"/>
  <c r="J24" i="18"/>
  <c r="J25" i="17"/>
  <c r="AJ29" i="18"/>
  <c r="AK28" i="18"/>
  <c r="AJ9" i="18"/>
  <c r="AK8" i="18"/>
  <c r="AI11" i="18"/>
  <c r="AI12" i="18"/>
  <c r="AI13" i="18"/>
  <c r="X28" i="18"/>
  <c r="W29" i="18"/>
  <c r="V12" i="18"/>
  <c r="V11" i="18"/>
  <c r="V13" i="18"/>
  <c r="W9" i="18"/>
  <c r="X8" i="18"/>
  <c r="K32" i="19" l="1"/>
  <c r="K34" i="19" s="1"/>
  <c r="K26" i="19"/>
  <c r="K26" i="20"/>
  <c r="K32" i="20"/>
  <c r="K34" i="20" s="1"/>
  <c r="L17" i="19"/>
  <c r="L17" i="20"/>
  <c r="K24" i="18"/>
  <c r="K25" i="17"/>
  <c r="K26" i="17" s="1"/>
  <c r="AH25" i="18"/>
  <c r="AH31" i="18"/>
  <c r="AH33" i="18" s="1"/>
  <c r="L16" i="18"/>
  <c r="L17" i="17"/>
  <c r="M17" i="17" s="1"/>
  <c r="G7" i="13"/>
  <c r="H5" i="13" s="1"/>
  <c r="J26" i="17"/>
  <c r="J32" i="17"/>
  <c r="J34" i="17" s="1"/>
  <c r="K31" i="18"/>
  <c r="K33" i="18" s="1"/>
  <c r="K25" i="18"/>
  <c r="J31" i="18"/>
  <c r="J33" i="18" s="1"/>
  <c r="J25" i="18"/>
  <c r="AL28" i="18"/>
  <c r="AK29" i="18"/>
  <c r="AI14" i="18"/>
  <c r="AI15" i="18" s="1"/>
  <c r="AI17" i="18" s="1"/>
  <c r="AI20" i="18" s="1"/>
  <c r="AI24" i="18" s="1"/>
  <c r="AL8" i="18"/>
  <c r="AK9" i="18"/>
  <c r="AJ11" i="18"/>
  <c r="AJ14" i="18" s="1"/>
  <c r="AJ15" i="18" s="1"/>
  <c r="AJ17" i="18" s="1"/>
  <c r="AJ20" i="18" s="1"/>
  <c r="AJ24" i="18" s="1"/>
  <c r="AJ25" i="18" s="1"/>
  <c r="AJ12" i="18"/>
  <c r="AJ13" i="18"/>
  <c r="Y28" i="18"/>
  <c r="Y29" i="18" s="1"/>
  <c r="X29" i="18"/>
  <c r="V14" i="18"/>
  <c r="V15" i="18" s="1"/>
  <c r="Y8" i="18"/>
  <c r="Y9" i="18" s="1"/>
  <c r="X9" i="18"/>
  <c r="W11" i="18"/>
  <c r="W14" i="18" s="1"/>
  <c r="W15" i="18" s="1"/>
  <c r="W12" i="18"/>
  <c r="W13" i="18"/>
  <c r="L22" i="20" l="1"/>
  <c r="M17" i="20"/>
  <c r="L18" i="20"/>
  <c r="L21" i="20" s="1"/>
  <c r="L25" i="20" s="1"/>
  <c r="L22" i="19"/>
  <c r="M17" i="19"/>
  <c r="L18" i="19"/>
  <c r="L21" i="19" s="1"/>
  <c r="M22" i="17"/>
  <c r="M18" i="17"/>
  <c r="M21" i="17" s="1"/>
  <c r="K32" i="17"/>
  <c r="K34" i="17" s="1"/>
  <c r="AJ31" i="18"/>
  <c r="AJ33" i="18" s="1"/>
  <c r="AI25" i="18"/>
  <c r="AI31" i="18"/>
  <c r="AI33" i="18" s="1"/>
  <c r="L22" i="17"/>
  <c r="L18" i="17"/>
  <c r="L21" i="17" s="1"/>
  <c r="H6" i="13"/>
  <c r="M16" i="18" s="1"/>
  <c r="L21" i="18"/>
  <c r="L17" i="18"/>
  <c r="L20" i="18" s="1"/>
  <c r="AL29" i="18"/>
  <c r="AM28" i="18"/>
  <c r="AK11" i="18"/>
  <c r="AK12" i="18"/>
  <c r="AK13" i="18"/>
  <c r="AL9" i="18"/>
  <c r="AM8" i="18"/>
  <c r="X11" i="18"/>
  <c r="X13" i="18"/>
  <c r="X12" i="18"/>
  <c r="Y13" i="18"/>
  <c r="Y12" i="18"/>
  <c r="Y11" i="18"/>
  <c r="L32" i="20" l="1"/>
  <c r="L26" i="20"/>
  <c r="L25" i="19"/>
  <c r="M22" i="20"/>
  <c r="M18" i="20"/>
  <c r="M21" i="20" s="1"/>
  <c r="M22" i="19"/>
  <c r="M18" i="19"/>
  <c r="M21" i="19" s="1"/>
  <c r="M25" i="19" s="1"/>
  <c r="M25" i="17"/>
  <c r="M26" i="17" s="1"/>
  <c r="L25" i="17"/>
  <c r="L26" i="17" s="1"/>
  <c r="H7" i="13"/>
  <c r="I5" i="13" s="1"/>
  <c r="I6" i="13" s="1"/>
  <c r="N16" i="18" s="1"/>
  <c r="M21" i="18"/>
  <c r="M17" i="18"/>
  <c r="M20" i="18" s="1"/>
  <c r="L24" i="18"/>
  <c r="AM29" i="18"/>
  <c r="AN28" i="18"/>
  <c r="AM9" i="18"/>
  <c r="AN8" i="18"/>
  <c r="AL11" i="18"/>
  <c r="AL12" i="18"/>
  <c r="AL13" i="18"/>
  <c r="AK14" i="18"/>
  <c r="AK15" i="18" s="1"/>
  <c r="AK17" i="18" s="1"/>
  <c r="AK20" i="18" s="1"/>
  <c r="AK24" i="18" s="1"/>
  <c r="Y14" i="18"/>
  <c r="Y15" i="18" s="1"/>
  <c r="X14" i="18"/>
  <c r="X15" i="18" s="1"/>
  <c r="K15" i="10"/>
  <c r="J9" i="10"/>
  <c r="J10" i="10"/>
  <c r="J11" i="10"/>
  <c r="J12" i="10"/>
  <c r="J13" i="10"/>
  <c r="J8" i="10"/>
  <c r="J43" i="11"/>
  <c r="I43" i="11"/>
  <c r="H43" i="11"/>
  <c r="G43" i="11"/>
  <c r="F43" i="11"/>
  <c r="J35" i="11"/>
  <c r="I35" i="11"/>
  <c r="H35" i="11"/>
  <c r="G35" i="11"/>
  <c r="F35" i="11"/>
  <c r="J30" i="11"/>
  <c r="I30" i="11"/>
  <c r="H30" i="11"/>
  <c r="H36" i="11" s="1"/>
  <c r="H38" i="11" s="1"/>
  <c r="H40" i="11" s="1"/>
  <c r="G30" i="11"/>
  <c r="F30" i="11"/>
  <c r="G27" i="11"/>
  <c r="H27" i="11" s="1"/>
  <c r="I27" i="11" s="1"/>
  <c r="J27" i="11" s="1"/>
  <c r="L31" i="19" l="1"/>
  <c r="L33" i="19" s="1"/>
  <c r="M26" i="19"/>
  <c r="L26" i="19"/>
  <c r="L32" i="19"/>
  <c r="L34" i="19" s="1"/>
  <c r="H35" i="19" s="1"/>
  <c r="M25" i="20"/>
  <c r="L31" i="17"/>
  <c r="L32" i="17"/>
  <c r="AK25" i="18"/>
  <c r="AK31" i="18"/>
  <c r="AK33" i="18" s="1"/>
  <c r="I7" i="13"/>
  <c r="J5" i="13" s="1"/>
  <c r="J6" i="13" s="1"/>
  <c r="O16" i="18" s="1"/>
  <c r="M24" i="18"/>
  <c r="M31" i="18" s="1"/>
  <c r="M33" i="18" s="1"/>
  <c r="K60" i="8"/>
  <c r="L60" i="8" s="1"/>
  <c r="L25" i="18"/>
  <c r="L31" i="18"/>
  <c r="L33" i="18" s="1"/>
  <c r="M25" i="18"/>
  <c r="N21" i="18"/>
  <c r="N17" i="18"/>
  <c r="N20" i="18" s="1"/>
  <c r="N24" i="18" s="1"/>
  <c r="AN29" i="18"/>
  <c r="AO28" i="18"/>
  <c r="AO29" i="18" s="1"/>
  <c r="AL14" i="18"/>
  <c r="AL15" i="18" s="1"/>
  <c r="AL17" i="18" s="1"/>
  <c r="AL20" i="18" s="1"/>
  <c r="AL24" i="18" s="1"/>
  <c r="AN9" i="18"/>
  <c r="AO8" i="18"/>
  <c r="AO9" i="18" s="1"/>
  <c r="AM11" i="18"/>
  <c r="AM12" i="18"/>
  <c r="AM13" i="18"/>
  <c r="F36" i="11"/>
  <c r="F38" i="11" s="1"/>
  <c r="F40" i="11" s="1"/>
  <c r="F44" i="11" s="1"/>
  <c r="J36" i="11"/>
  <c r="J38" i="11" s="1"/>
  <c r="J40" i="11" s="1"/>
  <c r="J44" i="11" s="1"/>
  <c r="H44" i="11"/>
  <c r="I36" i="11"/>
  <c r="I38" i="11" s="1"/>
  <c r="I40" i="11" s="1"/>
  <c r="I44" i="11" s="1"/>
  <c r="G36" i="11"/>
  <c r="G38" i="11" s="1"/>
  <c r="G40" i="11" s="1"/>
  <c r="G44" i="11" s="1"/>
  <c r="H20" i="10"/>
  <c r="L31" i="20" l="1"/>
  <c r="L33" i="20" s="1"/>
  <c r="L34" i="20" s="1"/>
  <c r="H35" i="20" s="1"/>
  <c r="M26" i="20"/>
  <c r="AL25" i="18"/>
  <c r="AL31" i="18"/>
  <c r="AL33" i="18" s="1"/>
  <c r="L33" i="17"/>
  <c r="L34" i="17" s="1"/>
  <c r="H35" i="17" s="1"/>
  <c r="J7" i="13"/>
  <c r="K5" i="13" s="1"/>
  <c r="K6" i="13" s="1"/>
  <c r="P16" i="18" s="1"/>
  <c r="O21" i="18"/>
  <c r="O17" i="18"/>
  <c r="O20" i="18" s="1"/>
  <c r="N31" i="18"/>
  <c r="N33" i="18" s="1"/>
  <c r="N25" i="18"/>
  <c r="AM14" i="18"/>
  <c r="AM15" i="18" s="1"/>
  <c r="AM17" i="18" s="1"/>
  <c r="AM20" i="18" s="1"/>
  <c r="AM24" i="18" s="1"/>
  <c r="AO11" i="18"/>
  <c r="AO12" i="18"/>
  <c r="AO13" i="18"/>
  <c r="AN11" i="18"/>
  <c r="AN12" i="18"/>
  <c r="AN13" i="18"/>
  <c r="J15" i="10"/>
  <c r="D20" i="10" s="1"/>
  <c r="D23" i="10" s="1"/>
  <c r="D29" i="10" s="1"/>
  <c r="D18" i="10"/>
  <c r="J16" i="10"/>
  <c r="D19" i="10" s="1"/>
  <c r="D25" i="10" s="1"/>
  <c r="D31" i="10" s="1"/>
  <c r="E20" i="10"/>
  <c r="E23" i="10" s="1"/>
  <c r="B9" i="10"/>
  <c r="K11" i="8"/>
  <c r="L11" i="8"/>
  <c r="M11" i="8"/>
  <c r="J11" i="8"/>
  <c r="N8" i="8"/>
  <c r="M10" i="8" s="1"/>
  <c r="M9" i="7"/>
  <c r="N9" i="7" s="1"/>
  <c r="O9" i="7" s="1"/>
  <c r="P9" i="7" s="1"/>
  <c r="Q9" i="7" s="1"/>
  <c r="C9" i="7"/>
  <c r="L14" i="7" s="1"/>
  <c r="D6" i="7"/>
  <c r="E6" i="7" s="1"/>
  <c r="F6" i="7" s="1"/>
  <c r="G6" i="7" s="1"/>
  <c r="D14" i="7"/>
  <c r="E14" i="7"/>
  <c r="F14" i="7"/>
  <c r="G14" i="7"/>
  <c r="C14" i="7"/>
  <c r="E34" i="7"/>
  <c r="F34" i="7"/>
  <c r="G34" i="7"/>
  <c r="D34" i="7"/>
  <c r="D11" i="9"/>
  <c r="E11" i="9"/>
  <c r="F11" i="9"/>
  <c r="G11" i="9"/>
  <c r="C11" i="9"/>
  <c r="D53" i="9"/>
  <c r="E53" i="9"/>
  <c r="F53" i="9"/>
  <c r="G53" i="9"/>
  <c r="D45" i="9"/>
  <c r="E45" i="9"/>
  <c r="F45" i="9"/>
  <c r="G45" i="9"/>
  <c r="D10" i="9"/>
  <c r="E10" i="9"/>
  <c r="F10" i="9"/>
  <c r="G10" i="9"/>
  <c r="C10" i="9"/>
  <c r="D21" i="8"/>
  <c r="E21" i="8"/>
  <c r="F21" i="8"/>
  <c r="G21" i="8"/>
  <c r="D47" i="8"/>
  <c r="E47" i="8"/>
  <c r="F47" i="8"/>
  <c r="G47" i="8"/>
  <c r="E41" i="8"/>
  <c r="F41" i="8"/>
  <c r="G41" i="8"/>
  <c r="E60" i="8"/>
  <c r="F60" i="8"/>
  <c r="G60" i="8"/>
  <c r="D28" i="7"/>
  <c r="E28" i="7"/>
  <c r="F28" i="7"/>
  <c r="G28" i="7"/>
  <c r="C28" i="7"/>
  <c r="D9" i="7"/>
  <c r="M14" i="7" s="1"/>
  <c r="E9" i="7"/>
  <c r="N14" i="7" s="1"/>
  <c r="F9" i="7"/>
  <c r="O14" i="7" s="1"/>
  <c r="G9" i="7"/>
  <c r="P14" i="7" s="1"/>
  <c r="D41" i="8"/>
  <c r="C41" i="8"/>
  <c r="C47" i="8"/>
  <c r="D60" i="8"/>
  <c r="C60" i="8"/>
  <c r="C21" i="8"/>
  <c r="C53" i="9"/>
  <c r="C45" i="9"/>
  <c r="V8" i="19" l="1"/>
  <c r="V8" i="20"/>
  <c r="V8" i="17"/>
  <c r="AN14" i="18"/>
  <c r="AN15" i="18" s="1"/>
  <c r="AN17" i="18" s="1"/>
  <c r="AN20" i="18" s="1"/>
  <c r="AN24" i="18" s="1"/>
  <c r="AN25" i="18" s="1"/>
  <c r="AN31" i="18"/>
  <c r="AN33" i="18" s="1"/>
  <c r="AM25" i="18"/>
  <c r="AM31" i="18"/>
  <c r="AM33" i="18" s="1"/>
  <c r="K7" i="13"/>
  <c r="L5" i="13" s="1"/>
  <c r="L6" i="13" s="1"/>
  <c r="Q16" i="18" s="1"/>
  <c r="L10" i="8"/>
  <c r="L12" i="8" s="1"/>
  <c r="J12" i="8"/>
  <c r="N10" i="8"/>
  <c r="N12" i="8" s="1"/>
  <c r="P21" i="18"/>
  <c r="P17" i="18"/>
  <c r="P20" i="18" s="1"/>
  <c r="K10" i="8"/>
  <c r="K12" i="8" s="1"/>
  <c r="N13" i="8"/>
  <c r="O24" i="18"/>
  <c r="AO14" i="18"/>
  <c r="AO15" i="18" s="1"/>
  <c r="AO17" i="18" s="1"/>
  <c r="AO20" i="18" s="1"/>
  <c r="AO24" i="18" s="1"/>
  <c r="L13" i="8"/>
  <c r="M12" i="8"/>
  <c r="B10" i="10"/>
  <c r="B11" i="10" s="1"/>
  <c r="L15" i="10"/>
  <c r="D24" i="10"/>
  <c r="D30" i="10" s="1"/>
  <c r="K16" i="10"/>
  <c r="L16" i="10"/>
  <c r="D15" i="7"/>
  <c r="D17" i="7" s="1"/>
  <c r="D32" i="7" s="1"/>
  <c r="D31" i="7"/>
  <c r="E15" i="7"/>
  <c r="F15" i="7"/>
  <c r="G15" i="7"/>
  <c r="I20" i="10" s="1"/>
  <c r="E29" i="10" s="1"/>
  <c r="E61" i="8"/>
  <c r="F61" i="8"/>
  <c r="G61" i="8"/>
  <c r="D61" i="8"/>
  <c r="C61" i="8"/>
  <c r="C15" i="7"/>
  <c r="P24" i="18" l="1"/>
  <c r="AO25" i="18"/>
  <c r="AO31" i="18"/>
  <c r="AO33" i="18" s="1"/>
  <c r="K13" i="8"/>
  <c r="Q21" i="18"/>
  <c r="Q17" i="18"/>
  <c r="Q20" i="18" s="1"/>
  <c r="M13" i="8"/>
  <c r="P25" i="18"/>
  <c r="P31" i="18"/>
  <c r="P33" i="18" s="1"/>
  <c r="O31" i="18"/>
  <c r="O33" i="18" s="1"/>
  <c r="O25" i="18"/>
  <c r="L7" i="13"/>
  <c r="M5" i="13" s="1"/>
  <c r="E19" i="10"/>
  <c r="E25" i="10" s="1"/>
  <c r="E24" i="10" s="1"/>
  <c r="E30" i="10" s="1"/>
  <c r="D19" i="7"/>
  <c r="E17" i="7"/>
  <c r="E31" i="7"/>
  <c r="G17" i="7"/>
  <c r="G31" i="7"/>
  <c r="F17" i="7"/>
  <c r="F31" i="7"/>
  <c r="C17" i="7"/>
  <c r="C31" i="7"/>
  <c r="D24" i="7"/>
  <c r="D33" i="7" s="1"/>
  <c r="Q24" i="18" l="1"/>
  <c r="M6" i="13"/>
  <c r="R16" i="18" s="1"/>
  <c r="Q25" i="18"/>
  <c r="Q31" i="18"/>
  <c r="Q33" i="18" s="1"/>
  <c r="E31" i="10"/>
  <c r="D37" i="10"/>
  <c r="E37" i="10"/>
  <c r="F37" i="10"/>
  <c r="E32" i="10"/>
  <c r="F32" i="7"/>
  <c r="F19" i="7"/>
  <c r="E32" i="7"/>
  <c r="E19" i="7"/>
  <c r="G32" i="7"/>
  <c r="G19" i="7"/>
  <c r="G24" i="7" s="1"/>
  <c r="G33" i="7" s="1"/>
  <c r="C19" i="7"/>
  <c r="C32" i="7"/>
  <c r="D29" i="7"/>
  <c r="D8" i="9"/>
  <c r="D22" i="9" s="1"/>
  <c r="D33" i="9" s="1"/>
  <c r="D35" i="9" s="1"/>
  <c r="D55" i="9" s="1"/>
  <c r="G8" i="9"/>
  <c r="G22" i="9" s="1"/>
  <c r="G33" i="9" s="1"/>
  <c r="G35" i="9" s="1"/>
  <c r="G55" i="9" s="1"/>
  <c r="M7" i="13" l="1"/>
  <c r="N5" i="13" s="1"/>
  <c r="N6" i="13" s="1"/>
  <c r="S16" i="18" s="1"/>
  <c r="R17" i="18"/>
  <c r="R20" i="18" s="1"/>
  <c r="R21" i="18"/>
  <c r="D38" i="10"/>
  <c r="E38" i="10"/>
  <c r="F38" i="10"/>
  <c r="E8" i="9"/>
  <c r="E22" i="9" s="1"/>
  <c r="E33" i="9" s="1"/>
  <c r="E35" i="9" s="1"/>
  <c r="E55" i="9" s="1"/>
  <c r="E24" i="7"/>
  <c r="F24" i="7"/>
  <c r="F8" i="9"/>
  <c r="F22" i="9" s="1"/>
  <c r="F33" i="9" s="1"/>
  <c r="F35" i="9" s="1"/>
  <c r="F55" i="9" s="1"/>
  <c r="G29" i="7"/>
  <c r="C8" i="9"/>
  <c r="C22" i="9" s="1"/>
  <c r="C33" i="9" s="1"/>
  <c r="C35" i="9" s="1"/>
  <c r="C55" i="9" s="1"/>
  <c r="C57" i="9" s="1"/>
  <c r="C24" i="7"/>
  <c r="C33" i="7" s="1"/>
  <c r="R24" i="18" l="1"/>
  <c r="R25" i="18" s="1"/>
  <c r="N7" i="13"/>
  <c r="O5" i="13" s="1"/>
  <c r="S21" i="18"/>
  <c r="S17" i="18"/>
  <c r="S20" i="18" s="1"/>
  <c r="F33" i="7"/>
  <c r="F29" i="7"/>
  <c r="E33" i="7"/>
  <c r="E29" i="7"/>
  <c r="D56" i="9"/>
  <c r="D57" i="9" s="1"/>
  <c r="C28" i="8"/>
  <c r="C33" i="8" s="1"/>
  <c r="C34" i="8" s="1"/>
  <c r="C63" i="8" s="1"/>
  <c r="C29" i="7"/>
  <c r="R31" i="18" l="1"/>
  <c r="R33" i="18" s="1"/>
  <c r="O6" i="13"/>
  <c r="T16" i="18" s="1"/>
  <c r="S24" i="18"/>
  <c r="E56" i="9"/>
  <c r="E57" i="9" s="1"/>
  <c r="D28" i="8"/>
  <c r="D33" i="8" s="1"/>
  <c r="D34" i="8" s="1"/>
  <c r="D63" i="8" s="1"/>
  <c r="O7" i="13" l="1"/>
  <c r="P5" i="13" s="1"/>
  <c r="P6" i="13" s="1"/>
  <c r="U16" i="18" s="1"/>
  <c r="S31" i="18"/>
  <c r="S33" i="18" s="1"/>
  <c r="S25" i="18"/>
  <c r="T21" i="18"/>
  <c r="T17" i="18"/>
  <c r="T20" i="18" s="1"/>
  <c r="F56" i="9"/>
  <c r="F57" i="9" s="1"/>
  <c r="E28" i="8"/>
  <c r="E33" i="8" s="1"/>
  <c r="E34" i="8" s="1"/>
  <c r="E63" i="8" s="1"/>
  <c r="T24" i="18" l="1"/>
  <c r="T25" i="18" s="1"/>
  <c r="P7" i="13"/>
  <c r="Q5" i="13" s="1"/>
  <c r="Q6" i="13" s="1"/>
  <c r="V16" i="18" s="1"/>
  <c r="U17" i="18"/>
  <c r="U20" i="18" s="1"/>
  <c r="U21" i="18"/>
  <c r="F28" i="8"/>
  <c r="F33" i="8" s="1"/>
  <c r="F34" i="8" s="1"/>
  <c r="F63" i="8" s="1"/>
  <c r="G56" i="9"/>
  <c r="G57" i="9" s="1"/>
  <c r="G28" i="8" s="1"/>
  <c r="G33" i="8" s="1"/>
  <c r="G34" i="8" s="1"/>
  <c r="G63" i="8" s="1"/>
  <c r="B12" i="10"/>
  <c r="B13" i="10" s="1"/>
  <c r="T31" i="18" l="1"/>
  <c r="T33" i="18" s="1"/>
  <c r="U24" i="18"/>
  <c r="Q7" i="13"/>
  <c r="R5" i="13" s="1"/>
  <c r="V21" i="18"/>
  <c r="V17" i="18"/>
  <c r="V20" i="18" s="1"/>
  <c r="V24" i="18" l="1"/>
  <c r="V25" i="18" s="1"/>
  <c r="R6" i="13"/>
  <c r="W16" i="18" s="1"/>
  <c r="U25" i="18"/>
  <c r="U31" i="18"/>
  <c r="U33" i="18" s="1"/>
  <c r="V31" i="18" l="1"/>
  <c r="V33" i="18" s="1"/>
  <c r="R7" i="13"/>
  <c r="S5" i="13" s="1"/>
  <c r="W21" i="18"/>
  <c r="W17" i="18"/>
  <c r="W20" i="18" s="1"/>
  <c r="W24" i="18" s="1"/>
  <c r="W31" i="18" l="1"/>
  <c r="W33" i="18" s="1"/>
  <c r="W25" i="18"/>
  <c r="S6" i="13"/>
  <c r="X16" i="18" s="1"/>
  <c r="X17" i="18" l="1"/>
  <c r="X20" i="18" s="1"/>
  <c r="X21" i="18"/>
  <c r="S7" i="13"/>
  <c r="T5" i="13" s="1"/>
  <c r="X24" i="18" l="1"/>
  <c r="T6" i="13"/>
  <c r="Y16" i="18" s="1"/>
  <c r="X25" i="18"/>
  <c r="X31" i="18"/>
  <c r="X33" i="18" s="1"/>
  <c r="T7" i="13" l="1"/>
  <c r="Y21" i="18"/>
  <c r="Y17" i="18"/>
  <c r="Y20" i="18" s="1"/>
  <c r="Y24" i="18" l="1"/>
  <c r="Y25" i="18" s="1"/>
  <c r="Y31" i="18" l="1"/>
  <c r="Y33" i="18" s="1"/>
  <c r="H34" i="18" s="1"/>
</calcChain>
</file>

<file path=xl/sharedStrings.xml><?xml version="1.0" encoding="utf-8"?>
<sst xmlns="http://schemas.openxmlformats.org/spreadsheetml/2006/main" count="571" uniqueCount="245">
  <si>
    <t>b) Other equity</t>
  </si>
  <si>
    <t>b) Provisions</t>
  </si>
  <si>
    <t>b) Financial assets</t>
  </si>
  <si>
    <t>a) Property, plant and equipment</t>
  </si>
  <si>
    <t>b) Capital work-in-progress</t>
  </si>
  <si>
    <t>d) Intangible assets</t>
  </si>
  <si>
    <t>-</t>
  </si>
  <si>
    <t>i) Investments</t>
  </si>
  <si>
    <t>c) Other current assets</t>
  </si>
  <si>
    <t>a) Equity share capital</t>
  </si>
  <si>
    <t>a) Financial liabilities</t>
  </si>
  <si>
    <t>i) Borrowings</t>
  </si>
  <si>
    <t>ii) Lease liabilities</t>
  </si>
  <si>
    <t>ii) Trade payables</t>
  </si>
  <si>
    <t>- Dues to micro and small enterprises</t>
  </si>
  <si>
    <t>- Dues to other than micro and small enterprises</t>
  </si>
  <si>
    <t>iii)  Other financial liabilities</t>
  </si>
  <si>
    <t>b) Other current liabilities</t>
  </si>
  <si>
    <t>Cost of fuel consumed</t>
  </si>
  <si>
    <t>Employee benefits expenses</t>
  </si>
  <si>
    <t>Finance costs</t>
  </si>
  <si>
    <t>Other expenses</t>
  </si>
  <si>
    <t>Depreciation and amortisation expenses</t>
  </si>
  <si>
    <t>Total expenses</t>
  </si>
  <si>
    <t>Total tax expenses / (income)</t>
  </si>
  <si>
    <t>Adjustment for</t>
  </si>
  <si>
    <t>Finance cost</t>
  </si>
  <si>
    <t>Interest income</t>
  </si>
  <si>
    <t>Others</t>
  </si>
  <si>
    <t>Working capital changes</t>
  </si>
  <si>
    <t>(Increase) / decrease in financial and other asset</t>
  </si>
  <si>
    <t>(Increase) / decrease in trade receivables</t>
  </si>
  <si>
    <t>(Increase) / decrease in inventories</t>
  </si>
  <si>
    <t>Tax refund / (paid)</t>
  </si>
  <si>
    <t>Net cash from / (used in) operating activities</t>
  </si>
  <si>
    <t>Purchase of fixed assets including capital work-in-progress, net</t>
  </si>
  <si>
    <t>Interest received</t>
  </si>
  <si>
    <t>Net cash from / (used in) investing activities</t>
  </si>
  <si>
    <t>Finance cost paid</t>
  </si>
  <si>
    <t>Cash and cash equivalent - opening balance</t>
  </si>
  <si>
    <t>Cash and cash equivalent - closing balance</t>
  </si>
  <si>
    <t>Particulars</t>
  </si>
  <si>
    <t>Deferred tax</t>
  </si>
  <si>
    <t>VII. Profit / (loss) after tax ( V - VI )</t>
  </si>
  <si>
    <t>VIII. Other comprehensive income</t>
  </si>
  <si>
    <t>As on Mar 31,
2018</t>
  </si>
  <si>
    <t>As on Mar 31,
2019</t>
  </si>
  <si>
    <t>ASSETS</t>
  </si>
  <si>
    <t>ii) Loans</t>
  </si>
  <si>
    <t>iii) Other financial assets</t>
  </si>
  <si>
    <t>a) Inventories</t>
  </si>
  <si>
    <t>ii) Trade receivables</t>
  </si>
  <si>
    <t>iii) Cash and cash equivalents</t>
  </si>
  <si>
    <t>iv) Other bank balances</t>
  </si>
  <si>
    <t>v)  Loans</t>
  </si>
  <si>
    <t>vi) Other financial assets</t>
  </si>
  <si>
    <t>TOTAL (1+2)</t>
  </si>
  <si>
    <t>EQUITY AND LIABILITIES</t>
  </si>
  <si>
    <t>2. Non-current liabilities</t>
  </si>
  <si>
    <t>3. Current liabilities</t>
  </si>
  <si>
    <t>c) Short-term provisions</t>
  </si>
  <si>
    <t>d) Current tax liabilities (net)</t>
  </si>
  <si>
    <t>TOTAL (1 + 2 + 3)</t>
  </si>
  <si>
    <t>Year Ended Mar 31,
2018</t>
  </si>
  <si>
    <t>Year Ended Mar 31,
2019</t>
  </si>
  <si>
    <t>A.  Cash flow from operating activities</t>
  </si>
  <si>
    <t>Profit / (loss) before tax</t>
  </si>
  <si>
    <t>(Profit) / loss on sale of asset</t>
  </si>
  <si>
    <t>Gain on derivative instruments</t>
  </si>
  <si>
    <t>Unrealised foreign exchange</t>
  </si>
  <si>
    <t>Dividend income</t>
  </si>
  <si>
    <t>Unwinding of discount on deposits</t>
  </si>
  <si>
    <t>Provision for doubtful debts/advances</t>
  </si>
  <si>
    <t>Net gain on sale of investments</t>
  </si>
  <si>
    <t>Net gain on financial assets FVPL</t>
  </si>
  <si>
    <t>Operating profit before working capital changes</t>
  </si>
  <si>
    <t>(Increase) / decrease in other financial assets</t>
  </si>
  <si>
    <t>(Increase) / decrease in other assets</t>
  </si>
  <si>
    <t>Increase / (decrease) in trade payables</t>
  </si>
  <si>
    <t>Increase / (decrease) in other financial liabilities</t>
  </si>
  <si>
    <t>Increase / (decrease) in financial and other liabilities</t>
  </si>
  <si>
    <t>Cash generated from / (used in) operating activities</t>
  </si>
  <si>
    <t>B.  Cash flow from investing activities</t>
  </si>
  <si>
    <t>Inter corporate deposits - (given) / refund</t>
  </si>
  <si>
    <t>Sale of fixed assets</t>
  </si>
  <si>
    <t>(Investment) / redemption of bank deposit (held as margin money or security against guarantees or borrowings)</t>
  </si>
  <si>
    <t>Dividend received</t>
  </si>
  <si>
    <t>(Purchase) / sale of current investment, net</t>
  </si>
  <si>
    <t>C.  Cash flow from financing activities</t>
  </si>
  <si>
    <t>Proceeds from long-term borrowings</t>
  </si>
  <si>
    <t>Repayment of long-term borrowings</t>
  </si>
  <si>
    <t>Proceeds from / (repayment) of short-term borrowings, net</t>
  </si>
  <si>
    <t>Payment of derivative liabilities</t>
  </si>
  <si>
    <t>Net cash generated from financing 
activities</t>
  </si>
  <si>
    <t>Net increase / (decrease) in cash and cash equivalents (A + B + C)</t>
  </si>
  <si>
    <t>Year Ended Mar 31,
2020</t>
  </si>
  <si>
    <t>Year Ended Mar 31,
2021</t>
  </si>
  <si>
    <t>Year Ended Mar 31,
2022</t>
  </si>
  <si>
    <t>BALANCE SHEET</t>
  </si>
  <si>
    <t>M/s KSK MAHANADI POWER COMPANY LIMITED</t>
  </si>
  <si>
    <t>1.  Non-current assets</t>
  </si>
  <si>
    <t>2. Current assets</t>
  </si>
  <si>
    <t>1. Equity</t>
  </si>
  <si>
    <t>As on Mar 31,
2020</t>
  </si>
  <si>
    <t>As on Mar 31,
2021</t>
  </si>
  <si>
    <t>As on Mar 31,
2022</t>
  </si>
  <si>
    <t>CASH FLOW STATEMENT</t>
  </si>
  <si>
    <t>PROFIT AND LOSS ACCOUNT</t>
  </si>
  <si>
    <t>check</t>
  </si>
  <si>
    <t>c) Right to Use Assets</t>
  </si>
  <si>
    <t>e) Intangible assets under development</t>
  </si>
  <si>
    <t>f) Financial assets</t>
  </si>
  <si>
    <t>g) Deferred tax assets, net</t>
  </si>
  <si>
    <t>h) Other non-current assets</t>
  </si>
  <si>
    <t>(i) Items that will not be reclassified to profit &amp; loss</t>
  </si>
  <si>
    <t>(ii) Income tax relating to items that will not be reclassified to profit &amp; loss</t>
  </si>
  <si>
    <t>IX. Total comprehensive income for the year ( VII + VIII )</t>
  </si>
  <si>
    <t>EBITDA Margin %</t>
  </si>
  <si>
    <t>EBIT Margin %</t>
  </si>
  <si>
    <t>Net Profit Margin %</t>
  </si>
  <si>
    <t>Revenue Growth Rate (Y.O.Y.)</t>
  </si>
  <si>
    <t>EBITDA</t>
  </si>
  <si>
    <t>EBIT</t>
  </si>
  <si>
    <t>Revenue from operations</t>
  </si>
  <si>
    <t>Other income</t>
  </si>
  <si>
    <t>Total revenue</t>
  </si>
  <si>
    <t>Expenses</t>
  </si>
  <si>
    <t>Tax expense / (income)</t>
  </si>
  <si>
    <t xml:space="preserve">Cost of Fuel </t>
  </si>
  <si>
    <t>Land Value</t>
  </si>
  <si>
    <t>EV/EBITDA</t>
  </si>
  <si>
    <t>India Power Corp Ltd</t>
  </si>
  <si>
    <t>GMR Power and Urban Infra Limited</t>
  </si>
  <si>
    <t>Relative Valuation</t>
  </si>
  <si>
    <t>Particular</t>
  </si>
  <si>
    <t xml:space="preserve">Market Data </t>
  </si>
  <si>
    <t>Financial Data</t>
  </si>
  <si>
    <t>Valuation</t>
  </si>
  <si>
    <t>Company Name</t>
  </si>
  <si>
    <t>Price (Per Share) Previous Close</t>
  </si>
  <si>
    <t>Market Cap (Crore)</t>
  </si>
  <si>
    <t>EV</t>
  </si>
  <si>
    <t xml:space="preserve">Sales </t>
  </si>
  <si>
    <t>Earnings Per Share (Basic)</t>
  </si>
  <si>
    <t>EV/Sales</t>
  </si>
  <si>
    <t>P/E</t>
  </si>
  <si>
    <t>Average</t>
  </si>
  <si>
    <t>Median</t>
  </si>
  <si>
    <t>Mean</t>
  </si>
  <si>
    <t xml:space="preserve">Optimistic Case </t>
  </si>
  <si>
    <t>Base Case</t>
  </si>
  <si>
    <t>Pessimistic Case</t>
  </si>
  <si>
    <t>Enterprise Value</t>
  </si>
  <si>
    <t>In Crore</t>
  </si>
  <si>
    <t>S.No.</t>
  </si>
  <si>
    <t>Reliance Infra</t>
  </si>
  <si>
    <t>NAVA Limited</t>
  </si>
  <si>
    <t>Gujarat Industries Power Company Ltd.</t>
  </si>
  <si>
    <t>RattanIndia Power Ltd.</t>
  </si>
  <si>
    <t>SBICAP trustee company limited</t>
  </si>
  <si>
    <t>KSK Energy Ventures Limited</t>
  </si>
  <si>
    <t>No. of shares held 35.86 35.86</t>
  </si>
  <si>
    <t>% of shares held 9.94% 9.94%</t>
  </si>
  <si>
    <t>KSK Energy Company Private Limited</t>
  </si>
  <si>
    <t>No. of shares held 25.00 25.00</t>
  </si>
  <si>
    <t>% of shares held 6.93% 6.93%</t>
  </si>
  <si>
    <t>Name of the shareholder</t>
  </si>
  <si>
    <t xml:space="preserve">No. of shares held </t>
  </si>
  <si>
    <t xml:space="preserve">% of shares held </t>
  </si>
  <si>
    <t xml:space="preserve">S.No. </t>
  </si>
  <si>
    <t xml:space="preserve">Location </t>
  </si>
  <si>
    <t>Nariyara Village, Chattisgarh</t>
  </si>
  <si>
    <t xml:space="preserve">Factory Area </t>
  </si>
  <si>
    <t>Approx 2132 Acres</t>
  </si>
  <si>
    <t xml:space="preserve">Number of Units </t>
  </si>
  <si>
    <t>6 units of 600 MW each</t>
  </si>
  <si>
    <t>Operational Status</t>
  </si>
  <si>
    <t>Details</t>
  </si>
  <si>
    <t>3 units commissioned</t>
  </si>
  <si>
    <t>Lack of Marketability Discount</t>
  </si>
  <si>
    <t>Only EV/EBITDA</t>
  </si>
  <si>
    <t>Average Base</t>
  </si>
  <si>
    <t>Sensitivity Analysis</t>
  </si>
  <si>
    <t>Revenue</t>
  </si>
  <si>
    <t>Data as per ABS 2022</t>
  </si>
  <si>
    <t>Tax Rate (T)</t>
  </si>
  <si>
    <t>(1-T)</t>
  </si>
  <si>
    <t>NOPAT= EBIT*(1-T)</t>
  </si>
  <si>
    <t>Add: Depreciation &amp; Amortization</t>
  </si>
  <si>
    <t>Less: Changes in Working Capital</t>
  </si>
  <si>
    <t>Less: CAPEX</t>
  </si>
  <si>
    <t>Free Cash Flow to Firm (FCFF)</t>
  </si>
  <si>
    <t>Discount Rate (WACC)</t>
  </si>
  <si>
    <t>Period</t>
  </si>
  <si>
    <t>Discount Factor</t>
  </si>
  <si>
    <t>PV of FCFF</t>
  </si>
  <si>
    <t>Growth Rate</t>
  </si>
  <si>
    <t>Terminal Value</t>
  </si>
  <si>
    <t>PV of terminal Value</t>
  </si>
  <si>
    <t>PV of FCFF + PV of TV</t>
  </si>
  <si>
    <t>Enterprise Value Of the Firm</t>
  </si>
  <si>
    <t>Perpetuity</t>
  </si>
  <si>
    <t>Net PP&amp;E</t>
  </si>
  <si>
    <t>Less: Depreciation</t>
  </si>
  <si>
    <t>% OTHER EXPENSES W/O PROV.</t>
  </si>
  <si>
    <t>OTHER EXPENSES W/O PROV.</t>
  </si>
  <si>
    <t>PROV</t>
  </si>
  <si>
    <t>OTHER EXPENSEs</t>
  </si>
  <si>
    <t>Other Expenses W/O Prov.</t>
  </si>
  <si>
    <t>https://kunaldesai.blog/nifty-returns/</t>
  </si>
  <si>
    <t>Company Risk Premium</t>
  </si>
  <si>
    <t>Appropriate Discount Rate</t>
  </si>
  <si>
    <t>Discount Rate</t>
  </si>
  <si>
    <t>Revenue Growth Rate (for first 5 years)</t>
  </si>
  <si>
    <t>Crores</t>
  </si>
  <si>
    <t>Profit / (loss) after tax</t>
  </si>
  <si>
    <t xml:space="preserve">Gross Opening PP&amp;E </t>
  </si>
  <si>
    <t>TOTAL</t>
  </si>
  <si>
    <t>Other Creditors/Stakeholders</t>
  </si>
  <si>
    <t>Operational Creditors (only Workmen and Employees)</t>
  </si>
  <si>
    <t>Operational Creditors (other than Workmen and Employees)</t>
  </si>
  <si>
    <t>Financial Creditors (Related Party)</t>
  </si>
  <si>
    <t>Financial Creditors</t>
  </si>
  <si>
    <r>
      <t xml:space="preserve">Contingent Claim
</t>
    </r>
    <r>
      <rPr>
        <b/>
        <sz val="11"/>
        <color theme="0"/>
        <rFont val="Calibri"/>
        <family val="2"/>
      </rPr>
      <t>(in INR)</t>
    </r>
  </si>
  <si>
    <r>
      <t xml:space="preserve">Amount of Claims admitted
</t>
    </r>
    <r>
      <rPr>
        <b/>
        <sz val="11"/>
        <color theme="0"/>
        <rFont val="Calibri"/>
        <family val="2"/>
      </rPr>
      <t>(in INR)</t>
    </r>
  </si>
  <si>
    <r>
      <t xml:space="preserve">Amount Claimed
</t>
    </r>
    <r>
      <rPr>
        <b/>
        <sz val="11"/>
        <color theme="0"/>
        <rFont val="Calibri"/>
        <family val="2"/>
      </rPr>
      <t>(in INR)</t>
    </r>
  </si>
  <si>
    <t>Category of Creditors</t>
  </si>
  <si>
    <t>Cost per MW</t>
  </si>
  <si>
    <t>Operational Capacity of the Plant</t>
  </si>
  <si>
    <t>MW</t>
  </si>
  <si>
    <t xml:space="preserve">Total Cost </t>
  </si>
  <si>
    <t xml:space="preserve">Estimation of FGD Cost </t>
  </si>
  <si>
    <t>0%-0.25%</t>
  </si>
  <si>
    <t>1.5%-1.75%</t>
  </si>
  <si>
    <t>3%-3.25%</t>
  </si>
  <si>
    <t>Depreciation Schedule</t>
  </si>
  <si>
    <t>Expected Market Return (Rm) Nifty Fifty 10-year return 2022</t>
  </si>
  <si>
    <t>FCFF for Remaining Year</t>
  </si>
  <si>
    <t>No. of Months</t>
  </si>
  <si>
    <t>As on Dec 31,
2022</t>
  </si>
  <si>
    <t>Dec. 2022 P</t>
  </si>
  <si>
    <t>FY 2023 E</t>
  </si>
  <si>
    <t>Operational Revenue</t>
  </si>
  <si>
    <t>Other Income</t>
  </si>
  <si>
    <t>Income Tax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</si>
</sst>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FY&quot;\ 0\ &quot;A&quot;"/>
    <numFmt numFmtId="165" formatCode="0.0%"/>
    <numFmt numFmtId="166" formatCode="0.00\ &quot;xx&quot;"/>
    <numFmt numFmtId="167" formatCode="&quot;FY&quot;\ 0\ &quot;E&quot;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86">
    <xf numFmtId="0" fontId="0" fillId="0" borderId="0" xfId="0"/>
    <xf numFmtId="0" fontId="1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shrinkToFit="1"/>
    </xf>
    <xf numFmtId="4" fontId="3" fillId="0" borderId="3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4" fontId="5" fillId="0" borderId="5" xfId="0" applyNumberFormat="1" applyFont="1" applyBorder="1" applyAlignment="1">
      <alignment horizontal="center" vertical="center" shrinkToFit="1"/>
    </xf>
    <xf numFmtId="4" fontId="3" fillId="0" borderId="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shrinkToFit="1"/>
    </xf>
    <xf numFmtId="0" fontId="0" fillId="0" borderId="5" xfId="0" applyBorder="1"/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3"/>
    </xf>
    <xf numFmtId="2" fontId="5" fillId="0" borderId="5" xfId="0" applyNumberFormat="1" applyFont="1" applyBorder="1" applyAlignment="1">
      <alignment horizontal="center" vertical="center" shrinkToFit="1"/>
    </xf>
    <xf numFmtId="4" fontId="3" fillId="3" borderId="5" xfId="0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top" wrapText="1" inden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shrinkToFit="1"/>
    </xf>
    <xf numFmtId="4" fontId="5" fillId="0" borderId="9" xfId="0" applyNumberFormat="1" applyFont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1" applyNumberFormat="1" applyFont="1" applyAlignment="1">
      <alignment horizontal="center" vertical="center"/>
    </xf>
    <xf numFmtId="164" fontId="2" fillId="2" borderId="10" xfId="0" applyNumberFormat="1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165" fontId="0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0" fontId="0" fillId="0" borderId="5" xfId="1" applyNumberFormat="1" applyFont="1" applyBorder="1"/>
    <xf numFmtId="4" fontId="0" fillId="0" borderId="0" xfId="0" applyNumberFormat="1" applyAlignment="1">
      <alignment vertical="center"/>
    </xf>
    <xf numFmtId="0" fontId="8" fillId="0" borderId="0" xfId="2"/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2" fontId="0" fillId="7" borderId="0" xfId="0" applyNumberForma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9" fillId="4" borderId="0" xfId="0" applyFont="1" applyFill="1"/>
    <xf numFmtId="0" fontId="1" fillId="2" borderId="0" xfId="0" applyFont="1" applyFill="1" applyAlignment="1">
      <alignment horizontal="center" vertical="center"/>
    </xf>
    <xf numFmtId="0" fontId="9" fillId="0" borderId="0" xfId="0" applyFont="1"/>
    <xf numFmtId="166" fontId="0" fillId="0" borderId="0" xfId="0" applyNumberFormat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9" borderId="5" xfId="0" applyFont="1" applyFill="1" applyBorder="1"/>
    <xf numFmtId="0" fontId="9" fillId="4" borderId="0" xfId="0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4" borderId="0" xfId="0" applyFont="1" applyFill="1"/>
    <xf numFmtId="0" fontId="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9" fillId="7" borderId="0" xfId="0" applyFont="1" applyFill="1"/>
    <xf numFmtId="2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0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0" xfId="0" applyNumberFormat="1"/>
    <xf numFmtId="4" fontId="9" fillId="0" borderId="5" xfId="0" applyNumberFormat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0" fillId="7" borderId="0" xfId="0" applyFill="1"/>
    <xf numFmtId="4" fontId="0" fillId="0" borderId="5" xfId="0" applyNumberFormat="1" applyBorder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 shrinkToFit="1"/>
    </xf>
    <xf numFmtId="9" fontId="0" fillId="0" borderId="0" xfId="1" applyFont="1"/>
    <xf numFmtId="4" fontId="3" fillId="3" borderId="11" xfId="0" applyNumberFormat="1" applyFont="1" applyFill="1" applyBorder="1" applyAlignment="1">
      <alignment horizontal="center" vertical="center" shrinkToFit="1"/>
    </xf>
    <xf numFmtId="9" fontId="0" fillId="0" borderId="5" xfId="1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0" fontId="12" fillId="0" borderId="5" xfId="0" applyFont="1" applyBorder="1"/>
    <xf numFmtId="0" fontId="13" fillId="0" borderId="5" xfId="0" applyFont="1" applyBorder="1"/>
    <xf numFmtId="0" fontId="13" fillId="0" borderId="5" xfId="0" applyFont="1" applyBorder="1" applyAlignment="1">
      <alignment vertical="center"/>
    </xf>
    <xf numFmtId="0" fontId="12" fillId="0" borderId="12" xfId="0" applyFont="1" applyBorder="1"/>
    <xf numFmtId="4" fontId="5" fillId="0" borderId="12" xfId="0" applyNumberFormat="1" applyFont="1" applyBorder="1" applyAlignment="1">
      <alignment horizontal="center" vertical="center" shrinkToFit="1"/>
    </xf>
    <xf numFmtId="0" fontId="13" fillId="3" borderId="5" xfId="0" applyFont="1" applyFill="1" applyBorder="1"/>
    <xf numFmtId="0" fontId="0" fillId="3" borderId="5" xfId="0" applyFill="1" applyBorder="1"/>
    <xf numFmtId="4" fontId="5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4" fillId="2" borderId="5" xfId="0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/>
    </xf>
    <xf numFmtId="164" fontId="2" fillId="2" borderId="5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0" fillId="0" borderId="0" xfId="0" applyAlignment="1">
      <alignment horizontal="left" vertical="center" wrapText="1"/>
    </xf>
    <xf numFmtId="10" fontId="9" fillId="0" borderId="13" xfId="0" applyNumberFormat="1" applyFont="1" applyBorder="1" applyAlignment="1">
      <alignment horizontal="center" vertical="center"/>
    </xf>
    <xf numFmtId="10" fontId="0" fillId="10" borderId="5" xfId="0" applyNumberFormat="1" applyFill="1" applyBorder="1" applyAlignment="1">
      <alignment horizontal="center" vertical="center"/>
    </xf>
    <xf numFmtId="43" fontId="0" fillId="11" borderId="5" xfId="3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vertical="center" shrinkToFit="1"/>
    </xf>
    <xf numFmtId="4" fontId="1" fillId="2" borderId="14" xfId="0" applyNumberFormat="1" applyFont="1" applyFill="1" applyBorder="1" applyAlignment="1">
      <alignment vertical="center" shrinkToFit="1"/>
    </xf>
    <xf numFmtId="4" fontId="1" fillId="2" borderId="7" xfId="0" applyNumberFormat="1" applyFont="1" applyFill="1" applyBorder="1" applyAlignment="1">
      <alignment horizontal="center" vertical="center" shrinkToFit="1"/>
    </xf>
    <xf numFmtId="4" fontId="9" fillId="13" borderId="5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 wrapText="1"/>
    </xf>
    <xf numFmtId="3" fontId="0" fillId="0" borderId="5" xfId="0" applyNumberFormat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10" fontId="0" fillId="0" borderId="0" xfId="0" applyNumberFormat="1"/>
    <xf numFmtId="43" fontId="9" fillId="5" borderId="5" xfId="3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9" fillId="14" borderId="5" xfId="0" applyFont="1" applyFill="1" applyBorder="1" applyAlignment="1">
      <alignment horizontal="left" vertical="center"/>
    </xf>
    <xf numFmtId="4" fontId="9" fillId="14" borderId="5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2" fontId="2" fillId="2" borderId="17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shrinkToFit="1"/>
    </xf>
    <xf numFmtId="4" fontId="3" fillId="3" borderId="0" xfId="0" applyNumberFormat="1" applyFont="1" applyFill="1" applyAlignment="1">
      <alignment horizontal="center" vertical="center" shrinkToFit="1"/>
    </xf>
    <xf numFmtId="9" fontId="0" fillId="0" borderId="0" xfId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shrinkToFit="1"/>
    </xf>
    <xf numFmtId="4" fontId="3" fillId="0" borderId="7" xfId="0" applyNumberFormat="1" applyFont="1" applyBorder="1" applyAlignment="1">
      <alignment horizontal="center" vertical="center" shrinkToFit="1"/>
    </xf>
    <xf numFmtId="4" fontId="3" fillId="3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2" fontId="3" fillId="3" borderId="5" xfId="0" applyNumberFormat="1" applyFont="1" applyFill="1" applyBorder="1" applyAlignment="1">
      <alignment horizontal="center" vertical="center" shrinkToFit="1"/>
    </xf>
    <xf numFmtId="2" fontId="3" fillId="0" borderId="5" xfId="0" applyNumberFormat="1" applyFont="1" applyBorder="1" applyAlignment="1">
      <alignment horizontal="center" vertical="center" shrinkToFit="1"/>
    </xf>
    <xf numFmtId="2" fontId="0" fillId="0" borderId="0" xfId="0" applyNumberFormat="1" applyAlignment="1">
      <alignment vertical="center"/>
    </xf>
    <xf numFmtId="167" fontId="2" fillId="2" borderId="9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10" fontId="0" fillId="0" borderId="18" xfId="1" applyNumberFormat="1" applyFont="1" applyFill="1" applyBorder="1" applyAlignment="1">
      <alignment horizontal="center" vertical="center"/>
    </xf>
    <xf numFmtId="43" fontId="0" fillId="0" borderId="5" xfId="3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 wrapText="1"/>
    </xf>
    <xf numFmtId="10" fontId="0" fillId="0" borderId="14" xfId="1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0" fontId="5" fillId="0" borderId="7" xfId="1" applyNumberFormat="1" applyFont="1" applyBorder="1" applyAlignment="1">
      <alignment horizontal="center" vertical="center" shrinkToFit="1"/>
    </xf>
    <xf numFmtId="10" fontId="5" fillId="0" borderId="13" xfId="1" applyNumberFormat="1" applyFont="1" applyBorder="1" applyAlignment="1">
      <alignment horizontal="center" vertical="center" shrinkToFit="1"/>
    </xf>
    <xf numFmtId="10" fontId="5" fillId="0" borderId="14" xfId="1" applyNumberFormat="1" applyFont="1" applyBorder="1" applyAlignment="1">
      <alignment horizontal="center" vertical="center" shrinkToFit="1"/>
    </xf>
    <xf numFmtId="4" fontId="9" fillId="13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2" fillId="2" borderId="19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'P&amp;L'!$B$32</c:f>
              <c:strCache>
                <c:ptCount val="1"/>
                <c:pt idx="0">
                  <c:v>EBIT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('P&amp;L'!$C$6:$G$6,'P&amp;L'!$I$6)</c:f>
              <c:strCache>
                <c:ptCount val="6"/>
                <c:pt idx="0">
                  <c:v>FY 2018 A</c:v>
                </c:pt>
                <c:pt idx="1">
                  <c:v>FY 2019 A</c:v>
                </c:pt>
                <c:pt idx="2">
                  <c:v>FY 2020 A</c:v>
                </c:pt>
                <c:pt idx="3">
                  <c:v>FY 2021 A</c:v>
                </c:pt>
                <c:pt idx="4">
                  <c:v>FY 2022 A</c:v>
                </c:pt>
                <c:pt idx="5">
                  <c:v>FY 2023 E</c:v>
                </c:pt>
              </c:strCache>
            </c:strRef>
          </c:cat>
          <c:val>
            <c:numRef>
              <c:f>('P&amp;L'!$C$32:$G$32,'P&amp;L'!$I$32)</c:f>
              <c:numCache>
                <c:formatCode>0.00%</c:formatCode>
                <c:ptCount val="6"/>
                <c:pt idx="0">
                  <c:v>4.0615568330341918E-2</c:v>
                </c:pt>
                <c:pt idx="1">
                  <c:v>-0.13028888677216996</c:v>
                </c:pt>
                <c:pt idx="2">
                  <c:v>-6.9362059696502804E-2</c:v>
                </c:pt>
                <c:pt idx="3">
                  <c:v>6.764288337087096E-2</c:v>
                </c:pt>
                <c:pt idx="4">
                  <c:v>0.19511514472099326</c:v>
                </c:pt>
                <c:pt idx="5">
                  <c:v>0.18699523600992607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2-4DC2-ADC3-CAE94911E7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0226208"/>
        <c:axId val="590226568"/>
      </c:barChart>
      <c:catAx>
        <c:axId val="59022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226568"/>
        <c:crosses val="autoZero"/>
        <c:auto val="1"/>
        <c:lblAlgn val="ctr"/>
        <c:lblOffset val="100"/>
        <c:noMultiLvlLbl val="0"/>
      </c:catAx>
      <c:valAx>
        <c:axId val="59022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22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'P&amp;L'!$B$31</c:f>
              <c:strCache>
                <c:ptCount val="1"/>
                <c:pt idx="0">
                  <c:v>EBITDA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('P&amp;L'!$C$6:$G$6,'P&amp;L'!$I$6)</c:f>
              <c:strCache>
                <c:ptCount val="6"/>
                <c:pt idx="0">
                  <c:v>FY 2018 A</c:v>
                </c:pt>
                <c:pt idx="1">
                  <c:v>FY 2019 A</c:v>
                </c:pt>
                <c:pt idx="2">
                  <c:v>FY 2020 A</c:v>
                </c:pt>
                <c:pt idx="3">
                  <c:v>FY 2021 A</c:v>
                </c:pt>
                <c:pt idx="4">
                  <c:v>FY 2022 A</c:v>
                </c:pt>
                <c:pt idx="5">
                  <c:v>FY 2023 E</c:v>
                </c:pt>
              </c:strCache>
            </c:strRef>
          </c:cat>
          <c:val>
            <c:numRef>
              <c:f>('P&amp;L'!$C$31:$G$31,'P&amp;L'!$I$31)</c:f>
              <c:numCache>
                <c:formatCode>0.00%</c:formatCode>
                <c:ptCount val="6"/>
                <c:pt idx="0">
                  <c:v>0.22950198963858848</c:v>
                </c:pt>
                <c:pt idx="1">
                  <c:v>5.9647022003293033E-2</c:v>
                </c:pt>
                <c:pt idx="2">
                  <c:v>8.7674438566452739E-2</c:v>
                </c:pt>
                <c:pt idx="3">
                  <c:v>0.22654355203487608</c:v>
                </c:pt>
                <c:pt idx="4">
                  <c:v>0.35549009552658889</c:v>
                </c:pt>
                <c:pt idx="5">
                  <c:v>0.32153615457090912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E-444F-BCE6-70E5F45A01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9396232"/>
        <c:axId val="499393352"/>
      </c:barChart>
      <c:catAx>
        <c:axId val="49939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93352"/>
        <c:crosses val="autoZero"/>
        <c:auto val="1"/>
        <c:lblAlgn val="ctr"/>
        <c:lblOffset val="100"/>
        <c:noMultiLvlLbl val="0"/>
      </c:catAx>
      <c:valAx>
        <c:axId val="49939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9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'P&amp;L'!$B$33</c:f>
              <c:strCache>
                <c:ptCount val="1"/>
                <c:pt idx="0">
                  <c:v>Net Profit Margin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('P&amp;L'!$C$6:$G$6,'P&amp;L'!$I$6)</c:f>
              <c:strCache>
                <c:ptCount val="6"/>
                <c:pt idx="0">
                  <c:v>FY 2018 A</c:v>
                </c:pt>
                <c:pt idx="1">
                  <c:v>FY 2019 A</c:v>
                </c:pt>
                <c:pt idx="2">
                  <c:v>FY 2020 A</c:v>
                </c:pt>
                <c:pt idx="3">
                  <c:v>FY 2021 A</c:v>
                </c:pt>
                <c:pt idx="4">
                  <c:v>FY 2022 A</c:v>
                </c:pt>
                <c:pt idx="5">
                  <c:v>FY 2023 E</c:v>
                </c:pt>
              </c:strCache>
            </c:strRef>
          </c:cat>
          <c:val>
            <c:numRef>
              <c:f>('P&amp;L'!$C$33:$G$33,'P&amp;L'!$I$33)</c:f>
              <c:numCache>
                <c:formatCode>0.00%</c:formatCode>
                <c:ptCount val="6"/>
                <c:pt idx="0">
                  <c:v>-0.56836674882496641</c:v>
                </c:pt>
                <c:pt idx="1">
                  <c:v>-0.19308740083549916</c:v>
                </c:pt>
                <c:pt idx="2">
                  <c:v>-0.11839234164434179</c:v>
                </c:pt>
                <c:pt idx="3">
                  <c:v>2.010201862155564E-2</c:v>
                </c:pt>
                <c:pt idx="4">
                  <c:v>7.9049742996505787E-2</c:v>
                </c:pt>
                <c:pt idx="5">
                  <c:v>0.12794085964144006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5-4405-BDCF-4D408EBB28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8611632"/>
        <c:axId val="508604792"/>
      </c:barChart>
      <c:catAx>
        <c:axId val="50861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04792"/>
        <c:crosses val="autoZero"/>
        <c:auto val="1"/>
        <c:lblAlgn val="ctr"/>
        <c:lblOffset val="100"/>
        <c:noMultiLvlLbl val="0"/>
      </c:catAx>
      <c:valAx>
        <c:axId val="50860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1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'P&amp;L'!$B$34</c:f>
              <c:strCache>
                <c:ptCount val="1"/>
                <c:pt idx="0">
                  <c:v>Revenue Growth Rate (Y.O.Y.)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('P&amp;L'!$D$6:$G$6,'P&amp;L'!$I$6)</c:f>
              <c:strCache>
                <c:ptCount val="5"/>
                <c:pt idx="0">
                  <c:v>FY 2019 A</c:v>
                </c:pt>
                <c:pt idx="1">
                  <c:v>FY 2020 A</c:v>
                </c:pt>
                <c:pt idx="2">
                  <c:v>FY 2021 A</c:v>
                </c:pt>
                <c:pt idx="3">
                  <c:v>FY 2022 A</c:v>
                </c:pt>
                <c:pt idx="4">
                  <c:v>FY 2023 E</c:v>
                </c:pt>
              </c:strCache>
            </c:strRef>
          </c:cat>
          <c:val>
            <c:numRef>
              <c:f>('P&amp;L'!$D$34:$G$34,'P&amp;L'!$I$34)</c:f>
              <c:numCache>
                <c:formatCode>0.00%</c:formatCode>
                <c:ptCount val="5"/>
                <c:pt idx="0">
                  <c:v>0.33775434789731773</c:v>
                </c:pt>
                <c:pt idx="1">
                  <c:v>0.2048224904407463</c:v>
                </c:pt>
                <c:pt idx="2">
                  <c:v>-3.4191991976616709E-2</c:v>
                </c:pt>
                <c:pt idx="3">
                  <c:v>-1.9444814755045225E-2</c:v>
                </c:pt>
                <c:pt idx="4">
                  <c:v>0.19826835696652378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F-4334-8F38-4708B96B9F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0491080"/>
        <c:axId val="590491440"/>
      </c:barChart>
      <c:catAx>
        <c:axId val="590491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</a:t>
                </a:r>
                <a:r>
                  <a:rPr lang="en-IN" b="1" i="1" baseline="0"/>
                  <a:t> Year</a:t>
                </a:r>
                <a:endParaRPr lang="en-IN" b="1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91440"/>
        <c:crosses val="autoZero"/>
        <c:auto val="1"/>
        <c:lblAlgn val="ctr"/>
        <c:lblOffset val="100"/>
        <c:noMultiLvlLbl val="0"/>
      </c:catAx>
      <c:valAx>
        <c:axId val="59049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49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</xdr:colOff>
      <xdr:row>34</xdr:row>
      <xdr:rowOff>128587</xdr:rowOff>
    </xdr:from>
    <xdr:to>
      <xdr:col>10</xdr:col>
      <xdr:colOff>138112</xdr:colOff>
      <xdr:row>49</xdr:row>
      <xdr:rowOff>14287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F990FE-DB66-C1B7-C3BF-1BF34B581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252412</xdr:colOff>
      <xdr:row>34</xdr:row>
      <xdr:rowOff>138112</xdr:rowOff>
    </xdr:from>
    <xdr:to>
      <xdr:col>2</xdr:col>
      <xdr:colOff>214312</xdr:colOff>
      <xdr:row>49</xdr:row>
      <xdr:rowOff>23812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564A2B6-77F0-36F8-36AB-8A95229B7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271462</xdr:colOff>
      <xdr:row>49</xdr:row>
      <xdr:rowOff>166687</xdr:rowOff>
    </xdr:from>
    <xdr:to>
      <xdr:col>2</xdr:col>
      <xdr:colOff>233362</xdr:colOff>
      <xdr:row>64</xdr:row>
      <xdr:rowOff>52387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4352C35-8BE6-92B1-4F4F-1088292F5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461962</xdr:colOff>
      <xdr:row>50</xdr:row>
      <xdr:rowOff>14287</xdr:rowOff>
    </xdr:from>
    <xdr:to>
      <xdr:col>10</xdr:col>
      <xdr:colOff>138112</xdr:colOff>
      <xdr:row>64</xdr:row>
      <xdr:rowOff>90487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CE39E24-DE1C-65C1-804F-3276EB653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kunaldesai.blog/nifty-returns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2DB5-359C-4358-94EA-D563317268C6}">
  <sheetPr>
    <tabColor theme="7" tint="0.59999389629810485"/>
  </sheetPr>
  <dimension ref="A1:BX39"/>
  <sheetViews>
    <sheetView showGridLines="0" topLeftCell="AE1" workbookViewId="0">
      <selection activeCell="H35" sqref="H35"/>
    </sheetView>
  </sheetViews>
  <sheetFormatPr defaultRowHeight="15" x14ac:dyDescent="0.25"/>
  <cols>
    <col min="1" max="1" width="5.42578125" customWidth="1"/>
    <col min="2" max="2" width="40.140625" customWidth="1"/>
    <col min="3" max="7" width="9.28515625" hidden="1" customWidth="1"/>
    <col min="8" max="8" width="12.140625" customWidth="1"/>
    <col min="9" max="12" width="12.5703125" bestFit="1" customWidth="1"/>
    <col min="13" max="67" width="10.42578125" customWidth="1"/>
    <col min="69" max="69" width="0" hidden="1" customWidth="1"/>
    <col min="70" max="70" width="26.5703125" customWidth="1"/>
  </cols>
  <sheetData>
    <row r="1" spans="1:76" x14ac:dyDescent="0.25">
      <c r="A1" s="2"/>
      <c r="B1" s="2"/>
      <c r="C1" s="2"/>
      <c r="D1" s="2"/>
      <c r="E1" s="2"/>
      <c r="F1" s="2"/>
      <c r="G1" s="2"/>
    </row>
    <row r="2" spans="1:76" x14ac:dyDescent="0.25">
      <c r="A2" s="2"/>
      <c r="B2" s="171" t="s">
        <v>99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</row>
    <row r="3" spans="1:76" ht="10.5" customHeight="1" x14ac:dyDescent="0.25">
      <c r="A3" s="2"/>
      <c r="B3" s="2"/>
      <c r="C3" s="2"/>
      <c r="D3" s="2"/>
      <c r="E3" s="2"/>
      <c r="F3" s="2"/>
      <c r="G3" s="2"/>
    </row>
    <row r="4" spans="1:76" x14ac:dyDescent="0.25">
      <c r="A4" s="2"/>
      <c r="B4" s="172" t="s">
        <v>107</v>
      </c>
      <c r="C4" s="172"/>
      <c r="D4" s="172"/>
      <c r="E4" s="172"/>
      <c r="F4" s="172"/>
      <c r="G4" s="172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</row>
    <row r="5" spans="1:76" x14ac:dyDescent="0.25">
      <c r="A5" s="2"/>
      <c r="B5" s="2"/>
      <c r="C5" s="2"/>
      <c r="D5" s="2"/>
      <c r="E5" s="2"/>
      <c r="F5" s="2"/>
      <c r="G5" s="2"/>
      <c r="H5" s="123">
        <v>1.4999999999999999E-2</v>
      </c>
      <c r="I5" s="123">
        <v>1.4999999999999999E-2</v>
      </c>
      <c r="J5" s="123">
        <v>1.7500000000000002E-2</v>
      </c>
      <c r="K5" s="123">
        <v>1.7500000000000002E-2</v>
      </c>
      <c r="L5" s="123">
        <v>1.7500000000000002E-2</v>
      </c>
      <c r="M5" s="123">
        <v>1.7500000000000002E-2</v>
      </c>
      <c r="N5" s="123">
        <v>1.7500000000000002E-2</v>
      </c>
      <c r="O5" s="123">
        <v>1.7500000000000002E-2</v>
      </c>
      <c r="P5" s="123">
        <v>1.7500000000000002E-2</v>
      </c>
      <c r="Q5" s="123">
        <v>1.7500000000000002E-2</v>
      </c>
      <c r="R5" s="123">
        <v>1.7500000000000002E-2</v>
      </c>
      <c r="S5" s="123">
        <v>1.7500000000000002E-2</v>
      </c>
      <c r="T5" s="123">
        <v>1.7500000000000002E-2</v>
      </c>
      <c r="U5" s="123">
        <v>1.7500000000000002E-2</v>
      </c>
      <c r="V5" s="123">
        <v>1.7500000000000002E-2</v>
      </c>
      <c r="W5" s="123">
        <v>1.7500000000000002E-2</v>
      </c>
      <c r="X5" s="123">
        <v>1.7500000000000002E-2</v>
      </c>
      <c r="Y5" s="123">
        <v>1.7500000000000002E-2</v>
      </c>
      <c r="Z5" s="123">
        <v>1.7500000000000002E-2</v>
      </c>
      <c r="AA5" s="123">
        <v>1.7500000000000002E-2</v>
      </c>
      <c r="AB5" s="123">
        <v>1.7500000000000002E-2</v>
      </c>
      <c r="AC5" s="123">
        <v>1.7500000000000002E-2</v>
      </c>
      <c r="AD5" s="123">
        <v>1.7500000000000002E-2</v>
      </c>
      <c r="AE5" s="123">
        <v>1.7500000000000002E-2</v>
      </c>
      <c r="AF5" s="123">
        <v>1.7500000000000002E-2</v>
      </c>
      <c r="AG5" s="123">
        <v>1.7500000000000002E-2</v>
      </c>
      <c r="AH5" s="123">
        <v>1.7500000000000002E-2</v>
      </c>
      <c r="AI5" s="123">
        <v>1.7500000000000002E-2</v>
      </c>
      <c r="AJ5" s="123">
        <v>1.7500000000000002E-2</v>
      </c>
      <c r="AK5" s="123">
        <v>1.7500000000000002E-2</v>
      </c>
      <c r="AL5" s="123">
        <v>1.7500000000000002E-2</v>
      </c>
      <c r="AM5" s="123">
        <v>1.7500000000000002E-2</v>
      </c>
      <c r="AN5" s="123">
        <v>1.7500000000000002E-2</v>
      </c>
      <c r="AO5" s="123">
        <v>1.7500000000000002E-2</v>
      </c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</row>
    <row r="6" spans="1:76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52">
        <f t="shared" si="0"/>
        <v>2023</v>
      </c>
      <c r="I6" s="52">
        <f t="shared" si="0"/>
        <v>2024</v>
      </c>
      <c r="J6" s="52">
        <f t="shared" si="0"/>
        <v>2025</v>
      </c>
      <c r="K6" s="52">
        <f t="shared" si="0"/>
        <v>2026</v>
      </c>
      <c r="L6" s="52">
        <f t="shared" si="0"/>
        <v>2027</v>
      </c>
      <c r="M6" s="52">
        <f t="shared" ref="M6" si="1">L6+1</f>
        <v>2028</v>
      </c>
      <c r="N6" s="52">
        <f t="shared" ref="N6" si="2">M6+1</f>
        <v>2029</v>
      </c>
      <c r="O6" s="52">
        <f t="shared" ref="O6" si="3">N6+1</f>
        <v>2030</v>
      </c>
      <c r="P6" s="52">
        <f t="shared" ref="P6" si="4">O6+1</f>
        <v>2031</v>
      </c>
      <c r="Q6" s="52">
        <f t="shared" ref="Q6" si="5">P6+1</f>
        <v>2032</v>
      </c>
      <c r="R6" s="52">
        <f t="shared" ref="R6" si="6">Q6+1</f>
        <v>2033</v>
      </c>
      <c r="S6" s="52">
        <f t="shared" ref="S6" si="7">R6+1</f>
        <v>2034</v>
      </c>
      <c r="T6" s="52">
        <f t="shared" ref="T6" si="8">S6+1</f>
        <v>2035</v>
      </c>
      <c r="U6" s="52">
        <f t="shared" ref="U6" si="9">T6+1</f>
        <v>2036</v>
      </c>
      <c r="V6" s="52">
        <f t="shared" ref="V6" si="10">U6+1</f>
        <v>2037</v>
      </c>
      <c r="W6" s="52">
        <f t="shared" ref="W6" si="11">V6+1</f>
        <v>2038</v>
      </c>
      <c r="X6" s="52">
        <f t="shared" ref="X6" si="12">W6+1</f>
        <v>2039</v>
      </c>
      <c r="Y6" s="52">
        <f t="shared" ref="Y6" si="13">X6+1</f>
        <v>2040</v>
      </c>
      <c r="Z6" s="52">
        <f t="shared" ref="Z6" si="14">Y6+1</f>
        <v>2041</v>
      </c>
      <c r="AA6" s="52">
        <f t="shared" ref="AA6" si="15">Z6+1</f>
        <v>2042</v>
      </c>
      <c r="AB6" s="52">
        <f t="shared" ref="AB6" si="16">AA6+1</f>
        <v>2043</v>
      </c>
      <c r="AC6" s="52">
        <f t="shared" ref="AC6" si="17">AB6+1</f>
        <v>2044</v>
      </c>
      <c r="AD6" s="52">
        <f t="shared" ref="AD6" si="18">AC6+1</f>
        <v>2045</v>
      </c>
      <c r="AE6" s="52">
        <f t="shared" ref="AE6" si="19">AD6+1</f>
        <v>2046</v>
      </c>
      <c r="AF6" s="52">
        <f t="shared" ref="AF6" si="20">AE6+1</f>
        <v>2047</v>
      </c>
      <c r="AG6" s="52">
        <f t="shared" ref="AG6" si="21">AF6+1</f>
        <v>2048</v>
      </c>
      <c r="AH6" s="52">
        <f t="shared" ref="AH6" si="22">AG6+1</f>
        <v>2049</v>
      </c>
      <c r="AI6" s="52">
        <f t="shared" ref="AI6" si="23">AH6+1</f>
        <v>2050</v>
      </c>
      <c r="AJ6" s="52">
        <f t="shared" ref="AJ6" si="24">AI6+1</f>
        <v>2051</v>
      </c>
      <c r="AK6" s="52">
        <f t="shared" ref="AK6" si="25">AJ6+1</f>
        <v>2052</v>
      </c>
      <c r="AL6" s="52">
        <f t="shared" ref="AL6" si="26">AK6+1</f>
        <v>2053</v>
      </c>
      <c r="AM6" s="52">
        <f t="shared" ref="AM6" si="27">AL6+1</f>
        <v>2054</v>
      </c>
      <c r="AN6" s="52">
        <f t="shared" ref="AN6" si="28">AM6+1</f>
        <v>2055</v>
      </c>
      <c r="AO6" s="52">
        <f t="shared" ref="AO6" si="29">AN6+1</f>
        <v>2056</v>
      </c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</row>
    <row r="7" spans="1:76" ht="18" customHeight="1" x14ac:dyDescent="0.25">
      <c r="B7" s="3" t="s">
        <v>238</v>
      </c>
      <c r="C7" s="146"/>
      <c r="D7" s="146"/>
      <c r="E7" s="147"/>
      <c r="F7" s="147"/>
      <c r="G7" s="148"/>
      <c r="H7" s="149">
        <v>1</v>
      </c>
      <c r="I7" s="149">
        <v>12</v>
      </c>
      <c r="J7" s="149">
        <v>12</v>
      </c>
      <c r="K7" s="149">
        <v>12</v>
      </c>
      <c r="L7" s="149">
        <v>12</v>
      </c>
      <c r="M7" s="149">
        <v>12</v>
      </c>
      <c r="N7" s="149">
        <v>12</v>
      </c>
      <c r="O7" s="149">
        <v>12</v>
      </c>
      <c r="P7" s="149">
        <v>12</v>
      </c>
      <c r="Q7" s="149">
        <v>12</v>
      </c>
      <c r="R7" s="149">
        <v>12</v>
      </c>
      <c r="S7" s="149">
        <v>12</v>
      </c>
      <c r="T7" s="149">
        <v>12</v>
      </c>
      <c r="U7" s="149">
        <v>12</v>
      </c>
      <c r="V7" s="149">
        <v>12</v>
      </c>
      <c r="W7" s="149">
        <v>12</v>
      </c>
      <c r="X7" s="149">
        <v>12</v>
      </c>
      <c r="Y7" s="149">
        <v>12</v>
      </c>
      <c r="Z7" s="149">
        <v>12</v>
      </c>
      <c r="AA7" s="149">
        <v>12</v>
      </c>
      <c r="AB7" s="149">
        <v>12</v>
      </c>
      <c r="AC7" s="149">
        <v>12</v>
      </c>
      <c r="AD7" s="149">
        <v>12</v>
      </c>
      <c r="AE7" s="149">
        <v>12</v>
      </c>
      <c r="AF7" s="149">
        <v>12</v>
      </c>
      <c r="AG7" s="149">
        <v>12</v>
      </c>
      <c r="AH7" s="149">
        <v>12</v>
      </c>
      <c r="AI7" s="149">
        <v>12</v>
      </c>
      <c r="AJ7" s="149">
        <v>12</v>
      </c>
      <c r="AK7" s="149">
        <v>12</v>
      </c>
      <c r="AL7" s="149">
        <v>12</v>
      </c>
      <c r="AM7" s="149">
        <v>12</v>
      </c>
      <c r="AN7" s="149">
        <v>12</v>
      </c>
      <c r="AO7" s="149">
        <v>12</v>
      </c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</row>
    <row r="8" spans="1:76" x14ac:dyDescent="0.25">
      <c r="B8" s="15" t="s">
        <v>123</v>
      </c>
      <c r="C8" s="9">
        <v>2746.73</v>
      </c>
      <c r="D8" s="9">
        <v>3674.45</v>
      </c>
      <c r="E8" s="27">
        <v>4427.0600000000004</v>
      </c>
      <c r="F8" s="27">
        <v>4275.6899999999996</v>
      </c>
      <c r="G8" s="27">
        <v>4192.55</v>
      </c>
      <c r="H8" s="27">
        <f>G8*(1+H5)</f>
        <v>4255.4382500000002</v>
      </c>
      <c r="I8" s="27">
        <f t="shared" ref="I8:L8" si="30">H8*(1+I5)</f>
        <v>4319.2698237499999</v>
      </c>
      <c r="J8" s="27">
        <f t="shared" si="30"/>
        <v>4394.8570456656253</v>
      </c>
      <c r="K8" s="27">
        <f t="shared" si="30"/>
        <v>4471.7670439647736</v>
      </c>
      <c r="L8" s="27">
        <f t="shared" si="30"/>
        <v>4550.0229672341575</v>
      </c>
      <c r="M8" s="27">
        <f t="shared" ref="M8" si="31">L8*(1+M5)</f>
        <v>4629.6483691607555</v>
      </c>
      <c r="N8" s="27">
        <f t="shared" ref="N8" si="32">M8*(1+N5)</f>
        <v>4710.6672156210689</v>
      </c>
      <c r="O8" s="27">
        <f t="shared" ref="O8" si="33">N8*(1+O5)</f>
        <v>4793.1038918944378</v>
      </c>
      <c r="P8" s="27">
        <f t="shared" ref="P8" si="34">O8*(1+P5)</f>
        <v>4876.9832100025906</v>
      </c>
      <c r="Q8" s="27">
        <f t="shared" ref="Q8" si="35">P8*(1+Q5)</f>
        <v>4962.3304161776359</v>
      </c>
      <c r="R8" s="27">
        <f t="shared" ref="R8" si="36">Q8*(1+R5)</f>
        <v>5049.1711984607446</v>
      </c>
      <c r="S8" s="27">
        <f t="shared" ref="S8" si="37">R8*(1+S5)</f>
        <v>5137.5316944338083</v>
      </c>
      <c r="T8" s="27">
        <f t="shared" ref="T8" si="38">S8*(1+T5)</f>
        <v>5227.4384990864</v>
      </c>
      <c r="U8" s="27">
        <f t="shared" ref="U8" si="39">T8*(1+U5)</f>
        <v>5318.9186728204122</v>
      </c>
      <c r="V8" s="27">
        <f t="shared" ref="V8" si="40">U8*(1+V5)</f>
        <v>5411.99974959477</v>
      </c>
      <c r="W8" s="27">
        <f t="shared" ref="W8" si="41">V8*(1+W5)</f>
        <v>5506.7097452126791</v>
      </c>
      <c r="X8" s="27">
        <f t="shared" ref="X8" si="42">W8*(1+X5)</f>
        <v>5603.0771657539017</v>
      </c>
      <c r="Y8" s="27">
        <f t="shared" ref="Y8" si="43">X8*(1+Y5)</f>
        <v>5701.1310161545953</v>
      </c>
      <c r="Z8" s="27">
        <f t="shared" ref="Z8" si="44">Y8*(1+Z5)</f>
        <v>5800.900808937301</v>
      </c>
      <c r="AA8" s="27">
        <f t="shared" ref="AA8" si="45">Z8*(1+AA5)</f>
        <v>5902.4165730937038</v>
      </c>
      <c r="AB8" s="27">
        <f t="shared" ref="AB8" si="46">AA8*(1+AB5)</f>
        <v>6005.7088631228444</v>
      </c>
      <c r="AC8" s="27">
        <f t="shared" ref="AC8" si="47">AB8*(1+AC5)</f>
        <v>6110.8087682274945</v>
      </c>
      <c r="AD8" s="27">
        <f t="shared" ref="AD8" si="48">AC8*(1+AD5)</f>
        <v>6217.7479216714764</v>
      </c>
      <c r="AE8" s="27">
        <f t="shared" ref="AE8" si="49">AD8*(1+AE5)</f>
        <v>6326.5585103007279</v>
      </c>
      <c r="AF8" s="27">
        <f t="shared" ref="AF8" si="50">AE8*(1+AF5)</f>
        <v>6437.2732842309915</v>
      </c>
      <c r="AG8" s="27">
        <f t="shared" ref="AG8" si="51">AF8*(1+AG5)</f>
        <v>6549.9255667050347</v>
      </c>
      <c r="AH8" s="27">
        <f t="shared" ref="AH8" si="52">AG8*(1+AH5)</f>
        <v>6664.5492641223736</v>
      </c>
      <c r="AI8" s="27">
        <f t="shared" ref="AI8" si="53">AH8*(1+AI5)</f>
        <v>6781.1788762445158</v>
      </c>
      <c r="AJ8" s="27">
        <f t="shared" ref="AJ8" si="54">AI8*(1+AJ5)</f>
        <v>6899.8495065787956</v>
      </c>
      <c r="AK8" s="27">
        <f t="shared" ref="AK8" si="55">AJ8*(1+AK5)</f>
        <v>7020.5968729439246</v>
      </c>
      <c r="AL8" s="27">
        <f t="shared" ref="AL8" si="56">AK8*(1+AL5)</f>
        <v>7143.457318220444</v>
      </c>
      <c r="AM8" s="27">
        <f t="shared" ref="AM8" si="57">AL8*(1+AM5)</f>
        <v>7268.4678212893023</v>
      </c>
      <c r="AN8" s="27">
        <f t="shared" ref="AN8" si="58">AM8*(1+AN5)</f>
        <v>7395.6660081618656</v>
      </c>
      <c r="AO8" s="27">
        <f t="shared" ref="AO8" si="59">AN8*(1+AO5)</f>
        <v>7525.0901633046988</v>
      </c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R8" s="58" t="s">
        <v>41</v>
      </c>
      <c r="BS8" s="59">
        <v>2018</v>
      </c>
      <c r="BT8" s="59">
        <f>BS8+1</f>
        <v>2019</v>
      </c>
      <c r="BU8" s="59">
        <f t="shared" ref="BU8:BW8" si="60">BT8+1</f>
        <v>2020</v>
      </c>
      <c r="BV8" s="59">
        <f t="shared" si="60"/>
        <v>2021</v>
      </c>
      <c r="BW8" s="60">
        <f t="shared" si="60"/>
        <v>2022</v>
      </c>
      <c r="BX8" s="60" t="s">
        <v>146</v>
      </c>
    </row>
    <row r="9" spans="1:76" x14ac:dyDescent="0.25">
      <c r="B9" s="44" t="s">
        <v>125</v>
      </c>
      <c r="C9" s="14">
        <f t="shared" ref="C9:L9" si="61">SUM(C8:C8)</f>
        <v>2746.73</v>
      </c>
      <c r="D9" s="14">
        <f t="shared" si="61"/>
        <v>3674.45</v>
      </c>
      <c r="E9" s="36">
        <f t="shared" si="61"/>
        <v>4427.0600000000004</v>
      </c>
      <c r="F9" s="36">
        <f t="shared" si="61"/>
        <v>4275.6899999999996</v>
      </c>
      <c r="G9" s="36">
        <f t="shared" si="61"/>
        <v>4192.55</v>
      </c>
      <c r="H9" s="36">
        <f t="shared" si="61"/>
        <v>4255.4382500000002</v>
      </c>
      <c r="I9" s="36">
        <f t="shared" si="61"/>
        <v>4319.2698237499999</v>
      </c>
      <c r="J9" s="36">
        <f t="shared" si="61"/>
        <v>4394.8570456656253</v>
      </c>
      <c r="K9" s="36">
        <f t="shared" si="61"/>
        <v>4471.7670439647736</v>
      </c>
      <c r="L9" s="36">
        <f t="shared" si="61"/>
        <v>4550.0229672341575</v>
      </c>
      <c r="M9" s="36">
        <f t="shared" ref="M9:Y9" si="62">SUM(M8:M8)</f>
        <v>4629.6483691607555</v>
      </c>
      <c r="N9" s="36">
        <f t="shared" si="62"/>
        <v>4710.6672156210689</v>
      </c>
      <c r="O9" s="36">
        <f t="shared" si="62"/>
        <v>4793.1038918944378</v>
      </c>
      <c r="P9" s="36">
        <f t="shared" si="62"/>
        <v>4876.9832100025906</v>
      </c>
      <c r="Q9" s="36">
        <f t="shared" si="62"/>
        <v>4962.3304161776359</v>
      </c>
      <c r="R9" s="36">
        <f t="shared" si="62"/>
        <v>5049.1711984607446</v>
      </c>
      <c r="S9" s="36">
        <f t="shared" si="62"/>
        <v>5137.5316944338083</v>
      </c>
      <c r="T9" s="36">
        <f t="shared" si="62"/>
        <v>5227.4384990864</v>
      </c>
      <c r="U9" s="36">
        <f t="shared" si="62"/>
        <v>5318.9186728204122</v>
      </c>
      <c r="V9" s="36">
        <f t="shared" si="62"/>
        <v>5411.99974959477</v>
      </c>
      <c r="W9" s="36">
        <f t="shared" si="62"/>
        <v>5506.7097452126791</v>
      </c>
      <c r="X9" s="36">
        <f t="shared" si="62"/>
        <v>5603.0771657539017</v>
      </c>
      <c r="Y9" s="36">
        <f t="shared" si="62"/>
        <v>5701.1310161545953</v>
      </c>
      <c r="Z9" s="36">
        <f t="shared" ref="Z9:AO9" si="63">SUM(Z8:Z8)</f>
        <v>5800.900808937301</v>
      </c>
      <c r="AA9" s="36">
        <f t="shared" si="63"/>
        <v>5902.4165730937038</v>
      </c>
      <c r="AB9" s="36">
        <f t="shared" si="63"/>
        <v>6005.7088631228444</v>
      </c>
      <c r="AC9" s="36">
        <f t="shared" si="63"/>
        <v>6110.8087682274945</v>
      </c>
      <c r="AD9" s="36">
        <f t="shared" si="63"/>
        <v>6217.7479216714764</v>
      </c>
      <c r="AE9" s="36">
        <f t="shared" si="63"/>
        <v>6326.5585103007279</v>
      </c>
      <c r="AF9" s="36">
        <f t="shared" si="63"/>
        <v>6437.2732842309915</v>
      </c>
      <c r="AG9" s="36">
        <f t="shared" si="63"/>
        <v>6549.9255667050347</v>
      </c>
      <c r="AH9" s="36">
        <f t="shared" si="63"/>
        <v>6664.5492641223736</v>
      </c>
      <c r="AI9" s="36">
        <f t="shared" si="63"/>
        <v>6781.1788762445158</v>
      </c>
      <c r="AJ9" s="36">
        <f t="shared" si="63"/>
        <v>6899.8495065787956</v>
      </c>
      <c r="AK9" s="36">
        <f t="shared" si="63"/>
        <v>7020.5968729439246</v>
      </c>
      <c r="AL9" s="36">
        <f t="shared" si="63"/>
        <v>7143.457318220444</v>
      </c>
      <c r="AM9" s="36">
        <f t="shared" si="63"/>
        <v>7268.4678212893023</v>
      </c>
      <c r="AN9" s="36">
        <f t="shared" si="63"/>
        <v>7395.6660081618656</v>
      </c>
      <c r="AO9" s="36">
        <f t="shared" si="63"/>
        <v>7525.0901633046988</v>
      </c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R9" s="32" t="s">
        <v>128</v>
      </c>
      <c r="BS9" s="61">
        <f>C11/C$8</f>
        <v>0.63896706265268155</v>
      </c>
      <c r="BT9" s="61">
        <f>D11/D$8</f>
        <v>0.46975193566384082</v>
      </c>
      <c r="BU9" s="61">
        <f>E11/E$8</f>
        <v>0.63260493420012376</v>
      </c>
      <c r="BV9" s="61">
        <f>F11/F$8</f>
        <v>0.49314379667375335</v>
      </c>
      <c r="BW9" s="61">
        <f>G11/G$8</f>
        <v>0.48004436440829562</v>
      </c>
      <c r="BX9" s="61">
        <f>AVERAGE(BS9:BW9)</f>
        <v>0.54290241871973899</v>
      </c>
    </row>
    <row r="10" spans="1:76" ht="15.75" customHeight="1" x14ac:dyDescent="0.25">
      <c r="B10" s="16" t="s">
        <v>126</v>
      </c>
      <c r="C10" s="9"/>
      <c r="D10" s="105">
        <f>D9/C9-1</f>
        <v>0.33775434789731773</v>
      </c>
      <c r="E10" s="105">
        <f t="shared" ref="E10:G10" si="64">E9/D9-1</f>
        <v>0.2048224904407463</v>
      </c>
      <c r="F10" s="105">
        <f t="shared" si="64"/>
        <v>-3.4191991976616709E-2</v>
      </c>
      <c r="G10" s="105">
        <f t="shared" si="64"/>
        <v>-1.9444814755045225E-2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R10" s="62" t="s">
        <v>19</v>
      </c>
      <c r="BS10" s="61">
        <f t="shared" ref="BS10" si="65">C12/C$8</f>
        <v>2.0358753863685183E-2</v>
      </c>
      <c r="BT10" s="61">
        <f>D12/D$8</f>
        <v>2.1178679802419408E-2</v>
      </c>
      <c r="BU10" s="61">
        <f>E12/E$8</f>
        <v>1.4777301414482748E-2</v>
      </c>
      <c r="BV10" s="61">
        <f>F12/F$8</f>
        <v>1.7840395351393579E-2</v>
      </c>
      <c r="BW10" s="61">
        <f>G12/G$8</f>
        <v>1.8997984520160761E-2</v>
      </c>
      <c r="BX10" s="61">
        <f t="shared" ref="BX10" si="66">AVERAGE(BS10:BW10)</f>
        <v>1.8630622990428333E-2</v>
      </c>
    </row>
    <row r="11" spans="1:76" ht="17.25" customHeight="1" x14ac:dyDescent="0.25">
      <c r="B11" s="50" t="s">
        <v>18</v>
      </c>
      <c r="C11" s="9">
        <v>1755.07</v>
      </c>
      <c r="D11" s="9">
        <v>1726.08</v>
      </c>
      <c r="E11" s="27">
        <v>2800.58</v>
      </c>
      <c r="F11" s="27">
        <v>2108.5300000000002</v>
      </c>
      <c r="G11" s="27">
        <v>2012.61</v>
      </c>
      <c r="H11" s="27">
        <f>H9*$BX$9</f>
        <v>2310.2877186374935</v>
      </c>
      <c r="I11" s="27">
        <f>I9*$BX$9</f>
        <v>2344.9420344170558</v>
      </c>
      <c r="J11" s="27">
        <f>J9*$BX$9</f>
        <v>2385.9785200193542</v>
      </c>
      <c r="K11" s="27">
        <f>K9*$BX$9</f>
        <v>2427.733144119693</v>
      </c>
      <c r="L11" s="27">
        <f>L9*$BX$9</f>
        <v>2470.2184741417877</v>
      </c>
      <c r="M11" s="27">
        <f t="shared" ref="M11:Y11" si="67">M9*$BX$9</f>
        <v>2513.4472974392693</v>
      </c>
      <c r="N11" s="27">
        <f t="shared" si="67"/>
        <v>2557.4326251444563</v>
      </c>
      <c r="O11" s="27">
        <f t="shared" si="67"/>
        <v>2602.1876960844847</v>
      </c>
      <c r="P11" s="27">
        <f t="shared" si="67"/>
        <v>2647.725980765963</v>
      </c>
      <c r="Q11" s="27">
        <f t="shared" si="67"/>
        <v>2694.0611854293675</v>
      </c>
      <c r="R11" s="27">
        <f t="shared" si="67"/>
        <v>2741.2072561743817</v>
      </c>
      <c r="S11" s="27">
        <f t="shared" si="67"/>
        <v>2789.1783831574335</v>
      </c>
      <c r="T11" s="27">
        <f t="shared" si="67"/>
        <v>2837.9890048626885</v>
      </c>
      <c r="U11" s="27">
        <f t="shared" si="67"/>
        <v>2887.6538124477856</v>
      </c>
      <c r="V11" s="27">
        <f t="shared" si="67"/>
        <v>2938.1877541656222</v>
      </c>
      <c r="W11" s="27">
        <f t="shared" si="67"/>
        <v>2989.6060398635209</v>
      </c>
      <c r="X11" s="27">
        <f t="shared" si="67"/>
        <v>3041.9241455611332</v>
      </c>
      <c r="Y11" s="27">
        <f t="shared" si="67"/>
        <v>3095.1578181084533</v>
      </c>
      <c r="Z11" s="27">
        <f t="shared" ref="Z11:AO11" si="68">Z9*$BX$9</f>
        <v>3149.3230799253511</v>
      </c>
      <c r="AA11" s="27">
        <f t="shared" si="68"/>
        <v>3204.4362338240448</v>
      </c>
      <c r="AB11" s="27">
        <f t="shared" si="68"/>
        <v>3260.5138679159659</v>
      </c>
      <c r="AC11" s="27">
        <f t="shared" si="68"/>
        <v>3317.5728606044959</v>
      </c>
      <c r="AD11" s="27">
        <f t="shared" si="68"/>
        <v>3375.6303856650748</v>
      </c>
      <c r="AE11" s="27">
        <f t="shared" si="68"/>
        <v>3434.7039174142137</v>
      </c>
      <c r="AF11" s="27">
        <f t="shared" si="68"/>
        <v>3494.811235968963</v>
      </c>
      <c r="AG11" s="27">
        <f t="shared" si="68"/>
        <v>3555.9704325984203</v>
      </c>
      <c r="AH11" s="27">
        <f t="shared" si="68"/>
        <v>3618.1999151688933</v>
      </c>
      <c r="AI11" s="27">
        <f t="shared" si="68"/>
        <v>3681.5184136843491</v>
      </c>
      <c r="AJ11" s="27">
        <f t="shared" si="68"/>
        <v>3745.9449859238257</v>
      </c>
      <c r="AK11" s="27">
        <f t="shared" si="68"/>
        <v>3811.4990231774927</v>
      </c>
      <c r="AL11" s="27">
        <f t="shared" si="68"/>
        <v>3878.2002560830992</v>
      </c>
      <c r="AM11" s="27">
        <f t="shared" si="68"/>
        <v>3946.0687605645539</v>
      </c>
      <c r="AN11" s="27">
        <f t="shared" si="68"/>
        <v>4015.1249638744339</v>
      </c>
      <c r="AO11" s="27">
        <f t="shared" si="68"/>
        <v>4085.3896507422364</v>
      </c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R11" s="62" t="s">
        <v>208</v>
      </c>
      <c r="BS11" s="61">
        <f>'P&amp;L'!L19</f>
        <v>0.13240835466172504</v>
      </c>
      <c r="BT11" s="61">
        <f>'P&amp;L'!M19</f>
        <v>0.51105335492386617</v>
      </c>
      <c r="BU11" s="61">
        <f>'P&amp;L'!N19</f>
        <v>0.13213735526511949</v>
      </c>
      <c r="BV11" s="61">
        <f>'P&amp;L'!O19</f>
        <v>0.13100575579614054</v>
      </c>
      <c r="BW11" s="61">
        <f>'P&amp;L'!P19</f>
        <v>0.16449654744725761</v>
      </c>
      <c r="BX11" s="61">
        <f>AVERAGE(BU11:BW11)</f>
        <v>0.14254655283617254</v>
      </c>
    </row>
    <row r="12" spans="1:76" ht="16.5" customHeight="1" x14ac:dyDescent="0.25">
      <c r="B12" s="47" t="s">
        <v>19</v>
      </c>
      <c r="C12" s="9">
        <v>55.92</v>
      </c>
      <c r="D12" s="9">
        <v>77.819999999999993</v>
      </c>
      <c r="E12" s="27">
        <v>65.42</v>
      </c>
      <c r="F12" s="27">
        <v>76.28</v>
      </c>
      <c r="G12" s="27">
        <v>79.650000000000006</v>
      </c>
      <c r="H12" s="27">
        <f>H9*$BX$10</f>
        <v>79.281465694798115</v>
      </c>
      <c r="I12" s="27">
        <f>I9*$BX$10</f>
        <v>80.470687680220081</v>
      </c>
      <c r="J12" s="27">
        <f>J9*$BX$10</f>
        <v>81.878924714623935</v>
      </c>
      <c r="K12" s="27">
        <f>K9*$BX$10</f>
        <v>83.311805897129858</v>
      </c>
      <c r="L12" s="27">
        <f>L9*$BX$10</f>
        <v>84.769762500329634</v>
      </c>
      <c r="M12" s="27">
        <f t="shared" ref="M12:Y12" si="69">M9*$BX$10</f>
        <v>86.253233344085402</v>
      </c>
      <c r="N12" s="27">
        <f t="shared" si="69"/>
        <v>87.762664927606906</v>
      </c>
      <c r="O12" s="27">
        <f t="shared" si="69"/>
        <v>89.298511563840023</v>
      </c>
      <c r="P12" s="27">
        <f t="shared" si="69"/>
        <v>90.86123551620723</v>
      </c>
      <c r="Q12" s="27">
        <f t="shared" si="69"/>
        <v>92.451307137740855</v>
      </c>
      <c r="R12" s="27">
        <f t="shared" si="69"/>
        <v>94.069205012651324</v>
      </c>
      <c r="S12" s="27">
        <f t="shared" si="69"/>
        <v>95.715416100372735</v>
      </c>
      <c r="T12" s="27">
        <f t="shared" si="69"/>
        <v>97.390435882129267</v>
      </c>
      <c r="U12" s="27">
        <f t="shared" si="69"/>
        <v>99.09476851006653</v>
      </c>
      <c r="V12" s="27">
        <f t="shared" si="69"/>
        <v>100.8289269589927</v>
      </c>
      <c r="W12" s="27">
        <f t="shared" si="69"/>
        <v>102.59343318077508</v>
      </c>
      <c r="X12" s="27">
        <f t="shared" si="69"/>
        <v>104.38881826143866</v>
      </c>
      <c r="Y12" s="27">
        <f t="shared" si="69"/>
        <v>106.21562258101385</v>
      </c>
      <c r="Z12" s="27">
        <f t="shared" ref="Z12:AO12" si="70">Z9*$BX$10</f>
        <v>108.07439597618159</v>
      </c>
      <c r="AA12" s="27">
        <f t="shared" si="70"/>
        <v>109.96569790576477</v>
      </c>
      <c r="AB12" s="27">
        <f t="shared" si="70"/>
        <v>111.89009761911566</v>
      </c>
      <c r="AC12" s="27">
        <f t="shared" si="70"/>
        <v>113.8481743274502</v>
      </c>
      <c r="AD12" s="27">
        <f t="shared" si="70"/>
        <v>115.84051737818059</v>
      </c>
      <c r="AE12" s="27">
        <f t="shared" si="70"/>
        <v>117.86772643229877</v>
      </c>
      <c r="AF12" s="27">
        <f t="shared" si="70"/>
        <v>119.93041164486401</v>
      </c>
      <c r="AG12" s="27">
        <f t="shared" si="70"/>
        <v>122.02919384864914</v>
      </c>
      <c r="AH12" s="27">
        <f t="shared" si="70"/>
        <v>124.16470474100052</v>
      </c>
      <c r="AI12" s="27">
        <f t="shared" si="70"/>
        <v>126.33758707396804</v>
      </c>
      <c r="AJ12" s="27">
        <f t="shared" si="70"/>
        <v>128.5484948477625</v>
      </c>
      <c r="AK12" s="27">
        <f t="shared" si="70"/>
        <v>130.79809350759834</v>
      </c>
      <c r="AL12" s="27">
        <f t="shared" si="70"/>
        <v>133.08706014398132</v>
      </c>
      <c r="AM12" s="27">
        <f t="shared" si="70"/>
        <v>135.416083696501</v>
      </c>
      <c r="AN12" s="27">
        <f t="shared" si="70"/>
        <v>137.78586516118978</v>
      </c>
      <c r="AO12" s="27">
        <f t="shared" si="70"/>
        <v>140.19711780151061</v>
      </c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</row>
    <row r="13" spans="1:76" ht="15.75" customHeight="1" x14ac:dyDescent="0.25">
      <c r="B13" s="50" t="s">
        <v>21</v>
      </c>
      <c r="C13" s="9">
        <v>363.69</v>
      </c>
      <c r="D13" s="9">
        <v>1877.84</v>
      </c>
      <c r="E13" s="27">
        <v>1516.57</v>
      </c>
      <c r="F13" s="27">
        <v>1358.41</v>
      </c>
      <c r="G13" s="27">
        <v>689.66</v>
      </c>
      <c r="H13" s="27">
        <f>H9*$BX$11</f>
        <v>606.59805334469468</v>
      </c>
      <c r="I13" s="27">
        <f>I9*$BX$11</f>
        <v>615.69702414486505</v>
      </c>
      <c r="J13" s="27">
        <f>J9*$BX$11</f>
        <v>626.47172206740026</v>
      </c>
      <c r="K13" s="27">
        <f>K9*$BX$11</f>
        <v>637.43497720357971</v>
      </c>
      <c r="L13" s="27">
        <f>L9*$BX$11</f>
        <v>648.59008930464245</v>
      </c>
      <c r="M13" s="27">
        <f t="shared" ref="M13:Y13" si="71">M9*$BX$11</f>
        <v>659.94041586747369</v>
      </c>
      <c r="N13" s="27">
        <f t="shared" si="71"/>
        <v>671.48937314515445</v>
      </c>
      <c r="O13" s="27">
        <f t="shared" si="71"/>
        <v>683.24043717519476</v>
      </c>
      <c r="P13" s="27">
        <f t="shared" si="71"/>
        <v>695.19714482576069</v>
      </c>
      <c r="Q13" s="27">
        <f t="shared" si="71"/>
        <v>707.3630948602115</v>
      </c>
      <c r="R13" s="27">
        <f t="shared" si="71"/>
        <v>719.74194902026511</v>
      </c>
      <c r="S13" s="27">
        <f t="shared" si="71"/>
        <v>732.33743312811987</v>
      </c>
      <c r="T13" s="27">
        <f t="shared" si="71"/>
        <v>745.15333820786202</v>
      </c>
      <c r="U13" s="27">
        <f t="shared" si="71"/>
        <v>758.19352162649966</v>
      </c>
      <c r="V13" s="27">
        <f t="shared" si="71"/>
        <v>771.46190825496342</v>
      </c>
      <c r="W13" s="27">
        <f t="shared" si="71"/>
        <v>784.96249164942537</v>
      </c>
      <c r="X13" s="27">
        <f t="shared" si="71"/>
        <v>798.69933525329043</v>
      </c>
      <c r="Y13" s="27">
        <f t="shared" si="71"/>
        <v>812.67657362022305</v>
      </c>
      <c r="Z13" s="27">
        <f t="shared" ref="Z13:AO13" si="72">Z9*$BX$11</f>
        <v>826.89841365857706</v>
      </c>
      <c r="AA13" s="27">
        <f t="shared" si="72"/>
        <v>841.36913589760206</v>
      </c>
      <c r="AB13" s="27">
        <f t="shared" si="72"/>
        <v>856.0930957758103</v>
      </c>
      <c r="AC13" s="27">
        <f t="shared" si="72"/>
        <v>871.07472495188699</v>
      </c>
      <c r="AD13" s="27">
        <f t="shared" si="72"/>
        <v>886.31853263854509</v>
      </c>
      <c r="AE13" s="27">
        <f t="shared" si="72"/>
        <v>901.82910695971975</v>
      </c>
      <c r="AF13" s="27">
        <f t="shared" si="72"/>
        <v>917.61111633151495</v>
      </c>
      <c r="AG13" s="27">
        <f t="shared" si="72"/>
        <v>933.66931086731665</v>
      </c>
      <c r="AH13" s="27">
        <f t="shared" si="72"/>
        <v>950.00852380749473</v>
      </c>
      <c r="AI13" s="27">
        <f t="shared" si="72"/>
        <v>966.63367297412606</v>
      </c>
      <c r="AJ13" s="27">
        <f t="shared" si="72"/>
        <v>983.54976225117332</v>
      </c>
      <c r="AK13" s="27">
        <f t="shared" si="72"/>
        <v>1000.7618830905689</v>
      </c>
      <c r="AL13" s="27">
        <f t="shared" si="72"/>
        <v>1018.2752160446539</v>
      </c>
      <c r="AM13" s="27">
        <f t="shared" si="72"/>
        <v>1036.0950323254353</v>
      </c>
      <c r="AN13" s="27">
        <f t="shared" si="72"/>
        <v>1054.2266953911305</v>
      </c>
      <c r="AO13" s="27">
        <f t="shared" si="72"/>
        <v>1072.6756625604755</v>
      </c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</row>
    <row r="14" spans="1:76" x14ac:dyDescent="0.25">
      <c r="B14" s="44" t="s">
        <v>23</v>
      </c>
      <c r="C14" s="14">
        <f>SUM(C11:C13)</f>
        <v>2174.6799999999998</v>
      </c>
      <c r="D14" s="14">
        <f t="shared" ref="D14:L14" si="73">SUM(D11:D13)</f>
        <v>3681.74</v>
      </c>
      <c r="E14" s="14">
        <f t="shared" si="73"/>
        <v>4382.57</v>
      </c>
      <c r="F14" s="14">
        <f t="shared" si="73"/>
        <v>3543.2200000000003</v>
      </c>
      <c r="G14" s="53">
        <f t="shared" si="73"/>
        <v>2781.9199999999996</v>
      </c>
      <c r="H14" s="53">
        <f t="shared" si="73"/>
        <v>2996.1672376769861</v>
      </c>
      <c r="I14" s="53">
        <f t="shared" si="73"/>
        <v>3041.1097462421412</v>
      </c>
      <c r="J14" s="53">
        <f t="shared" si="73"/>
        <v>3094.3291668013781</v>
      </c>
      <c r="K14" s="53">
        <f t="shared" si="73"/>
        <v>3148.4799272204027</v>
      </c>
      <c r="L14" s="53">
        <f t="shared" si="73"/>
        <v>3203.5783259467598</v>
      </c>
      <c r="M14" s="53">
        <f t="shared" ref="M14:Y14" si="74">SUM(M11:M13)</f>
        <v>3259.6409466508285</v>
      </c>
      <c r="N14" s="53">
        <f t="shared" si="74"/>
        <v>3316.6846632172173</v>
      </c>
      <c r="O14" s="53">
        <f t="shared" si="74"/>
        <v>3374.7266448235196</v>
      </c>
      <c r="P14" s="53">
        <f t="shared" si="74"/>
        <v>3433.7843611079306</v>
      </c>
      <c r="Q14" s="53">
        <f t="shared" si="74"/>
        <v>3493.8755874273202</v>
      </c>
      <c r="R14" s="53">
        <f t="shared" si="74"/>
        <v>3555.0184102072981</v>
      </c>
      <c r="S14" s="53">
        <f t="shared" si="74"/>
        <v>3617.231232385926</v>
      </c>
      <c r="T14" s="53">
        <f t="shared" si="74"/>
        <v>3680.5327789526796</v>
      </c>
      <c r="U14" s="53">
        <f t="shared" si="74"/>
        <v>3744.9421025843517</v>
      </c>
      <c r="V14" s="53">
        <f t="shared" si="74"/>
        <v>3810.4785893795784</v>
      </c>
      <c r="W14" s="53">
        <f t="shared" si="74"/>
        <v>3877.1619646937215</v>
      </c>
      <c r="X14" s="53">
        <f t="shared" si="74"/>
        <v>3945.0122990758623</v>
      </c>
      <c r="Y14" s="53">
        <f t="shared" si="74"/>
        <v>4014.0500143096906</v>
      </c>
      <c r="Z14" s="53">
        <f t="shared" ref="Z14:AO14" si="75">SUM(Z11:Z13)</f>
        <v>4084.2958895601096</v>
      </c>
      <c r="AA14" s="53">
        <f t="shared" si="75"/>
        <v>4155.7710676274119</v>
      </c>
      <c r="AB14" s="53">
        <f t="shared" si="75"/>
        <v>4228.4970613108917</v>
      </c>
      <c r="AC14" s="53">
        <f t="shared" si="75"/>
        <v>4302.4957598838328</v>
      </c>
      <c r="AD14" s="53">
        <f t="shared" si="75"/>
        <v>4377.7894356818006</v>
      </c>
      <c r="AE14" s="53">
        <f t="shared" si="75"/>
        <v>4454.4007508062323</v>
      </c>
      <c r="AF14" s="53">
        <f t="shared" si="75"/>
        <v>4532.3527639453423</v>
      </c>
      <c r="AG14" s="53">
        <f t="shared" si="75"/>
        <v>4611.6689373143863</v>
      </c>
      <c r="AH14" s="53">
        <f t="shared" si="75"/>
        <v>4692.3731437173883</v>
      </c>
      <c r="AI14" s="53">
        <f t="shared" si="75"/>
        <v>4774.4896737324434</v>
      </c>
      <c r="AJ14" s="53">
        <f t="shared" si="75"/>
        <v>4858.0432430227611</v>
      </c>
      <c r="AK14" s="53">
        <f t="shared" si="75"/>
        <v>4943.0589997756597</v>
      </c>
      <c r="AL14" s="53">
        <f t="shared" si="75"/>
        <v>5029.5625322717351</v>
      </c>
      <c r="AM14" s="53">
        <f t="shared" si="75"/>
        <v>5117.5798765864902</v>
      </c>
      <c r="AN14" s="53">
        <f t="shared" si="75"/>
        <v>5207.1375244267538</v>
      </c>
      <c r="AO14" s="53">
        <f t="shared" si="75"/>
        <v>5298.2624311042227</v>
      </c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</row>
    <row r="15" spans="1:76" x14ac:dyDescent="0.25">
      <c r="B15" s="44" t="s">
        <v>121</v>
      </c>
      <c r="C15" s="14">
        <f>C9-C14</f>
        <v>572.05000000000018</v>
      </c>
      <c r="D15" s="14">
        <f>D9-D14</f>
        <v>-7.2899999999999636</v>
      </c>
      <c r="E15" s="14">
        <f>E9-E14</f>
        <v>44.490000000000691</v>
      </c>
      <c r="F15" s="14">
        <f>F9-F14</f>
        <v>732.46999999999935</v>
      </c>
      <c r="G15" s="53">
        <f>G9-G14</f>
        <v>1410.6300000000006</v>
      </c>
      <c r="H15" s="53">
        <f t="shared" ref="H15:L15" si="76">H9-H14</f>
        <v>1259.271012323014</v>
      </c>
      <c r="I15" s="53">
        <f t="shared" si="76"/>
        <v>1278.1600775078587</v>
      </c>
      <c r="J15" s="53">
        <f t="shared" si="76"/>
        <v>1300.5278788642472</v>
      </c>
      <c r="K15" s="53">
        <f t="shared" si="76"/>
        <v>1323.2871167443709</v>
      </c>
      <c r="L15" s="53">
        <f t="shared" si="76"/>
        <v>1346.4446412873976</v>
      </c>
      <c r="M15" s="53">
        <f t="shared" ref="M15:Y15" si="77">M9-M14</f>
        <v>1370.007422509927</v>
      </c>
      <c r="N15" s="53">
        <f t="shared" si="77"/>
        <v>1393.9825524038515</v>
      </c>
      <c r="O15" s="53">
        <f t="shared" si="77"/>
        <v>1418.3772470709182</v>
      </c>
      <c r="P15" s="53">
        <f t="shared" si="77"/>
        <v>1443.1988488946599</v>
      </c>
      <c r="Q15" s="53">
        <f t="shared" si="77"/>
        <v>1468.4548287503158</v>
      </c>
      <c r="R15" s="53">
        <f t="shared" si="77"/>
        <v>1494.1527882534465</v>
      </c>
      <c r="S15" s="53">
        <f t="shared" si="77"/>
        <v>1520.3004620478823</v>
      </c>
      <c r="T15" s="53">
        <f t="shared" si="77"/>
        <v>1546.9057201337205</v>
      </c>
      <c r="U15" s="53">
        <f t="shared" si="77"/>
        <v>1573.9765702360605</v>
      </c>
      <c r="V15" s="53">
        <f t="shared" si="77"/>
        <v>1601.5211602151917</v>
      </c>
      <c r="W15" s="53">
        <f t="shared" si="77"/>
        <v>1629.5477805189576</v>
      </c>
      <c r="X15" s="53">
        <f t="shared" si="77"/>
        <v>1658.0648666780394</v>
      </c>
      <c r="Y15" s="53">
        <f t="shared" si="77"/>
        <v>1687.0810018449047</v>
      </c>
      <c r="Z15" s="53">
        <f t="shared" ref="Z15:AO15" si="78">Z9-Z14</f>
        <v>1716.6049193771914</v>
      </c>
      <c r="AA15" s="53">
        <f t="shared" si="78"/>
        <v>1746.645505466292</v>
      </c>
      <c r="AB15" s="53">
        <f t="shared" si="78"/>
        <v>1777.2118018119527</v>
      </c>
      <c r="AC15" s="53">
        <f t="shared" si="78"/>
        <v>1808.3130083436617</v>
      </c>
      <c r="AD15" s="53">
        <f t="shared" si="78"/>
        <v>1839.9584859896759</v>
      </c>
      <c r="AE15" s="53">
        <f t="shared" si="78"/>
        <v>1872.1577594944956</v>
      </c>
      <c r="AF15" s="53">
        <f t="shared" si="78"/>
        <v>1904.9205202856492</v>
      </c>
      <c r="AG15" s="53">
        <f t="shared" si="78"/>
        <v>1938.2566293906484</v>
      </c>
      <c r="AH15" s="53">
        <f t="shared" si="78"/>
        <v>1972.1761204049853</v>
      </c>
      <c r="AI15" s="53">
        <f t="shared" si="78"/>
        <v>2006.6892025120724</v>
      </c>
      <c r="AJ15" s="53">
        <f t="shared" si="78"/>
        <v>2041.8062635560345</v>
      </c>
      <c r="AK15" s="53">
        <f t="shared" si="78"/>
        <v>2077.5378731682649</v>
      </c>
      <c r="AL15" s="53">
        <f t="shared" si="78"/>
        <v>2113.8947859487089</v>
      </c>
      <c r="AM15" s="53">
        <f t="shared" si="78"/>
        <v>2150.8879447028121</v>
      </c>
      <c r="AN15" s="53">
        <f t="shared" si="78"/>
        <v>2188.5284837351119</v>
      </c>
      <c r="AO15" s="53">
        <f t="shared" si="78"/>
        <v>2226.827732200476</v>
      </c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</row>
    <row r="16" spans="1:76" x14ac:dyDescent="0.25">
      <c r="B16" s="64" t="s">
        <v>22</v>
      </c>
      <c r="C16" s="9">
        <v>518.82000000000005</v>
      </c>
      <c r="D16" s="9">
        <v>697.91</v>
      </c>
      <c r="E16" s="27">
        <v>695.21</v>
      </c>
      <c r="F16" s="27">
        <v>679.41</v>
      </c>
      <c r="G16" s="27">
        <v>672.38</v>
      </c>
      <c r="H16" s="27">
        <f>Sheet3!C6</f>
        <v>675.90666666666664</v>
      </c>
      <c r="I16" s="27">
        <f>Sheet3!D6</f>
        <v>585.17197837288575</v>
      </c>
      <c r="J16" s="27">
        <f>Sheet3!E6</f>
        <v>554.78210149633901</v>
      </c>
      <c r="K16" s="27">
        <f>Sheet3!F6</f>
        <v>525.97046939347331</v>
      </c>
      <c r="L16" s="27">
        <f>Sheet3!G6</f>
        <v>498.6551186994563</v>
      </c>
      <c r="M16" s="27">
        <f>Sheet3!H6</f>
        <v>472.75834267256363</v>
      </c>
      <c r="N16" s="27">
        <f>Sheet3!I6</f>
        <v>448.20647013394989</v>
      </c>
      <c r="O16" s="27">
        <f>Sheet3!J6</f>
        <v>424.92965588779202</v>
      </c>
      <c r="P16" s="27">
        <f>Sheet3!K6</f>
        <v>402.86168202559429</v>
      </c>
      <c r="Q16" s="27">
        <f>Sheet3!L6</f>
        <v>381.9397695494045</v>
      </c>
      <c r="R16" s="27">
        <f>Sheet3!M6</f>
        <v>362.10439977804691</v>
      </c>
      <c r="S16" s="27">
        <f>Sheet3!N6</f>
        <v>343.2991450283082</v>
      </c>
      <c r="T16" s="27">
        <f>Sheet3!O6</f>
        <v>325.47050808939787</v>
      </c>
      <c r="U16" s="27">
        <f>Sheet3!P6</f>
        <v>308.56777003402033</v>
      </c>
      <c r="V16" s="27">
        <f>Sheet3!Q6</f>
        <v>292.54284593311098</v>
      </c>
      <c r="W16" s="27">
        <f>Sheet3!R6</f>
        <v>277.35014806377336</v>
      </c>
      <c r="X16" s="27">
        <f>Sheet3!S6</f>
        <v>262.94645622127172</v>
      </c>
      <c r="Y16" s="27">
        <f>Sheet3!T6</f>
        <v>249.29079476614177</v>
      </c>
      <c r="Z16" s="27">
        <f>Sheet3!U6</f>
        <v>0</v>
      </c>
      <c r="AA16" s="27">
        <f>Sheet3!V6</f>
        <v>0</v>
      </c>
      <c r="AB16" s="27">
        <f>Sheet3!W6</f>
        <v>0</v>
      </c>
      <c r="AC16" s="27">
        <f>Sheet3!X6</f>
        <v>0</v>
      </c>
      <c r="AD16" s="27">
        <f>Sheet3!Y6</f>
        <v>0</v>
      </c>
      <c r="AE16" s="27">
        <f>Sheet3!Z6</f>
        <v>0</v>
      </c>
      <c r="AF16" s="27">
        <f>Sheet3!AA6</f>
        <v>0</v>
      </c>
      <c r="AG16" s="27">
        <f>Sheet3!AB6</f>
        <v>0</v>
      </c>
      <c r="AH16" s="27">
        <f>Sheet3!AC6</f>
        <v>0</v>
      </c>
      <c r="AI16" s="27">
        <f>Sheet3!AD6</f>
        <v>0</v>
      </c>
      <c r="AJ16" s="27">
        <f>Sheet3!AE6</f>
        <v>0</v>
      </c>
      <c r="AK16" s="27">
        <f>Sheet3!AF6</f>
        <v>0</v>
      </c>
      <c r="AL16" s="27">
        <f>Sheet3!AG6</f>
        <v>0</v>
      </c>
      <c r="AM16" s="27">
        <f>Sheet3!AH6</f>
        <v>0</v>
      </c>
      <c r="AN16" s="27">
        <f>Sheet3!AI6</f>
        <v>0</v>
      </c>
      <c r="AO16" s="27">
        <f>Sheet3!AJ6</f>
        <v>0</v>
      </c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</row>
    <row r="17" spans="2:67" x14ac:dyDescent="0.25">
      <c r="B17" s="110" t="s">
        <v>122</v>
      </c>
      <c r="C17" s="14">
        <f>C15-C16</f>
        <v>53.230000000000132</v>
      </c>
      <c r="D17" s="14">
        <f t="shared" ref="D17:L17" si="79">D15-D16</f>
        <v>-705.19999999999993</v>
      </c>
      <c r="E17" s="14">
        <f t="shared" si="79"/>
        <v>-650.71999999999935</v>
      </c>
      <c r="F17" s="14">
        <f t="shared" si="79"/>
        <v>53.059999999999377</v>
      </c>
      <c r="G17" s="53">
        <f t="shared" si="79"/>
        <v>738.25000000000057</v>
      </c>
      <c r="H17" s="107">
        <f t="shared" si="79"/>
        <v>583.36434565634738</v>
      </c>
      <c r="I17" s="107">
        <f t="shared" si="79"/>
        <v>692.98809913497291</v>
      </c>
      <c r="J17" s="107">
        <f t="shared" si="79"/>
        <v>745.7457773679082</v>
      </c>
      <c r="K17" s="107">
        <f t="shared" si="79"/>
        <v>797.3166473508976</v>
      </c>
      <c r="L17" s="107">
        <f t="shared" si="79"/>
        <v>847.78952258794129</v>
      </c>
      <c r="M17" s="107">
        <f t="shared" ref="M17:Y17" si="80">M15-M16</f>
        <v>897.2490798373633</v>
      </c>
      <c r="N17" s="107">
        <f t="shared" si="80"/>
        <v>945.77608226990162</v>
      </c>
      <c r="O17" s="107">
        <f t="shared" si="80"/>
        <v>993.44759118312618</v>
      </c>
      <c r="P17" s="107">
        <f t="shared" si="80"/>
        <v>1040.3371668690656</v>
      </c>
      <c r="Q17" s="107">
        <f t="shared" si="80"/>
        <v>1086.5150592009113</v>
      </c>
      <c r="R17" s="107">
        <f t="shared" si="80"/>
        <v>1132.0483884753996</v>
      </c>
      <c r="S17" s="107">
        <f t="shared" si="80"/>
        <v>1177.0013170195741</v>
      </c>
      <c r="T17" s="107">
        <f t="shared" si="80"/>
        <v>1221.4352120443227</v>
      </c>
      <c r="U17" s="107">
        <f t="shared" si="80"/>
        <v>1265.4088002020403</v>
      </c>
      <c r="V17" s="107">
        <f t="shared" si="80"/>
        <v>1308.9783142820806</v>
      </c>
      <c r="W17" s="107">
        <f t="shared" si="80"/>
        <v>1352.1976324551842</v>
      </c>
      <c r="X17" s="107">
        <f t="shared" si="80"/>
        <v>1395.1184104567676</v>
      </c>
      <c r="Y17" s="107">
        <f t="shared" si="80"/>
        <v>1437.7902070787629</v>
      </c>
      <c r="Z17" s="107">
        <f t="shared" ref="Z17:AO17" si="81">Z15-Z16</f>
        <v>1716.6049193771914</v>
      </c>
      <c r="AA17" s="107">
        <f t="shared" si="81"/>
        <v>1746.645505466292</v>
      </c>
      <c r="AB17" s="107">
        <f t="shared" si="81"/>
        <v>1777.2118018119527</v>
      </c>
      <c r="AC17" s="107">
        <f t="shared" si="81"/>
        <v>1808.3130083436617</v>
      </c>
      <c r="AD17" s="107">
        <f t="shared" si="81"/>
        <v>1839.9584859896759</v>
      </c>
      <c r="AE17" s="107">
        <f t="shared" si="81"/>
        <v>1872.1577594944956</v>
      </c>
      <c r="AF17" s="107">
        <f t="shared" si="81"/>
        <v>1904.9205202856492</v>
      </c>
      <c r="AG17" s="107">
        <f t="shared" si="81"/>
        <v>1938.2566293906484</v>
      </c>
      <c r="AH17" s="107">
        <f t="shared" si="81"/>
        <v>1972.1761204049853</v>
      </c>
      <c r="AI17" s="107">
        <f t="shared" si="81"/>
        <v>2006.6892025120724</v>
      </c>
      <c r="AJ17" s="107">
        <f t="shared" si="81"/>
        <v>2041.8062635560345</v>
      </c>
      <c r="AK17" s="107">
        <f t="shared" si="81"/>
        <v>2077.5378731682649</v>
      </c>
      <c r="AL17" s="107">
        <f t="shared" si="81"/>
        <v>2113.8947859487089</v>
      </c>
      <c r="AM17" s="107">
        <f t="shared" si="81"/>
        <v>2150.8879447028121</v>
      </c>
      <c r="AN17" s="107">
        <f t="shared" si="81"/>
        <v>2188.5284837351119</v>
      </c>
      <c r="AO17" s="107">
        <f t="shared" si="81"/>
        <v>2226.827732200476</v>
      </c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</row>
    <row r="18" spans="2:67" x14ac:dyDescent="0.25">
      <c r="B18" s="111" t="s">
        <v>185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</row>
    <row r="19" spans="2:67" x14ac:dyDescent="0.25">
      <c r="B19" s="111" t="s">
        <v>186</v>
      </c>
      <c r="H19" s="109">
        <f>1-H18</f>
        <v>1</v>
      </c>
      <c r="I19" s="109">
        <f t="shared" ref="I19:L19" si="82">1-I18</f>
        <v>1</v>
      </c>
      <c r="J19" s="109">
        <f t="shared" si="82"/>
        <v>1</v>
      </c>
      <c r="K19" s="109">
        <f t="shared" si="82"/>
        <v>1</v>
      </c>
      <c r="L19" s="109">
        <f t="shared" si="82"/>
        <v>1</v>
      </c>
      <c r="M19" s="109">
        <f t="shared" ref="M19:Y19" si="83">1-M18</f>
        <v>1</v>
      </c>
      <c r="N19" s="109">
        <f t="shared" si="83"/>
        <v>1</v>
      </c>
      <c r="O19" s="109">
        <f t="shared" si="83"/>
        <v>1</v>
      </c>
      <c r="P19" s="109">
        <f t="shared" si="83"/>
        <v>1</v>
      </c>
      <c r="Q19" s="109">
        <f t="shared" si="83"/>
        <v>1</v>
      </c>
      <c r="R19" s="109">
        <f t="shared" si="83"/>
        <v>1</v>
      </c>
      <c r="S19" s="109">
        <f t="shared" si="83"/>
        <v>1</v>
      </c>
      <c r="T19" s="109">
        <f t="shared" si="83"/>
        <v>1</v>
      </c>
      <c r="U19" s="109">
        <f t="shared" si="83"/>
        <v>1</v>
      </c>
      <c r="V19" s="109">
        <f t="shared" si="83"/>
        <v>1</v>
      </c>
      <c r="W19" s="109">
        <f t="shared" si="83"/>
        <v>1</v>
      </c>
      <c r="X19" s="109">
        <f t="shared" si="83"/>
        <v>1</v>
      </c>
      <c r="Y19" s="109">
        <f t="shared" si="83"/>
        <v>1</v>
      </c>
      <c r="Z19" s="109">
        <f t="shared" ref="Z19:AO19" si="84">1-Z18</f>
        <v>1</v>
      </c>
      <c r="AA19" s="109">
        <f t="shared" si="84"/>
        <v>1</v>
      </c>
      <c r="AB19" s="109">
        <f t="shared" si="84"/>
        <v>1</v>
      </c>
      <c r="AC19" s="109">
        <f t="shared" si="84"/>
        <v>1</v>
      </c>
      <c r="AD19" s="109">
        <f t="shared" si="84"/>
        <v>1</v>
      </c>
      <c r="AE19" s="109">
        <f t="shared" si="84"/>
        <v>1</v>
      </c>
      <c r="AF19" s="109">
        <f t="shared" si="84"/>
        <v>1</v>
      </c>
      <c r="AG19" s="109">
        <f t="shared" si="84"/>
        <v>1</v>
      </c>
      <c r="AH19" s="109">
        <f t="shared" si="84"/>
        <v>1</v>
      </c>
      <c r="AI19" s="109">
        <f t="shared" si="84"/>
        <v>1</v>
      </c>
      <c r="AJ19" s="109">
        <f t="shared" si="84"/>
        <v>1</v>
      </c>
      <c r="AK19" s="109">
        <f t="shared" si="84"/>
        <v>1</v>
      </c>
      <c r="AL19" s="109">
        <f t="shared" si="84"/>
        <v>1</v>
      </c>
      <c r="AM19" s="109">
        <f t="shared" si="84"/>
        <v>1</v>
      </c>
      <c r="AN19" s="109">
        <f t="shared" si="84"/>
        <v>1</v>
      </c>
      <c r="AO19" s="109">
        <f t="shared" si="84"/>
        <v>1</v>
      </c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</row>
    <row r="20" spans="2:67" x14ac:dyDescent="0.25">
      <c r="B20" s="112" t="s">
        <v>187</v>
      </c>
      <c r="H20" s="27">
        <f>H17*H19</f>
        <v>583.36434565634738</v>
      </c>
      <c r="I20" s="27">
        <f t="shared" ref="I20:L20" si="85">I17*I19</f>
        <v>692.98809913497291</v>
      </c>
      <c r="J20" s="27">
        <f t="shared" si="85"/>
        <v>745.7457773679082</v>
      </c>
      <c r="K20" s="27">
        <f t="shared" si="85"/>
        <v>797.3166473508976</v>
      </c>
      <c r="L20" s="27">
        <f t="shared" si="85"/>
        <v>847.78952258794129</v>
      </c>
      <c r="M20" s="27">
        <f t="shared" ref="M20:Y20" si="86">M17*M19</f>
        <v>897.2490798373633</v>
      </c>
      <c r="N20" s="27">
        <f t="shared" si="86"/>
        <v>945.77608226990162</v>
      </c>
      <c r="O20" s="27">
        <f t="shared" si="86"/>
        <v>993.44759118312618</v>
      </c>
      <c r="P20" s="27">
        <f t="shared" si="86"/>
        <v>1040.3371668690656</v>
      </c>
      <c r="Q20" s="27">
        <f t="shared" si="86"/>
        <v>1086.5150592009113</v>
      </c>
      <c r="R20" s="27">
        <f t="shared" si="86"/>
        <v>1132.0483884753996</v>
      </c>
      <c r="S20" s="27">
        <f t="shared" si="86"/>
        <v>1177.0013170195741</v>
      </c>
      <c r="T20" s="27">
        <f t="shared" si="86"/>
        <v>1221.4352120443227</v>
      </c>
      <c r="U20" s="27">
        <f t="shared" si="86"/>
        <v>1265.4088002020403</v>
      </c>
      <c r="V20" s="27">
        <f t="shared" si="86"/>
        <v>1308.9783142820806</v>
      </c>
      <c r="W20" s="27">
        <f t="shared" si="86"/>
        <v>1352.1976324551842</v>
      </c>
      <c r="X20" s="27">
        <f t="shared" si="86"/>
        <v>1395.1184104567676</v>
      </c>
      <c r="Y20" s="27">
        <f t="shared" si="86"/>
        <v>1437.7902070787629</v>
      </c>
      <c r="Z20" s="27">
        <f t="shared" ref="Z20:AO20" si="87">Z17*Z19</f>
        <v>1716.6049193771914</v>
      </c>
      <c r="AA20" s="27">
        <f t="shared" si="87"/>
        <v>1746.645505466292</v>
      </c>
      <c r="AB20" s="27">
        <f t="shared" si="87"/>
        <v>1777.2118018119527</v>
      </c>
      <c r="AC20" s="27">
        <f t="shared" si="87"/>
        <v>1808.3130083436617</v>
      </c>
      <c r="AD20" s="27">
        <f t="shared" si="87"/>
        <v>1839.9584859896759</v>
      </c>
      <c r="AE20" s="27">
        <f t="shared" si="87"/>
        <v>1872.1577594944956</v>
      </c>
      <c r="AF20" s="27">
        <f t="shared" si="87"/>
        <v>1904.9205202856492</v>
      </c>
      <c r="AG20" s="27">
        <f t="shared" si="87"/>
        <v>1938.2566293906484</v>
      </c>
      <c r="AH20" s="27">
        <f t="shared" si="87"/>
        <v>1972.1761204049853</v>
      </c>
      <c r="AI20" s="27">
        <f t="shared" si="87"/>
        <v>2006.6892025120724</v>
      </c>
      <c r="AJ20" s="27">
        <f t="shared" si="87"/>
        <v>2041.8062635560345</v>
      </c>
      <c r="AK20" s="27">
        <f t="shared" si="87"/>
        <v>2077.5378731682649</v>
      </c>
      <c r="AL20" s="27">
        <f t="shared" si="87"/>
        <v>2113.8947859487089</v>
      </c>
      <c r="AM20" s="27">
        <f t="shared" si="87"/>
        <v>2150.8879447028121</v>
      </c>
      <c r="AN20" s="27">
        <f t="shared" si="87"/>
        <v>2188.5284837351119</v>
      </c>
      <c r="AO20" s="27">
        <f t="shared" si="87"/>
        <v>2226.827732200476</v>
      </c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</row>
    <row r="21" spans="2:67" x14ac:dyDescent="0.25">
      <c r="B21" s="111" t="s">
        <v>188</v>
      </c>
      <c r="H21" s="27">
        <f>H16</f>
        <v>675.90666666666664</v>
      </c>
      <c r="I21" s="27">
        <f t="shared" ref="I21:L21" si="88">I16</f>
        <v>585.17197837288575</v>
      </c>
      <c r="J21" s="27">
        <f t="shared" si="88"/>
        <v>554.78210149633901</v>
      </c>
      <c r="K21" s="27">
        <f t="shared" si="88"/>
        <v>525.97046939347331</v>
      </c>
      <c r="L21" s="27">
        <f t="shared" si="88"/>
        <v>498.6551186994563</v>
      </c>
      <c r="M21" s="27">
        <f t="shared" ref="M21:Y21" si="89">M16</f>
        <v>472.75834267256363</v>
      </c>
      <c r="N21" s="27">
        <f t="shared" si="89"/>
        <v>448.20647013394989</v>
      </c>
      <c r="O21" s="27">
        <f t="shared" si="89"/>
        <v>424.92965588779202</v>
      </c>
      <c r="P21" s="27">
        <f t="shared" si="89"/>
        <v>402.86168202559429</v>
      </c>
      <c r="Q21" s="27">
        <f t="shared" si="89"/>
        <v>381.9397695494045</v>
      </c>
      <c r="R21" s="27">
        <f t="shared" si="89"/>
        <v>362.10439977804691</v>
      </c>
      <c r="S21" s="27">
        <f t="shared" si="89"/>
        <v>343.2991450283082</v>
      </c>
      <c r="T21" s="27">
        <f t="shared" si="89"/>
        <v>325.47050808939787</v>
      </c>
      <c r="U21" s="27">
        <f t="shared" si="89"/>
        <v>308.56777003402033</v>
      </c>
      <c r="V21" s="27">
        <f t="shared" si="89"/>
        <v>292.54284593311098</v>
      </c>
      <c r="W21" s="27">
        <f t="shared" si="89"/>
        <v>277.35014806377336</v>
      </c>
      <c r="X21" s="27">
        <f t="shared" si="89"/>
        <v>262.94645622127172</v>
      </c>
      <c r="Y21" s="27">
        <f t="shared" si="89"/>
        <v>249.29079476614177</v>
      </c>
      <c r="Z21" s="27">
        <f t="shared" ref="Z21:AO21" si="90">Z16</f>
        <v>0</v>
      </c>
      <c r="AA21" s="27">
        <f t="shared" si="90"/>
        <v>0</v>
      </c>
      <c r="AB21" s="27">
        <f t="shared" si="90"/>
        <v>0</v>
      </c>
      <c r="AC21" s="27">
        <f t="shared" si="90"/>
        <v>0</v>
      </c>
      <c r="AD21" s="27">
        <f t="shared" si="90"/>
        <v>0</v>
      </c>
      <c r="AE21" s="27">
        <f t="shared" si="90"/>
        <v>0</v>
      </c>
      <c r="AF21" s="27">
        <f t="shared" si="90"/>
        <v>0</v>
      </c>
      <c r="AG21" s="27">
        <f t="shared" si="90"/>
        <v>0</v>
      </c>
      <c r="AH21" s="27">
        <f t="shared" si="90"/>
        <v>0</v>
      </c>
      <c r="AI21" s="27">
        <f t="shared" si="90"/>
        <v>0</v>
      </c>
      <c r="AJ21" s="27">
        <f t="shared" si="90"/>
        <v>0</v>
      </c>
      <c r="AK21" s="27">
        <f t="shared" si="90"/>
        <v>0</v>
      </c>
      <c r="AL21" s="27">
        <f t="shared" si="90"/>
        <v>0</v>
      </c>
      <c r="AM21" s="27">
        <f t="shared" si="90"/>
        <v>0</v>
      </c>
      <c r="AN21" s="27">
        <f t="shared" si="90"/>
        <v>0</v>
      </c>
      <c r="AO21" s="27">
        <f t="shared" si="90"/>
        <v>0</v>
      </c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</row>
    <row r="22" spans="2:67" x14ac:dyDescent="0.25">
      <c r="B22" s="111" t="s">
        <v>189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</row>
    <row r="23" spans="2:67" ht="15" customHeight="1" x14ac:dyDescent="0.25">
      <c r="B23" s="111" t="s">
        <v>190</v>
      </c>
      <c r="H23" s="27">
        <v>0</v>
      </c>
      <c r="I23" s="27">
        <v>0</v>
      </c>
      <c r="J23" s="27">
        <v>0</v>
      </c>
      <c r="K23" s="27">
        <v>1026</v>
      </c>
      <c r="L23" s="27">
        <f>K23</f>
        <v>1026</v>
      </c>
      <c r="M23" s="27">
        <v>0</v>
      </c>
      <c r="N23" s="27">
        <f t="shared" ref="N23:Y23" si="91">M23</f>
        <v>0</v>
      </c>
      <c r="O23" s="27">
        <f t="shared" si="91"/>
        <v>0</v>
      </c>
      <c r="P23" s="27">
        <f t="shared" si="91"/>
        <v>0</v>
      </c>
      <c r="Q23" s="27">
        <f t="shared" si="91"/>
        <v>0</v>
      </c>
      <c r="R23" s="27">
        <f t="shared" si="91"/>
        <v>0</v>
      </c>
      <c r="S23" s="27">
        <f t="shared" si="91"/>
        <v>0</v>
      </c>
      <c r="T23" s="27">
        <f t="shared" si="91"/>
        <v>0</v>
      </c>
      <c r="U23" s="27">
        <f t="shared" si="91"/>
        <v>0</v>
      </c>
      <c r="V23" s="27">
        <f t="shared" si="91"/>
        <v>0</v>
      </c>
      <c r="W23" s="27">
        <f t="shared" si="91"/>
        <v>0</v>
      </c>
      <c r="X23" s="27">
        <f t="shared" si="91"/>
        <v>0</v>
      </c>
      <c r="Y23" s="27">
        <f t="shared" si="91"/>
        <v>0</v>
      </c>
      <c r="Z23" s="27">
        <f t="shared" ref="Z23:AO23" si="92">Y23</f>
        <v>0</v>
      </c>
      <c r="AA23" s="27">
        <f t="shared" si="92"/>
        <v>0</v>
      </c>
      <c r="AB23" s="27">
        <f t="shared" si="92"/>
        <v>0</v>
      </c>
      <c r="AC23" s="27">
        <f t="shared" si="92"/>
        <v>0</v>
      </c>
      <c r="AD23" s="27">
        <f t="shared" si="92"/>
        <v>0</v>
      </c>
      <c r="AE23" s="27">
        <f t="shared" si="92"/>
        <v>0</v>
      </c>
      <c r="AF23" s="27">
        <f t="shared" si="92"/>
        <v>0</v>
      </c>
      <c r="AG23" s="27">
        <f t="shared" si="92"/>
        <v>0</v>
      </c>
      <c r="AH23" s="27">
        <f t="shared" si="92"/>
        <v>0</v>
      </c>
      <c r="AI23" s="27">
        <f t="shared" si="92"/>
        <v>0</v>
      </c>
      <c r="AJ23" s="27">
        <f t="shared" si="92"/>
        <v>0</v>
      </c>
      <c r="AK23" s="27">
        <f t="shared" si="92"/>
        <v>0</v>
      </c>
      <c r="AL23" s="27">
        <f t="shared" si="92"/>
        <v>0</v>
      </c>
      <c r="AM23" s="27">
        <f t="shared" si="92"/>
        <v>0</v>
      </c>
      <c r="AN23" s="27">
        <f t="shared" si="92"/>
        <v>0</v>
      </c>
      <c r="AO23" s="27">
        <f t="shared" si="92"/>
        <v>0</v>
      </c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</row>
    <row r="24" spans="2:67" x14ac:dyDescent="0.25">
      <c r="B24" s="113" t="s">
        <v>191</v>
      </c>
      <c r="H24" s="27">
        <f t="shared" ref="H24:I24" si="93">H20+H21-H22-H23</f>
        <v>1259.271012323014</v>
      </c>
      <c r="I24" s="27">
        <f t="shared" si="93"/>
        <v>1278.1600775078587</v>
      </c>
      <c r="J24" s="27">
        <f>J20+J21-J22-J23</f>
        <v>1300.5278788642472</v>
      </c>
      <c r="K24" s="27">
        <f>K20+K21-K22-K23</f>
        <v>297.28711674437091</v>
      </c>
      <c r="L24" s="27">
        <f>L20+L21-L22-L23</f>
        <v>320.44464128739764</v>
      </c>
      <c r="M24" s="27">
        <f t="shared" ref="M24:Y24" si="94">M20+M21-M22-M23</f>
        <v>1370.007422509927</v>
      </c>
      <c r="N24" s="27">
        <f t="shared" si="94"/>
        <v>1393.9825524038515</v>
      </c>
      <c r="O24" s="27">
        <f t="shared" si="94"/>
        <v>1418.3772470709182</v>
      </c>
      <c r="P24" s="27">
        <f t="shared" si="94"/>
        <v>1443.1988488946599</v>
      </c>
      <c r="Q24" s="27">
        <f t="shared" si="94"/>
        <v>1468.4548287503158</v>
      </c>
      <c r="R24" s="27">
        <f t="shared" si="94"/>
        <v>1494.1527882534465</v>
      </c>
      <c r="S24" s="27">
        <f t="shared" si="94"/>
        <v>1520.3004620478823</v>
      </c>
      <c r="T24" s="27">
        <f t="shared" si="94"/>
        <v>1546.9057201337205</v>
      </c>
      <c r="U24" s="27">
        <f t="shared" si="94"/>
        <v>1573.9765702360605</v>
      </c>
      <c r="V24" s="27">
        <f t="shared" si="94"/>
        <v>1601.5211602151917</v>
      </c>
      <c r="W24" s="27">
        <f t="shared" si="94"/>
        <v>1629.5477805189576</v>
      </c>
      <c r="X24" s="27">
        <f t="shared" si="94"/>
        <v>1658.0648666780394</v>
      </c>
      <c r="Y24" s="27">
        <f t="shared" si="94"/>
        <v>1687.0810018449047</v>
      </c>
      <c r="Z24" s="27">
        <f t="shared" ref="Z24" si="95">Z20+Z21-Z22-Z23</f>
        <v>1716.6049193771914</v>
      </c>
      <c r="AA24" s="27">
        <f t="shared" ref="AA24" si="96">AA20+AA21-AA22-AA23</f>
        <v>1746.645505466292</v>
      </c>
      <c r="AB24" s="27">
        <f t="shared" ref="AB24" si="97">AB20+AB21-AB22-AB23</f>
        <v>1777.2118018119527</v>
      </c>
      <c r="AC24" s="27">
        <f t="shared" ref="AC24" si="98">AC20+AC21-AC22-AC23</f>
        <v>1808.3130083436617</v>
      </c>
      <c r="AD24" s="27">
        <f t="shared" ref="AD24" si="99">AD20+AD21-AD22-AD23</f>
        <v>1839.9584859896759</v>
      </c>
      <c r="AE24" s="27">
        <f t="shared" ref="AE24" si="100">AE20+AE21-AE22-AE23</f>
        <v>1872.1577594944956</v>
      </c>
      <c r="AF24" s="27">
        <f t="shared" ref="AF24" si="101">AF20+AF21-AF22-AF23</f>
        <v>1904.9205202856492</v>
      </c>
      <c r="AG24" s="27">
        <f t="shared" ref="AG24" si="102">AG20+AG21-AG22-AG23</f>
        <v>1938.2566293906484</v>
      </c>
      <c r="AH24" s="27">
        <f t="shared" ref="AH24" si="103">AH20+AH21-AH22-AH23</f>
        <v>1972.1761204049853</v>
      </c>
      <c r="AI24" s="27">
        <f t="shared" ref="AI24" si="104">AI20+AI21-AI22-AI23</f>
        <v>2006.6892025120724</v>
      </c>
      <c r="AJ24" s="27">
        <f t="shared" ref="AJ24" si="105">AJ20+AJ21-AJ22-AJ23</f>
        <v>2041.8062635560345</v>
      </c>
      <c r="AK24" s="27">
        <f t="shared" ref="AK24" si="106">AK20+AK21-AK22-AK23</f>
        <v>2077.5378731682649</v>
      </c>
      <c r="AL24" s="27">
        <f t="shared" ref="AL24" si="107">AL20+AL21-AL22-AL23</f>
        <v>2113.8947859487089</v>
      </c>
      <c r="AM24" s="27">
        <f t="shared" ref="AM24" si="108">AM20+AM21-AM22-AM23</f>
        <v>2150.8879447028121</v>
      </c>
      <c r="AN24" s="27">
        <f t="shared" ref="AN24" si="109">AN20+AN21-AN22-AN23</f>
        <v>2188.5284837351119</v>
      </c>
      <c r="AO24" s="27">
        <f t="shared" ref="AO24" si="110">AO20+AO21-AO22-AO23</f>
        <v>2226.827732200476</v>
      </c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</row>
    <row r="25" spans="2:67" x14ac:dyDescent="0.25">
      <c r="B25" s="113" t="s">
        <v>237</v>
      </c>
      <c r="H25" s="27">
        <f>H24*H28</f>
        <v>104.93925102691783</v>
      </c>
      <c r="I25" s="27">
        <f>I24</f>
        <v>1278.1600775078587</v>
      </c>
      <c r="J25" s="27">
        <f t="shared" ref="J25:L25" si="111">J24</f>
        <v>1300.5278788642472</v>
      </c>
      <c r="K25" s="27">
        <f t="shared" si="111"/>
        <v>297.28711674437091</v>
      </c>
      <c r="L25" s="27">
        <f t="shared" si="111"/>
        <v>320.44464128739764</v>
      </c>
      <c r="M25" s="27">
        <f t="shared" ref="M25:Y25" si="112">M24</f>
        <v>1370.007422509927</v>
      </c>
      <c r="N25" s="27">
        <f t="shared" si="112"/>
        <v>1393.9825524038515</v>
      </c>
      <c r="O25" s="27">
        <f t="shared" si="112"/>
        <v>1418.3772470709182</v>
      </c>
      <c r="P25" s="27">
        <f t="shared" si="112"/>
        <v>1443.1988488946599</v>
      </c>
      <c r="Q25" s="27">
        <f t="shared" si="112"/>
        <v>1468.4548287503158</v>
      </c>
      <c r="R25" s="27">
        <f t="shared" si="112"/>
        <v>1494.1527882534465</v>
      </c>
      <c r="S25" s="27">
        <f t="shared" si="112"/>
        <v>1520.3004620478823</v>
      </c>
      <c r="T25" s="27">
        <f t="shared" si="112"/>
        <v>1546.9057201337205</v>
      </c>
      <c r="U25" s="27">
        <f t="shared" si="112"/>
        <v>1573.9765702360605</v>
      </c>
      <c r="V25" s="27">
        <f t="shared" si="112"/>
        <v>1601.5211602151917</v>
      </c>
      <c r="W25" s="27">
        <f t="shared" si="112"/>
        <v>1629.5477805189576</v>
      </c>
      <c r="X25" s="27">
        <f t="shared" si="112"/>
        <v>1658.0648666780394</v>
      </c>
      <c r="Y25" s="27">
        <f t="shared" si="112"/>
        <v>1687.0810018449047</v>
      </c>
      <c r="Z25" s="27">
        <f t="shared" ref="Z25:AO25" si="113">Z24</f>
        <v>1716.6049193771914</v>
      </c>
      <c r="AA25" s="27">
        <f t="shared" si="113"/>
        <v>1746.645505466292</v>
      </c>
      <c r="AB25" s="27">
        <f t="shared" si="113"/>
        <v>1777.2118018119527</v>
      </c>
      <c r="AC25" s="27">
        <f t="shared" si="113"/>
        <v>1808.3130083436617</v>
      </c>
      <c r="AD25" s="27">
        <f t="shared" si="113"/>
        <v>1839.9584859896759</v>
      </c>
      <c r="AE25" s="27">
        <f t="shared" si="113"/>
        <v>1872.1577594944956</v>
      </c>
      <c r="AF25" s="27">
        <f t="shared" si="113"/>
        <v>1904.9205202856492</v>
      </c>
      <c r="AG25" s="27">
        <f t="shared" si="113"/>
        <v>1938.2566293906484</v>
      </c>
      <c r="AH25" s="27">
        <f t="shared" si="113"/>
        <v>1972.1761204049853</v>
      </c>
      <c r="AI25" s="27">
        <f t="shared" si="113"/>
        <v>2006.6892025120724</v>
      </c>
      <c r="AJ25" s="27">
        <f t="shared" si="113"/>
        <v>2041.8062635560345</v>
      </c>
      <c r="AK25" s="27">
        <f t="shared" si="113"/>
        <v>2077.5378731682649</v>
      </c>
      <c r="AL25" s="27">
        <f t="shared" si="113"/>
        <v>2113.8947859487089</v>
      </c>
      <c r="AM25" s="27">
        <f t="shared" si="113"/>
        <v>2150.8879447028121</v>
      </c>
      <c r="AN25" s="27">
        <f t="shared" si="113"/>
        <v>2188.5284837351119</v>
      </c>
      <c r="AO25" s="27">
        <f t="shared" si="113"/>
        <v>2226.827732200476</v>
      </c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</row>
    <row r="26" spans="2:67" x14ac:dyDescent="0.25">
      <c r="B26" s="112" t="s">
        <v>192</v>
      </c>
      <c r="H26" s="173">
        <f>'Discount Rate'!C7</f>
        <v>0.14250000000000002</v>
      </c>
      <c r="I26" s="174"/>
      <c r="J26" s="174"/>
      <c r="K26" s="174"/>
      <c r="L26" s="174"/>
      <c r="M26" s="175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  <c r="BI26" s="154"/>
      <c r="BJ26" s="154"/>
      <c r="BK26" s="154"/>
      <c r="BL26" s="154"/>
      <c r="BM26" s="154"/>
      <c r="BN26" s="154"/>
      <c r="BO26" s="154"/>
    </row>
    <row r="27" spans="2:67" x14ac:dyDescent="0.25">
      <c r="B27" s="112" t="s">
        <v>196</v>
      </c>
      <c r="H27" s="173">
        <v>1.2500000000000001E-2</v>
      </c>
      <c r="I27" s="174"/>
      <c r="J27" s="174"/>
      <c r="K27" s="174"/>
      <c r="L27" s="174"/>
      <c r="M27" s="175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  <c r="BI27" s="154"/>
      <c r="BJ27" s="154"/>
      <c r="BK27" s="154"/>
      <c r="BL27" s="154"/>
      <c r="BM27" s="154"/>
      <c r="BN27" s="154"/>
      <c r="BO27" s="154"/>
    </row>
    <row r="28" spans="2:67" ht="15.75" customHeight="1" x14ac:dyDescent="0.25">
      <c r="B28" s="114" t="s">
        <v>193</v>
      </c>
      <c r="H28" s="115">
        <f>1/12</f>
        <v>8.3333333333333329E-2</v>
      </c>
      <c r="I28" s="115">
        <f>H28+1</f>
        <v>1.0833333333333333</v>
      </c>
      <c r="J28" s="115">
        <f t="shared" ref="J28:L28" si="114">I28+1</f>
        <v>2.083333333333333</v>
      </c>
      <c r="K28" s="115">
        <f t="shared" si="114"/>
        <v>3.083333333333333</v>
      </c>
      <c r="L28" s="115">
        <f t="shared" si="114"/>
        <v>4.083333333333333</v>
      </c>
      <c r="M28" s="115">
        <f t="shared" ref="M28" si="115">L28+1</f>
        <v>5.083333333333333</v>
      </c>
      <c r="N28" s="115">
        <f t="shared" ref="N28" si="116">M28+1</f>
        <v>6.083333333333333</v>
      </c>
      <c r="O28" s="115">
        <f t="shared" ref="O28" si="117">N28+1</f>
        <v>7.083333333333333</v>
      </c>
      <c r="P28" s="115">
        <f t="shared" ref="P28" si="118">O28+1</f>
        <v>8.0833333333333321</v>
      </c>
      <c r="Q28" s="115">
        <f t="shared" ref="Q28" si="119">P28+1</f>
        <v>9.0833333333333321</v>
      </c>
      <c r="R28" s="115">
        <f t="shared" ref="R28" si="120">Q28+1</f>
        <v>10.083333333333332</v>
      </c>
      <c r="S28" s="115">
        <f t="shared" ref="S28" si="121">R28+1</f>
        <v>11.083333333333332</v>
      </c>
      <c r="T28" s="115">
        <f t="shared" ref="T28" si="122">S28+1</f>
        <v>12.083333333333332</v>
      </c>
      <c r="U28" s="115">
        <f t="shared" ref="U28" si="123">T28+1</f>
        <v>13.083333333333332</v>
      </c>
      <c r="V28" s="115">
        <f t="shared" ref="V28" si="124">U28+1</f>
        <v>14.083333333333332</v>
      </c>
      <c r="W28" s="115">
        <f t="shared" ref="W28" si="125">V28+1</f>
        <v>15.083333333333332</v>
      </c>
      <c r="X28" s="115">
        <f t="shared" ref="X28" si="126">W28+1</f>
        <v>16.083333333333332</v>
      </c>
      <c r="Y28" s="115">
        <f t="shared" ref="Y28" si="127">X28+1</f>
        <v>17.083333333333332</v>
      </c>
      <c r="Z28" s="115">
        <f t="shared" ref="Z28" si="128">Y28+1</f>
        <v>18.083333333333332</v>
      </c>
      <c r="AA28" s="115">
        <f t="shared" ref="AA28" si="129">Z28+1</f>
        <v>19.083333333333332</v>
      </c>
      <c r="AB28" s="115">
        <f t="shared" ref="AB28" si="130">AA28+1</f>
        <v>20.083333333333332</v>
      </c>
      <c r="AC28" s="115">
        <f t="shared" ref="AC28" si="131">AB28+1</f>
        <v>21.083333333333332</v>
      </c>
      <c r="AD28" s="115">
        <f t="shared" ref="AD28" si="132">AC28+1</f>
        <v>22.083333333333332</v>
      </c>
      <c r="AE28" s="115">
        <f t="shared" ref="AE28" si="133">AD28+1</f>
        <v>23.083333333333332</v>
      </c>
      <c r="AF28" s="115">
        <f t="shared" ref="AF28" si="134">AE28+1</f>
        <v>24.083333333333332</v>
      </c>
      <c r="AG28" s="115">
        <f t="shared" ref="AG28" si="135">AF28+1</f>
        <v>25.083333333333332</v>
      </c>
      <c r="AH28" s="115">
        <f t="shared" ref="AH28" si="136">AG28+1</f>
        <v>26.083333333333332</v>
      </c>
      <c r="AI28" s="115">
        <f t="shared" ref="AI28" si="137">AH28+1</f>
        <v>27.083333333333332</v>
      </c>
      <c r="AJ28" s="115">
        <f t="shared" ref="AJ28" si="138">AI28+1</f>
        <v>28.083333333333332</v>
      </c>
      <c r="AK28" s="115">
        <f t="shared" ref="AK28" si="139">AJ28+1</f>
        <v>29.083333333333332</v>
      </c>
      <c r="AL28" s="115">
        <f t="shared" ref="AL28" si="140">AK28+1</f>
        <v>30.083333333333332</v>
      </c>
      <c r="AM28" s="115">
        <f t="shared" ref="AM28" si="141">AL28+1</f>
        <v>31.083333333333332</v>
      </c>
      <c r="AN28" s="115">
        <f t="shared" ref="AN28" si="142">AM28+1</f>
        <v>32.083333333333329</v>
      </c>
      <c r="AO28" s="115">
        <f t="shared" ref="AO28" si="143">AN28+1</f>
        <v>33.083333333333329</v>
      </c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</row>
    <row r="29" spans="2:67" ht="15.75" customHeight="1" x14ac:dyDescent="0.25">
      <c r="B29" s="111" t="s">
        <v>194</v>
      </c>
      <c r="C29" s="32"/>
      <c r="D29" s="32"/>
      <c r="E29" s="32"/>
      <c r="F29" s="32"/>
      <c r="G29" s="32"/>
      <c r="H29" s="27">
        <f>1/(1+$H$26)^H28</f>
        <v>0.98895982471244837</v>
      </c>
      <c r="I29" s="27">
        <f t="shared" ref="I29:L29" si="144">1/(1+$H$26)^I28</f>
        <v>0.86561034985772278</v>
      </c>
      <c r="J29" s="27">
        <f t="shared" si="144"/>
        <v>0.75764582044439632</v>
      </c>
      <c r="K29" s="27">
        <f t="shared" si="144"/>
        <v>0.66314732642835561</v>
      </c>
      <c r="L29" s="27">
        <f t="shared" si="144"/>
        <v>0.58043529665501581</v>
      </c>
      <c r="M29" s="27">
        <f t="shared" ref="M29:Y29" si="145">1/(1+$H$26)^M28</f>
        <v>0.50803964696281467</v>
      </c>
      <c r="N29" s="27">
        <f t="shared" si="145"/>
        <v>0.44467365160859051</v>
      </c>
      <c r="O29" s="27">
        <f t="shared" si="145"/>
        <v>0.38921107361802226</v>
      </c>
      <c r="P29" s="27">
        <f t="shared" si="145"/>
        <v>0.3406661475868904</v>
      </c>
      <c r="Q29" s="27">
        <f t="shared" si="145"/>
        <v>0.29817605915701567</v>
      </c>
      <c r="R29" s="27">
        <f t="shared" si="145"/>
        <v>0.26098560976544033</v>
      </c>
      <c r="S29" s="27">
        <f t="shared" si="145"/>
        <v>0.22843379410541825</v>
      </c>
      <c r="T29" s="27">
        <f t="shared" si="145"/>
        <v>0.19994205173340765</v>
      </c>
      <c r="U29" s="27">
        <f t="shared" si="145"/>
        <v>0.17500398401173536</v>
      </c>
      <c r="V29" s="27">
        <f t="shared" si="145"/>
        <v>0.15317635362077489</v>
      </c>
      <c r="W29" s="27">
        <f t="shared" si="145"/>
        <v>0.13407120667026254</v>
      </c>
      <c r="X29" s="27">
        <f t="shared" si="145"/>
        <v>0.11734897739191466</v>
      </c>
      <c r="Y29" s="27">
        <f t="shared" si="145"/>
        <v>0.10271245285944387</v>
      </c>
      <c r="Z29" s="27">
        <f t="shared" ref="Z29:AO29" si="146">1/(1+$H$26)^Z28</f>
        <v>8.9901490467784589E-2</v>
      </c>
      <c r="AA29" s="27">
        <f t="shared" si="146"/>
        <v>7.868839428252479E-2</v>
      </c>
      <c r="AB29" s="27">
        <f t="shared" si="146"/>
        <v>6.8873868080984474E-2</v>
      </c>
      <c r="AC29" s="27">
        <f t="shared" si="146"/>
        <v>6.0283473156222747E-2</v>
      </c>
      <c r="AD29" s="27">
        <f t="shared" si="146"/>
        <v>5.2764527926671974E-2</v>
      </c>
      <c r="AE29" s="27">
        <f t="shared" si="146"/>
        <v>4.6183394246540034E-2</v>
      </c>
      <c r="AF29" s="27">
        <f t="shared" si="146"/>
        <v>4.0423102185155387E-2</v>
      </c>
      <c r="AG29" s="27">
        <f t="shared" si="146"/>
        <v>3.5381271059216957E-2</v>
      </c>
      <c r="AH29" s="27">
        <f t="shared" si="146"/>
        <v>3.0968289767367145E-2</v>
      </c>
      <c r="AI29" s="27">
        <f t="shared" si="146"/>
        <v>2.7105724085222879E-2</v>
      </c>
      <c r="AJ29" s="27">
        <f t="shared" si="146"/>
        <v>2.3724922612886539E-2</v>
      </c>
      <c r="AK29" s="27">
        <f t="shared" si="146"/>
        <v>2.0765796597712511E-2</v>
      </c>
      <c r="AL29" s="27">
        <f t="shared" si="146"/>
        <v>1.8175751945481416E-2</v>
      </c>
      <c r="AM29" s="27">
        <f t="shared" si="146"/>
        <v>1.5908754438058118E-2</v>
      </c>
      <c r="AN29" s="27">
        <f t="shared" si="146"/>
        <v>1.3924511543158106E-2</v>
      </c>
      <c r="AO29" s="27">
        <f t="shared" si="146"/>
        <v>1.2187756274098989E-2</v>
      </c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</row>
    <row r="30" spans="2:67" x14ac:dyDescent="0.25">
      <c r="B30" s="32" t="s">
        <v>197</v>
      </c>
      <c r="L30" s="118"/>
      <c r="M30" s="95" t="s">
        <v>6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</row>
    <row r="31" spans="2:67" x14ac:dyDescent="0.25">
      <c r="B31" s="116" t="s">
        <v>195</v>
      </c>
      <c r="C31" s="117"/>
      <c r="D31" s="117"/>
      <c r="E31" s="117"/>
      <c r="F31" s="117"/>
      <c r="G31" s="117"/>
      <c r="H31" s="53">
        <f>H25*H29</f>
        <v>103.78070330103627</v>
      </c>
      <c r="I31" s="53">
        <f>I24*I29</f>
        <v>1106.3885918657516</v>
      </c>
      <c r="J31" s="53">
        <f>J24*J29</f>
        <v>985.33951179291307</v>
      </c>
      <c r="K31" s="53">
        <f>K24*K29</f>
        <v>197.14515665062399</v>
      </c>
      <c r="L31" s="53">
        <f>L24*L29</f>
        <v>185.99738042716078</v>
      </c>
      <c r="M31" s="53">
        <f t="shared" ref="M31:Y31" si="147">M24*M29</f>
        <v>696.01808726837896</v>
      </c>
      <c r="N31" s="53">
        <f t="shared" si="147"/>
        <v>619.86731185608403</v>
      </c>
      <c r="O31" s="53">
        <f t="shared" si="147"/>
        <v>552.04813112784689</v>
      </c>
      <c r="P31" s="53">
        <f t="shared" si="147"/>
        <v>491.64899205477855</v>
      </c>
      <c r="Q31" s="53">
        <f t="shared" si="147"/>
        <v>437.85807388685947</v>
      </c>
      <c r="R31" s="53">
        <f t="shared" si="147"/>
        <v>389.95237652505858</v>
      </c>
      <c r="S31" s="53">
        <f t="shared" si="147"/>
        <v>347.28800272581816</v>
      </c>
      <c r="T31" s="53">
        <f t="shared" si="147"/>
        <v>309.29150352168057</v>
      </c>
      <c r="U31" s="53">
        <f t="shared" si="147"/>
        <v>275.45217053243761</v>
      </c>
      <c r="V31" s="53">
        <f t="shared" si="147"/>
        <v>245.31517156827587</v>
      </c>
      <c r="W31" s="53">
        <f t="shared" si="147"/>
        <v>218.47543726102478</v>
      </c>
      <c r="X31" s="53">
        <f t="shared" si="147"/>
        <v>194.57221655412923</v>
      </c>
      <c r="Y31" s="53">
        <f t="shared" si="147"/>
        <v>173.28422787205812</v>
      </c>
      <c r="Z31" s="53">
        <f t="shared" ref="Z31:AO31" si="148">Z24*Z29</f>
        <v>154.3253407963407</v>
      </c>
      <c r="AA31" s="53">
        <f t="shared" si="148"/>
        <v>137.4407302059314</v>
      </c>
      <c r="AB31" s="53">
        <f t="shared" si="148"/>
        <v>122.40345118996515</v>
      </c>
      <c r="AC31" s="53">
        <f t="shared" si="148"/>
        <v>109.01138869653353</v>
      </c>
      <c r="AD31" s="53">
        <f t="shared" si="148"/>
        <v>97.084540917919341</v>
      </c>
      <c r="AE31" s="53">
        <f t="shared" si="148"/>
        <v>86.462599898453377</v>
      </c>
      <c r="AF31" s="53">
        <f t="shared" si="148"/>
        <v>77.002796846106165</v>
      </c>
      <c r="AG31" s="53">
        <f t="shared" si="148"/>
        <v>68.577983186794754</v>
      </c>
      <c r="AH31" s="53">
        <f t="shared" si="148"/>
        <v>61.074921568983541</v>
      </c>
      <c r="AI31" s="53">
        <f t="shared" si="148"/>
        <v>54.392763848088173</v>
      </c>
      <c r="AJ31" s="53">
        <f t="shared" si="148"/>
        <v>48.441695593373936</v>
      </c>
      <c r="AK31" s="53">
        <f t="shared" si="148"/>
        <v>43.141728898256439</v>
      </c>
      <c r="AL31" s="53">
        <f t="shared" si="148"/>
        <v>38.421627268250269</v>
      </c>
      <c r="AM31" s="53">
        <f t="shared" si="148"/>
        <v>34.217948136056563</v>
      </c>
      <c r="AN31" s="53">
        <f t="shared" si="148"/>
        <v>30.474190134299871</v>
      </c>
      <c r="AO31" s="53">
        <f t="shared" si="148"/>
        <v>27.140033664463974</v>
      </c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</row>
    <row r="32" spans="2:67" x14ac:dyDescent="0.25">
      <c r="B32" s="112" t="s">
        <v>198</v>
      </c>
      <c r="L32" s="115">
        <f>L30*L29</f>
        <v>0</v>
      </c>
      <c r="M32" s="95">
        <v>0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</row>
    <row r="33" spans="2:67" x14ac:dyDescent="0.25">
      <c r="B33" s="112" t="s">
        <v>199</v>
      </c>
      <c r="C33" s="32"/>
      <c r="D33" s="32"/>
      <c r="E33" s="32"/>
      <c r="F33" s="32"/>
      <c r="G33" s="32"/>
      <c r="H33" s="27">
        <f>H31+H32</f>
        <v>103.78070330103627</v>
      </c>
      <c r="I33" s="27">
        <f t="shared" ref="I33:Y33" si="149">I31+I32</f>
        <v>1106.3885918657516</v>
      </c>
      <c r="J33" s="27">
        <f t="shared" si="149"/>
        <v>985.33951179291307</v>
      </c>
      <c r="K33" s="27">
        <f t="shared" si="149"/>
        <v>197.14515665062399</v>
      </c>
      <c r="L33" s="27">
        <f t="shared" si="149"/>
        <v>185.99738042716078</v>
      </c>
      <c r="M33" s="27">
        <f t="shared" si="149"/>
        <v>696.01808726837896</v>
      </c>
      <c r="N33" s="27">
        <f t="shared" si="149"/>
        <v>619.86731185608403</v>
      </c>
      <c r="O33" s="27">
        <f t="shared" si="149"/>
        <v>552.04813112784689</v>
      </c>
      <c r="P33" s="27">
        <f t="shared" si="149"/>
        <v>491.64899205477855</v>
      </c>
      <c r="Q33" s="27">
        <f t="shared" si="149"/>
        <v>437.85807388685947</v>
      </c>
      <c r="R33" s="27">
        <f t="shared" si="149"/>
        <v>389.95237652505858</v>
      </c>
      <c r="S33" s="27">
        <f t="shared" si="149"/>
        <v>347.28800272581816</v>
      </c>
      <c r="T33" s="27">
        <f t="shared" si="149"/>
        <v>309.29150352168057</v>
      </c>
      <c r="U33" s="27">
        <f t="shared" si="149"/>
        <v>275.45217053243761</v>
      </c>
      <c r="V33" s="27">
        <f t="shared" si="149"/>
        <v>245.31517156827587</v>
      </c>
      <c r="W33" s="27">
        <f t="shared" si="149"/>
        <v>218.47543726102478</v>
      </c>
      <c r="X33" s="27">
        <f t="shared" si="149"/>
        <v>194.57221655412923</v>
      </c>
      <c r="Y33" s="27">
        <f t="shared" si="149"/>
        <v>173.28422787205812</v>
      </c>
      <c r="Z33" s="27">
        <f t="shared" ref="Z33:AO33" si="150">Z31+Z32</f>
        <v>154.3253407963407</v>
      </c>
      <c r="AA33" s="27">
        <f t="shared" si="150"/>
        <v>137.4407302059314</v>
      </c>
      <c r="AB33" s="27">
        <f t="shared" si="150"/>
        <v>122.40345118996515</v>
      </c>
      <c r="AC33" s="27">
        <f t="shared" si="150"/>
        <v>109.01138869653353</v>
      </c>
      <c r="AD33" s="27">
        <f t="shared" si="150"/>
        <v>97.084540917919341</v>
      </c>
      <c r="AE33" s="27">
        <f t="shared" si="150"/>
        <v>86.462599898453377</v>
      </c>
      <c r="AF33" s="27">
        <f t="shared" si="150"/>
        <v>77.002796846106165</v>
      </c>
      <c r="AG33" s="27">
        <f t="shared" si="150"/>
        <v>68.577983186794754</v>
      </c>
      <c r="AH33" s="27">
        <f t="shared" si="150"/>
        <v>61.074921568983541</v>
      </c>
      <c r="AI33" s="27">
        <f t="shared" si="150"/>
        <v>54.392763848088173</v>
      </c>
      <c r="AJ33" s="27">
        <f t="shared" si="150"/>
        <v>48.441695593373936</v>
      </c>
      <c r="AK33" s="27">
        <f t="shared" si="150"/>
        <v>43.141728898256439</v>
      </c>
      <c r="AL33" s="27">
        <f t="shared" si="150"/>
        <v>38.421627268250269</v>
      </c>
      <c r="AM33" s="27">
        <f t="shared" si="150"/>
        <v>34.217948136056563</v>
      </c>
      <c r="AN33" s="27">
        <f t="shared" si="150"/>
        <v>30.474190134299871</v>
      </c>
      <c r="AO33" s="27">
        <f t="shared" si="150"/>
        <v>27.140033664463974</v>
      </c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</row>
    <row r="34" spans="2:67" x14ac:dyDescent="0.25">
      <c r="B34" s="120" t="s">
        <v>200</v>
      </c>
      <c r="C34" s="81"/>
      <c r="D34" s="81"/>
      <c r="E34" s="81"/>
      <c r="F34" s="81"/>
      <c r="G34" s="81"/>
      <c r="H34" s="133">
        <f>SUM(H33:AO33)</f>
        <v>8719.3367876417324</v>
      </c>
      <c r="I34" s="131" t="s">
        <v>214</v>
      </c>
      <c r="J34" s="131"/>
      <c r="K34" s="131"/>
      <c r="L34" s="132"/>
      <c r="M34" s="143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</row>
    <row r="39" spans="2:67" x14ac:dyDescent="0.25">
      <c r="J39" s="102"/>
    </row>
  </sheetData>
  <mergeCells count="4">
    <mergeCell ref="B2:M2"/>
    <mergeCell ref="B4:G4"/>
    <mergeCell ref="H26:M26"/>
    <mergeCell ref="H27:M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D74C-DD87-4670-B0B5-480CD4E9ACA0}">
  <sheetPr>
    <tabColor theme="9" tint="0.39997558519241921"/>
  </sheetPr>
  <dimension ref="A3:M25"/>
  <sheetViews>
    <sheetView showGridLines="0" workbookViewId="0">
      <selection activeCell="C7" sqref="C7"/>
    </sheetView>
  </sheetViews>
  <sheetFormatPr defaultRowHeight="15" x14ac:dyDescent="0.25"/>
  <cols>
    <col min="2" max="2" width="33" customWidth="1"/>
    <col min="3" max="3" width="15.140625" customWidth="1"/>
    <col min="7" max="7" width="11.140625" bestFit="1" customWidth="1"/>
    <col min="8" max="9" width="10.5703125" bestFit="1" customWidth="1"/>
    <col min="10" max="10" width="11.5703125" bestFit="1" customWidth="1"/>
  </cols>
  <sheetData>
    <row r="3" spans="1:13" x14ac:dyDescent="0.25">
      <c r="B3" s="1" t="s">
        <v>99</v>
      </c>
      <c r="C3" s="1"/>
    </row>
    <row r="4" spans="1:13" x14ac:dyDescent="0.25">
      <c r="G4" s="180" t="s">
        <v>182</v>
      </c>
      <c r="H4" s="180"/>
      <c r="I4" s="180"/>
      <c r="J4" s="180"/>
    </row>
    <row r="5" spans="1:13" ht="31.5" customHeight="1" x14ac:dyDescent="0.25">
      <c r="A5" s="67" t="s">
        <v>209</v>
      </c>
      <c r="B5" s="127" t="s">
        <v>236</v>
      </c>
      <c r="C5" s="123">
        <v>0.13</v>
      </c>
      <c r="G5" s="181" t="s">
        <v>212</v>
      </c>
      <c r="H5" s="182" t="s">
        <v>213</v>
      </c>
      <c r="I5" s="182"/>
      <c r="J5" s="182"/>
    </row>
    <row r="6" spans="1:13" x14ac:dyDescent="0.25">
      <c r="B6" t="s">
        <v>210</v>
      </c>
      <c r="C6" s="123">
        <v>1.2500000000000001E-2</v>
      </c>
      <c r="G6" s="181"/>
      <c r="H6" s="129" t="s">
        <v>232</v>
      </c>
      <c r="I6" s="129" t="s">
        <v>233</v>
      </c>
      <c r="J6" s="129" t="s">
        <v>234</v>
      </c>
    </row>
    <row r="7" spans="1:13" x14ac:dyDescent="0.25">
      <c r="B7" s="126" t="s">
        <v>211</v>
      </c>
      <c r="C7" s="128">
        <f>SUM(C5:C6)</f>
        <v>0.14250000000000002</v>
      </c>
      <c r="D7" s="139"/>
      <c r="G7" s="129">
        <v>0.13250000000000001</v>
      </c>
      <c r="H7" s="130">
        <v>9666.82</v>
      </c>
      <c r="I7" s="130">
        <v>10169.540000000001</v>
      </c>
      <c r="J7" s="130">
        <v>10692.88</v>
      </c>
    </row>
    <row r="8" spans="1:13" x14ac:dyDescent="0.25">
      <c r="G8" s="129">
        <v>0.14249999999999999</v>
      </c>
      <c r="H8" s="130">
        <v>8870.6299999999992</v>
      </c>
      <c r="I8" s="140">
        <v>9328.8799999999992</v>
      </c>
      <c r="J8" s="130">
        <v>9805.7800000000007</v>
      </c>
    </row>
    <row r="9" spans="1:13" x14ac:dyDescent="0.25">
      <c r="G9" s="129">
        <v>0.1525</v>
      </c>
      <c r="H9" s="130">
        <v>8192.2199999999993</v>
      </c>
      <c r="I9" s="130">
        <v>8612.51</v>
      </c>
      <c r="J9" s="130">
        <v>9049.76</v>
      </c>
    </row>
    <row r="12" spans="1:13" x14ac:dyDescent="0.25">
      <c r="M12" s="141"/>
    </row>
    <row r="13" spans="1:13" x14ac:dyDescent="0.25">
      <c r="B13" s="183" t="s">
        <v>231</v>
      </c>
      <c r="C13" s="183"/>
      <c r="D13" s="183"/>
    </row>
    <row r="14" spans="1:13" x14ac:dyDescent="0.25">
      <c r="B14" s="32" t="s">
        <v>227</v>
      </c>
      <c r="C14" s="168">
        <v>1.1399999999999999</v>
      </c>
      <c r="D14" s="32" t="s">
        <v>214</v>
      </c>
      <c r="H14" s="142"/>
    </row>
    <row r="15" spans="1:13" x14ac:dyDescent="0.25">
      <c r="B15" s="32" t="s">
        <v>228</v>
      </c>
      <c r="C15" s="32">
        <v>1800</v>
      </c>
      <c r="D15" s="32" t="s">
        <v>229</v>
      </c>
      <c r="H15" s="142"/>
      <c r="L15" s="141"/>
    </row>
    <row r="16" spans="1:13" x14ac:dyDescent="0.25">
      <c r="B16" s="32" t="s">
        <v>230</v>
      </c>
      <c r="C16" s="168">
        <f>C15*C14</f>
        <v>2052</v>
      </c>
      <c r="D16" s="32" t="s">
        <v>214</v>
      </c>
      <c r="H16" s="142"/>
    </row>
    <row r="19" spans="3:8" x14ac:dyDescent="0.25">
      <c r="C19">
        <f>C16/2</f>
        <v>1026</v>
      </c>
    </row>
    <row r="25" spans="3:8" x14ac:dyDescent="0.25">
      <c r="H25" s="141"/>
    </row>
  </sheetData>
  <mergeCells count="4">
    <mergeCell ref="G4:J4"/>
    <mergeCell ref="G5:G6"/>
    <mergeCell ref="H5:J5"/>
    <mergeCell ref="B13:D13"/>
  </mergeCells>
  <hyperlinks>
    <hyperlink ref="A5" r:id="rId1" xr:uid="{A148E081-1216-4ADA-B38F-29F93D0EE88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2275-2B49-403A-BE28-0942FD4E65CD}">
  <sheetPr>
    <tabColor rgb="FF00B0F0"/>
  </sheetPr>
  <dimension ref="B2:L38"/>
  <sheetViews>
    <sheetView showGridLines="0" workbookViewId="0">
      <selection activeCell="I19" sqref="I19"/>
    </sheetView>
  </sheetViews>
  <sheetFormatPr defaultRowHeight="15" x14ac:dyDescent="0.25"/>
  <cols>
    <col min="1" max="1" width="4.5703125" customWidth="1"/>
    <col min="2" max="2" width="5.5703125" customWidth="1"/>
    <col min="3" max="3" width="35.85546875" customWidth="1"/>
    <col min="4" max="4" width="14.7109375" customWidth="1"/>
    <col min="5" max="5" width="11.42578125" customWidth="1"/>
    <col min="6" max="6" width="11.85546875" customWidth="1"/>
    <col min="7" max="7" width="4.42578125" customWidth="1"/>
    <col min="9" max="9" width="12.42578125" customWidth="1"/>
    <col min="10" max="10" width="11.28515625" bestFit="1" customWidth="1"/>
    <col min="11" max="11" width="12.5703125" customWidth="1"/>
    <col min="12" max="12" width="11.28515625" customWidth="1"/>
  </cols>
  <sheetData>
    <row r="2" spans="2:12" x14ac:dyDescent="0.25">
      <c r="B2" s="90" t="s">
        <v>99</v>
      </c>
      <c r="C2" s="90"/>
      <c r="D2" s="91"/>
      <c r="E2" s="89"/>
      <c r="F2" s="89"/>
      <c r="G2" s="89"/>
      <c r="H2" s="89"/>
      <c r="I2" s="89"/>
      <c r="J2" s="89"/>
      <c r="K2" s="89"/>
      <c r="L2" s="89"/>
    </row>
    <row r="3" spans="2:12" ht="10.5" customHeight="1" x14ac:dyDescent="0.25"/>
    <row r="4" spans="2:12" x14ac:dyDescent="0.25">
      <c r="B4" s="172" t="s">
        <v>133</v>
      </c>
      <c r="C4" s="172"/>
      <c r="D4" s="69"/>
      <c r="E4" s="69"/>
      <c r="F4" s="69"/>
      <c r="G4" s="69"/>
      <c r="H4" s="69"/>
      <c r="I4" s="69"/>
      <c r="J4" s="69"/>
      <c r="K4" s="69"/>
      <c r="L4" s="69"/>
    </row>
    <row r="5" spans="2:12" ht="8.25" customHeight="1" x14ac:dyDescent="0.25"/>
    <row r="6" spans="2:12" x14ac:dyDescent="0.25">
      <c r="B6" s="78"/>
      <c r="C6" s="78" t="s">
        <v>134</v>
      </c>
      <c r="D6" s="184" t="s">
        <v>135</v>
      </c>
      <c r="E6" s="184"/>
      <c r="F6" s="184"/>
      <c r="G6" s="88"/>
      <c r="H6" s="184" t="s">
        <v>136</v>
      </c>
      <c r="I6" s="184"/>
      <c r="J6" s="185" t="s">
        <v>137</v>
      </c>
      <c r="K6" s="185"/>
      <c r="L6" s="185"/>
    </row>
    <row r="7" spans="2:12" ht="43.5" customHeight="1" x14ac:dyDescent="0.25">
      <c r="B7" s="78" t="s">
        <v>154</v>
      </c>
      <c r="C7" s="70" t="s">
        <v>138</v>
      </c>
      <c r="D7" s="87" t="s">
        <v>139</v>
      </c>
      <c r="E7" s="87" t="s">
        <v>140</v>
      </c>
      <c r="F7" s="78" t="s">
        <v>141</v>
      </c>
      <c r="G7" s="87"/>
      <c r="H7" s="78" t="s">
        <v>142</v>
      </c>
      <c r="I7" s="87" t="s">
        <v>143</v>
      </c>
      <c r="J7" s="78" t="s">
        <v>144</v>
      </c>
      <c r="K7" s="78" t="s">
        <v>130</v>
      </c>
      <c r="L7" s="78" t="s">
        <v>145</v>
      </c>
    </row>
    <row r="8" spans="2:12" ht="15.95" customHeight="1" x14ac:dyDescent="0.25">
      <c r="B8" s="71">
        <v>1</v>
      </c>
      <c r="C8" s="92" t="s">
        <v>157</v>
      </c>
      <c r="D8" s="73">
        <v>87.2</v>
      </c>
      <c r="E8" s="73">
        <v>1318.91</v>
      </c>
      <c r="F8" s="73">
        <v>1554.19</v>
      </c>
      <c r="G8" s="103"/>
      <c r="H8" s="73">
        <v>1166.9000000000001</v>
      </c>
      <c r="I8" s="73">
        <v>11.38</v>
      </c>
      <c r="J8" s="74">
        <f>F8/H8</f>
        <v>1.3318964778472877</v>
      </c>
      <c r="K8" s="74">
        <v>3.49</v>
      </c>
      <c r="L8" s="74">
        <v>7.67</v>
      </c>
    </row>
    <row r="9" spans="2:12" ht="15.95" customHeight="1" x14ac:dyDescent="0.25">
      <c r="B9" s="71">
        <f>B8+1</f>
        <v>2</v>
      </c>
      <c r="C9" s="92" t="s">
        <v>158</v>
      </c>
      <c r="D9" s="73">
        <v>3.9</v>
      </c>
      <c r="E9" s="73">
        <v>2094.34</v>
      </c>
      <c r="F9" s="73">
        <v>6268.95</v>
      </c>
      <c r="G9" s="103"/>
      <c r="H9" s="76">
        <v>3259.52</v>
      </c>
      <c r="I9" s="76">
        <v>0.68</v>
      </c>
      <c r="J9" s="74">
        <f t="shared" ref="J9:J13" si="0">F9/H9</f>
        <v>1.9232739789907716</v>
      </c>
      <c r="K9" s="74">
        <v>5.49</v>
      </c>
      <c r="L9" s="74">
        <v>5.71</v>
      </c>
    </row>
    <row r="10" spans="2:12" ht="15.95" customHeight="1" x14ac:dyDescent="0.25">
      <c r="B10" s="71">
        <f>B9+1</f>
        <v>3</v>
      </c>
      <c r="C10" s="75" t="s">
        <v>131</v>
      </c>
      <c r="D10" s="76">
        <v>12.95</v>
      </c>
      <c r="E10" s="73">
        <v>1261.06</v>
      </c>
      <c r="F10" s="76">
        <v>1559.76</v>
      </c>
      <c r="G10" s="103"/>
      <c r="H10" s="76">
        <v>515.47</v>
      </c>
      <c r="I10" s="76">
        <v>0.19</v>
      </c>
      <c r="J10" s="74">
        <f t="shared" si="0"/>
        <v>3.0258986943954058</v>
      </c>
      <c r="K10" s="74">
        <v>17.71</v>
      </c>
      <c r="L10" s="74">
        <v>68.959999999999994</v>
      </c>
    </row>
    <row r="11" spans="2:12" ht="15.95" customHeight="1" x14ac:dyDescent="0.25">
      <c r="B11" s="71">
        <f>B10+1</f>
        <v>4</v>
      </c>
      <c r="C11" s="92" t="s">
        <v>132</v>
      </c>
      <c r="D11" s="73">
        <v>22.4</v>
      </c>
      <c r="E11" s="73">
        <v>1336.96</v>
      </c>
      <c r="F11" s="76">
        <v>5850.93</v>
      </c>
      <c r="G11" s="103"/>
      <c r="H11" s="76">
        <v>1179.6600000000001</v>
      </c>
      <c r="I11" s="76">
        <v>-0.81</v>
      </c>
      <c r="J11" s="74">
        <f t="shared" si="0"/>
        <v>4.9598443619347945</v>
      </c>
      <c r="K11" s="74">
        <v>13.56</v>
      </c>
      <c r="L11" s="74">
        <v>-41.48</v>
      </c>
    </row>
    <row r="12" spans="2:12" ht="15.95" customHeight="1" x14ac:dyDescent="0.25">
      <c r="B12" s="71">
        <f>B11+1</f>
        <v>5</v>
      </c>
      <c r="C12" s="72" t="s">
        <v>155</v>
      </c>
      <c r="D12" s="76">
        <v>133.85</v>
      </c>
      <c r="E12" s="73">
        <v>3844.04</v>
      </c>
      <c r="F12" s="76">
        <v>7558.99</v>
      </c>
      <c r="G12" s="103"/>
      <c r="H12" s="76">
        <v>1467.37</v>
      </c>
      <c r="I12" s="76">
        <v>-16.38</v>
      </c>
      <c r="J12" s="74">
        <f t="shared" si="0"/>
        <v>5.1513864942039165</v>
      </c>
      <c r="K12" s="74">
        <v>30.43</v>
      </c>
      <c r="L12" s="74">
        <v>0</v>
      </c>
    </row>
    <row r="13" spans="2:12" ht="17.25" customHeight="1" x14ac:dyDescent="0.25">
      <c r="B13" s="71">
        <f>B12+1</f>
        <v>6</v>
      </c>
      <c r="C13" s="72" t="s">
        <v>156</v>
      </c>
      <c r="D13" s="76">
        <v>255.75</v>
      </c>
      <c r="E13" s="73">
        <v>3710.95</v>
      </c>
      <c r="F13" s="76">
        <v>3692.08</v>
      </c>
      <c r="G13" s="103"/>
      <c r="H13" s="76">
        <v>1678.47</v>
      </c>
      <c r="I13" s="76">
        <v>31.4</v>
      </c>
      <c r="J13" s="74">
        <f t="shared" si="0"/>
        <v>2.1996699375026063</v>
      </c>
      <c r="K13" s="74">
        <v>5.41</v>
      </c>
      <c r="L13" s="74">
        <v>8.14</v>
      </c>
    </row>
    <row r="14" spans="2:12" x14ac:dyDescent="0.25">
      <c r="D14" s="68"/>
      <c r="E14" s="68"/>
      <c r="F14" s="68"/>
      <c r="G14" s="68"/>
      <c r="H14" s="68"/>
      <c r="I14" s="68"/>
      <c r="J14" s="68"/>
      <c r="K14" s="68"/>
      <c r="L14" s="68"/>
    </row>
    <row r="15" spans="2:12" x14ac:dyDescent="0.25">
      <c r="C15" s="77" t="s">
        <v>146</v>
      </c>
      <c r="D15" s="85"/>
      <c r="E15" s="85"/>
      <c r="F15" s="85"/>
      <c r="G15" s="85"/>
      <c r="H15" s="85"/>
      <c r="I15" s="85"/>
      <c r="J15" s="86">
        <f>AVERAGE(J8:J14)</f>
        <v>3.0986616574791301</v>
      </c>
      <c r="K15" s="86">
        <f>AVERAGE(K8:K13)</f>
        <v>12.681666666666667</v>
      </c>
      <c r="L15" s="86">
        <f>AVERAGE(L8:L13)</f>
        <v>8.1666666666666661</v>
      </c>
    </row>
    <row r="16" spans="2:12" x14ac:dyDescent="0.25">
      <c r="C16" s="77" t="s">
        <v>147</v>
      </c>
      <c r="D16" s="85"/>
      <c r="E16" s="85"/>
      <c r="F16" s="85"/>
      <c r="G16" s="85"/>
      <c r="H16" s="85"/>
      <c r="I16" s="85"/>
      <c r="J16" s="86">
        <f>MEDIAN(J8:J13)</f>
        <v>2.6127843159490061</v>
      </c>
      <c r="K16" s="86">
        <f>MEDIAN(K8:K13)</f>
        <v>9.5250000000000004</v>
      </c>
      <c r="L16" s="86">
        <f>MEDIAN(L8:L13)</f>
        <v>6.6899999999999995</v>
      </c>
    </row>
    <row r="18" spans="3:9" x14ac:dyDescent="0.25">
      <c r="C18" s="55" t="s">
        <v>134</v>
      </c>
      <c r="D18" s="78" t="str">
        <f>J7</f>
        <v>EV/Sales</v>
      </c>
      <c r="E18" s="78" t="s">
        <v>130</v>
      </c>
      <c r="H18" s="185" t="s">
        <v>184</v>
      </c>
      <c r="I18" s="185"/>
    </row>
    <row r="19" spans="3:9" x14ac:dyDescent="0.25">
      <c r="C19" s="79" t="s">
        <v>147</v>
      </c>
      <c r="D19" s="80">
        <f>J16</f>
        <v>2.6127843159490061</v>
      </c>
      <c r="E19" s="80">
        <f t="shared" ref="E19" si="1">K16</f>
        <v>9.5250000000000004</v>
      </c>
      <c r="H19" s="78" t="s">
        <v>183</v>
      </c>
      <c r="I19" s="78" t="s">
        <v>121</v>
      </c>
    </row>
    <row r="20" spans="3:9" x14ac:dyDescent="0.25">
      <c r="C20" s="79" t="s">
        <v>148</v>
      </c>
      <c r="D20" s="80">
        <f>J15</f>
        <v>3.0986616574791301</v>
      </c>
      <c r="E20" s="80">
        <f t="shared" ref="E20" si="2">K15</f>
        <v>12.681666666666667</v>
      </c>
      <c r="H20" s="104">
        <f>'P&amp;L'!G7</f>
        <v>4192.55</v>
      </c>
      <c r="I20" s="104">
        <f>'P&amp;L'!G15</f>
        <v>1490.4100000000003</v>
      </c>
    </row>
    <row r="22" spans="3:9" x14ac:dyDescent="0.25">
      <c r="C22" s="177" t="s">
        <v>182</v>
      </c>
      <c r="D22" s="177"/>
      <c r="E22" s="177"/>
    </row>
    <row r="23" spans="3:9" x14ac:dyDescent="0.25">
      <c r="C23" s="79" t="s">
        <v>149</v>
      </c>
      <c r="D23" s="80">
        <f>D20</f>
        <v>3.0986616574791301</v>
      </c>
      <c r="E23" s="80">
        <f t="shared" ref="E23" si="3">E20</f>
        <v>12.681666666666667</v>
      </c>
    </row>
    <row r="24" spans="3:9" x14ac:dyDescent="0.25">
      <c r="C24" s="79" t="s">
        <v>150</v>
      </c>
      <c r="D24" s="80">
        <f>AVERAGE(D23,D25)</f>
        <v>2.8557229867140679</v>
      </c>
      <c r="E24" s="80">
        <f t="shared" ref="E24" si="4">AVERAGE(E23,E25)</f>
        <v>11.103333333333333</v>
      </c>
    </row>
    <row r="25" spans="3:9" x14ac:dyDescent="0.25">
      <c r="C25" s="79" t="s">
        <v>151</v>
      </c>
      <c r="D25" s="80">
        <f>D19</f>
        <v>2.6127843159490061</v>
      </c>
      <c r="E25" s="80">
        <f t="shared" ref="E25" si="5">E19</f>
        <v>9.5250000000000004</v>
      </c>
    </row>
    <row r="28" spans="3:9" x14ac:dyDescent="0.25">
      <c r="C28" s="81" t="s">
        <v>152</v>
      </c>
      <c r="D28" s="82" t="s">
        <v>153</v>
      </c>
      <c r="E28" s="82" t="s">
        <v>153</v>
      </c>
    </row>
    <row r="29" spans="3:9" x14ac:dyDescent="0.25">
      <c r="C29" s="83" t="s">
        <v>149</v>
      </c>
      <c r="D29" s="100">
        <f>D23*$H$20</f>
        <v>12991.293932064127</v>
      </c>
      <c r="E29" s="100">
        <f>E23*I$20</f>
        <v>18900.882816666672</v>
      </c>
    </row>
    <row r="30" spans="3:9" x14ac:dyDescent="0.25">
      <c r="C30" s="84" t="s">
        <v>150</v>
      </c>
      <c r="D30" s="100">
        <f>D24*$H$20</f>
        <v>11972.761407948066</v>
      </c>
      <c r="E30" s="100">
        <f>E24*I$20</f>
        <v>16548.519033333338</v>
      </c>
      <c r="H30" s="102"/>
    </row>
    <row r="31" spans="3:9" x14ac:dyDescent="0.25">
      <c r="C31" s="83" t="s">
        <v>151</v>
      </c>
      <c r="D31" s="100">
        <f>D25*$H$20</f>
        <v>10954.228883832006</v>
      </c>
      <c r="E31" s="100">
        <f>E25*I$20</f>
        <v>14196.155250000003</v>
      </c>
    </row>
    <row r="32" spans="3:9" x14ac:dyDescent="0.25">
      <c r="C32" t="s">
        <v>181</v>
      </c>
      <c r="E32" s="100">
        <f>AVERAGE(D30:E30)</f>
        <v>14260.640220640702</v>
      </c>
    </row>
    <row r="36" spans="3:6" x14ac:dyDescent="0.25">
      <c r="C36" s="32" t="s">
        <v>179</v>
      </c>
      <c r="D36" s="101">
        <v>0.2</v>
      </c>
      <c r="E36" s="101">
        <v>0.25</v>
      </c>
      <c r="F36" s="101">
        <v>0.3</v>
      </c>
    </row>
    <row r="37" spans="3:6" x14ac:dyDescent="0.25">
      <c r="C37" s="32" t="s">
        <v>180</v>
      </c>
      <c r="D37" s="100">
        <f>$E$30*(1-D36)</f>
        <v>13238.815226666671</v>
      </c>
      <c r="E37" s="100">
        <f>$E$30*(1-E36)</f>
        <v>12411.389275000003</v>
      </c>
      <c r="F37" s="100">
        <f>$E$30*(1-F36)</f>
        <v>11583.963323333335</v>
      </c>
    </row>
    <row r="38" spans="3:6" x14ac:dyDescent="0.25">
      <c r="C38" s="32" t="s">
        <v>146</v>
      </c>
      <c r="D38" s="100">
        <f>$E$32*(1-D36)</f>
        <v>11408.512176512562</v>
      </c>
      <c r="E38" s="100">
        <f>$E$32*(1-E36)</f>
        <v>10695.480165480527</v>
      </c>
      <c r="F38" s="100">
        <f>$E$32*(1-F36)</f>
        <v>9982.4481544484916</v>
      </c>
    </row>
  </sheetData>
  <mergeCells count="6">
    <mergeCell ref="C22:E22"/>
    <mergeCell ref="D6:F6"/>
    <mergeCell ref="H6:I6"/>
    <mergeCell ref="J6:L6"/>
    <mergeCell ref="B4:C4"/>
    <mergeCell ref="H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B2:P63"/>
  <sheetViews>
    <sheetView showGridLines="0" topLeftCell="C10" workbookViewId="0">
      <selection activeCell="L23" sqref="L23"/>
    </sheetView>
  </sheetViews>
  <sheetFormatPr defaultRowHeight="15" x14ac:dyDescent="0.25"/>
  <cols>
    <col min="1" max="1" width="9.140625" style="2"/>
    <col min="2" max="2" width="47.7109375" style="2" customWidth="1"/>
    <col min="3" max="6" width="9.140625" style="2"/>
    <col min="7" max="7" width="9.140625" style="2" bestFit="1" customWidth="1"/>
    <col min="8" max="8" width="9" style="2" customWidth="1"/>
    <col min="9" max="10" width="9.140625" style="2"/>
    <col min="11" max="11" width="11.85546875" style="2" customWidth="1"/>
    <col min="12" max="12" width="9.140625" style="2"/>
    <col min="13" max="13" width="10.42578125" style="2" customWidth="1"/>
    <col min="14" max="14" width="11" style="2" bestFit="1" customWidth="1"/>
    <col min="15" max="15" width="9.140625" style="2"/>
    <col min="16" max="16" width="10.7109375" style="2" customWidth="1"/>
    <col min="17" max="16384" width="9.140625" style="2"/>
  </cols>
  <sheetData>
    <row r="2" spans="2:15" ht="18.75" customHeight="1" x14ac:dyDescent="0.25">
      <c r="B2" s="1" t="s">
        <v>99</v>
      </c>
      <c r="C2" s="1"/>
      <c r="D2" s="1"/>
      <c r="E2" s="1"/>
      <c r="F2" s="1"/>
      <c r="G2" s="1"/>
      <c r="H2" s="1"/>
    </row>
    <row r="3" spans="2:15" ht="10.5" customHeight="1" x14ac:dyDescent="0.25"/>
    <row r="4" spans="2:15" ht="15" customHeight="1" x14ac:dyDescent="0.25">
      <c r="B4" s="172" t="s">
        <v>98</v>
      </c>
      <c r="C4" s="172"/>
      <c r="D4" s="172"/>
      <c r="E4" s="172"/>
      <c r="F4" s="172"/>
      <c r="G4" s="172"/>
      <c r="H4" s="55"/>
    </row>
    <row r="5" spans="2:15" ht="6" customHeight="1" x14ac:dyDescent="0.25"/>
    <row r="6" spans="2:15" ht="45" x14ac:dyDescent="0.25">
      <c r="B6" s="3" t="s">
        <v>41</v>
      </c>
      <c r="C6" s="4" t="s">
        <v>45</v>
      </c>
      <c r="D6" s="5" t="s">
        <v>46</v>
      </c>
      <c r="E6" s="5" t="s">
        <v>103</v>
      </c>
      <c r="F6" s="5" t="s">
        <v>104</v>
      </c>
      <c r="G6" s="156" t="s">
        <v>105</v>
      </c>
      <c r="H6" s="33" t="s">
        <v>239</v>
      </c>
    </row>
    <row r="7" spans="2:15" x14ac:dyDescent="0.25">
      <c r="B7" s="6" t="s">
        <v>47</v>
      </c>
      <c r="C7" s="7"/>
      <c r="D7" s="8"/>
      <c r="E7" s="9"/>
      <c r="F7" s="9"/>
      <c r="G7" s="39"/>
      <c r="H7" s="27"/>
    </row>
    <row r="8" spans="2:15" x14ac:dyDescent="0.25">
      <c r="B8" s="7"/>
      <c r="C8" s="7"/>
      <c r="D8" s="8"/>
      <c r="E8" s="9"/>
      <c r="F8" s="9"/>
      <c r="G8" s="39"/>
      <c r="H8" s="27"/>
      <c r="M8" s="2" t="s">
        <v>129</v>
      </c>
      <c r="N8" s="164">
        <f>1725837997/10^7</f>
        <v>172.58379969999999</v>
      </c>
    </row>
    <row r="9" spans="2:15" x14ac:dyDescent="0.25">
      <c r="B9" s="6" t="s">
        <v>100</v>
      </c>
      <c r="C9" s="9"/>
      <c r="D9" s="8"/>
      <c r="E9" s="9"/>
      <c r="F9" s="9"/>
      <c r="G9" s="39"/>
      <c r="H9" s="27"/>
    </row>
    <row r="10" spans="2:15" x14ac:dyDescent="0.25">
      <c r="B10" s="47" t="s">
        <v>3</v>
      </c>
      <c r="C10" s="9">
        <v>14644.88</v>
      </c>
      <c r="D10" s="9">
        <v>13971.96</v>
      </c>
      <c r="E10" s="9">
        <v>13307.64</v>
      </c>
      <c r="F10" s="9">
        <v>12623.4</v>
      </c>
      <c r="G10" s="9">
        <v>11965.16</v>
      </c>
      <c r="H10" s="27">
        <v>11497.23</v>
      </c>
      <c r="J10" s="66">
        <f t="shared" ref="J10:O10" si="0">C10-$N$8</f>
        <v>14472.296200299999</v>
      </c>
      <c r="K10" s="66">
        <f t="shared" si="0"/>
        <v>13799.376200299999</v>
      </c>
      <c r="L10" s="66">
        <f t="shared" si="0"/>
        <v>13135.0562003</v>
      </c>
      <c r="M10" s="66">
        <f t="shared" si="0"/>
        <v>12450.8162003</v>
      </c>
      <c r="N10" s="66">
        <f t="shared" si="0"/>
        <v>11792.5762003</v>
      </c>
      <c r="O10" s="66">
        <f t="shared" si="0"/>
        <v>11324.6462003</v>
      </c>
    </row>
    <row r="11" spans="2:15" x14ac:dyDescent="0.25">
      <c r="B11" s="47" t="s">
        <v>4</v>
      </c>
      <c r="C11" s="9">
        <v>4569.07</v>
      </c>
      <c r="D11" s="9">
        <v>4571.95</v>
      </c>
      <c r="E11" s="9">
        <v>4573.8100000000004</v>
      </c>
      <c r="F11" s="9">
        <v>4573.87</v>
      </c>
      <c r="G11" s="39">
        <v>4559.66</v>
      </c>
      <c r="H11" s="27">
        <v>4555.4399999999996</v>
      </c>
      <c r="J11" s="66">
        <f>'P&amp;L'!C16</f>
        <v>518.82000000000005</v>
      </c>
      <c r="K11" s="66">
        <f>'P&amp;L'!D16</f>
        <v>697.91</v>
      </c>
      <c r="L11" s="66">
        <f>'P&amp;L'!E16</f>
        <v>695.21</v>
      </c>
      <c r="M11" s="66">
        <f>'P&amp;L'!F16</f>
        <v>679.41</v>
      </c>
      <c r="N11" s="66">
        <f>'P&amp;L'!G16</f>
        <v>672.38</v>
      </c>
    </row>
    <row r="12" spans="2:15" x14ac:dyDescent="0.25">
      <c r="B12" s="47" t="s">
        <v>109</v>
      </c>
      <c r="C12" s="9">
        <v>0</v>
      </c>
      <c r="D12" s="9">
        <v>0</v>
      </c>
      <c r="E12" s="9">
        <v>154.56</v>
      </c>
      <c r="F12" s="9">
        <v>152.83000000000001</v>
      </c>
      <c r="G12" s="39">
        <v>151.1</v>
      </c>
      <c r="H12" s="27">
        <v>149.80000000000001</v>
      </c>
      <c r="J12" s="56">
        <f>J11/J10</f>
        <v>3.58491833513776E-2</v>
      </c>
      <c r="K12" s="56">
        <f t="shared" ref="K12:N12" si="1">K11/K10</f>
        <v>5.0575474562743451E-2</v>
      </c>
      <c r="L12" s="56">
        <f t="shared" si="1"/>
        <v>5.2927828354790117E-2</v>
      </c>
      <c r="M12" s="56">
        <f t="shared" si="1"/>
        <v>5.456750698670098E-2</v>
      </c>
      <c r="N12" s="56">
        <f t="shared" si="1"/>
        <v>5.7017227497999534E-2</v>
      </c>
    </row>
    <row r="13" spans="2:15" x14ac:dyDescent="0.25">
      <c r="B13" s="47" t="s">
        <v>5</v>
      </c>
      <c r="C13" s="9">
        <v>0</v>
      </c>
      <c r="D13" s="9">
        <v>0</v>
      </c>
      <c r="E13" s="10" t="s">
        <v>6</v>
      </c>
      <c r="F13" s="10" t="s">
        <v>6</v>
      </c>
      <c r="G13" s="157" t="s">
        <v>6</v>
      </c>
      <c r="H13" s="38" t="s">
        <v>6</v>
      </c>
      <c r="J13" s="56"/>
      <c r="K13" s="56">
        <f>K11/J10</f>
        <v>4.8223860978296784E-2</v>
      </c>
      <c r="L13" s="56">
        <f t="shared" ref="L13:N13" si="2">L11/K10</f>
        <v>5.0379813544389501E-2</v>
      </c>
      <c r="M13" s="56">
        <f t="shared" si="2"/>
        <v>5.1724940467668686E-2</v>
      </c>
      <c r="N13" s="56">
        <f t="shared" si="2"/>
        <v>5.4002885367772042E-2</v>
      </c>
    </row>
    <row r="14" spans="2:15" ht="13.5" customHeight="1" x14ac:dyDescent="0.25">
      <c r="B14" s="48" t="s">
        <v>110</v>
      </c>
      <c r="C14" s="9">
        <v>1.84</v>
      </c>
      <c r="D14" s="10" t="s">
        <v>6</v>
      </c>
      <c r="E14" s="10" t="s">
        <v>6</v>
      </c>
      <c r="F14" s="10" t="s">
        <v>6</v>
      </c>
      <c r="G14" s="157" t="s">
        <v>6</v>
      </c>
      <c r="H14" s="38" t="s">
        <v>6</v>
      </c>
    </row>
    <row r="15" spans="2:15" x14ac:dyDescent="0.25">
      <c r="B15" s="47" t="s">
        <v>111</v>
      </c>
      <c r="C15" s="9"/>
      <c r="D15" s="8"/>
      <c r="E15" s="9"/>
      <c r="F15" s="9"/>
      <c r="G15" s="39"/>
      <c r="H15" s="27"/>
    </row>
    <row r="16" spans="2:15" x14ac:dyDescent="0.25">
      <c r="B16" s="34" t="s">
        <v>7</v>
      </c>
      <c r="C16" s="9">
        <v>303.57</v>
      </c>
      <c r="D16" s="11">
        <v>246.35</v>
      </c>
      <c r="E16" s="11" t="s">
        <v>6</v>
      </c>
      <c r="F16" s="11" t="s">
        <v>6</v>
      </c>
      <c r="G16" s="158" t="s">
        <v>6</v>
      </c>
      <c r="H16" s="35" t="s">
        <v>6</v>
      </c>
    </row>
    <row r="17" spans="2:16" x14ac:dyDescent="0.25">
      <c r="B17" s="34" t="s">
        <v>48</v>
      </c>
      <c r="C17" s="9">
        <v>148.72999999999999</v>
      </c>
      <c r="D17" s="11">
        <v>210.1</v>
      </c>
      <c r="E17" s="9">
        <v>85.11</v>
      </c>
      <c r="F17" s="11" t="s">
        <v>6</v>
      </c>
      <c r="G17" s="158" t="s">
        <v>6</v>
      </c>
      <c r="H17" s="35" t="s">
        <v>6</v>
      </c>
    </row>
    <row r="18" spans="2:16" x14ac:dyDescent="0.25">
      <c r="B18" s="34" t="s">
        <v>49</v>
      </c>
      <c r="C18" s="9">
        <v>79.989999999999995</v>
      </c>
      <c r="D18" s="11">
        <v>5.14</v>
      </c>
      <c r="E18" s="9">
        <v>8.59</v>
      </c>
      <c r="F18" s="11">
        <v>235.87</v>
      </c>
      <c r="G18" s="158">
        <v>237.99</v>
      </c>
      <c r="H18" s="35">
        <v>239.33</v>
      </c>
      <c r="O18" s="66">
        <f>O20-P20</f>
        <v>675.90666666666584</v>
      </c>
    </row>
    <row r="19" spans="2:16" x14ac:dyDescent="0.25">
      <c r="B19" s="47" t="s">
        <v>112</v>
      </c>
      <c r="C19" s="9">
        <v>929.23</v>
      </c>
      <c r="D19" s="11">
        <v>775.91</v>
      </c>
      <c r="E19" s="9">
        <v>614.76</v>
      </c>
      <c r="F19" s="11">
        <v>448.44</v>
      </c>
      <c r="G19" s="158" t="s">
        <v>6</v>
      </c>
      <c r="H19" s="35" t="s">
        <v>6</v>
      </c>
      <c r="K19" s="51">
        <v>2018</v>
      </c>
      <c r="L19" s="51">
        <f>K19+1</f>
        <v>2019</v>
      </c>
      <c r="M19" s="51">
        <f t="shared" ref="M19:P19" si="3">L19+1</f>
        <v>2020</v>
      </c>
      <c r="N19" s="51">
        <f t="shared" si="3"/>
        <v>2021</v>
      </c>
      <c r="O19" s="52">
        <f t="shared" si="3"/>
        <v>2022</v>
      </c>
      <c r="P19" s="52">
        <f t="shared" si="3"/>
        <v>2023</v>
      </c>
    </row>
    <row r="20" spans="2:16" x14ac:dyDescent="0.25">
      <c r="B20" s="47" t="s">
        <v>113</v>
      </c>
      <c r="C20" s="9">
        <v>306.99</v>
      </c>
      <c r="D20" s="11">
        <v>189.3</v>
      </c>
      <c r="E20" s="9">
        <v>64.88</v>
      </c>
      <c r="F20" s="11">
        <v>52.29</v>
      </c>
      <c r="G20" s="158">
        <v>60.22</v>
      </c>
      <c r="H20" s="35">
        <v>70.61</v>
      </c>
      <c r="K20" s="121">
        <f>C10-172.58+C12</f>
        <v>14472.3</v>
      </c>
      <c r="L20" s="121">
        <f>D10-172.58+D12</f>
        <v>13799.38</v>
      </c>
      <c r="M20" s="121">
        <f>E10-172.58+E12</f>
        <v>13289.619999999999</v>
      </c>
      <c r="N20" s="121">
        <f>F10-172.58+F12</f>
        <v>12603.65</v>
      </c>
      <c r="O20" s="121">
        <f>G10-172.58+G12</f>
        <v>11943.68</v>
      </c>
      <c r="P20" s="121">
        <f>O20-P21</f>
        <v>11267.773333333334</v>
      </c>
    </row>
    <row r="21" spans="2:16" x14ac:dyDescent="0.25">
      <c r="B21" s="7"/>
      <c r="C21" s="12">
        <f t="shared" ref="C21:H21" si="4">SUM(C10:C20)</f>
        <v>20984.3</v>
      </c>
      <c r="D21" s="12">
        <f t="shared" si="4"/>
        <v>19970.709999999995</v>
      </c>
      <c r="E21" s="12">
        <f t="shared" si="4"/>
        <v>18809.350000000002</v>
      </c>
      <c r="F21" s="12">
        <f t="shared" si="4"/>
        <v>18086.7</v>
      </c>
      <c r="G21" s="159">
        <f t="shared" si="4"/>
        <v>16974.13</v>
      </c>
      <c r="H21" s="28">
        <f t="shared" si="4"/>
        <v>16512.41</v>
      </c>
      <c r="J21" s="68"/>
      <c r="K21" s="122">
        <f>'P&amp;L'!C16</f>
        <v>518.82000000000005</v>
      </c>
      <c r="L21" s="122">
        <f>'P&amp;L'!D16</f>
        <v>697.91</v>
      </c>
      <c r="M21" s="122">
        <f>'P&amp;L'!E16</f>
        <v>695.21</v>
      </c>
      <c r="N21" s="122">
        <f>'P&amp;L'!F16</f>
        <v>679.41</v>
      </c>
      <c r="O21" s="122">
        <f>'P&amp;L'!G16</f>
        <v>672.38</v>
      </c>
      <c r="P21" s="164">
        <f>'P&amp;L'!I16</f>
        <v>675.90666666666664</v>
      </c>
    </row>
    <row r="22" spans="2:16" x14ac:dyDescent="0.25">
      <c r="B22" s="7"/>
      <c r="C22" s="9"/>
      <c r="D22" s="8"/>
      <c r="E22" s="9"/>
      <c r="F22" s="9"/>
      <c r="G22" s="39"/>
      <c r="H22" s="27"/>
      <c r="J22" s="68"/>
      <c r="K22" s="119"/>
      <c r="L22" s="57">
        <f>L21/K20</f>
        <v>4.8223848317129968E-2</v>
      </c>
      <c r="M22" s="57">
        <f t="shared" ref="M22:P22" si="5">M21/L20</f>
        <v>5.0379799672159192E-2</v>
      </c>
      <c r="N22" s="57">
        <f t="shared" si="5"/>
        <v>5.1123357928970131E-2</v>
      </c>
      <c r="O22" s="57">
        <f t="shared" si="5"/>
        <v>5.334803806833735E-2</v>
      </c>
      <c r="P22" s="57">
        <f t="shared" si="5"/>
        <v>5.6591156717750862E-2</v>
      </c>
    </row>
    <row r="23" spans="2:16" x14ac:dyDescent="0.25">
      <c r="B23" s="6" t="s">
        <v>101</v>
      </c>
      <c r="C23" s="9"/>
      <c r="D23" s="8"/>
      <c r="E23" s="9"/>
      <c r="F23" s="9"/>
      <c r="G23" s="39"/>
      <c r="H23" s="27"/>
      <c r="J23" s="68"/>
      <c r="K23" s="68"/>
      <c r="L23" s="57">
        <f>AVERAGE(L22:P22)</f>
        <v>5.1933240140869509E-2</v>
      </c>
      <c r="M23" s="57"/>
      <c r="N23" s="57"/>
      <c r="O23" s="57"/>
    </row>
    <row r="24" spans="2:16" x14ac:dyDescent="0.25">
      <c r="B24" s="47" t="s">
        <v>50</v>
      </c>
      <c r="C24" s="9">
        <v>76.180000000000007</v>
      </c>
      <c r="D24" s="11">
        <v>105.24</v>
      </c>
      <c r="E24" s="9">
        <v>166.48</v>
      </c>
      <c r="F24" s="9">
        <v>125.86</v>
      </c>
      <c r="G24" s="39">
        <v>149.19</v>
      </c>
      <c r="H24" s="27">
        <v>146.05000000000001</v>
      </c>
      <c r="J24" s="68"/>
    </row>
    <row r="25" spans="2:16" x14ac:dyDescent="0.25">
      <c r="B25" s="47" t="s">
        <v>2</v>
      </c>
      <c r="C25" s="9"/>
      <c r="D25" s="8"/>
      <c r="E25" s="9"/>
      <c r="F25" s="9"/>
      <c r="G25" s="39"/>
      <c r="H25" s="27"/>
      <c r="J25" s="68"/>
      <c r="K25"/>
      <c r="L25"/>
      <c r="M25"/>
      <c r="N25"/>
      <c r="O25"/>
    </row>
    <row r="26" spans="2:16" x14ac:dyDescent="0.25">
      <c r="B26" s="34" t="s">
        <v>7</v>
      </c>
      <c r="C26" s="9">
        <v>12.82</v>
      </c>
      <c r="D26" s="10" t="s">
        <v>6</v>
      </c>
      <c r="E26" s="10" t="s">
        <v>6</v>
      </c>
      <c r="F26" s="9" t="s">
        <v>6</v>
      </c>
      <c r="G26" s="39" t="s">
        <v>6</v>
      </c>
      <c r="H26" s="27" t="s">
        <v>6</v>
      </c>
      <c r="J26" s="68"/>
      <c r="K26" s="67"/>
    </row>
    <row r="27" spans="2:16" x14ac:dyDescent="0.25">
      <c r="B27" s="34" t="s">
        <v>51</v>
      </c>
      <c r="C27" s="9">
        <v>3056.15</v>
      </c>
      <c r="D27" s="9">
        <v>3637.22</v>
      </c>
      <c r="E27" s="9">
        <v>4266.6499999999996</v>
      </c>
      <c r="F27" s="9">
        <v>2778.76</v>
      </c>
      <c r="G27" s="39">
        <v>4319.84</v>
      </c>
      <c r="H27" s="27">
        <v>4975.78</v>
      </c>
      <c r="J27" s="68"/>
    </row>
    <row r="28" spans="2:16" x14ac:dyDescent="0.25">
      <c r="B28" s="34" t="s">
        <v>52</v>
      </c>
      <c r="C28" s="9">
        <f>CFS!C57</f>
        <v>70.400000000000276</v>
      </c>
      <c r="D28" s="9">
        <f>CFS!D57</f>
        <v>30.070000000000348</v>
      </c>
      <c r="E28" s="9">
        <f>CFS!E57</f>
        <v>81.83000000000068</v>
      </c>
      <c r="F28" s="9">
        <f>CFS!F57</f>
        <v>2872.3899999999994</v>
      </c>
      <c r="G28" s="39">
        <f>CFS!G57</f>
        <v>2950.5599999999995</v>
      </c>
      <c r="H28" s="27">
        <v>1209.06</v>
      </c>
      <c r="J28" s="68"/>
    </row>
    <row r="29" spans="2:16" x14ac:dyDescent="0.25">
      <c r="B29" s="34" t="s">
        <v>53</v>
      </c>
      <c r="C29" s="9">
        <v>348.81</v>
      </c>
      <c r="D29" s="11">
        <v>10.83</v>
      </c>
      <c r="E29" s="9">
        <v>7.37</v>
      </c>
      <c r="F29" s="9">
        <v>12.47</v>
      </c>
      <c r="G29" s="39">
        <v>35.32</v>
      </c>
      <c r="H29" s="27">
        <v>2512.4499999999998</v>
      </c>
      <c r="J29" s="68"/>
    </row>
    <row r="30" spans="2:16" x14ac:dyDescent="0.25">
      <c r="B30" s="34" t="s">
        <v>54</v>
      </c>
      <c r="C30" s="9">
        <v>536.99</v>
      </c>
      <c r="D30" s="11">
        <v>673.13</v>
      </c>
      <c r="E30" s="9">
        <v>543.98</v>
      </c>
      <c r="F30" s="9" t="s">
        <v>6</v>
      </c>
      <c r="G30" s="39" t="s">
        <v>6</v>
      </c>
      <c r="H30" s="27" t="s">
        <v>6</v>
      </c>
      <c r="J30" s="68"/>
    </row>
    <row r="31" spans="2:16" x14ac:dyDescent="0.25">
      <c r="B31" s="34" t="s">
        <v>55</v>
      </c>
      <c r="C31" s="9">
        <v>8.51</v>
      </c>
      <c r="D31" s="11">
        <v>127.94</v>
      </c>
      <c r="E31" s="9">
        <v>0.19</v>
      </c>
      <c r="F31" s="9">
        <v>528.28</v>
      </c>
      <c r="G31" s="39">
        <v>530.09</v>
      </c>
      <c r="H31" s="27">
        <v>543.21</v>
      </c>
    </row>
    <row r="32" spans="2:16" x14ac:dyDescent="0.25">
      <c r="B32" s="47" t="s">
        <v>8</v>
      </c>
      <c r="C32" s="9">
        <v>649.5</v>
      </c>
      <c r="D32" s="11">
        <v>598.1</v>
      </c>
      <c r="E32" s="9">
        <v>762.38</v>
      </c>
      <c r="F32" s="9">
        <v>731</v>
      </c>
      <c r="G32" s="39">
        <v>766.71</v>
      </c>
      <c r="H32" s="27">
        <v>788.22</v>
      </c>
    </row>
    <row r="33" spans="2:14" x14ac:dyDescent="0.25">
      <c r="B33" s="7"/>
      <c r="C33" s="12">
        <f>SUM(C24:C32)</f>
        <v>4759.3600000000006</v>
      </c>
      <c r="D33" s="12">
        <f t="shared" ref="D33:G33" si="6">SUM(D24:D32)</f>
        <v>5182.53</v>
      </c>
      <c r="E33" s="12">
        <f t="shared" si="6"/>
        <v>5828.8799999999992</v>
      </c>
      <c r="F33" s="12">
        <f t="shared" si="6"/>
        <v>7048.76</v>
      </c>
      <c r="G33" s="159">
        <f t="shared" si="6"/>
        <v>8751.7099999999991</v>
      </c>
      <c r="H33" s="28">
        <f t="shared" ref="H33" si="7">SUM(H24:H32)</f>
        <v>10174.769999999999</v>
      </c>
    </row>
    <row r="34" spans="2:14" x14ac:dyDescent="0.25">
      <c r="B34" s="13" t="s">
        <v>56</v>
      </c>
      <c r="C34" s="14">
        <f>C33+C21</f>
        <v>25743.66</v>
      </c>
      <c r="D34" s="14">
        <f t="shared" ref="D34:G34" si="8">D33+D21</f>
        <v>25153.239999999994</v>
      </c>
      <c r="E34" s="14">
        <f t="shared" si="8"/>
        <v>24638.230000000003</v>
      </c>
      <c r="F34" s="14">
        <f t="shared" si="8"/>
        <v>25135.46</v>
      </c>
      <c r="G34" s="160">
        <f t="shared" si="8"/>
        <v>25725.84</v>
      </c>
      <c r="H34" s="36">
        <f t="shared" ref="H34" si="9">H33+H21</f>
        <v>26687.18</v>
      </c>
    </row>
    <row r="35" spans="2:14" x14ac:dyDescent="0.25">
      <c r="B35" s="7"/>
      <c r="C35" s="9"/>
      <c r="D35" s="8"/>
      <c r="E35" s="9"/>
      <c r="F35" s="9"/>
      <c r="G35" s="161"/>
      <c r="H35" s="37"/>
    </row>
    <row r="36" spans="2:14" x14ac:dyDescent="0.25">
      <c r="B36" s="6" t="s">
        <v>57</v>
      </c>
      <c r="C36" s="9"/>
      <c r="D36" s="8"/>
      <c r="E36" s="9"/>
      <c r="F36" s="9"/>
      <c r="G36" s="39"/>
      <c r="H36" s="27"/>
    </row>
    <row r="37" spans="2:14" x14ac:dyDescent="0.25">
      <c r="B37" s="7"/>
      <c r="C37" s="9"/>
      <c r="D37" s="8"/>
      <c r="E37" s="9"/>
      <c r="F37" s="9"/>
      <c r="G37" s="39"/>
      <c r="H37" s="27"/>
    </row>
    <row r="38" spans="2:14" x14ac:dyDescent="0.25">
      <c r="B38" s="6" t="s">
        <v>102</v>
      </c>
      <c r="C38" s="9"/>
      <c r="D38" s="8"/>
      <c r="E38" s="9"/>
      <c r="F38" s="9"/>
      <c r="G38" s="39"/>
      <c r="H38" s="27"/>
    </row>
    <row r="39" spans="2:14" x14ac:dyDescent="0.25">
      <c r="B39" s="47" t="s">
        <v>9</v>
      </c>
      <c r="C39" s="9">
        <v>3609.5</v>
      </c>
      <c r="D39" s="9">
        <v>3609.5</v>
      </c>
      <c r="E39" s="9">
        <v>3609.5</v>
      </c>
      <c r="F39" s="9">
        <v>3609.5</v>
      </c>
      <c r="G39" s="39">
        <v>3609.5</v>
      </c>
      <c r="H39" s="27">
        <v>3609.5</v>
      </c>
    </row>
    <row r="40" spans="2:14" x14ac:dyDescent="0.25">
      <c r="B40" s="47" t="s">
        <v>0</v>
      </c>
      <c r="C40" s="9">
        <v>-1757.47</v>
      </c>
      <c r="D40" s="9">
        <v>-2468.1799999999998</v>
      </c>
      <c r="E40" s="9">
        <v>-2994.04</v>
      </c>
      <c r="F40" s="9">
        <v>-2909.28</v>
      </c>
      <c r="G40" s="39">
        <v>-2575.5500000000002</v>
      </c>
      <c r="H40" s="27">
        <v>-1895.44</v>
      </c>
      <c r="J40" s="66">
        <f>D40-C40</f>
        <v>-710.70999999999981</v>
      </c>
      <c r="K40" s="66">
        <f t="shared" ref="K40:N40" si="10">E40-D40</f>
        <v>-525.86000000000013</v>
      </c>
      <c r="L40" s="66">
        <f t="shared" si="10"/>
        <v>84.759999999999764</v>
      </c>
      <c r="M40" s="66">
        <f t="shared" si="10"/>
        <v>333.73</v>
      </c>
      <c r="N40" s="66">
        <f t="shared" si="10"/>
        <v>680.11000000000013</v>
      </c>
    </row>
    <row r="41" spans="2:14" x14ac:dyDescent="0.25">
      <c r="B41" s="7"/>
      <c r="C41" s="12">
        <f>SUM(C39:C40)</f>
        <v>1852.03</v>
      </c>
      <c r="D41" s="12">
        <f>SUM(D39:D40)</f>
        <v>1141.3200000000002</v>
      </c>
      <c r="E41" s="12">
        <f t="shared" ref="E41:H41" si="11">SUM(E39:E40)</f>
        <v>615.46</v>
      </c>
      <c r="F41" s="12">
        <f t="shared" si="11"/>
        <v>700.2199999999998</v>
      </c>
      <c r="G41" s="159">
        <f t="shared" si="11"/>
        <v>1033.9499999999998</v>
      </c>
      <c r="H41" s="28">
        <f t="shared" si="11"/>
        <v>1714.06</v>
      </c>
    </row>
    <row r="42" spans="2:14" x14ac:dyDescent="0.25">
      <c r="B42" s="6" t="s">
        <v>58</v>
      </c>
      <c r="C42" s="9"/>
      <c r="D42" s="8"/>
      <c r="E42" s="9"/>
      <c r="F42" s="9"/>
      <c r="G42" s="39"/>
      <c r="H42" s="27"/>
    </row>
    <row r="43" spans="2:14" x14ac:dyDescent="0.25">
      <c r="B43" s="47" t="s">
        <v>10</v>
      </c>
      <c r="C43" s="9"/>
      <c r="D43" s="8"/>
      <c r="E43" s="9"/>
      <c r="F43" s="9"/>
      <c r="G43" s="39"/>
      <c r="H43" s="27"/>
    </row>
    <row r="44" spans="2:14" x14ac:dyDescent="0.25">
      <c r="B44" s="34" t="s">
        <v>11</v>
      </c>
      <c r="C44" s="9">
        <v>17571.41</v>
      </c>
      <c r="D44" s="9">
        <v>16478.68</v>
      </c>
      <c r="E44" s="9">
        <v>15373.41</v>
      </c>
      <c r="F44" s="9" t="s">
        <v>6</v>
      </c>
      <c r="G44" s="39" t="s">
        <v>6</v>
      </c>
      <c r="H44" s="27" t="s">
        <v>6</v>
      </c>
    </row>
    <row r="45" spans="2:14" x14ac:dyDescent="0.25">
      <c r="B45" s="34" t="s">
        <v>12</v>
      </c>
      <c r="C45" s="10" t="s">
        <v>6</v>
      </c>
      <c r="D45" s="10" t="s">
        <v>6</v>
      </c>
      <c r="E45" s="9">
        <v>27.41</v>
      </c>
      <c r="F45" s="9">
        <v>27.39</v>
      </c>
      <c r="G45" s="39">
        <v>27.39</v>
      </c>
      <c r="H45" s="27">
        <v>27.38</v>
      </c>
    </row>
    <row r="46" spans="2:14" x14ac:dyDescent="0.25">
      <c r="B46" s="47" t="s">
        <v>1</v>
      </c>
      <c r="C46" s="9">
        <v>6.16</v>
      </c>
      <c r="D46" s="11">
        <v>7.21</v>
      </c>
      <c r="E46" s="9">
        <v>11.03</v>
      </c>
      <c r="F46" s="9">
        <v>12.86</v>
      </c>
      <c r="G46" s="39">
        <v>11.19</v>
      </c>
      <c r="H46" s="27">
        <v>13.12</v>
      </c>
    </row>
    <row r="47" spans="2:14" x14ac:dyDescent="0.25">
      <c r="B47" s="7"/>
      <c r="C47" s="12">
        <f>SUM(C44:C46)</f>
        <v>17577.57</v>
      </c>
      <c r="D47" s="12">
        <f t="shared" ref="D47:H47" si="12">SUM(D44:D46)</f>
        <v>16485.89</v>
      </c>
      <c r="E47" s="12">
        <f t="shared" si="12"/>
        <v>15411.85</v>
      </c>
      <c r="F47" s="12">
        <f t="shared" si="12"/>
        <v>40.25</v>
      </c>
      <c r="G47" s="159">
        <f t="shared" si="12"/>
        <v>38.58</v>
      </c>
      <c r="H47" s="28">
        <f t="shared" si="12"/>
        <v>40.5</v>
      </c>
    </row>
    <row r="48" spans="2:14" x14ac:dyDescent="0.25">
      <c r="B48" s="7"/>
      <c r="C48" s="9"/>
      <c r="D48" s="8"/>
      <c r="E48" s="9"/>
      <c r="F48" s="9"/>
      <c r="G48" s="39"/>
      <c r="H48" s="27"/>
    </row>
    <row r="49" spans="2:12" x14ac:dyDescent="0.25">
      <c r="B49" s="6" t="s">
        <v>59</v>
      </c>
      <c r="C49" s="9"/>
      <c r="D49" s="8"/>
      <c r="E49" s="9"/>
      <c r="F49" s="9"/>
      <c r="G49" s="39"/>
      <c r="H49" s="27"/>
    </row>
    <row r="50" spans="2:12" x14ac:dyDescent="0.25">
      <c r="B50" s="47" t="s">
        <v>10</v>
      </c>
      <c r="C50" s="9"/>
      <c r="D50" s="8"/>
      <c r="E50" s="9"/>
      <c r="F50" s="9"/>
      <c r="G50" s="39"/>
      <c r="H50" s="27"/>
    </row>
    <row r="51" spans="2:12" x14ac:dyDescent="0.25">
      <c r="B51" s="34" t="s">
        <v>11</v>
      </c>
      <c r="C51" s="9">
        <v>1455.56</v>
      </c>
      <c r="D51" s="9">
        <v>1459.01</v>
      </c>
      <c r="E51" s="9">
        <v>1451.51</v>
      </c>
      <c r="F51" s="9">
        <v>20076.09</v>
      </c>
      <c r="G51" s="39">
        <v>20110.87</v>
      </c>
      <c r="H51" s="27">
        <v>20188.79</v>
      </c>
    </row>
    <row r="52" spans="2:12" x14ac:dyDescent="0.25">
      <c r="B52" s="34" t="s">
        <v>12</v>
      </c>
      <c r="C52" s="9" t="s">
        <v>6</v>
      </c>
      <c r="D52" s="9" t="s">
        <v>6</v>
      </c>
      <c r="E52" s="9" t="s">
        <v>6</v>
      </c>
      <c r="F52" s="9">
        <v>38.17</v>
      </c>
      <c r="G52" s="39">
        <v>46.02</v>
      </c>
      <c r="H52" s="27">
        <v>51.42</v>
      </c>
    </row>
    <row r="53" spans="2:12" x14ac:dyDescent="0.25">
      <c r="B53" s="34" t="s">
        <v>13</v>
      </c>
      <c r="C53" s="9" t="s">
        <v>6</v>
      </c>
      <c r="D53" s="9" t="s">
        <v>6</v>
      </c>
      <c r="E53" s="9" t="s">
        <v>6</v>
      </c>
      <c r="F53" s="9" t="s">
        <v>6</v>
      </c>
      <c r="G53" s="39" t="s">
        <v>6</v>
      </c>
      <c r="H53" s="27" t="s">
        <v>6</v>
      </c>
    </row>
    <row r="54" spans="2:12" ht="17.25" customHeight="1" x14ac:dyDescent="0.25">
      <c r="B54" s="49" t="s">
        <v>14</v>
      </c>
      <c r="C54" s="9">
        <v>12.76</v>
      </c>
      <c r="D54" s="11">
        <v>46.2</v>
      </c>
      <c r="E54" s="9">
        <v>41.59</v>
      </c>
      <c r="F54" s="9">
        <v>40.6</v>
      </c>
      <c r="G54" s="39">
        <v>52.52</v>
      </c>
      <c r="H54" s="27">
        <v>122.19</v>
      </c>
    </row>
    <row r="55" spans="2:12" ht="13.5" customHeight="1" x14ac:dyDescent="0.25">
      <c r="B55" s="49" t="s">
        <v>15</v>
      </c>
      <c r="C55" s="9">
        <v>849.09</v>
      </c>
      <c r="D55" s="11">
        <v>796.91</v>
      </c>
      <c r="E55" s="9">
        <v>700.38</v>
      </c>
      <c r="F55" s="9">
        <v>1074.94</v>
      </c>
      <c r="G55" s="39">
        <v>1187.93</v>
      </c>
      <c r="H55" s="27">
        <v>1163.82</v>
      </c>
    </row>
    <row r="56" spans="2:12" x14ac:dyDescent="0.25">
      <c r="B56" s="34" t="s">
        <v>16</v>
      </c>
      <c r="C56" s="9">
        <v>3979.58</v>
      </c>
      <c r="D56" s="9">
        <v>5017.2700000000004</v>
      </c>
      <c r="E56" s="9">
        <v>6159.91</v>
      </c>
      <c r="F56" s="9">
        <v>2860.32</v>
      </c>
      <c r="G56" s="39">
        <v>2900.59</v>
      </c>
      <c r="H56" s="27">
        <v>3012.46</v>
      </c>
    </row>
    <row r="57" spans="2:12" x14ac:dyDescent="0.25">
      <c r="B57" s="47" t="s">
        <v>17</v>
      </c>
      <c r="C57" s="9">
        <v>17.07</v>
      </c>
      <c r="D57" s="11">
        <v>206.64</v>
      </c>
      <c r="E57" s="9">
        <v>257.52999999999997</v>
      </c>
      <c r="F57" s="9">
        <v>304.87</v>
      </c>
      <c r="G57" s="39">
        <v>355.38</v>
      </c>
      <c r="H57" s="27">
        <v>393.94</v>
      </c>
    </row>
    <row r="58" spans="2:12" x14ac:dyDescent="0.25">
      <c r="B58" s="47" t="s">
        <v>60</v>
      </c>
      <c r="C58" s="9" t="s">
        <v>6</v>
      </c>
      <c r="D58" s="9" t="s">
        <v>6</v>
      </c>
      <c r="E58" s="9" t="s">
        <v>6</v>
      </c>
      <c r="F58" s="9" t="s">
        <v>6</v>
      </c>
      <c r="G58" s="39" t="s">
        <v>6</v>
      </c>
      <c r="H58" s="27" t="s">
        <v>6</v>
      </c>
    </row>
    <row r="59" spans="2:12" x14ac:dyDescent="0.25">
      <c r="B59" s="47" t="s">
        <v>61</v>
      </c>
      <c r="C59" s="9" t="s">
        <v>6</v>
      </c>
      <c r="D59" s="9" t="s">
        <v>6</v>
      </c>
      <c r="E59" s="9" t="s">
        <v>6</v>
      </c>
      <c r="F59" s="9" t="s">
        <v>6</v>
      </c>
      <c r="G59" s="39" t="s">
        <v>6</v>
      </c>
      <c r="H59" s="27" t="s">
        <v>6</v>
      </c>
    </row>
    <row r="60" spans="2:12" x14ac:dyDescent="0.25">
      <c r="B60" s="7"/>
      <c r="C60" s="12">
        <f>SUM(C51:C59)</f>
        <v>6314.0599999999995</v>
      </c>
      <c r="D60" s="12">
        <f>SUM(D51:D59)</f>
        <v>7526.0300000000007</v>
      </c>
      <c r="E60" s="12">
        <f t="shared" ref="E60:G60" si="13">SUM(E51:E59)</f>
        <v>8610.92</v>
      </c>
      <c r="F60" s="12">
        <f t="shared" si="13"/>
        <v>24394.989999999994</v>
      </c>
      <c r="G60" s="159">
        <f t="shared" si="13"/>
        <v>24653.31</v>
      </c>
      <c r="H60" s="28">
        <f t="shared" ref="H60" si="14">SUM(H51:H59)</f>
        <v>24932.619999999995</v>
      </c>
      <c r="K60" s="66">
        <f>I34-I60</f>
        <v>0</v>
      </c>
      <c r="L60" s="2">
        <f>K60*0.8</f>
        <v>0</v>
      </c>
    </row>
    <row r="61" spans="2:12" x14ac:dyDescent="0.25">
      <c r="B61" s="13" t="s">
        <v>62</v>
      </c>
      <c r="C61" s="14">
        <f>C60+C47+C41</f>
        <v>25743.659999999996</v>
      </c>
      <c r="D61" s="14">
        <f>D60+D47+D41</f>
        <v>25153.239999999998</v>
      </c>
      <c r="E61" s="14">
        <f t="shared" ref="E61:G61" si="15">E60+E47+E41</f>
        <v>24638.23</v>
      </c>
      <c r="F61" s="14">
        <f t="shared" si="15"/>
        <v>25135.459999999995</v>
      </c>
      <c r="G61" s="160">
        <f t="shared" si="15"/>
        <v>25725.840000000004</v>
      </c>
      <c r="H61" s="36">
        <f t="shared" ref="H61" si="16">H60+H47+H41</f>
        <v>26687.179999999997</v>
      </c>
    </row>
    <row r="63" spans="2:12" ht="11.25" customHeight="1" x14ac:dyDescent="0.25">
      <c r="B63" s="45" t="s">
        <v>108</v>
      </c>
      <c r="C63" s="46" t="str">
        <f>IF(C61=C34,"YES","NO")</f>
        <v>YES</v>
      </c>
      <c r="D63" s="46" t="str">
        <f t="shared" ref="D63:H63" si="17">IF(D61=D34,"YES","NO")</f>
        <v>YES</v>
      </c>
      <c r="E63" s="46" t="str">
        <f t="shared" si="17"/>
        <v>YES</v>
      </c>
      <c r="F63" s="46" t="str">
        <f t="shared" si="17"/>
        <v>YES</v>
      </c>
      <c r="G63" s="46" t="str">
        <f t="shared" si="17"/>
        <v>YES</v>
      </c>
      <c r="H63" s="46" t="str">
        <f t="shared" si="17"/>
        <v>YES</v>
      </c>
    </row>
  </sheetData>
  <mergeCells count="1">
    <mergeCell ref="B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G59"/>
  <sheetViews>
    <sheetView showGridLines="0" topLeftCell="A58" workbookViewId="0">
      <selection activeCell="B38" sqref="B38"/>
    </sheetView>
  </sheetViews>
  <sheetFormatPr defaultRowHeight="15" x14ac:dyDescent="0.25"/>
  <cols>
    <col min="2" max="2" width="58.42578125" customWidth="1"/>
    <col min="3" max="3" width="12.85546875" customWidth="1"/>
    <col min="4" max="4" width="13.7109375" customWidth="1"/>
    <col min="5" max="5" width="13.42578125" customWidth="1"/>
    <col min="6" max="6" width="13.28515625" customWidth="1"/>
    <col min="7" max="7" width="12.570312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1" t="s">
        <v>99</v>
      </c>
      <c r="C2" s="1"/>
      <c r="D2" s="1"/>
      <c r="E2" s="1"/>
      <c r="F2" s="1"/>
      <c r="G2" s="1"/>
    </row>
    <row r="3" spans="1:7" ht="6.75" customHeight="1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172" t="s">
        <v>106</v>
      </c>
      <c r="C4" s="172"/>
      <c r="D4" s="172"/>
      <c r="E4" s="172"/>
      <c r="F4" s="172"/>
      <c r="G4" s="172"/>
    </row>
    <row r="5" spans="1:7" ht="10.5" customHeight="1" x14ac:dyDescent="0.25">
      <c r="A5" s="2"/>
      <c r="B5" s="2"/>
      <c r="C5" s="2"/>
      <c r="D5" s="2"/>
      <c r="E5" s="2"/>
      <c r="F5" s="2"/>
      <c r="G5" s="2"/>
    </row>
    <row r="6" spans="1:7" ht="45" x14ac:dyDescent="0.25">
      <c r="B6" s="17" t="s">
        <v>41</v>
      </c>
      <c r="C6" s="5" t="s">
        <v>63</v>
      </c>
      <c r="D6" s="5" t="s">
        <v>64</v>
      </c>
      <c r="E6" s="5" t="s">
        <v>95</v>
      </c>
      <c r="F6" s="5" t="s">
        <v>96</v>
      </c>
      <c r="G6" s="33" t="s">
        <v>97</v>
      </c>
    </row>
    <row r="7" spans="1:7" x14ac:dyDescent="0.25">
      <c r="B7" s="18" t="s">
        <v>65</v>
      </c>
      <c r="C7" s="19"/>
      <c r="D7" s="19"/>
      <c r="E7" s="20"/>
      <c r="F7" s="21"/>
      <c r="G7" s="32"/>
    </row>
    <row r="8" spans="1:7" x14ac:dyDescent="0.25">
      <c r="B8" s="22" t="s">
        <v>66</v>
      </c>
      <c r="C8" s="9">
        <f>'P&amp;L'!C19</f>
        <v>-1739.8899999999999</v>
      </c>
      <c r="D8" s="9">
        <f>'P&amp;L'!D19</f>
        <v>-555.51999999999987</v>
      </c>
      <c r="E8" s="9">
        <f>'P&amp;L'!E19</f>
        <v>-362.03999999999974</v>
      </c>
      <c r="F8" s="9">
        <f>'P&amp;L'!F19</f>
        <v>252.90999999999923</v>
      </c>
      <c r="G8" s="27">
        <f>'P&amp;L'!G19</f>
        <v>779.09000000000037</v>
      </c>
    </row>
    <row r="9" spans="1:7" x14ac:dyDescent="0.25">
      <c r="B9" s="18" t="s">
        <v>25</v>
      </c>
      <c r="C9" s="9"/>
      <c r="D9" s="9"/>
      <c r="E9" s="9"/>
      <c r="F9" s="9"/>
      <c r="G9" s="27"/>
    </row>
    <row r="10" spans="1:7" x14ac:dyDescent="0.25">
      <c r="B10" s="22" t="s">
        <v>22</v>
      </c>
      <c r="C10" s="9">
        <f>'P&amp;L'!C16</f>
        <v>518.82000000000005</v>
      </c>
      <c r="D10" s="9">
        <f>'P&amp;L'!D16</f>
        <v>697.91</v>
      </c>
      <c r="E10" s="9">
        <f>'P&amp;L'!E16</f>
        <v>695.21</v>
      </c>
      <c r="F10" s="9">
        <f>'P&amp;L'!F16</f>
        <v>679.41</v>
      </c>
      <c r="G10" s="27">
        <f>'P&amp;L'!G16</f>
        <v>672.38</v>
      </c>
    </row>
    <row r="11" spans="1:7" x14ac:dyDescent="0.25">
      <c r="B11" s="22" t="s">
        <v>26</v>
      </c>
      <c r="C11" s="9">
        <f>'P&amp;L'!C18</f>
        <v>1851.45</v>
      </c>
      <c r="D11" s="9">
        <f>'P&amp;L'!D18</f>
        <v>76.78</v>
      </c>
      <c r="E11" s="9">
        <f>'P&amp;L'!E18</f>
        <v>54.97</v>
      </c>
      <c r="F11" s="9">
        <f>'P&amp;L'!F18</f>
        <v>36.31</v>
      </c>
      <c r="G11" s="27">
        <f>'P&amp;L'!G18</f>
        <v>38.94</v>
      </c>
    </row>
    <row r="12" spans="1:7" x14ac:dyDescent="0.25">
      <c r="B12" s="22" t="s">
        <v>67</v>
      </c>
      <c r="C12" s="9">
        <v>-0.04</v>
      </c>
      <c r="D12" s="9">
        <v>-0.1</v>
      </c>
      <c r="E12" s="42">
        <v>-0.43</v>
      </c>
      <c r="F12" s="9" t="s">
        <v>6</v>
      </c>
      <c r="G12" s="27" t="s">
        <v>6</v>
      </c>
    </row>
    <row r="13" spans="1:7" x14ac:dyDescent="0.25">
      <c r="B13" s="22" t="s">
        <v>68</v>
      </c>
      <c r="C13" s="9" t="s">
        <v>6</v>
      </c>
      <c r="D13" s="9">
        <v>-1.74</v>
      </c>
      <c r="E13" s="31" t="s">
        <v>6</v>
      </c>
      <c r="F13" s="31" t="s">
        <v>6</v>
      </c>
      <c r="G13" s="27" t="s">
        <v>6</v>
      </c>
    </row>
    <row r="14" spans="1:7" x14ac:dyDescent="0.25">
      <c r="B14" s="22" t="s">
        <v>69</v>
      </c>
      <c r="C14" s="9">
        <v>1.58</v>
      </c>
      <c r="D14" s="9">
        <v>93.9</v>
      </c>
      <c r="E14" s="43">
        <v>110.79</v>
      </c>
      <c r="F14" s="9">
        <v>-32.19</v>
      </c>
      <c r="G14" s="27">
        <v>48.72</v>
      </c>
    </row>
    <row r="15" spans="1:7" x14ac:dyDescent="0.25">
      <c r="B15" s="22" t="s">
        <v>70</v>
      </c>
      <c r="C15" s="9">
        <v>-0.33</v>
      </c>
      <c r="D15" s="9">
        <v>-0.06</v>
      </c>
      <c r="E15" s="9" t="s">
        <v>6</v>
      </c>
      <c r="F15" s="9" t="s">
        <v>6</v>
      </c>
      <c r="G15" s="27" t="s">
        <v>6</v>
      </c>
    </row>
    <row r="16" spans="1:7" x14ac:dyDescent="0.25">
      <c r="B16" s="22" t="s">
        <v>27</v>
      </c>
      <c r="C16" s="9">
        <v>-11.69</v>
      </c>
      <c r="D16" s="9">
        <v>-210.58</v>
      </c>
      <c r="E16" s="9">
        <v>-334</v>
      </c>
      <c r="F16" s="9">
        <v>-203.9</v>
      </c>
      <c r="G16" s="27">
        <v>-78.72</v>
      </c>
    </row>
    <row r="17" spans="2:7" x14ac:dyDescent="0.25">
      <c r="B17" s="22" t="s">
        <v>71</v>
      </c>
      <c r="C17" s="9">
        <v>-7.57</v>
      </c>
      <c r="D17" s="9">
        <v>-8.56</v>
      </c>
      <c r="E17" s="9">
        <v>-8.56</v>
      </c>
      <c r="F17" s="27" t="s">
        <v>6</v>
      </c>
      <c r="G17" s="27" t="s">
        <v>6</v>
      </c>
    </row>
    <row r="18" spans="2:7" x14ac:dyDescent="0.25">
      <c r="B18" s="22" t="s">
        <v>72</v>
      </c>
      <c r="C18" s="9" t="s">
        <v>6</v>
      </c>
      <c r="D18" s="9">
        <v>1072.1199999999999</v>
      </c>
      <c r="E18" s="9">
        <v>931.59</v>
      </c>
      <c r="F18" s="9">
        <v>798.12</v>
      </c>
      <c r="G18" s="27" t="s">
        <v>6</v>
      </c>
    </row>
    <row r="19" spans="2:7" x14ac:dyDescent="0.25">
      <c r="B19" s="22" t="s">
        <v>73</v>
      </c>
      <c r="C19" s="9" t="s">
        <v>6</v>
      </c>
      <c r="D19" s="9" t="s">
        <v>6</v>
      </c>
      <c r="E19" s="9" t="s">
        <v>6</v>
      </c>
      <c r="F19" s="9" t="s">
        <v>6</v>
      </c>
      <c r="G19" s="27" t="s">
        <v>6</v>
      </c>
    </row>
    <row r="20" spans="2:7" x14ac:dyDescent="0.25">
      <c r="B20" s="22" t="s">
        <v>74</v>
      </c>
      <c r="C20" s="9" t="s">
        <v>6</v>
      </c>
      <c r="D20" s="9" t="s">
        <v>6</v>
      </c>
      <c r="E20" s="9" t="s">
        <v>6</v>
      </c>
      <c r="F20" s="9" t="s">
        <v>6</v>
      </c>
      <c r="G20" s="27" t="s">
        <v>6</v>
      </c>
    </row>
    <row r="21" spans="2:7" x14ac:dyDescent="0.25">
      <c r="B21" s="22" t="s">
        <v>28</v>
      </c>
      <c r="C21" s="9">
        <v>-0.18</v>
      </c>
      <c r="D21" s="9">
        <v>-0.04</v>
      </c>
      <c r="E21" s="9">
        <v>-2.66</v>
      </c>
      <c r="F21" s="9">
        <v>-1.83</v>
      </c>
      <c r="G21" s="27">
        <v>3.08</v>
      </c>
    </row>
    <row r="22" spans="2:7" x14ac:dyDescent="0.25">
      <c r="B22" s="18" t="s">
        <v>75</v>
      </c>
      <c r="C22" s="12">
        <f>SUM(C8:C21)</f>
        <v>612.15000000000032</v>
      </c>
      <c r="D22" s="12">
        <f t="shared" ref="D22:G22" si="0">SUM(D8:D21)</f>
        <v>1164.1100000000001</v>
      </c>
      <c r="E22" s="12">
        <f t="shared" si="0"/>
        <v>1084.8700000000003</v>
      </c>
      <c r="F22" s="12">
        <f t="shared" si="0"/>
        <v>1528.8299999999992</v>
      </c>
      <c r="G22" s="28">
        <f t="shared" si="0"/>
        <v>1463.4900000000002</v>
      </c>
    </row>
    <row r="23" spans="2:7" x14ac:dyDescent="0.25">
      <c r="B23" s="23"/>
      <c r="C23" s="24"/>
      <c r="D23" s="24"/>
      <c r="E23" s="9"/>
      <c r="F23" s="9"/>
      <c r="G23" s="27"/>
    </row>
    <row r="24" spans="2:7" x14ac:dyDescent="0.25">
      <c r="B24" s="18" t="s">
        <v>29</v>
      </c>
      <c r="C24" s="24"/>
      <c r="D24" s="24"/>
      <c r="E24" s="9"/>
      <c r="F24" s="9"/>
      <c r="G24" s="27"/>
    </row>
    <row r="25" spans="2:7" x14ac:dyDescent="0.25">
      <c r="B25" s="22" t="s">
        <v>30</v>
      </c>
      <c r="C25" s="9">
        <v>-188.17</v>
      </c>
      <c r="D25" s="9">
        <v>-245.83</v>
      </c>
      <c r="E25" s="9">
        <v>-93.55</v>
      </c>
      <c r="F25" s="9">
        <v>-98.47</v>
      </c>
      <c r="G25" s="27">
        <v>-38.020000000000003</v>
      </c>
    </row>
    <row r="26" spans="2:7" x14ac:dyDescent="0.25">
      <c r="B26" s="22" t="s">
        <v>76</v>
      </c>
      <c r="C26" s="9" t="s">
        <v>6</v>
      </c>
      <c r="D26" s="9" t="s">
        <v>6</v>
      </c>
      <c r="E26" s="9" t="s">
        <v>6</v>
      </c>
      <c r="F26" s="9" t="s">
        <v>6</v>
      </c>
      <c r="G26" s="27" t="s">
        <v>6</v>
      </c>
    </row>
    <row r="27" spans="2:7" x14ac:dyDescent="0.25">
      <c r="B27" s="22" t="s">
        <v>77</v>
      </c>
      <c r="C27" s="9" t="s">
        <v>6</v>
      </c>
      <c r="D27" s="9" t="s">
        <v>6</v>
      </c>
      <c r="E27" s="9" t="s">
        <v>6</v>
      </c>
      <c r="F27" s="9" t="s">
        <v>6</v>
      </c>
      <c r="G27" s="27" t="s">
        <v>6</v>
      </c>
    </row>
    <row r="28" spans="2:7" x14ac:dyDescent="0.25">
      <c r="B28" s="22" t="s">
        <v>31</v>
      </c>
      <c r="C28" s="9">
        <v>-532.54999999999995</v>
      </c>
      <c r="D28" s="9">
        <v>-1507.01</v>
      </c>
      <c r="E28" s="9">
        <v>-829.71</v>
      </c>
      <c r="F28" s="9">
        <v>754.92</v>
      </c>
      <c r="G28" s="27">
        <v>-1611.89</v>
      </c>
    </row>
    <row r="29" spans="2:7" x14ac:dyDescent="0.25">
      <c r="B29" s="22" t="s">
        <v>32</v>
      </c>
      <c r="C29" s="9">
        <v>-8.06</v>
      </c>
      <c r="D29" s="9">
        <v>-29.06</v>
      </c>
      <c r="E29" s="9">
        <v>-61.24</v>
      </c>
      <c r="F29" s="9">
        <v>40.619999999999997</v>
      </c>
      <c r="G29" s="27">
        <v>-9.11</v>
      </c>
    </row>
    <row r="30" spans="2:7" x14ac:dyDescent="0.25">
      <c r="B30" s="22" t="s">
        <v>78</v>
      </c>
      <c r="C30" s="9">
        <v>244.95</v>
      </c>
      <c r="D30" s="9">
        <v>-18.739999999999998</v>
      </c>
      <c r="E30" s="9">
        <v>26.5</v>
      </c>
      <c r="F30" s="9">
        <v>373.54</v>
      </c>
      <c r="G30" s="27">
        <v>124.91</v>
      </c>
    </row>
    <row r="31" spans="2:7" x14ac:dyDescent="0.25">
      <c r="B31" s="22" t="s">
        <v>79</v>
      </c>
      <c r="C31" s="9" t="s">
        <v>6</v>
      </c>
      <c r="D31" s="9" t="s">
        <v>6</v>
      </c>
      <c r="E31" s="9" t="s">
        <v>6</v>
      </c>
      <c r="F31" s="9" t="s">
        <v>6</v>
      </c>
      <c r="G31" s="27" t="s">
        <v>6</v>
      </c>
    </row>
    <row r="32" spans="2:7" x14ac:dyDescent="0.25">
      <c r="B32" s="22" t="s">
        <v>80</v>
      </c>
      <c r="C32" s="9">
        <v>0.64</v>
      </c>
      <c r="D32" s="9">
        <v>183.79</v>
      </c>
      <c r="E32" s="9">
        <v>81.5</v>
      </c>
      <c r="F32" s="9">
        <v>54.99</v>
      </c>
      <c r="G32" s="27">
        <v>44.55</v>
      </c>
    </row>
    <row r="33" spans="2:7" x14ac:dyDescent="0.25">
      <c r="B33" s="25" t="s">
        <v>81</v>
      </c>
      <c r="C33" s="12">
        <f>SUM(C22:C32)</f>
        <v>128.96000000000038</v>
      </c>
      <c r="D33" s="12">
        <f t="shared" ref="D33:G33" si="1">SUM(D22:D32)</f>
        <v>-452.7399999999999</v>
      </c>
      <c r="E33" s="12">
        <f t="shared" si="1"/>
        <v>208.37000000000035</v>
      </c>
      <c r="F33" s="12">
        <f t="shared" si="1"/>
        <v>2654.4299999999989</v>
      </c>
      <c r="G33" s="28">
        <f t="shared" si="1"/>
        <v>-26.069999999999865</v>
      </c>
    </row>
    <row r="34" spans="2:7" x14ac:dyDescent="0.25">
      <c r="B34" s="22" t="s">
        <v>33</v>
      </c>
      <c r="C34" s="9">
        <v>4.26</v>
      </c>
      <c r="D34" s="9">
        <v>-2.13</v>
      </c>
      <c r="E34" s="9">
        <v>5.92</v>
      </c>
      <c r="F34" s="9">
        <v>6.74</v>
      </c>
      <c r="G34" s="27">
        <v>-11.76</v>
      </c>
    </row>
    <row r="35" spans="2:7" x14ac:dyDescent="0.25">
      <c r="B35" s="40" t="s">
        <v>34</v>
      </c>
      <c r="C35" s="14">
        <f>SUM(C33:C34)</f>
        <v>133.22000000000037</v>
      </c>
      <c r="D35" s="14">
        <f t="shared" ref="D35:G35" si="2">SUM(D33:D34)</f>
        <v>-454.86999999999989</v>
      </c>
      <c r="E35" s="14">
        <f t="shared" si="2"/>
        <v>214.29000000000033</v>
      </c>
      <c r="F35" s="14">
        <f t="shared" si="2"/>
        <v>2661.1699999999987</v>
      </c>
      <c r="G35" s="36">
        <f t="shared" si="2"/>
        <v>-37.829999999999863</v>
      </c>
    </row>
    <row r="36" spans="2:7" x14ac:dyDescent="0.25">
      <c r="B36" s="23"/>
      <c r="C36" s="9"/>
      <c r="D36" s="9"/>
      <c r="E36" s="9"/>
      <c r="F36" s="9"/>
      <c r="G36" s="27"/>
    </row>
    <row r="37" spans="2:7" x14ac:dyDescent="0.25">
      <c r="B37" s="18" t="s">
        <v>82</v>
      </c>
      <c r="C37" s="9"/>
      <c r="D37" s="9"/>
      <c r="E37" s="9"/>
      <c r="F37" s="9"/>
      <c r="G37" s="27"/>
    </row>
    <row r="38" spans="2:7" x14ac:dyDescent="0.25">
      <c r="B38" s="22" t="s">
        <v>35</v>
      </c>
      <c r="C38" s="9">
        <v>-1004.22</v>
      </c>
      <c r="D38" s="9">
        <v>-3.13</v>
      </c>
      <c r="E38" s="9">
        <v>-3.56</v>
      </c>
      <c r="F38" s="9">
        <v>-0.9</v>
      </c>
      <c r="G38" s="27">
        <v>-0.56000000000000005</v>
      </c>
    </row>
    <row r="39" spans="2:7" x14ac:dyDescent="0.25">
      <c r="B39" s="22" t="s">
        <v>83</v>
      </c>
      <c r="C39" s="9" t="s">
        <v>6</v>
      </c>
      <c r="D39" s="9" t="s">
        <v>6</v>
      </c>
      <c r="E39" s="9" t="s">
        <v>6</v>
      </c>
      <c r="F39" s="9" t="s">
        <v>6</v>
      </c>
      <c r="G39" s="27" t="s">
        <v>6</v>
      </c>
    </row>
    <row r="40" spans="2:7" x14ac:dyDescent="0.25">
      <c r="B40" s="22" t="s">
        <v>84</v>
      </c>
      <c r="C40" s="9">
        <v>1.05</v>
      </c>
      <c r="D40" s="9">
        <v>0.36</v>
      </c>
      <c r="E40" s="9" t="s">
        <v>6</v>
      </c>
      <c r="F40" s="9" t="s">
        <v>6</v>
      </c>
      <c r="G40" s="27" t="s">
        <v>6</v>
      </c>
    </row>
    <row r="41" spans="2:7" ht="30" x14ac:dyDescent="0.25">
      <c r="B41" s="22" t="s">
        <v>85</v>
      </c>
      <c r="C41" s="9">
        <v>73.89</v>
      </c>
      <c r="D41" s="9">
        <v>406.89</v>
      </c>
      <c r="E41" s="9">
        <v>0.37</v>
      </c>
      <c r="F41" s="9">
        <v>-0.39</v>
      </c>
      <c r="G41" s="27">
        <v>-25.24</v>
      </c>
    </row>
    <row r="42" spans="2:7" x14ac:dyDescent="0.25">
      <c r="B42" s="22" t="s">
        <v>36</v>
      </c>
      <c r="C42" s="9">
        <v>29.44</v>
      </c>
      <c r="D42" s="9">
        <v>122.67</v>
      </c>
      <c r="E42" s="9">
        <v>3.32</v>
      </c>
      <c r="F42" s="9">
        <v>137.83000000000001</v>
      </c>
      <c r="G42" s="27">
        <v>149.15</v>
      </c>
    </row>
    <row r="43" spans="2:7" x14ac:dyDescent="0.25">
      <c r="B43" s="22" t="s">
        <v>86</v>
      </c>
      <c r="C43" s="9">
        <v>0</v>
      </c>
      <c r="D43" s="9">
        <v>0</v>
      </c>
      <c r="E43" s="9" t="s">
        <v>6</v>
      </c>
      <c r="F43" s="9" t="s">
        <v>6</v>
      </c>
      <c r="G43" s="27" t="s">
        <v>6</v>
      </c>
    </row>
    <row r="44" spans="2:7" x14ac:dyDescent="0.25">
      <c r="B44" s="22" t="s">
        <v>87</v>
      </c>
      <c r="C44" s="9" t="s">
        <v>6</v>
      </c>
      <c r="D44" s="9">
        <v>12.88</v>
      </c>
      <c r="E44" s="9" t="s">
        <v>6</v>
      </c>
      <c r="F44" s="9" t="s">
        <v>6</v>
      </c>
      <c r="G44" s="27" t="s">
        <v>6</v>
      </c>
    </row>
    <row r="45" spans="2:7" x14ac:dyDescent="0.25">
      <c r="B45" s="40" t="s">
        <v>37</v>
      </c>
      <c r="C45" s="14">
        <f>SUM(C38:C44)</f>
        <v>-899.84</v>
      </c>
      <c r="D45" s="14">
        <f t="shared" ref="D45:G45" si="3">SUM(D38:D44)</f>
        <v>539.66999999999996</v>
      </c>
      <c r="E45" s="14">
        <f t="shared" si="3"/>
        <v>0.12999999999999989</v>
      </c>
      <c r="F45" s="14">
        <f t="shared" si="3"/>
        <v>136.54000000000002</v>
      </c>
      <c r="G45" s="36">
        <f t="shared" si="3"/>
        <v>123.35000000000001</v>
      </c>
    </row>
    <row r="46" spans="2:7" x14ac:dyDescent="0.25">
      <c r="B46" s="23"/>
      <c r="C46" s="9"/>
      <c r="D46" s="27"/>
      <c r="E46" s="9"/>
      <c r="F46" s="9"/>
      <c r="G46" s="27"/>
    </row>
    <row r="47" spans="2:7" x14ac:dyDescent="0.25">
      <c r="B47" s="18" t="s">
        <v>88</v>
      </c>
      <c r="C47" s="9"/>
      <c r="D47" s="27"/>
      <c r="E47" s="9"/>
      <c r="F47" s="9"/>
      <c r="G47" s="27"/>
    </row>
    <row r="48" spans="2:7" x14ac:dyDescent="0.25">
      <c r="B48" s="22" t="s">
        <v>89</v>
      </c>
      <c r="C48" s="9">
        <v>2616.77</v>
      </c>
      <c r="D48" s="27" t="s">
        <v>6</v>
      </c>
      <c r="E48" s="27" t="s">
        <v>6</v>
      </c>
      <c r="F48" s="39" t="s">
        <v>6</v>
      </c>
      <c r="G48" s="27" t="s">
        <v>6</v>
      </c>
    </row>
    <row r="49" spans="2:7" x14ac:dyDescent="0.25">
      <c r="B49" s="22" t="s">
        <v>90</v>
      </c>
      <c r="C49" s="9">
        <v>-81.349999999999994</v>
      </c>
      <c r="D49" s="27">
        <v>-29.14</v>
      </c>
      <c r="E49" s="27">
        <v>-79.62</v>
      </c>
      <c r="F49" s="39" t="s">
        <v>6</v>
      </c>
      <c r="G49" s="27" t="s">
        <v>6</v>
      </c>
    </row>
    <row r="50" spans="2:7" x14ac:dyDescent="0.25">
      <c r="B50" s="22" t="s">
        <v>91</v>
      </c>
      <c r="C50" s="9">
        <v>488</v>
      </c>
      <c r="D50" s="27">
        <v>3.45</v>
      </c>
      <c r="E50" s="27">
        <v>4.2</v>
      </c>
      <c r="F50" s="39" t="s">
        <v>6</v>
      </c>
      <c r="G50" s="27" t="s">
        <v>6</v>
      </c>
    </row>
    <row r="51" spans="2:7" x14ac:dyDescent="0.25">
      <c r="B51" s="22" t="s">
        <v>92</v>
      </c>
      <c r="C51" s="9">
        <v>-6.11</v>
      </c>
      <c r="D51" s="27">
        <v>2.2599999999999998</v>
      </c>
      <c r="E51" s="27">
        <v>2.81</v>
      </c>
      <c r="F51" s="39" t="s">
        <v>6</v>
      </c>
      <c r="G51" s="27" t="s">
        <v>6</v>
      </c>
    </row>
    <row r="52" spans="2:7" x14ac:dyDescent="0.25">
      <c r="B52" s="22" t="s">
        <v>38</v>
      </c>
      <c r="C52" s="9">
        <v>-2277.5</v>
      </c>
      <c r="D52" s="27">
        <v>-101.7</v>
      </c>
      <c r="E52" s="9">
        <v>-90.05</v>
      </c>
      <c r="F52" s="9">
        <v>-7.15</v>
      </c>
      <c r="G52" s="27">
        <v>-7.35</v>
      </c>
    </row>
    <row r="53" spans="2:7" x14ac:dyDescent="0.25">
      <c r="B53" s="41" t="s">
        <v>93</v>
      </c>
      <c r="C53" s="14">
        <f>SUM(C48:C52)</f>
        <v>739.81</v>
      </c>
      <c r="D53" s="14">
        <f t="shared" ref="D53:G53" si="4">SUM(D48:D52)</f>
        <v>-125.13</v>
      </c>
      <c r="E53" s="14">
        <f t="shared" si="4"/>
        <v>-162.66</v>
      </c>
      <c r="F53" s="14">
        <f t="shared" si="4"/>
        <v>-7.15</v>
      </c>
      <c r="G53" s="36">
        <f t="shared" si="4"/>
        <v>-7.35</v>
      </c>
    </row>
    <row r="54" spans="2:7" x14ac:dyDescent="0.25">
      <c r="B54" s="23"/>
      <c r="C54" s="9"/>
      <c r="D54" s="9"/>
      <c r="E54" s="9"/>
      <c r="F54" s="9"/>
      <c r="G54" s="27"/>
    </row>
    <row r="55" spans="2:7" ht="17.25" customHeight="1" x14ac:dyDescent="0.25">
      <c r="B55" s="40" t="s">
        <v>94</v>
      </c>
      <c r="C55" s="14">
        <f>C53+C45+C35</f>
        <v>-26.809999999999718</v>
      </c>
      <c r="D55" s="14">
        <f t="shared" ref="D55:G55" si="5">D53+D45+D35</f>
        <v>-40.329999999999927</v>
      </c>
      <c r="E55" s="14">
        <f t="shared" si="5"/>
        <v>51.760000000000332</v>
      </c>
      <c r="F55" s="14">
        <f t="shared" si="5"/>
        <v>2790.5599999999986</v>
      </c>
      <c r="G55" s="36">
        <f t="shared" si="5"/>
        <v>78.170000000000158</v>
      </c>
    </row>
    <row r="56" spans="2:7" x14ac:dyDescent="0.25">
      <c r="B56" s="22" t="s">
        <v>39</v>
      </c>
      <c r="C56" s="9">
        <v>97.21</v>
      </c>
      <c r="D56" s="27">
        <f>C57</f>
        <v>70.400000000000276</v>
      </c>
      <c r="E56" s="27">
        <f t="shared" ref="E56:F56" si="6">D57</f>
        <v>30.070000000000348</v>
      </c>
      <c r="F56" s="27">
        <f t="shared" si="6"/>
        <v>81.83000000000068</v>
      </c>
      <c r="G56" s="27">
        <f>F57</f>
        <v>2872.3899999999994</v>
      </c>
    </row>
    <row r="57" spans="2:7" x14ac:dyDescent="0.25">
      <c r="B57" s="40" t="s">
        <v>40</v>
      </c>
      <c r="C57" s="14">
        <f>SUM(C55:C56)</f>
        <v>70.400000000000276</v>
      </c>
      <c r="D57" s="14">
        <f t="shared" ref="D57:G57" si="7">SUM(D55:D56)</f>
        <v>30.070000000000348</v>
      </c>
      <c r="E57" s="14">
        <f t="shared" si="7"/>
        <v>81.83000000000068</v>
      </c>
      <c r="F57" s="14">
        <f t="shared" si="7"/>
        <v>2872.3899999999994</v>
      </c>
      <c r="G57" s="36">
        <f t="shared" si="7"/>
        <v>2950.5599999999995</v>
      </c>
    </row>
    <row r="58" spans="2:7" x14ac:dyDescent="0.25">
      <c r="B58" s="29"/>
      <c r="C58" s="29"/>
      <c r="D58" s="29"/>
      <c r="E58" s="21"/>
      <c r="F58" s="26"/>
    </row>
    <row r="59" spans="2:7" x14ac:dyDescent="0.25">
      <c r="B59" s="30"/>
      <c r="C59" s="30"/>
      <c r="D59" s="30"/>
      <c r="E59" s="30"/>
      <c r="F59" s="26"/>
    </row>
  </sheetData>
  <mergeCells count="1"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2CE9-D66E-4CD8-8DC9-C0E6334C81EB}">
  <dimension ref="D8:J55"/>
  <sheetViews>
    <sheetView topLeftCell="A39" workbookViewId="0">
      <selection activeCell="M50" sqref="M50"/>
    </sheetView>
  </sheetViews>
  <sheetFormatPr defaultRowHeight="15" x14ac:dyDescent="0.25"/>
  <cols>
    <col min="5" max="5" width="29.28515625" customWidth="1"/>
    <col min="6" max="6" width="23" customWidth="1"/>
    <col min="7" max="7" width="26.5703125" customWidth="1"/>
  </cols>
  <sheetData>
    <row r="8" spans="4:7" x14ac:dyDescent="0.25">
      <c r="D8" s="82" t="s">
        <v>169</v>
      </c>
      <c r="E8" s="82" t="s">
        <v>166</v>
      </c>
      <c r="F8" s="94" t="s">
        <v>167</v>
      </c>
      <c r="G8" s="94" t="s">
        <v>168</v>
      </c>
    </row>
    <row r="9" spans="4:7" x14ac:dyDescent="0.25">
      <c r="D9" s="95">
        <v>1</v>
      </c>
      <c r="E9" s="96" t="s">
        <v>159</v>
      </c>
      <c r="F9" s="95">
        <v>279.45</v>
      </c>
      <c r="G9" s="97">
        <v>0.7742</v>
      </c>
    </row>
    <row r="10" spans="4:7" x14ac:dyDescent="0.25">
      <c r="D10" s="95">
        <v>2</v>
      </c>
      <c r="E10" s="96" t="s">
        <v>160</v>
      </c>
      <c r="F10" s="95">
        <v>35.86</v>
      </c>
      <c r="G10" s="97">
        <v>9.9400000000000002E-2</v>
      </c>
    </row>
    <row r="11" spans="4:7" x14ac:dyDescent="0.25">
      <c r="D11" s="95">
        <v>3</v>
      </c>
      <c r="E11" s="96" t="s">
        <v>163</v>
      </c>
      <c r="F11" s="98">
        <v>25</v>
      </c>
      <c r="G11" s="97">
        <v>6.93E-2</v>
      </c>
    </row>
    <row r="13" spans="4:7" x14ac:dyDescent="0.25">
      <c r="E13" t="s">
        <v>161</v>
      </c>
    </row>
    <row r="14" spans="4:7" x14ac:dyDescent="0.25">
      <c r="E14" t="s">
        <v>162</v>
      </c>
    </row>
    <row r="16" spans="4:7" x14ac:dyDescent="0.25">
      <c r="E16" t="s">
        <v>164</v>
      </c>
    </row>
    <row r="17" spans="5:10" x14ac:dyDescent="0.25">
      <c r="E17" t="s">
        <v>165</v>
      </c>
    </row>
    <row r="20" spans="5:10" x14ac:dyDescent="0.25">
      <c r="F20" s="82" t="s">
        <v>41</v>
      </c>
      <c r="G20" s="82" t="s">
        <v>177</v>
      </c>
    </row>
    <row r="21" spans="5:10" x14ac:dyDescent="0.25">
      <c r="F21" s="32" t="s">
        <v>170</v>
      </c>
      <c r="G21" s="32" t="s">
        <v>171</v>
      </c>
    </row>
    <row r="22" spans="5:10" x14ac:dyDescent="0.25">
      <c r="F22" s="32" t="s">
        <v>172</v>
      </c>
      <c r="G22" s="32" t="s">
        <v>173</v>
      </c>
    </row>
    <row r="23" spans="5:10" x14ac:dyDescent="0.25">
      <c r="F23" s="32" t="s">
        <v>174</v>
      </c>
      <c r="G23" s="32" t="s">
        <v>175</v>
      </c>
    </row>
    <row r="24" spans="5:10" x14ac:dyDescent="0.25">
      <c r="F24" s="32" t="s">
        <v>176</v>
      </c>
      <c r="G24" s="32" t="s">
        <v>178</v>
      </c>
    </row>
    <row r="27" spans="5:10" x14ac:dyDescent="0.25">
      <c r="E27" s="3" t="s">
        <v>41</v>
      </c>
      <c r="F27" s="51">
        <v>2018</v>
      </c>
      <c r="G27" s="51">
        <f>F27+1</f>
        <v>2019</v>
      </c>
      <c r="H27" s="51">
        <f t="shared" ref="H27:J27" si="0">G27+1</f>
        <v>2020</v>
      </c>
      <c r="I27" s="51">
        <f t="shared" si="0"/>
        <v>2021</v>
      </c>
      <c r="J27" s="52">
        <f t="shared" si="0"/>
        <v>2022</v>
      </c>
    </row>
    <row r="28" spans="5:10" hidden="1" x14ac:dyDescent="0.25">
      <c r="E28" s="15" t="s">
        <v>123</v>
      </c>
      <c r="F28" s="9">
        <v>2746.73</v>
      </c>
      <c r="G28" s="9">
        <v>3674.45</v>
      </c>
      <c r="H28" s="27">
        <v>4427.0600000000004</v>
      </c>
      <c r="I28" s="27">
        <v>4275.6899999999996</v>
      </c>
      <c r="J28" s="27">
        <v>4192.55</v>
      </c>
    </row>
    <row r="29" spans="5:10" hidden="1" x14ac:dyDescent="0.25">
      <c r="E29" s="15" t="s">
        <v>124</v>
      </c>
      <c r="F29" s="9">
        <v>58.33</v>
      </c>
      <c r="G29" s="9">
        <v>226.46</v>
      </c>
      <c r="H29" s="27">
        <v>343.65</v>
      </c>
      <c r="I29" s="27">
        <v>236.16</v>
      </c>
      <c r="J29" s="27">
        <v>79.78</v>
      </c>
    </row>
    <row r="30" spans="5:10" x14ac:dyDescent="0.25">
      <c r="E30" s="44" t="s">
        <v>125</v>
      </c>
      <c r="F30" s="14">
        <f>SUM(F28:F29)</f>
        <v>2805.06</v>
      </c>
      <c r="G30" s="14">
        <f t="shared" ref="G30:J30" si="1">SUM(G28:G29)</f>
        <v>3900.91</v>
      </c>
      <c r="H30" s="36">
        <f t="shared" si="1"/>
        <v>4770.71</v>
      </c>
      <c r="I30" s="36">
        <f t="shared" si="1"/>
        <v>4511.8499999999995</v>
      </c>
      <c r="J30" s="36">
        <f t="shared" si="1"/>
        <v>4272.33</v>
      </c>
    </row>
    <row r="31" spans="5:10" hidden="1" x14ac:dyDescent="0.25">
      <c r="E31" s="16" t="s">
        <v>126</v>
      </c>
      <c r="F31" s="9"/>
      <c r="G31" s="9"/>
      <c r="H31" s="9"/>
      <c r="I31" s="9"/>
      <c r="J31" s="54"/>
    </row>
    <row r="32" spans="5:10" hidden="1" x14ac:dyDescent="0.25">
      <c r="E32" s="50" t="s">
        <v>18</v>
      </c>
      <c r="F32" s="9">
        <v>1755.07</v>
      </c>
      <c r="G32" s="9">
        <v>1726.08</v>
      </c>
      <c r="H32" s="27">
        <v>2800.58</v>
      </c>
      <c r="I32" s="27">
        <v>2108.5300000000002</v>
      </c>
      <c r="J32" s="27">
        <v>2012.61</v>
      </c>
    </row>
    <row r="33" spans="5:10" hidden="1" x14ac:dyDescent="0.25">
      <c r="E33" s="47" t="s">
        <v>19</v>
      </c>
      <c r="F33" s="9">
        <v>55.92</v>
      </c>
      <c r="G33" s="9">
        <v>77.819999999999993</v>
      </c>
      <c r="H33" s="27">
        <v>65.42</v>
      </c>
      <c r="I33" s="27">
        <v>76.28</v>
      </c>
      <c r="J33" s="27">
        <v>79.650000000000006</v>
      </c>
    </row>
    <row r="34" spans="5:10" hidden="1" x14ac:dyDescent="0.25">
      <c r="E34" s="50" t="s">
        <v>21</v>
      </c>
      <c r="F34" s="9">
        <v>363.69</v>
      </c>
      <c r="G34" s="9">
        <v>1877.84</v>
      </c>
      <c r="H34" s="27">
        <v>1516.57</v>
      </c>
      <c r="I34" s="27">
        <v>1358.41</v>
      </c>
      <c r="J34" s="27">
        <v>689.66</v>
      </c>
    </row>
    <row r="35" spans="5:10" x14ac:dyDescent="0.25">
      <c r="E35" s="44" t="s">
        <v>23</v>
      </c>
      <c r="F35" s="14">
        <f>SUM(F32:F34)</f>
        <v>2174.6799999999998</v>
      </c>
      <c r="G35" s="14">
        <f t="shared" ref="G35:J35" si="2">SUM(G32:G34)</f>
        <v>3681.74</v>
      </c>
      <c r="H35" s="14">
        <f t="shared" si="2"/>
        <v>4382.57</v>
      </c>
      <c r="I35" s="14">
        <f t="shared" si="2"/>
        <v>3543.2200000000003</v>
      </c>
      <c r="J35" s="53">
        <f t="shared" si="2"/>
        <v>2781.9199999999996</v>
      </c>
    </row>
    <row r="36" spans="5:10" x14ac:dyDescent="0.25">
      <c r="E36" s="44" t="s">
        <v>121</v>
      </c>
      <c r="F36" s="14">
        <f>F30-F35</f>
        <v>630.38000000000011</v>
      </c>
      <c r="G36" s="14">
        <f>G30-G35</f>
        <v>219.17000000000007</v>
      </c>
      <c r="H36" s="14">
        <f>H30-H35</f>
        <v>388.14000000000033</v>
      </c>
      <c r="I36" s="14">
        <f>I30-I35</f>
        <v>968.6299999999992</v>
      </c>
      <c r="J36" s="53">
        <f>J30-J35</f>
        <v>1490.4100000000003</v>
      </c>
    </row>
    <row r="37" spans="5:10" ht="30" x14ac:dyDescent="0.25">
      <c r="E37" s="64" t="s">
        <v>22</v>
      </c>
      <c r="F37" s="9">
        <v>518.82000000000005</v>
      </c>
      <c r="G37" s="9">
        <v>697.91</v>
      </c>
      <c r="H37" s="27">
        <v>695.21</v>
      </c>
      <c r="I37" s="27">
        <v>679.41</v>
      </c>
      <c r="J37" s="27">
        <v>672.38</v>
      </c>
    </row>
    <row r="38" spans="5:10" x14ac:dyDescent="0.25">
      <c r="E38" s="44" t="s">
        <v>122</v>
      </c>
      <c r="F38" s="14">
        <f>F36-F37</f>
        <v>111.56000000000006</v>
      </c>
      <c r="G38" s="14">
        <f t="shared" ref="G38:J38" si="3">G36-G37</f>
        <v>-478.7399999999999</v>
      </c>
      <c r="H38" s="14">
        <f t="shared" si="3"/>
        <v>-307.06999999999971</v>
      </c>
      <c r="I38" s="14">
        <f t="shared" si="3"/>
        <v>289.21999999999923</v>
      </c>
      <c r="J38" s="53">
        <f t="shared" si="3"/>
        <v>818.03000000000031</v>
      </c>
    </row>
    <row r="39" spans="5:10" x14ac:dyDescent="0.25">
      <c r="E39" s="15" t="s">
        <v>20</v>
      </c>
      <c r="F39" s="9">
        <v>1851.45</v>
      </c>
      <c r="G39" s="9">
        <v>76.78</v>
      </c>
      <c r="H39" s="27">
        <v>54.97</v>
      </c>
      <c r="I39" s="27">
        <v>36.31</v>
      </c>
      <c r="J39" s="27">
        <v>38.94</v>
      </c>
    </row>
    <row r="40" spans="5:10" x14ac:dyDescent="0.25">
      <c r="E40" s="44" t="s">
        <v>66</v>
      </c>
      <c r="F40" s="14">
        <f>F38-F39</f>
        <v>-1739.8899999999999</v>
      </c>
      <c r="G40" s="14">
        <f>G38-G39</f>
        <v>-555.51999999999987</v>
      </c>
      <c r="H40" s="14">
        <f>H38-H39</f>
        <v>-362.03999999999974</v>
      </c>
      <c r="I40" s="14">
        <f>I38-I39</f>
        <v>252.90999999999923</v>
      </c>
      <c r="J40" s="53">
        <f>J38-J39</f>
        <v>779.09000000000037</v>
      </c>
    </row>
    <row r="41" spans="5:10" hidden="1" x14ac:dyDescent="0.25">
      <c r="E41" s="16" t="s">
        <v>127</v>
      </c>
      <c r="F41" s="9"/>
      <c r="G41" s="9"/>
      <c r="H41" s="27"/>
      <c r="I41" s="27"/>
      <c r="J41" s="27"/>
    </row>
    <row r="42" spans="5:10" x14ac:dyDescent="0.25">
      <c r="E42" s="15" t="s">
        <v>42</v>
      </c>
      <c r="F42" s="9">
        <v>-178.74</v>
      </c>
      <c r="G42" s="9">
        <v>153.97</v>
      </c>
      <c r="H42" s="27">
        <v>162.09</v>
      </c>
      <c r="I42" s="27">
        <v>166.96</v>
      </c>
      <c r="J42" s="27">
        <v>447.67</v>
      </c>
    </row>
    <row r="43" spans="5:10" x14ac:dyDescent="0.25">
      <c r="E43" s="44" t="s">
        <v>24</v>
      </c>
      <c r="F43" s="14">
        <f>SUM(F42)</f>
        <v>-178.74</v>
      </c>
      <c r="G43" s="14">
        <f t="shared" ref="G43:J43" si="4">SUM(G42)</f>
        <v>153.97</v>
      </c>
      <c r="H43" s="36">
        <f t="shared" si="4"/>
        <v>162.09</v>
      </c>
      <c r="I43" s="36">
        <f t="shared" si="4"/>
        <v>166.96</v>
      </c>
      <c r="J43" s="36">
        <f t="shared" si="4"/>
        <v>447.67</v>
      </c>
    </row>
    <row r="44" spans="5:10" x14ac:dyDescent="0.25">
      <c r="E44" s="44" t="s">
        <v>215</v>
      </c>
      <c r="F44" s="14">
        <f>F40-F43</f>
        <v>-1561.1499999999999</v>
      </c>
      <c r="G44" s="14">
        <f>G40-G43</f>
        <v>-709.4899999999999</v>
      </c>
      <c r="H44" s="36">
        <f>H40-H43</f>
        <v>-524.12999999999977</v>
      </c>
      <c r="I44" s="36">
        <f>I40-I43</f>
        <v>85.949999999999221</v>
      </c>
      <c r="J44" s="36">
        <f>J40-J43</f>
        <v>331.42000000000036</v>
      </c>
    </row>
    <row r="49" spans="5:9" ht="60" x14ac:dyDescent="0.25">
      <c r="E49" s="138" t="s">
        <v>154</v>
      </c>
      <c r="F49" s="137" t="s">
        <v>226</v>
      </c>
      <c r="G49" s="137" t="s">
        <v>225</v>
      </c>
      <c r="H49" s="137" t="s">
        <v>224</v>
      </c>
      <c r="I49" s="137" t="s">
        <v>223</v>
      </c>
    </row>
    <row r="50" spans="5:9" x14ac:dyDescent="0.25">
      <c r="E50" s="136">
        <v>1</v>
      </c>
      <c r="F50" s="135" t="s">
        <v>222</v>
      </c>
      <c r="G50" s="104">
        <v>306395479925.90002</v>
      </c>
      <c r="H50" s="104">
        <v>295015527422.88</v>
      </c>
      <c r="I50" s="104">
        <v>1833803022</v>
      </c>
    </row>
    <row r="51" spans="5:9" ht="30" x14ac:dyDescent="0.25">
      <c r="E51" s="136">
        <v>2</v>
      </c>
      <c r="F51" s="135" t="s">
        <v>221</v>
      </c>
      <c r="G51" s="104">
        <v>15950340270.719999</v>
      </c>
      <c r="H51" s="104">
        <v>1353897315</v>
      </c>
      <c r="I51" s="104" t="s">
        <v>6</v>
      </c>
    </row>
    <row r="52" spans="5:9" ht="45" x14ac:dyDescent="0.25">
      <c r="E52" s="136">
        <v>3</v>
      </c>
      <c r="F52" s="135" t="s">
        <v>220</v>
      </c>
      <c r="G52" s="104">
        <v>66073718926.449997</v>
      </c>
      <c r="H52" s="104">
        <v>27603924280.830002</v>
      </c>
      <c r="I52" s="104">
        <v>4441506079.75</v>
      </c>
    </row>
    <row r="53" spans="5:9" ht="45" x14ac:dyDescent="0.25">
      <c r="E53" s="136">
        <v>4</v>
      </c>
      <c r="F53" s="135" t="s">
        <v>219</v>
      </c>
      <c r="G53" s="104">
        <v>130921968.48</v>
      </c>
      <c r="H53" s="104">
        <v>116283804</v>
      </c>
      <c r="I53" s="104" t="s">
        <v>6</v>
      </c>
    </row>
    <row r="54" spans="5:9" ht="30" x14ac:dyDescent="0.25">
      <c r="E54" s="136">
        <v>5</v>
      </c>
      <c r="F54" s="135" t="s">
        <v>218</v>
      </c>
      <c r="G54" s="104">
        <v>17230145.109999999</v>
      </c>
      <c r="H54" s="104">
        <v>17100555.109999999</v>
      </c>
      <c r="I54" s="104" t="s">
        <v>6</v>
      </c>
    </row>
    <row r="55" spans="5:9" x14ac:dyDescent="0.25">
      <c r="E55" s="176" t="s">
        <v>217</v>
      </c>
      <c r="F55" s="176"/>
      <c r="G55" s="134">
        <f>SUM(G50:G54)</f>
        <v>388567691236.65997</v>
      </c>
      <c r="H55" s="134">
        <f>SUM(H50:H54)</f>
        <v>324106733377.82001</v>
      </c>
      <c r="I55" s="134">
        <f>SUM(I50:I54)</f>
        <v>6275309101.75</v>
      </c>
    </row>
  </sheetData>
  <mergeCells count="1">
    <mergeCell ref="E55:F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395F-C3DA-4B11-B660-6F9BF33FD514}">
  <dimension ref="B2:T7"/>
  <sheetViews>
    <sheetView showGridLines="0" workbookViewId="0">
      <selection activeCell="C6" sqref="C6"/>
    </sheetView>
  </sheetViews>
  <sheetFormatPr defaultRowHeight="15" x14ac:dyDescent="0.25"/>
  <cols>
    <col min="2" max="2" width="21" customWidth="1"/>
  </cols>
  <sheetData>
    <row r="2" spans="2:20" x14ac:dyDescent="0.25">
      <c r="B2" s="177" t="s">
        <v>235</v>
      </c>
      <c r="C2" s="177"/>
      <c r="D2" s="177"/>
      <c r="E2" s="177"/>
      <c r="F2" s="177"/>
      <c r="G2" s="177"/>
    </row>
    <row r="3" spans="2:20" ht="9" customHeight="1" x14ac:dyDescent="0.25"/>
    <row r="4" spans="2:20" x14ac:dyDescent="0.25">
      <c r="B4" s="125" t="s">
        <v>41</v>
      </c>
      <c r="C4" s="125">
        <f>2022+1</f>
        <v>2023</v>
      </c>
      <c r="D4" s="125">
        <f t="shared" ref="D4:G4" si="0">C4+1</f>
        <v>2024</v>
      </c>
      <c r="E4" s="125">
        <f t="shared" si="0"/>
        <v>2025</v>
      </c>
      <c r="F4" s="125">
        <f t="shared" si="0"/>
        <v>2026</v>
      </c>
      <c r="G4" s="125">
        <f t="shared" si="0"/>
        <v>2027</v>
      </c>
      <c r="H4" s="125">
        <f t="shared" ref="H4" si="1">G4+1</f>
        <v>2028</v>
      </c>
      <c r="I4" s="125">
        <f t="shared" ref="I4" si="2">H4+1</f>
        <v>2029</v>
      </c>
      <c r="J4" s="125">
        <f t="shared" ref="J4" si="3">I4+1</f>
        <v>2030</v>
      </c>
      <c r="K4" s="125">
        <f t="shared" ref="K4" si="4">J4+1</f>
        <v>2031</v>
      </c>
      <c r="L4" s="125">
        <f t="shared" ref="L4" si="5">K4+1</f>
        <v>2032</v>
      </c>
      <c r="M4" s="125">
        <f t="shared" ref="M4" si="6">L4+1</f>
        <v>2033</v>
      </c>
      <c r="N4" s="125">
        <f t="shared" ref="N4" si="7">M4+1</f>
        <v>2034</v>
      </c>
      <c r="O4" s="125">
        <f t="shared" ref="O4" si="8">N4+1</f>
        <v>2035</v>
      </c>
      <c r="P4" s="125">
        <f t="shared" ref="P4" si="9">O4+1</f>
        <v>2036</v>
      </c>
      <c r="Q4" s="125">
        <f t="shared" ref="Q4" si="10">P4+1</f>
        <v>2037</v>
      </c>
      <c r="R4" s="125">
        <f t="shared" ref="R4" si="11">Q4+1</f>
        <v>2038</v>
      </c>
      <c r="S4" s="125">
        <f t="shared" ref="S4" si="12">R4+1</f>
        <v>2039</v>
      </c>
      <c r="T4" s="125">
        <f t="shared" ref="T4" si="13">S4+1</f>
        <v>2040</v>
      </c>
    </row>
    <row r="5" spans="2:20" x14ac:dyDescent="0.25">
      <c r="B5" s="96" t="s">
        <v>216</v>
      </c>
      <c r="C5" s="104">
        <f>BS!O20</f>
        <v>11943.68</v>
      </c>
      <c r="D5" s="104">
        <f>C7</f>
        <v>11267.773333333334</v>
      </c>
      <c r="E5" s="104">
        <f t="shared" ref="E5:F5" si="14">D7</f>
        <v>10682.601354960449</v>
      </c>
      <c r="F5" s="104">
        <f t="shared" si="14"/>
        <v>10127.819253464109</v>
      </c>
      <c r="G5" s="104">
        <f>F7</f>
        <v>9601.8487840706366</v>
      </c>
      <c r="H5" s="104">
        <f t="shared" ref="H5:T5" si="15">G7</f>
        <v>9103.19366537118</v>
      </c>
      <c r="I5" s="104">
        <f t="shared" si="15"/>
        <v>8630.4353226986168</v>
      </c>
      <c r="J5" s="104">
        <f t="shared" si="15"/>
        <v>8182.2288525646672</v>
      </c>
      <c r="K5" s="104">
        <f t="shared" si="15"/>
        <v>7757.299196676875</v>
      </c>
      <c r="L5" s="104">
        <f t="shared" si="15"/>
        <v>7354.4375146512812</v>
      </c>
      <c r="M5" s="104">
        <f t="shared" si="15"/>
        <v>6972.4977451018767</v>
      </c>
      <c r="N5" s="104">
        <f t="shared" si="15"/>
        <v>6610.3933453238296</v>
      </c>
      <c r="O5" s="104">
        <f t="shared" si="15"/>
        <v>6267.0942002955217</v>
      </c>
      <c r="P5" s="104">
        <f t="shared" si="15"/>
        <v>5941.6236922061235</v>
      </c>
      <c r="Q5" s="104">
        <f t="shared" si="15"/>
        <v>5633.0559221721032</v>
      </c>
      <c r="R5" s="104">
        <f t="shared" si="15"/>
        <v>5340.5130762389927</v>
      </c>
      <c r="S5" s="104">
        <f t="shared" si="15"/>
        <v>5063.1629281752193</v>
      </c>
      <c r="T5" s="104">
        <f t="shared" si="15"/>
        <v>4800.2164719539478</v>
      </c>
    </row>
    <row r="6" spans="2:20" x14ac:dyDescent="0.25">
      <c r="B6" s="96" t="s">
        <v>203</v>
      </c>
      <c r="C6" s="104">
        <f>'P&amp;L'!I16</f>
        <v>675.90666666666664</v>
      </c>
      <c r="D6" s="104">
        <f>D5*BS!$L$23</f>
        <v>585.17197837288575</v>
      </c>
      <c r="E6" s="104">
        <f>E5*BS!$L$23</f>
        <v>554.78210149633901</v>
      </c>
      <c r="F6" s="104">
        <f>F5*BS!$L$23</f>
        <v>525.97046939347331</v>
      </c>
      <c r="G6" s="104">
        <f>G5*BS!$L$23</f>
        <v>498.6551186994563</v>
      </c>
      <c r="H6" s="104">
        <f>H5*BS!$L$23</f>
        <v>472.75834267256363</v>
      </c>
      <c r="I6" s="104">
        <f>I5*BS!$L$23</f>
        <v>448.20647013394989</v>
      </c>
      <c r="J6" s="104">
        <f>J5*BS!$L$23</f>
        <v>424.92965588779202</v>
      </c>
      <c r="K6" s="104">
        <f>K5*BS!$L$23</f>
        <v>402.86168202559429</v>
      </c>
      <c r="L6" s="104">
        <f>L5*BS!$L$23</f>
        <v>381.9397695494045</v>
      </c>
      <c r="M6" s="104">
        <f>M5*BS!$L$23</f>
        <v>362.10439977804691</v>
      </c>
      <c r="N6" s="104">
        <f>N5*BS!$L$23</f>
        <v>343.2991450283082</v>
      </c>
      <c r="O6" s="104">
        <f>O5*BS!$L$23</f>
        <v>325.47050808939787</v>
      </c>
      <c r="P6" s="104">
        <f>P5*BS!$L$23</f>
        <v>308.56777003402033</v>
      </c>
      <c r="Q6" s="104">
        <f>Q5*BS!$L$23</f>
        <v>292.54284593311098</v>
      </c>
      <c r="R6" s="104">
        <f>R5*BS!$L$23</f>
        <v>277.35014806377336</v>
      </c>
      <c r="S6" s="104">
        <f>S5*BS!$L$23</f>
        <v>262.94645622127172</v>
      </c>
      <c r="T6" s="104">
        <f>T5*BS!$L$23</f>
        <v>249.29079476614177</v>
      </c>
    </row>
    <row r="7" spans="2:20" x14ac:dyDescent="0.25">
      <c r="B7" s="144" t="s">
        <v>202</v>
      </c>
      <c r="C7" s="145">
        <f>C5-C6</f>
        <v>11267.773333333334</v>
      </c>
      <c r="D7" s="145">
        <f t="shared" ref="D7:G7" si="16">D5-D6</f>
        <v>10682.601354960449</v>
      </c>
      <c r="E7" s="145">
        <f t="shared" si="16"/>
        <v>10127.819253464109</v>
      </c>
      <c r="F7" s="145">
        <f t="shared" si="16"/>
        <v>9601.8487840706366</v>
      </c>
      <c r="G7" s="145">
        <f t="shared" si="16"/>
        <v>9103.19366537118</v>
      </c>
      <c r="H7" s="145">
        <f t="shared" ref="H7:T7" si="17">H5-H6</f>
        <v>8630.4353226986168</v>
      </c>
      <c r="I7" s="145">
        <f t="shared" si="17"/>
        <v>8182.2288525646672</v>
      </c>
      <c r="J7" s="145">
        <f t="shared" si="17"/>
        <v>7757.299196676875</v>
      </c>
      <c r="K7" s="145">
        <f t="shared" si="17"/>
        <v>7354.4375146512812</v>
      </c>
      <c r="L7" s="145">
        <f t="shared" si="17"/>
        <v>6972.4977451018767</v>
      </c>
      <c r="M7" s="145">
        <f t="shared" si="17"/>
        <v>6610.3933453238296</v>
      </c>
      <c r="N7" s="145">
        <f t="shared" si="17"/>
        <v>6267.0942002955217</v>
      </c>
      <c r="O7" s="145">
        <f t="shared" si="17"/>
        <v>5941.6236922061235</v>
      </c>
      <c r="P7" s="145">
        <f t="shared" si="17"/>
        <v>5633.0559221721032</v>
      </c>
      <c r="Q7" s="145">
        <f t="shared" si="17"/>
        <v>5340.5130762389927</v>
      </c>
      <c r="R7" s="145">
        <f t="shared" si="17"/>
        <v>5063.1629281752193</v>
      </c>
      <c r="S7" s="145">
        <f t="shared" si="17"/>
        <v>4800.2164719539478</v>
      </c>
      <c r="T7" s="145">
        <f t="shared" si="17"/>
        <v>4550.9256771878063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Y34"/>
  <sheetViews>
    <sheetView showGridLines="0" tabSelected="1" topLeftCell="A16" workbookViewId="0">
      <selection activeCell="I34" sqref="I34"/>
    </sheetView>
  </sheetViews>
  <sheetFormatPr defaultRowHeight="15" x14ac:dyDescent="0.25"/>
  <cols>
    <col min="1" max="1" width="5.42578125" customWidth="1"/>
    <col min="2" max="2" width="69.140625" customWidth="1"/>
    <col min="3" max="7" width="9.28515625" bestFit="1" customWidth="1"/>
    <col min="8" max="8" width="9.28515625" customWidth="1"/>
    <col min="9" max="10" width="8.85546875" customWidth="1"/>
    <col min="11" max="11" width="30.140625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</row>
    <row r="2" spans="1:17" x14ac:dyDescent="0.25">
      <c r="A2" s="2"/>
      <c r="B2" s="1" t="s">
        <v>99</v>
      </c>
      <c r="C2" s="1"/>
      <c r="D2" s="1"/>
      <c r="E2" s="1"/>
      <c r="F2" s="1"/>
      <c r="G2" s="1"/>
      <c r="H2" s="1"/>
    </row>
    <row r="3" spans="1:17" x14ac:dyDescent="0.25">
      <c r="A3" s="2"/>
      <c r="B3" s="2"/>
      <c r="C3" s="2"/>
      <c r="D3" s="2"/>
      <c r="E3" s="2"/>
      <c r="F3" s="2"/>
      <c r="G3" s="2"/>
      <c r="H3" s="2"/>
    </row>
    <row r="4" spans="1:17" x14ac:dyDescent="0.25">
      <c r="A4" s="2"/>
      <c r="B4" s="172" t="s">
        <v>107</v>
      </c>
      <c r="C4" s="172"/>
      <c r="D4" s="172"/>
      <c r="E4" s="172"/>
      <c r="F4" s="172"/>
      <c r="G4" s="172"/>
      <c r="H4" s="55"/>
    </row>
    <row r="5" spans="1:17" x14ac:dyDescent="0.25">
      <c r="A5" s="2"/>
      <c r="B5" s="2"/>
      <c r="C5" s="2"/>
      <c r="D5" s="2"/>
      <c r="E5" s="2"/>
      <c r="F5" s="2"/>
      <c r="G5" s="2"/>
      <c r="H5" s="2"/>
    </row>
    <row r="6" spans="1:17" ht="30" x14ac:dyDescent="0.25">
      <c r="B6" s="3" t="s">
        <v>41</v>
      </c>
      <c r="C6" s="51">
        <v>2018</v>
      </c>
      <c r="D6" s="51">
        <f>C6+1</f>
        <v>2019</v>
      </c>
      <c r="E6" s="51">
        <f t="shared" ref="E6:G6" si="0">D6+1</f>
        <v>2020</v>
      </c>
      <c r="F6" s="51">
        <f t="shared" si="0"/>
        <v>2021</v>
      </c>
      <c r="G6" s="52">
        <f t="shared" si="0"/>
        <v>2022</v>
      </c>
      <c r="H6" s="125" t="s">
        <v>240</v>
      </c>
      <c r="I6" s="125" t="s">
        <v>241</v>
      </c>
    </row>
    <row r="7" spans="1:17" x14ac:dyDescent="0.25">
      <c r="B7" s="15" t="s">
        <v>123</v>
      </c>
      <c r="C7" s="9">
        <v>2746.73</v>
      </c>
      <c r="D7" s="9">
        <v>3674.45</v>
      </c>
      <c r="E7" s="27">
        <v>4427.0600000000004</v>
      </c>
      <c r="F7" s="27">
        <v>4275.6899999999996</v>
      </c>
      <c r="G7" s="27">
        <v>4192.55</v>
      </c>
      <c r="H7" s="27">
        <v>3767.85</v>
      </c>
      <c r="I7" s="27">
        <f>H7*12/9</f>
        <v>5023.7999999999993</v>
      </c>
    </row>
    <row r="8" spans="1:17" x14ac:dyDescent="0.25">
      <c r="B8" s="15" t="s">
        <v>124</v>
      </c>
      <c r="C8" s="9">
        <v>58.33</v>
      </c>
      <c r="D8" s="9">
        <v>226.46</v>
      </c>
      <c r="E8" s="27">
        <v>343.65</v>
      </c>
      <c r="F8" s="27">
        <v>236.16</v>
      </c>
      <c r="G8" s="27">
        <v>79.78</v>
      </c>
      <c r="H8" s="27">
        <v>485.54</v>
      </c>
      <c r="I8" s="98">
        <f>H8*12/9</f>
        <v>647.38666666666677</v>
      </c>
    </row>
    <row r="9" spans="1:17" x14ac:dyDescent="0.25">
      <c r="B9" s="44" t="s">
        <v>125</v>
      </c>
      <c r="C9" s="14">
        <f>SUM(C7:C8)</f>
        <v>2805.06</v>
      </c>
      <c r="D9" s="14">
        <f t="shared" ref="D9:I9" si="1">SUM(D7:D8)</f>
        <v>3900.91</v>
      </c>
      <c r="E9" s="36">
        <f t="shared" si="1"/>
        <v>4770.71</v>
      </c>
      <c r="F9" s="36">
        <f t="shared" si="1"/>
        <v>4511.8499999999995</v>
      </c>
      <c r="G9" s="36">
        <f t="shared" si="1"/>
        <v>4272.33</v>
      </c>
      <c r="H9" s="36">
        <f t="shared" si="1"/>
        <v>4253.3900000000003</v>
      </c>
      <c r="I9" s="36">
        <f t="shared" si="1"/>
        <v>5671.1866666666665</v>
      </c>
      <c r="K9" s="124" t="s">
        <v>41</v>
      </c>
      <c r="L9" s="125">
        <v>2018</v>
      </c>
      <c r="M9" s="125">
        <f>L9+1</f>
        <v>2019</v>
      </c>
      <c r="N9" s="125">
        <f t="shared" ref="N9" si="2">M9+1</f>
        <v>2020</v>
      </c>
      <c r="O9" s="125">
        <f t="shared" ref="O9" si="3">N9+1</f>
        <v>2021</v>
      </c>
      <c r="P9" s="125">
        <f t="shared" ref="P9" si="4">O9+1</f>
        <v>2022</v>
      </c>
      <c r="Q9" s="166">
        <f>P9+1</f>
        <v>2023</v>
      </c>
    </row>
    <row r="10" spans="1:17" x14ac:dyDescent="0.25">
      <c r="B10" s="16" t="s">
        <v>126</v>
      </c>
      <c r="C10" s="9"/>
      <c r="D10" s="9"/>
      <c r="E10" s="9"/>
      <c r="F10" s="9"/>
      <c r="G10" s="54"/>
      <c r="H10" s="27"/>
      <c r="I10" s="98"/>
      <c r="K10" s="62" t="s">
        <v>124</v>
      </c>
      <c r="L10" s="61">
        <f>C8/C7</f>
        <v>2.1236160816680196E-2</v>
      </c>
      <c r="M10" s="61">
        <f>D8/D7</f>
        <v>6.1630992393419431E-2</v>
      </c>
      <c r="N10" s="61">
        <f>E8/E7</f>
        <v>7.7624879717013082E-2</v>
      </c>
      <c r="O10" s="61">
        <f>F8/F7</f>
        <v>5.523319043242144E-2</v>
      </c>
      <c r="P10" s="61">
        <f>G8/G7</f>
        <v>1.9028991902302894E-2</v>
      </c>
      <c r="Q10" s="167">
        <f>I8/I7</f>
        <v>0.12886394097429574</v>
      </c>
    </row>
    <row r="11" spans="1:17" x14ac:dyDescent="0.25">
      <c r="B11" s="50" t="s">
        <v>18</v>
      </c>
      <c r="C11" s="9">
        <v>1755.07</v>
      </c>
      <c r="D11" s="9">
        <v>1726.08</v>
      </c>
      <c r="E11" s="27">
        <v>2800.58</v>
      </c>
      <c r="F11" s="27">
        <v>2108.5300000000002</v>
      </c>
      <c r="G11" s="27">
        <v>2012.61</v>
      </c>
      <c r="H11" s="27">
        <v>2398.87</v>
      </c>
      <c r="I11" s="27">
        <f>H11*12/9</f>
        <v>3198.4933333333333</v>
      </c>
      <c r="K11" s="32" t="s">
        <v>128</v>
      </c>
      <c r="L11" s="61">
        <f t="shared" ref="L11:Q11" si="5">C11/C$7</f>
        <v>0.63896706265268155</v>
      </c>
      <c r="M11" s="61">
        <f t="shared" si="5"/>
        <v>0.46975193566384082</v>
      </c>
      <c r="N11" s="61">
        <f t="shared" si="5"/>
        <v>0.63260493420012376</v>
      </c>
      <c r="O11" s="61">
        <f t="shared" si="5"/>
        <v>0.49314379667375335</v>
      </c>
      <c r="P11" s="61">
        <f t="shared" si="5"/>
        <v>0.48004436440829562</v>
      </c>
      <c r="Q11" s="61">
        <f t="shared" si="5"/>
        <v>0.63666812638507375</v>
      </c>
    </row>
    <row r="12" spans="1:17" x14ac:dyDescent="0.25">
      <c r="B12" s="47" t="s">
        <v>19</v>
      </c>
      <c r="C12" s="9">
        <v>55.92</v>
      </c>
      <c r="D12" s="9">
        <v>77.819999999999993</v>
      </c>
      <c r="E12" s="27">
        <v>65.42</v>
      </c>
      <c r="F12" s="27">
        <v>76.28</v>
      </c>
      <c r="G12" s="27">
        <v>79.650000000000006</v>
      </c>
      <c r="H12" s="27">
        <v>59.63</v>
      </c>
      <c r="I12" s="98">
        <f t="shared" ref="I12:I13" si="6">H12*12/9</f>
        <v>79.506666666666675</v>
      </c>
      <c r="K12" s="62" t="s">
        <v>19</v>
      </c>
      <c r="L12" s="61">
        <f t="shared" ref="L12:L13" si="7">C12/C$7</f>
        <v>2.0358753863685183E-2</v>
      </c>
      <c r="M12" s="61">
        <f t="shared" ref="M12:M13" si="8">D12/D$7</f>
        <v>2.1178679802419408E-2</v>
      </c>
      <c r="N12" s="61">
        <f t="shared" ref="N12:N13" si="9">E12/E$7</f>
        <v>1.4777301414482748E-2</v>
      </c>
      <c r="O12" s="61">
        <f t="shared" ref="O12:O13" si="10">F12/F$7</f>
        <v>1.7840395351393579E-2</v>
      </c>
      <c r="P12" s="61">
        <f t="shared" ref="P12:Q13" si="11">G12/G$7</f>
        <v>1.8997984520160761E-2</v>
      </c>
      <c r="Q12" s="61">
        <f t="shared" si="11"/>
        <v>1.5826001565879745E-2</v>
      </c>
    </row>
    <row r="13" spans="1:17" x14ac:dyDescent="0.25">
      <c r="B13" s="50" t="s">
        <v>21</v>
      </c>
      <c r="C13" s="9">
        <v>363.69</v>
      </c>
      <c r="D13" s="9">
        <v>1877.84</v>
      </c>
      <c r="E13" s="27">
        <v>1516.57</v>
      </c>
      <c r="F13" s="27">
        <v>1358.41</v>
      </c>
      <c r="G13" s="27">
        <v>689.66</v>
      </c>
      <c r="H13" s="27">
        <v>583.39</v>
      </c>
      <c r="I13" s="98">
        <f t="shared" si="6"/>
        <v>777.85333333333335</v>
      </c>
      <c r="K13" s="62" t="s">
        <v>21</v>
      </c>
      <c r="L13" s="61">
        <f t="shared" si="7"/>
        <v>0.13240835466172504</v>
      </c>
      <c r="M13" s="61">
        <f t="shared" si="8"/>
        <v>0.51105335492386617</v>
      </c>
      <c r="N13" s="61">
        <f t="shared" si="9"/>
        <v>0.34256820553595385</v>
      </c>
      <c r="O13" s="61">
        <f t="shared" si="10"/>
        <v>0.31770544637239845</v>
      </c>
      <c r="P13" s="61">
        <f t="shared" si="11"/>
        <v>0.16449654744725761</v>
      </c>
      <c r="Q13" s="61">
        <f t="shared" si="11"/>
        <v>0.15483365845243308</v>
      </c>
    </row>
    <row r="14" spans="1:17" ht="30" x14ac:dyDescent="0.25">
      <c r="B14" s="13" t="s">
        <v>23</v>
      </c>
      <c r="C14" s="14">
        <f>SUM(C11:C13)</f>
        <v>2174.6799999999998</v>
      </c>
      <c r="D14" s="14">
        <f t="shared" ref="D14:G14" si="12">SUM(D11:D13)</f>
        <v>3681.74</v>
      </c>
      <c r="E14" s="14">
        <f t="shared" si="12"/>
        <v>4382.57</v>
      </c>
      <c r="F14" s="14">
        <f t="shared" si="12"/>
        <v>3543.2200000000003</v>
      </c>
      <c r="G14" s="53">
        <f t="shared" si="12"/>
        <v>2781.9199999999996</v>
      </c>
      <c r="H14" s="36">
        <f t="shared" ref="H14:I14" si="13">SUM(H11:H13)</f>
        <v>3041.89</v>
      </c>
      <c r="I14" s="36">
        <f t="shared" si="13"/>
        <v>4055.8533333333335</v>
      </c>
      <c r="K14" s="62" t="s">
        <v>22</v>
      </c>
      <c r="L14" s="61">
        <f>C16/C9</f>
        <v>0.18495861051100512</v>
      </c>
      <c r="M14" s="61">
        <f>D16/D9</f>
        <v>0.17890953649276706</v>
      </c>
      <c r="N14" s="61">
        <f>E16/E9</f>
        <v>0.14572464056712733</v>
      </c>
      <c r="O14" s="61">
        <f>F16/F9</f>
        <v>0.15058346354599556</v>
      </c>
      <c r="P14" s="61">
        <f>G16/G9</f>
        <v>0.15738016492171719</v>
      </c>
    </row>
    <row r="15" spans="1:17" x14ac:dyDescent="0.25">
      <c r="B15" s="44" t="s">
        <v>121</v>
      </c>
      <c r="C15" s="14">
        <f t="shared" ref="C15:I15" si="14">C9-C14</f>
        <v>630.38000000000011</v>
      </c>
      <c r="D15" s="14">
        <f t="shared" si="14"/>
        <v>219.17000000000007</v>
      </c>
      <c r="E15" s="14">
        <f t="shared" si="14"/>
        <v>388.14000000000033</v>
      </c>
      <c r="F15" s="14">
        <f t="shared" si="14"/>
        <v>968.6299999999992</v>
      </c>
      <c r="G15" s="53">
        <f t="shared" si="14"/>
        <v>1490.4100000000003</v>
      </c>
      <c r="H15" s="36">
        <f t="shared" si="14"/>
        <v>1211.5000000000005</v>
      </c>
      <c r="I15" s="36">
        <f t="shared" si="14"/>
        <v>1615.333333333333</v>
      </c>
      <c r="K15" s="62" t="s">
        <v>20</v>
      </c>
      <c r="L15" s="32"/>
      <c r="M15" s="63">
        <f>D18/D7</f>
        <v>2.0895644246077646E-2</v>
      </c>
      <c r="N15" s="63">
        <f>E18/E7</f>
        <v>1.241681838511337E-2</v>
      </c>
      <c r="O15" s="63">
        <f>F18/F7</f>
        <v>8.4921965811366133E-3</v>
      </c>
      <c r="P15" s="63">
        <f>G18/G7</f>
        <v>9.2879035431897052E-3</v>
      </c>
    </row>
    <row r="16" spans="1:17" x14ac:dyDescent="0.25">
      <c r="B16" s="64" t="s">
        <v>22</v>
      </c>
      <c r="C16" s="9">
        <v>518.82000000000005</v>
      </c>
      <c r="D16" s="9">
        <v>697.91</v>
      </c>
      <c r="E16" s="27">
        <v>695.21</v>
      </c>
      <c r="F16" s="27">
        <v>679.41</v>
      </c>
      <c r="G16" s="27">
        <v>672.38</v>
      </c>
      <c r="H16" s="27">
        <v>506.93</v>
      </c>
      <c r="I16" s="98">
        <f t="shared" ref="I16:I18" si="15">H16*12/9</f>
        <v>675.90666666666664</v>
      </c>
      <c r="K16" s="62" t="s">
        <v>207</v>
      </c>
      <c r="L16" s="104">
        <f>C13</f>
        <v>363.69</v>
      </c>
      <c r="M16" s="104">
        <f>D13</f>
        <v>1877.84</v>
      </c>
      <c r="N16" s="104">
        <f>E13</f>
        <v>1516.57</v>
      </c>
      <c r="O16" s="104">
        <f>F13</f>
        <v>1358.41</v>
      </c>
      <c r="P16" s="104">
        <f>G13</f>
        <v>689.66</v>
      </c>
    </row>
    <row r="17" spans="2:25" x14ac:dyDescent="0.25">
      <c r="B17" s="44" t="s">
        <v>122</v>
      </c>
      <c r="C17" s="14">
        <f>C15-C16</f>
        <v>111.56000000000006</v>
      </c>
      <c r="D17" s="14">
        <f t="shared" ref="D17:I17" si="16">D15-D16</f>
        <v>-478.7399999999999</v>
      </c>
      <c r="E17" s="14">
        <f t="shared" si="16"/>
        <v>-307.06999999999971</v>
      </c>
      <c r="F17" s="14">
        <f t="shared" si="16"/>
        <v>289.21999999999923</v>
      </c>
      <c r="G17" s="53">
        <f t="shared" si="16"/>
        <v>818.03000000000031</v>
      </c>
      <c r="H17" s="36">
        <f t="shared" si="16"/>
        <v>704.57000000000039</v>
      </c>
      <c r="I17" s="162">
        <f t="shared" si="16"/>
        <v>939.42666666666639</v>
      </c>
      <c r="K17" s="62" t="s">
        <v>206</v>
      </c>
      <c r="L17" s="32"/>
      <c r="M17" s="32"/>
      <c r="N17" s="95">
        <v>931.59</v>
      </c>
      <c r="O17" s="98">
        <v>798.27</v>
      </c>
      <c r="P17" s="95">
        <v>0</v>
      </c>
    </row>
    <row r="18" spans="2:25" x14ac:dyDescent="0.25">
      <c r="B18" s="15" t="s">
        <v>20</v>
      </c>
      <c r="C18" s="9">
        <v>1851.45</v>
      </c>
      <c r="D18" s="9">
        <v>76.78</v>
      </c>
      <c r="E18" s="27">
        <v>54.97</v>
      </c>
      <c r="F18" s="27">
        <v>36.31</v>
      </c>
      <c r="G18" s="27">
        <v>38.94</v>
      </c>
      <c r="H18" s="27">
        <v>24.46</v>
      </c>
      <c r="I18" s="98">
        <f t="shared" si="15"/>
        <v>32.61333333333333</v>
      </c>
      <c r="K18" s="62" t="s">
        <v>205</v>
      </c>
      <c r="L18" s="104">
        <f>L16-L17</f>
        <v>363.69</v>
      </c>
      <c r="M18" s="104">
        <f t="shared" ref="M18:P18" si="17">M16-M17</f>
        <v>1877.84</v>
      </c>
      <c r="N18" s="104">
        <f t="shared" si="17"/>
        <v>584.9799999999999</v>
      </c>
      <c r="O18" s="104">
        <f t="shared" si="17"/>
        <v>560.1400000000001</v>
      </c>
      <c r="P18" s="104">
        <f t="shared" si="17"/>
        <v>689.66</v>
      </c>
    </row>
    <row r="19" spans="2:25" ht="18" customHeight="1" x14ac:dyDescent="0.25">
      <c r="B19" s="44" t="s">
        <v>66</v>
      </c>
      <c r="C19" s="14">
        <f t="shared" ref="C19:I19" si="18">C17-C18</f>
        <v>-1739.8899999999999</v>
      </c>
      <c r="D19" s="14">
        <f t="shared" si="18"/>
        <v>-555.51999999999987</v>
      </c>
      <c r="E19" s="14">
        <f t="shared" si="18"/>
        <v>-362.03999999999974</v>
      </c>
      <c r="F19" s="14">
        <f t="shared" si="18"/>
        <v>252.90999999999923</v>
      </c>
      <c r="G19" s="53">
        <f t="shared" si="18"/>
        <v>779.09000000000037</v>
      </c>
      <c r="H19" s="36">
        <f t="shared" si="18"/>
        <v>680.11000000000035</v>
      </c>
      <c r="I19" s="162">
        <f t="shared" si="18"/>
        <v>906.81333333333305</v>
      </c>
      <c r="K19" s="62" t="s">
        <v>204</v>
      </c>
      <c r="L19" s="63">
        <f>L18/C7</f>
        <v>0.13240835466172504</v>
      </c>
      <c r="M19" s="63">
        <f>M18/D7</f>
        <v>0.51105335492386617</v>
      </c>
      <c r="N19" s="63">
        <f>N18/E7</f>
        <v>0.13213735526511949</v>
      </c>
      <c r="O19" s="63">
        <f>O18/F7</f>
        <v>0.13100575579614054</v>
      </c>
      <c r="P19" s="63">
        <f>P18/G7</f>
        <v>0.16449654744725761</v>
      </c>
    </row>
    <row r="20" spans="2:25" ht="17.25" customHeight="1" x14ac:dyDescent="0.25">
      <c r="B20" s="16" t="s">
        <v>127</v>
      </c>
      <c r="C20" s="9"/>
      <c r="D20" s="9"/>
      <c r="E20" s="27"/>
      <c r="F20" s="27"/>
      <c r="G20" s="27"/>
      <c r="H20" s="27"/>
      <c r="I20" s="98"/>
    </row>
    <row r="21" spans="2:25" ht="17.25" customHeight="1" x14ac:dyDescent="0.25">
      <c r="B21" s="15" t="s">
        <v>42</v>
      </c>
      <c r="C21" s="9">
        <v>-178.74</v>
      </c>
      <c r="D21" s="9">
        <v>153.97</v>
      </c>
      <c r="E21" s="27">
        <v>162.09</v>
      </c>
      <c r="F21" s="27">
        <v>166.96</v>
      </c>
      <c r="G21" s="27">
        <v>447.67</v>
      </c>
      <c r="H21" s="27" t="s">
        <v>6</v>
      </c>
      <c r="I21" s="35" t="s">
        <v>6</v>
      </c>
    </row>
    <row r="22" spans="2:25" x14ac:dyDescent="0.25">
      <c r="B22" s="15" t="s">
        <v>244</v>
      </c>
      <c r="C22" s="9"/>
      <c r="D22" s="9"/>
      <c r="E22" s="27"/>
      <c r="F22" s="27"/>
      <c r="G22" s="27"/>
      <c r="H22" s="27"/>
      <c r="I22" s="35">
        <f>I19*29.12%</f>
        <v>264.06404266666658</v>
      </c>
      <c r="Q22" s="93"/>
      <c r="R22" s="93"/>
      <c r="S22" s="93"/>
      <c r="T22" s="93"/>
      <c r="U22" s="93"/>
      <c r="V22" s="93"/>
      <c r="W22" s="93"/>
      <c r="X22" s="93"/>
      <c r="Y22" s="93"/>
    </row>
    <row r="23" spans="2:25" x14ac:dyDescent="0.25">
      <c r="B23" s="44" t="s">
        <v>24</v>
      </c>
      <c r="C23" s="14">
        <f>SUM(C21:C22)</f>
        <v>-178.74</v>
      </c>
      <c r="D23" s="14">
        <f t="shared" ref="D23:I23" si="19">SUM(D21:D22)</f>
        <v>153.97</v>
      </c>
      <c r="E23" s="14">
        <f t="shared" si="19"/>
        <v>162.09</v>
      </c>
      <c r="F23" s="14">
        <f t="shared" si="19"/>
        <v>166.96</v>
      </c>
      <c r="G23" s="14">
        <f t="shared" si="19"/>
        <v>447.67</v>
      </c>
      <c r="H23" s="14">
        <f t="shared" si="19"/>
        <v>0</v>
      </c>
      <c r="I23" s="14">
        <f t="shared" si="19"/>
        <v>264.06404266666658</v>
      </c>
      <c r="Q23" s="93"/>
      <c r="R23" s="93"/>
      <c r="S23" s="93"/>
    </row>
    <row r="24" spans="2:25" x14ac:dyDescent="0.25">
      <c r="B24" s="44" t="s">
        <v>43</v>
      </c>
      <c r="C24" s="14">
        <f t="shared" ref="C24:I24" si="20">C19-C23</f>
        <v>-1561.1499999999999</v>
      </c>
      <c r="D24" s="14">
        <f t="shared" si="20"/>
        <v>-709.4899999999999</v>
      </c>
      <c r="E24" s="36">
        <f t="shared" si="20"/>
        <v>-524.12999999999977</v>
      </c>
      <c r="F24" s="36">
        <f t="shared" si="20"/>
        <v>85.949999999999221</v>
      </c>
      <c r="G24" s="36">
        <f t="shared" si="20"/>
        <v>331.42000000000036</v>
      </c>
      <c r="H24" s="36">
        <f t="shared" si="20"/>
        <v>680.11000000000035</v>
      </c>
      <c r="I24" s="162">
        <f t="shared" si="20"/>
        <v>642.74929066666641</v>
      </c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2:25" x14ac:dyDescent="0.25">
      <c r="B25" s="16" t="s">
        <v>44</v>
      </c>
      <c r="C25" s="9"/>
      <c r="D25" s="9"/>
      <c r="E25" s="27"/>
      <c r="F25" s="27"/>
      <c r="G25" s="27"/>
      <c r="H25" s="27"/>
      <c r="I25" s="98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2:25" x14ac:dyDescent="0.25">
      <c r="B26" s="50" t="s">
        <v>114</v>
      </c>
      <c r="C26" s="9">
        <v>-0.18</v>
      </c>
      <c r="D26" s="9">
        <v>-1.88</v>
      </c>
      <c r="E26" s="27">
        <v>-2.66</v>
      </c>
      <c r="F26" s="27">
        <v>-1.83</v>
      </c>
      <c r="G26" s="27">
        <v>3.08</v>
      </c>
      <c r="H26" s="27" t="s">
        <v>6</v>
      </c>
      <c r="I26" s="35" t="s">
        <v>6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2:25" ht="15.75" customHeight="1" x14ac:dyDescent="0.25">
      <c r="B27" s="47" t="s">
        <v>115</v>
      </c>
      <c r="C27" s="9">
        <v>0.06</v>
      </c>
      <c r="D27" s="9">
        <v>0.66</v>
      </c>
      <c r="E27" s="27">
        <v>0.93</v>
      </c>
      <c r="F27" s="27">
        <v>0.64</v>
      </c>
      <c r="G27" s="27">
        <v>-0.77</v>
      </c>
      <c r="H27" s="27" t="s">
        <v>6</v>
      </c>
      <c r="I27" s="35" t="s">
        <v>6</v>
      </c>
    </row>
    <row r="28" spans="2:25" x14ac:dyDescent="0.25">
      <c r="B28" s="7"/>
      <c r="C28" s="12">
        <f>SUM(C26:C27)</f>
        <v>-0.12</v>
      </c>
      <c r="D28" s="12">
        <f t="shared" ref="D28:H28" si="21">SUM(D26:D27)</f>
        <v>-1.2199999999999998</v>
      </c>
      <c r="E28" s="28">
        <f t="shared" si="21"/>
        <v>-1.73</v>
      </c>
      <c r="F28" s="28">
        <f t="shared" si="21"/>
        <v>-1.19</v>
      </c>
      <c r="G28" s="28">
        <f t="shared" si="21"/>
        <v>2.31</v>
      </c>
      <c r="H28" s="28">
        <f t="shared" si="21"/>
        <v>0</v>
      </c>
      <c r="I28" s="163">
        <f t="shared" ref="I28" si="22">SUM(I26:I27)</f>
        <v>0</v>
      </c>
    </row>
    <row r="29" spans="2:25" x14ac:dyDescent="0.25">
      <c r="B29" s="44" t="s">
        <v>116</v>
      </c>
      <c r="C29" s="14">
        <f t="shared" ref="C29:I29" si="23">C24+C28</f>
        <v>-1561.2699999999998</v>
      </c>
      <c r="D29" s="14">
        <f t="shared" si="23"/>
        <v>-710.70999999999992</v>
      </c>
      <c r="E29" s="36">
        <f t="shared" si="23"/>
        <v>-525.85999999999979</v>
      </c>
      <c r="F29" s="36">
        <f t="shared" si="23"/>
        <v>84.759999999999224</v>
      </c>
      <c r="G29" s="36">
        <f t="shared" si="23"/>
        <v>333.73000000000036</v>
      </c>
      <c r="H29" s="36">
        <f t="shared" si="23"/>
        <v>680.11000000000035</v>
      </c>
      <c r="I29" s="162">
        <f t="shared" si="23"/>
        <v>642.74929066666641</v>
      </c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2:25" ht="9" customHeight="1" x14ac:dyDescent="0.25"/>
    <row r="31" spans="2:25" x14ac:dyDescent="0.25">
      <c r="B31" s="32" t="s">
        <v>117</v>
      </c>
      <c r="C31" s="65">
        <f t="shared" ref="C31:I31" si="24">C15/C7</f>
        <v>0.22950198963858848</v>
      </c>
      <c r="D31" s="65">
        <f t="shared" si="24"/>
        <v>5.9647022003293033E-2</v>
      </c>
      <c r="E31" s="65">
        <f t="shared" si="24"/>
        <v>8.7674438566452739E-2</v>
      </c>
      <c r="F31" s="65">
        <f t="shared" si="24"/>
        <v>0.22654355203487608</v>
      </c>
      <c r="G31" s="65">
        <f t="shared" si="24"/>
        <v>0.35549009552658889</v>
      </c>
      <c r="H31" s="65">
        <f t="shared" si="24"/>
        <v>0.32153615457090928</v>
      </c>
      <c r="I31" s="65">
        <f t="shared" si="24"/>
        <v>0.32153615457090912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2:25" x14ac:dyDescent="0.25">
      <c r="B32" s="32" t="s">
        <v>118</v>
      </c>
      <c r="C32" s="65">
        <f t="shared" ref="C32:I32" si="25">C17/C7</f>
        <v>4.0615568330341918E-2</v>
      </c>
      <c r="D32" s="65">
        <f t="shared" si="25"/>
        <v>-0.13028888677216996</v>
      </c>
      <c r="E32" s="65">
        <f t="shared" si="25"/>
        <v>-6.9362059696502804E-2</v>
      </c>
      <c r="F32" s="65">
        <f t="shared" si="25"/>
        <v>6.764288337087096E-2</v>
      </c>
      <c r="G32" s="65">
        <f t="shared" si="25"/>
        <v>0.19511514472099326</v>
      </c>
      <c r="H32" s="65">
        <f t="shared" si="25"/>
        <v>0.18699523600992618</v>
      </c>
      <c r="I32" s="65">
        <f t="shared" si="25"/>
        <v>0.18699523600992607</v>
      </c>
    </row>
    <row r="33" spans="2:25" x14ac:dyDescent="0.25">
      <c r="B33" s="32" t="s">
        <v>119</v>
      </c>
      <c r="C33" s="65">
        <f t="shared" ref="C33:I33" si="26">C24/C7</f>
        <v>-0.56836674882496641</v>
      </c>
      <c r="D33" s="65">
        <f t="shared" si="26"/>
        <v>-0.19308740083549916</v>
      </c>
      <c r="E33" s="65">
        <f t="shared" si="26"/>
        <v>-0.11839234164434179</v>
      </c>
      <c r="F33" s="65">
        <f t="shared" si="26"/>
        <v>2.010201862155564E-2</v>
      </c>
      <c r="G33" s="65">
        <f t="shared" si="26"/>
        <v>7.9049742996505787E-2</v>
      </c>
      <c r="H33" s="65">
        <f t="shared" si="26"/>
        <v>0.18050347014875867</v>
      </c>
      <c r="I33" s="65">
        <f t="shared" si="26"/>
        <v>0.12794085964144006</v>
      </c>
      <c r="N33" s="106"/>
      <c r="O33" s="106"/>
      <c r="P33" s="106"/>
      <c r="Q33" s="106"/>
      <c r="R33" s="106"/>
      <c r="S33" s="106"/>
      <c r="T33" s="99"/>
      <c r="U33" s="99"/>
      <c r="V33" s="99"/>
      <c r="W33" s="99"/>
      <c r="X33" s="99"/>
      <c r="Y33" s="99"/>
    </row>
    <row r="34" spans="2:25" x14ac:dyDescent="0.25">
      <c r="B34" s="32" t="s">
        <v>120</v>
      </c>
      <c r="C34" s="32"/>
      <c r="D34" s="65">
        <f t="shared" ref="D34:I34" si="27">D7/C7-1</f>
        <v>0.33775434789731773</v>
      </c>
      <c r="E34" s="65">
        <f t="shared" si="27"/>
        <v>0.2048224904407463</v>
      </c>
      <c r="F34" s="65">
        <f t="shared" si="27"/>
        <v>-3.4191991976616709E-2</v>
      </c>
      <c r="G34" s="65">
        <f t="shared" si="27"/>
        <v>-1.9444814755045225E-2</v>
      </c>
      <c r="H34" s="65">
        <f t="shared" si="27"/>
        <v>-0.10129873227510711</v>
      </c>
      <c r="I34" s="65">
        <f>I7/G7-1</f>
        <v>0.19826835696652378</v>
      </c>
    </row>
  </sheetData>
  <mergeCells count="1">
    <mergeCell ref="B4:G4"/>
  </mergeCells>
  <pageMargins left="0.7" right="0.7" top="0.75" bottom="0.75" header="0.3" footer="0.3"/>
  <ignoredErrors>
    <ignoredError sqref="C9" formulaRange="1"/>
    <ignoredError sqref="I17:I18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7791E-F69E-40FC-91DC-2746BE0F03A9}">
  <sheetPr>
    <tabColor theme="7" tint="0.59999389629810485"/>
  </sheetPr>
  <dimension ref="A1:W40"/>
  <sheetViews>
    <sheetView showGridLines="0" topLeftCell="A9" zoomScaleNormal="100" workbookViewId="0">
      <selection activeCell="H32" sqref="H32:L32"/>
    </sheetView>
  </sheetViews>
  <sheetFormatPr defaultRowHeight="15" x14ac:dyDescent="0.25"/>
  <cols>
    <col min="1" max="1" width="5.42578125" customWidth="1"/>
    <col min="2" max="2" width="40.140625" customWidth="1"/>
    <col min="3" max="7" width="9.28515625" customWidth="1"/>
    <col min="8" max="8" width="12.140625" customWidth="1"/>
    <col min="9" max="12" width="12.5703125" bestFit="1" customWidth="1"/>
    <col min="13" max="13" width="10.42578125" customWidth="1"/>
    <col min="14" max="14" width="6.42578125" customWidth="1"/>
    <col min="15" max="15" width="0" hidden="1" customWidth="1"/>
    <col min="16" max="16" width="26.5703125" customWidth="1"/>
    <col min="22" max="22" width="11.7109375" customWidth="1"/>
  </cols>
  <sheetData>
    <row r="1" spans="1:23" x14ac:dyDescent="0.25">
      <c r="A1" s="2"/>
      <c r="B1" s="2"/>
      <c r="C1" s="2"/>
      <c r="D1" s="2"/>
      <c r="E1" s="2"/>
      <c r="F1" s="2"/>
      <c r="G1" s="2"/>
    </row>
    <row r="2" spans="1:23" x14ac:dyDescent="0.25">
      <c r="A2" s="2"/>
      <c r="B2" s="171" t="s">
        <v>99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3" ht="10.5" customHeight="1" x14ac:dyDescent="0.25">
      <c r="A3" s="2"/>
      <c r="B3" s="2"/>
      <c r="C3" s="2"/>
      <c r="D3" s="2"/>
      <c r="E3" s="2"/>
      <c r="F3" s="2"/>
      <c r="G3" s="2"/>
    </row>
    <row r="4" spans="1:23" x14ac:dyDescent="0.25">
      <c r="A4" s="2"/>
      <c r="B4" s="172" t="s">
        <v>107</v>
      </c>
      <c r="C4" s="172"/>
      <c r="D4" s="172"/>
      <c r="E4" s="172"/>
      <c r="F4" s="172"/>
      <c r="G4" s="172"/>
      <c r="H4" s="69"/>
      <c r="I4" s="69"/>
      <c r="J4" s="69"/>
      <c r="K4" s="69"/>
      <c r="L4" s="69"/>
      <c r="M4" s="69"/>
    </row>
    <row r="5" spans="1:23" x14ac:dyDescent="0.25">
      <c r="A5" s="2"/>
      <c r="B5" s="2"/>
      <c r="C5" s="2"/>
      <c r="D5" s="2"/>
      <c r="E5" s="2"/>
      <c r="F5" s="2"/>
      <c r="G5" s="2"/>
      <c r="H5" s="123"/>
      <c r="I5" s="123">
        <v>0</v>
      </c>
      <c r="J5" s="123">
        <v>0</v>
      </c>
      <c r="K5" s="123">
        <v>2.5000000000000001E-3</v>
      </c>
      <c r="L5" s="123">
        <v>2.5000000000000001E-3</v>
      </c>
      <c r="M5" s="123"/>
    </row>
    <row r="6" spans="1:23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I6" si="0">D6+1</f>
        <v>2020</v>
      </c>
      <c r="F6" s="51">
        <f t="shared" si="0"/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ref="J6" si="1">I6+1</f>
        <v>2025</v>
      </c>
      <c r="K6" s="165">
        <f t="shared" ref="K6" si="2">J6+1</f>
        <v>2026</v>
      </c>
      <c r="L6" s="165">
        <f t="shared" ref="L6" si="3">K6+1</f>
        <v>2027</v>
      </c>
      <c r="M6" s="178" t="s">
        <v>201</v>
      </c>
    </row>
    <row r="7" spans="1:23" ht="18" customHeight="1" x14ac:dyDescent="0.25">
      <c r="B7" s="3" t="s">
        <v>238</v>
      </c>
      <c r="C7" s="146"/>
      <c r="D7" s="146"/>
      <c r="E7" s="147"/>
      <c r="F7" s="147"/>
      <c r="G7" s="148"/>
      <c r="H7" s="149">
        <v>1</v>
      </c>
      <c r="I7" s="149">
        <v>12</v>
      </c>
      <c r="J7" s="149">
        <v>12</v>
      </c>
      <c r="K7" s="149">
        <v>12</v>
      </c>
      <c r="L7" s="149">
        <v>12</v>
      </c>
      <c r="M7" s="179"/>
    </row>
    <row r="8" spans="1:23" x14ac:dyDescent="0.25">
      <c r="B8" s="15" t="s">
        <v>123</v>
      </c>
      <c r="C8" s="9">
        <v>2746.73</v>
      </c>
      <c r="D8" s="9">
        <v>3674.45</v>
      </c>
      <c r="E8" s="27">
        <v>4427.0600000000004</v>
      </c>
      <c r="F8" s="27">
        <v>4275.6899999999996</v>
      </c>
      <c r="G8" s="27">
        <v>4192.55</v>
      </c>
      <c r="H8" s="27">
        <f>'P&amp;L'!I7</f>
        <v>5023.7999999999993</v>
      </c>
      <c r="I8" s="27">
        <f t="shared" ref="I8:L8" si="4">H8*(1+I5)</f>
        <v>5023.7999999999993</v>
      </c>
      <c r="J8" s="27">
        <f t="shared" si="4"/>
        <v>5023.7999999999993</v>
      </c>
      <c r="K8" s="27">
        <f t="shared" si="4"/>
        <v>5036.3594999999987</v>
      </c>
      <c r="L8" s="27">
        <f t="shared" si="4"/>
        <v>5048.9503987499984</v>
      </c>
      <c r="M8" s="27">
        <f>L8*(1+H28)</f>
        <v>5112.0622787343727</v>
      </c>
      <c r="P8" s="58" t="s">
        <v>41</v>
      </c>
      <c r="Q8" s="59">
        <v>2018</v>
      </c>
      <c r="R8" s="59">
        <f>Q8+1</f>
        <v>2019</v>
      </c>
      <c r="S8" s="59">
        <f t="shared" ref="S8:U8" si="5">R8+1</f>
        <v>2020</v>
      </c>
      <c r="T8" s="59">
        <f t="shared" si="5"/>
        <v>2021</v>
      </c>
      <c r="U8" s="60">
        <f t="shared" si="5"/>
        <v>2022</v>
      </c>
      <c r="V8" s="60">
        <f>'P&amp;L'!Q9</f>
        <v>2023</v>
      </c>
      <c r="W8" s="60" t="s">
        <v>146</v>
      </c>
    </row>
    <row r="9" spans="1:23" x14ac:dyDescent="0.25">
      <c r="B9" s="15" t="s">
        <v>243</v>
      </c>
      <c r="C9" s="9">
        <f>'P&amp;L'!C8</f>
        <v>58.33</v>
      </c>
      <c r="D9" s="9">
        <f>'P&amp;L'!D8</f>
        <v>226.46</v>
      </c>
      <c r="E9" s="9">
        <f>'P&amp;L'!E8</f>
        <v>343.65</v>
      </c>
      <c r="F9" s="9">
        <f>'P&amp;L'!F8</f>
        <v>236.16</v>
      </c>
      <c r="G9" s="9">
        <f>'P&amp;L'!G8</f>
        <v>79.78</v>
      </c>
      <c r="H9" s="27">
        <f>'P&amp;L'!I8</f>
        <v>647.38666666666677</v>
      </c>
      <c r="I9" s="27">
        <f>I8*$W$9</f>
        <v>304.45748221651394</v>
      </c>
      <c r="J9" s="27">
        <f>J8*$W$9</f>
        <v>304.45748221651394</v>
      </c>
      <c r="K9" s="27">
        <f>K8*$W$9</f>
        <v>305.2186259220552</v>
      </c>
      <c r="L9" s="27">
        <f>L8*$W$9</f>
        <v>305.9816724868603</v>
      </c>
      <c r="M9" s="27">
        <f t="shared" ref="M9" si="6">M8*$W$9</f>
        <v>309.80644339294605</v>
      </c>
      <c r="P9" s="62" t="s">
        <v>124</v>
      </c>
      <c r="Q9" s="61">
        <f t="shared" ref="Q9:V9" si="7">C9/C8</f>
        <v>2.1236160816680196E-2</v>
      </c>
      <c r="R9" s="61">
        <f t="shared" si="7"/>
        <v>6.1630992393419431E-2</v>
      </c>
      <c r="S9" s="61">
        <f t="shared" si="7"/>
        <v>7.7624879717013082E-2</v>
      </c>
      <c r="T9" s="61">
        <f t="shared" si="7"/>
        <v>5.523319043242144E-2</v>
      </c>
      <c r="U9" s="61">
        <f t="shared" si="7"/>
        <v>1.9028991902302894E-2</v>
      </c>
      <c r="V9" s="61">
        <f t="shared" si="7"/>
        <v>0.12886394097429574</v>
      </c>
      <c r="W9" s="61">
        <f>AVERAGE(Q9:V9)</f>
        <v>6.0603026039355468E-2</v>
      </c>
    </row>
    <row r="10" spans="1:23" x14ac:dyDescent="0.25">
      <c r="B10" s="44" t="s">
        <v>242</v>
      </c>
      <c r="C10" s="14">
        <f>SUM(C8:C9)</f>
        <v>2805.06</v>
      </c>
      <c r="D10" s="14">
        <f t="shared" ref="D10:M10" si="8">SUM(D8:D9)</f>
        <v>3900.91</v>
      </c>
      <c r="E10" s="14">
        <f t="shared" si="8"/>
        <v>4770.71</v>
      </c>
      <c r="F10" s="14">
        <f t="shared" si="8"/>
        <v>4511.8499999999995</v>
      </c>
      <c r="G10" s="14">
        <f t="shared" si="8"/>
        <v>4272.33</v>
      </c>
      <c r="H10" s="14">
        <f t="shared" si="8"/>
        <v>5671.1866666666665</v>
      </c>
      <c r="I10" s="14">
        <f t="shared" si="8"/>
        <v>5328.2574822165134</v>
      </c>
      <c r="J10" s="14">
        <f t="shared" si="8"/>
        <v>5328.2574822165134</v>
      </c>
      <c r="K10" s="14">
        <f t="shared" si="8"/>
        <v>5341.5781259220539</v>
      </c>
      <c r="L10" s="14">
        <f t="shared" si="8"/>
        <v>5354.932071236859</v>
      </c>
      <c r="M10" s="14">
        <f t="shared" si="8"/>
        <v>5421.8687221273185</v>
      </c>
      <c r="P10" s="32" t="s">
        <v>128</v>
      </c>
      <c r="Q10" s="61">
        <f t="shared" ref="Q10:U11" si="9">C12/C$8</f>
        <v>0.63896706265268155</v>
      </c>
      <c r="R10" s="61">
        <f t="shared" si="9"/>
        <v>0.46975193566384082</v>
      </c>
      <c r="S10" s="61">
        <f t="shared" si="9"/>
        <v>0.63260493420012376</v>
      </c>
      <c r="T10" s="61">
        <f t="shared" si="9"/>
        <v>0.49314379667375335</v>
      </c>
      <c r="U10" s="61">
        <f t="shared" si="9"/>
        <v>0.48004436440829562</v>
      </c>
      <c r="V10" s="61">
        <f>'P&amp;L'!Q11</f>
        <v>0.63666812638507375</v>
      </c>
      <c r="W10" s="61">
        <f>AVERAGE(Q10:V10)</f>
        <v>0.5585300366639615</v>
      </c>
    </row>
    <row r="11" spans="1:23" ht="15.75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P11" s="62" t="s">
        <v>19</v>
      </c>
      <c r="Q11" s="61">
        <f t="shared" si="9"/>
        <v>2.0358753863685183E-2</v>
      </c>
      <c r="R11" s="61">
        <f t="shared" si="9"/>
        <v>2.1178679802419408E-2</v>
      </c>
      <c r="S11" s="61">
        <f t="shared" si="9"/>
        <v>1.4777301414482748E-2</v>
      </c>
      <c r="T11" s="61">
        <f t="shared" si="9"/>
        <v>1.7840395351393579E-2</v>
      </c>
      <c r="U11" s="61">
        <f t="shared" si="9"/>
        <v>1.8997984520160761E-2</v>
      </c>
      <c r="V11" s="61">
        <f>'P&amp;L'!Q12</f>
        <v>1.5826001565879745E-2</v>
      </c>
      <c r="W11" s="61">
        <f>AVERAGE(Q11:V11)</f>
        <v>1.8163186086336904E-2</v>
      </c>
    </row>
    <row r="12" spans="1:23" ht="17.25" customHeight="1" x14ac:dyDescent="0.25">
      <c r="B12" s="50" t="s">
        <v>18</v>
      </c>
      <c r="C12" s="9">
        <v>1755.07</v>
      </c>
      <c r="D12" s="9">
        <v>1726.08</v>
      </c>
      <c r="E12" s="27">
        <v>2800.58</v>
      </c>
      <c r="F12" s="27">
        <v>2108.5300000000002</v>
      </c>
      <c r="G12" s="27">
        <v>2012.61</v>
      </c>
      <c r="H12" s="27">
        <f>'P&amp;L'!I11</f>
        <v>3198.4933333333333</v>
      </c>
      <c r="I12" s="27">
        <f>I8*$W$10</f>
        <v>2805.9431981924095</v>
      </c>
      <c r="J12" s="27">
        <f>J8*$W$10</f>
        <v>2805.9431981924095</v>
      </c>
      <c r="K12" s="27">
        <f>K8*$W$10</f>
        <v>2812.9580561878902</v>
      </c>
      <c r="L12" s="27">
        <f>L8*$W$10</f>
        <v>2819.9904513283595</v>
      </c>
      <c r="M12" s="27">
        <f t="shared" ref="M12" si="10">M8*$W$10</f>
        <v>2855.2403319699638</v>
      </c>
      <c r="P12" s="62" t="s">
        <v>208</v>
      </c>
      <c r="Q12" s="61">
        <f>'P&amp;L'!L19</f>
        <v>0.13240835466172504</v>
      </c>
      <c r="R12" s="61">
        <f>'P&amp;L'!M19</f>
        <v>0.51105335492386617</v>
      </c>
      <c r="S12" s="61">
        <f>'P&amp;L'!N19</f>
        <v>0.13213735526511949</v>
      </c>
      <c r="T12" s="61">
        <f>'P&amp;L'!O19</f>
        <v>0.13100575579614054</v>
      </c>
      <c r="U12" s="61">
        <f>'P&amp;L'!P19</f>
        <v>0.16449654744725761</v>
      </c>
      <c r="V12" s="61">
        <f>'P&amp;L'!Q13</f>
        <v>0.15483365845243308</v>
      </c>
      <c r="W12" s="61">
        <f>AVERAGE(S12:V12)</f>
        <v>0.14561832924023768</v>
      </c>
    </row>
    <row r="13" spans="1:23" ht="16.5" customHeight="1" x14ac:dyDescent="0.25">
      <c r="B13" s="47" t="s">
        <v>19</v>
      </c>
      <c r="C13" s="9">
        <v>55.92</v>
      </c>
      <c r="D13" s="9">
        <v>77.819999999999993</v>
      </c>
      <c r="E13" s="27">
        <v>65.42</v>
      </c>
      <c r="F13" s="27">
        <v>76.28</v>
      </c>
      <c r="G13" s="27">
        <v>79.650000000000006</v>
      </c>
      <c r="H13" s="27">
        <f>'P&amp;L'!I12</f>
        <v>79.506666666666675</v>
      </c>
      <c r="I13" s="27">
        <f>I8*$W$11</f>
        <v>91.248214260539328</v>
      </c>
      <c r="J13" s="27">
        <f>J8*$W$11</f>
        <v>91.248214260539328</v>
      </c>
      <c r="K13" s="27">
        <f>K8*$W$11</f>
        <v>91.47633479619067</v>
      </c>
      <c r="L13" s="27">
        <f>L8*$W$11</f>
        <v>91.705025633181137</v>
      </c>
      <c r="M13" s="27">
        <f t="shared" ref="M13" si="11">M8*$W$11</f>
        <v>92.851338453595886</v>
      </c>
    </row>
    <row r="14" spans="1:23" ht="15.75" customHeight="1" x14ac:dyDescent="0.25">
      <c r="B14" s="50" t="s">
        <v>21</v>
      </c>
      <c r="C14" s="9">
        <v>363.69</v>
      </c>
      <c r="D14" s="9">
        <v>1877.84</v>
      </c>
      <c r="E14" s="27">
        <v>1516.57</v>
      </c>
      <c r="F14" s="27">
        <v>1358.41</v>
      </c>
      <c r="G14" s="27">
        <v>689.66</v>
      </c>
      <c r="H14" s="27">
        <f>'P&amp;L'!I13</f>
        <v>777.85333333333335</v>
      </c>
      <c r="I14" s="27">
        <f>I8*$W$12</f>
        <v>731.55736243710601</v>
      </c>
      <c r="J14" s="27">
        <f>J8*$W$12</f>
        <v>731.55736243710601</v>
      </c>
      <c r="K14" s="27">
        <f>K8*$W$12</f>
        <v>733.38625584319868</v>
      </c>
      <c r="L14" s="27">
        <f>L8*$W$12</f>
        <v>735.21972148280656</v>
      </c>
      <c r="M14" s="27">
        <f t="shared" ref="M14" si="12">M8*$W$12</f>
        <v>744.40996800134155</v>
      </c>
    </row>
    <row r="15" spans="1:23" x14ac:dyDescent="0.25">
      <c r="B15" s="44" t="s">
        <v>23</v>
      </c>
      <c r="C15" s="14">
        <f>SUM(C12:C14)</f>
        <v>2174.6799999999998</v>
      </c>
      <c r="D15" s="14">
        <f t="shared" ref="D15:M15" si="13">SUM(D12:D14)</f>
        <v>3681.74</v>
      </c>
      <c r="E15" s="14">
        <f t="shared" si="13"/>
        <v>4382.57</v>
      </c>
      <c r="F15" s="14">
        <f t="shared" si="13"/>
        <v>3543.2200000000003</v>
      </c>
      <c r="G15" s="53">
        <f t="shared" si="13"/>
        <v>2781.9199999999996</v>
      </c>
      <c r="H15" s="53">
        <f t="shared" si="13"/>
        <v>4055.8533333333335</v>
      </c>
      <c r="I15" s="53">
        <f t="shared" si="13"/>
        <v>3628.7487748900548</v>
      </c>
      <c r="J15" s="53">
        <f t="shared" si="13"/>
        <v>3628.7487748900548</v>
      </c>
      <c r="K15" s="53">
        <f t="shared" si="13"/>
        <v>3637.8206468272797</v>
      </c>
      <c r="L15" s="53">
        <f t="shared" si="13"/>
        <v>3646.9151984443474</v>
      </c>
      <c r="M15" s="53">
        <f t="shared" si="13"/>
        <v>3692.5016384249011</v>
      </c>
    </row>
    <row r="16" spans="1:23" x14ac:dyDescent="0.25">
      <c r="B16" s="44" t="s">
        <v>121</v>
      </c>
      <c r="C16" s="14">
        <f>C10-C15</f>
        <v>630.38000000000011</v>
      </c>
      <c r="D16" s="14">
        <f>D10-D15</f>
        <v>219.17000000000007</v>
      </c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M16" si="14">H10-H15</f>
        <v>1615.333333333333</v>
      </c>
      <c r="I16" s="53">
        <f t="shared" si="14"/>
        <v>1699.5087073264585</v>
      </c>
      <c r="J16" s="53">
        <f t="shared" si="14"/>
        <v>1699.5087073264585</v>
      </c>
      <c r="K16" s="53">
        <f t="shared" si="14"/>
        <v>1703.7574790947742</v>
      </c>
      <c r="L16" s="53">
        <f t="shared" si="14"/>
        <v>1708.0168727925115</v>
      </c>
      <c r="M16" s="53">
        <f t="shared" si="14"/>
        <v>1729.3670837024174</v>
      </c>
    </row>
    <row r="17" spans="2:13" x14ac:dyDescent="0.25">
      <c r="B17" s="64" t="s">
        <v>22</v>
      </c>
      <c r="C17" s="9">
        <v>518.82000000000005</v>
      </c>
      <c r="D17" s="9">
        <v>697.91</v>
      </c>
      <c r="E17" s="27">
        <v>695.21</v>
      </c>
      <c r="F17" s="27">
        <v>679.41</v>
      </c>
      <c r="G17" s="27">
        <v>672.38</v>
      </c>
      <c r="H17" s="27">
        <f>Sheet3!C6</f>
        <v>675.90666666666664</v>
      </c>
      <c r="I17" s="27">
        <f>Sheet3!D6</f>
        <v>585.17197837288575</v>
      </c>
      <c r="J17" s="27">
        <f>Sheet3!E6</f>
        <v>554.78210149633901</v>
      </c>
      <c r="K17" s="27">
        <f>Sheet3!F6</f>
        <v>525.97046939347331</v>
      </c>
      <c r="L17" s="27">
        <f>Sheet3!G6</f>
        <v>498.6551186994563</v>
      </c>
      <c r="M17" s="27">
        <f>L17</f>
        <v>498.6551186994563</v>
      </c>
    </row>
    <row r="18" spans="2:13" x14ac:dyDescent="0.25">
      <c r="B18" s="110" t="s">
        <v>122</v>
      </c>
      <c r="C18" s="14">
        <f>C16-C17</f>
        <v>111.56000000000006</v>
      </c>
      <c r="D18" s="14">
        <f t="shared" ref="D18:M18" si="15">D16-D17</f>
        <v>-478.7399999999999</v>
      </c>
      <c r="E18" s="14">
        <f t="shared" si="15"/>
        <v>-307.06999999999971</v>
      </c>
      <c r="F18" s="14">
        <f t="shared" si="15"/>
        <v>289.21999999999923</v>
      </c>
      <c r="G18" s="53">
        <f t="shared" si="15"/>
        <v>818.03000000000031</v>
      </c>
      <c r="H18" s="107">
        <f t="shared" si="15"/>
        <v>939.42666666666639</v>
      </c>
      <c r="I18" s="107">
        <f t="shared" si="15"/>
        <v>1114.3367289535727</v>
      </c>
      <c r="J18" s="107">
        <f t="shared" si="15"/>
        <v>1144.7266058301195</v>
      </c>
      <c r="K18" s="107">
        <f t="shared" si="15"/>
        <v>1177.787009701301</v>
      </c>
      <c r="L18" s="107">
        <f t="shared" si="15"/>
        <v>1209.3617540930552</v>
      </c>
      <c r="M18" s="107">
        <f t="shared" si="15"/>
        <v>1230.7119650029611</v>
      </c>
    </row>
    <row r="19" spans="2:13" x14ac:dyDescent="0.25">
      <c r="B19" s="111" t="s">
        <v>185</v>
      </c>
      <c r="H19" s="61">
        <v>0.29120000000000001</v>
      </c>
      <c r="I19" s="61">
        <v>0.29120000000000001</v>
      </c>
      <c r="J19" s="61">
        <v>0.29120000000000001</v>
      </c>
      <c r="K19" s="61">
        <v>0.29120000000000001</v>
      </c>
      <c r="L19" s="61">
        <v>0.29120000000000001</v>
      </c>
      <c r="M19" s="61">
        <v>0.29120000000000001</v>
      </c>
    </row>
    <row r="20" spans="2:13" x14ac:dyDescent="0.25">
      <c r="B20" s="111" t="s">
        <v>186</v>
      </c>
      <c r="H20" s="97">
        <f>1-H19</f>
        <v>0.70879999999999999</v>
      </c>
      <c r="I20" s="97">
        <f t="shared" ref="I20:M20" si="16">1-I19</f>
        <v>0.70879999999999999</v>
      </c>
      <c r="J20" s="97">
        <f t="shared" si="16"/>
        <v>0.70879999999999999</v>
      </c>
      <c r="K20" s="97">
        <f t="shared" si="16"/>
        <v>0.70879999999999999</v>
      </c>
      <c r="L20" s="97">
        <f t="shared" si="16"/>
        <v>0.70879999999999999</v>
      </c>
      <c r="M20" s="97">
        <f t="shared" si="16"/>
        <v>0.70879999999999999</v>
      </c>
    </row>
    <row r="21" spans="2:13" x14ac:dyDescent="0.25">
      <c r="B21" s="112" t="s">
        <v>187</v>
      </c>
      <c r="H21" s="27">
        <f>H18*H20</f>
        <v>665.86562133333314</v>
      </c>
      <c r="I21" s="27">
        <f t="shared" ref="I21:M21" si="17">I18*I20</f>
        <v>789.84187348229227</v>
      </c>
      <c r="J21" s="27">
        <f t="shared" si="17"/>
        <v>811.38221821238869</v>
      </c>
      <c r="K21" s="27">
        <f t="shared" si="17"/>
        <v>834.81543247628213</v>
      </c>
      <c r="L21" s="27">
        <f t="shared" si="17"/>
        <v>857.19561130115756</v>
      </c>
      <c r="M21" s="27">
        <f t="shared" si="17"/>
        <v>872.32864079409876</v>
      </c>
    </row>
    <row r="22" spans="2:13" x14ac:dyDescent="0.25">
      <c r="B22" s="111" t="s">
        <v>188</v>
      </c>
      <c r="H22" s="27">
        <f>H17</f>
        <v>675.90666666666664</v>
      </c>
      <c r="I22" s="27">
        <f t="shared" ref="I22:M22" si="18">I17</f>
        <v>585.17197837288575</v>
      </c>
      <c r="J22" s="27">
        <f t="shared" si="18"/>
        <v>554.78210149633901</v>
      </c>
      <c r="K22" s="27">
        <f t="shared" si="18"/>
        <v>525.97046939347331</v>
      </c>
      <c r="L22" s="27">
        <f t="shared" si="18"/>
        <v>498.6551186994563</v>
      </c>
      <c r="M22" s="27">
        <f t="shared" si="18"/>
        <v>498.6551186994563</v>
      </c>
    </row>
    <row r="23" spans="2:13" x14ac:dyDescent="0.25">
      <c r="B23" s="111" t="s">
        <v>189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</row>
    <row r="24" spans="2:13" ht="15" customHeight="1" x14ac:dyDescent="0.25">
      <c r="B24" s="111" t="s">
        <v>190</v>
      </c>
      <c r="H24" s="27">
        <v>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</row>
    <row r="25" spans="2:13" x14ac:dyDescent="0.25">
      <c r="B25" s="113" t="s">
        <v>191</v>
      </c>
      <c r="H25" s="27">
        <f t="shared" ref="H25:I25" si="19">H21+H22-H23-H24</f>
        <v>1341.7722879999997</v>
      </c>
      <c r="I25" s="27">
        <f t="shared" si="19"/>
        <v>1375.013851855178</v>
      </c>
      <c r="J25" s="27">
        <f>J21+J22-J23-J24</f>
        <v>1366.1643197087278</v>
      </c>
      <c r="K25" s="27">
        <f>K21+K22-K23-K24</f>
        <v>334.78590186975543</v>
      </c>
      <c r="L25" s="27">
        <f>L21+L22-L23-L24</f>
        <v>329.85073000061379</v>
      </c>
      <c r="M25" s="27">
        <f>M21+M22-M23-M24</f>
        <v>1370.983759493555</v>
      </c>
    </row>
    <row r="26" spans="2:13" x14ac:dyDescent="0.25">
      <c r="B26" s="113" t="s">
        <v>237</v>
      </c>
      <c r="H26" s="27">
        <f>H25*H29</f>
        <v>111.81435733333331</v>
      </c>
      <c r="I26" s="27">
        <f>I25</f>
        <v>1375.013851855178</v>
      </c>
      <c r="J26" s="27">
        <f t="shared" ref="J26:M26" si="20">J25</f>
        <v>1366.1643197087278</v>
      </c>
      <c r="K26" s="27">
        <f t="shared" si="20"/>
        <v>334.78590186975543</v>
      </c>
      <c r="L26" s="27">
        <f t="shared" si="20"/>
        <v>329.85073000061379</v>
      </c>
      <c r="M26" s="27">
        <f t="shared" si="20"/>
        <v>1370.983759493555</v>
      </c>
    </row>
    <row r="27" spans="2:13" x14ac:dyDescent="0.25">
      <c r="B27" s="112" t="s">
        <v>192</v>
      </c>
      <c r="H27" s="173">
        <f>'Discount Rate'!C7</f>
        <v>0.14250000000000002</v>
      </c>
      <c r="I27" s="174"/>
      <c r="J27" s="174"/>
      <c r="K27" s="174"/>
      <c r="L27" s="174"/>
      <c r="M27" s="175"/>
    </row>
    <row r="28" spans="2:13" x14ac:dyDescent="0.25">
      <c r="B28" s="112" t="s">
        <v>196</v>
      </c>
      <c r="H28" s="173">
        <v>1.2500000000000001E-2</v>
      </c>
      <c r="I28" s="174"/>
      <c r="J28" s="174"/>
      <c r="K28" s="174"/>
      <c r="L28" s="174"/>
      <c r="M28" s="175"/>
    </row>
    <row r="29" spans="2:13" ht="15.75" customHeight="1" x14ac:dyDescent="0.25">
      <c r="B29" s="114" t="s">
        <v>193</v>
      </c>
      <c r="H29" s="115">
        <f>1/12</f>
        <v>8.3333333333333329E-2</v>
      </c>
      <c r="I29" s="115">
        <f>H29+1</f>
        <v>1.0833333333333333</v>
      </c>
      <c r="J29" s="115">
        <f t="shared" ref="J29:L29" si="21">I29+1</f>
        <v>2.083333333333333</v>
      </c>
      <c r="K29" s="115">
        <f t="shared" si="21"/>
        <v>3.083333333333333</v>
      </c>
      <c r="L29" s="115">
        <f t="shared" si="21"/>
        <v>4.083333333333333</v>
      </c>
      <c r="M29" s="95" t="s">
        <v>6</v>
      </c>
    </row>
    <row r="30" spans="2:13" ht="15.75" customHeight="1" x14ac:dyDescent="0.25">
      <c r="B30" s="111" t="s">
        <v>194</v>
      </c>
      <c r="C30" s="32"/>
      <c r="D30" s="32"/>
      <c r="E30" s="32"/>
      <c r="F30" s="32"/>
      <c r="G30" s="32"/>
      <c r="H30" s="27">
        <f>1/(1+$H$27)^H29</f>
        <v>0.98895982471244837</v>
      </c>
      <c r="I30" s="27">
        <f t="shared" ref="I30:L30" si="22">1/(1+$H$27)^I29</f>
        <v>0.86561034985772278</v>
      </c>
      <c r="J30" s="27">
        <f t="shared" si="22"/>
        <v>0.75764582044439632</v>
      </c>
      <c r="K30" s="27">
        <f t="shared" si="22"/>
        <v>0.66314732642835561</v>
      </c>
      <c r="L30" s="27">
        <f t="shared" si="22"/>
        <v>0.58043529665501581</v>
      </c>
      <c r="M30" s="95" t="s">
        <v>6</v>
      </c>
    </row>
    <row r="31" spans="2:13" x14ac:dyDescent="0.25">
      <c r="B31" s="32" t="s">
        <v>197</v>
      </c>
      <c r="L31" s="118">
        <f>M25/(H27-H28)</f>
        <v>10546.028919181192</v>
      </c>
      <c r="M31" s="95" t="s">
        <v>6</v>
      </c>
    </row>
    <row r="32" spans="2:13" x14ac:dyDescent="0.25">
      <c r="B32" s="116" t="s">
        <v>195</v>
      </c>
      <c r="C32" s="117"/>
      <c r="D32" s="117"/>
      <c r="E32" s="117"/>
      <c r="F32" s="117"/>
      <c r="G32" s="117"/>
      <c r="H32" s="53">
        <f>H26*H30</f>
        <v>110.57990722870836</v>
      </c>
      <c r="I32" s="53">
        <f>I25*I30</f>
        <v>1190.2262213635756</v>
      </c>
      <c r="J32" s="53">
        <f>J25*J30</f>
        <v>1035.0686868675796</v>
      </c>
      <c r="K32" s="53">
        <f>K25*K30</f>
        <v>222.01237575083414</v>
      </c>
      <c r="L32" s="53">
        <f>L25*L30</f>
        <v>191.45700631977979</v>
      </c>
      <c r="M32" s="95" t="s">
        <v>6</v>
      </c>
    </row>
    <row r="33" spans="2:13" x14ac:dyDescent="0.25">
      <c r="B33" s="112" t="s">
        <v>198</v>
      </c>
      <c r="L33" s="115">
        <f>L31*L30</f>
        <v>6121.2874242373109</v>
      </c>
      <c r="M33" s="95" t="s">
        <v>6</v>
      </c>
    </row>
    <row r="34" spans="2:13" x14ac:dyDescent="0.25">
      <c r="B34" s="112" t="s">
        <v>199</v>
      </c>
      <c r="C34" s="32"/>
      <c r="D34" s="32"/>
      <c r="E34" s="32"/>
      <c r="F34" s="32"/>
      <c r="G34" s="32"/>
      <c r="H34" s="27">
        <f>H32+H33</f>
        <v>110.57990722870836</v>
      </c>
      <c r="I34" s="27">
        <f t="shared" ref="I34:L34" si="23">I32+I33</f>
        <v>1190.2262213635756</v>
      </c>
      <c r="J34" s="27">
        <f t="shared" si="23"/>
        <v>1035.0686868675796</v>
      </c>
      <c r="K34" s="27">
        <f t="shared" si="23"/>
        <v>222.01237575083414</v>
      </c>
      <c r="L34" s="27">
        <f t="shared" si="23"/>
        <v>6312.7444305570907</v>
      </c>
      <c r="M34" s="95" t="s">
        <v>6</v>
      </c>
    </row>
    <row r="35" spans="2:13" x14ac:dyDescent="0.25">
      <c r="B35" s="120" t="s">
        <v>200</v>
      </c>
      <c r="C35" s="81"/>
      <c r="D35" s="81"/>
      <c r="E35" s="81"/>
      <c r="F35" s="81"/>
      <c r="G35" s="81"/>
      <c r="H35" s="133">
        <f>SUM(H34:L34)</f>
        <v>8870.6316217677886</v>
      </c>
      <c r="I35" s="131" t="s">
        <v>214</v>
      </c>
      <c r="J35" s="131"/>
      <c r="K35" s="131"/>
      <c r="L35" s="132"/>
      <c r="M35" s="143"/>
    </row>
    <row r="40" spans="2:13" x14ac:dyDescent="0.25">
      <c r="J40" s="102"/>
    </row>
  </sheetData>
  <mergeCells count="5">
    <mergeCell ref="B2:M2"/>
    <mergeCell ref="B4:G4"/>
    <mergeCell ref="H27:M27"/>
    <mergeCell ref="H28:M28"/>
    <mergeCell ref="M6:M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8A74-1AE4-4321-8ED6-47D787519A1E}">
  <sheetPr>
    <tabColor theme="7" tint="0.59999389629810485"/>
  </sheetPr>
  <dimension ref="A1:W40"/>
  <sheetViews>
    <sheetView showGridLines="0" topLeftCell="B7" zoomScaleNormal="100" workbookViewId="0">
      <selection activeCell="I29" sqref="I29"/>
    </sheetView>
  </sheetViews>
  <sheetFormatPr defaultRowHeight="15" x14ac:dyDescent="0.25"/>
  <cols>
    <col min="1" max="1" width="5.42578125" customWidth="1"/>
    <col min="2" max="2" width="40.140625" customWidth="1"/>
    <col min="3" max="7" width="9.28515625" customWidth="1"/>
    <col min="8" max="8" width="12.140625" customWidth="1"/>
    <col min="9" max="12" width="12.5703125" bestFit="1" customWidth="1"/>
    <col min="13" max="13" width="10.42578125" customWidth="1"/>
    <col min="14" max="14" width="6.42578125" customWidth="1"/>
    <col min="15" max="15" width="0" hidden="1" customWidth="1"/>
    <col min="16" max="16" width="26.5703125" customWidth="1"/>
    <col min="22" max="22" width="11.7109375" customWidth="1"/>
  </cols>
  <sheetData>
    <row r="1" spans="1:23" x14ac:dyDescent="0.25">
      <c r="A1" s="2"/>
      <c r="B1" s="2"/>
      <c r="C1" s="2"/>
      <c r="D1" s="2"/>
      <c r="E1" s="2"/>
      <c r="F1" s="2"/>
      <c r="G1" s="2"/>
    </row>
    <row r="2" spans="1:23" x14ac:dyDescent="0.25">
      <c r="A2" s="2"/>
      <c r="B2" s="171" t="s">
        <v>99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3" ht="10.5" customHeight="1" x14ac:dyDescent="0.25">
      <c r="A3" s="2"/>
      <c r="B3" s="2"/>
      <c r="C3" s="2"/>
      <c r="D3" s="2"/>
      <c r="E3" s="2"/>
      <c r="F3" s="2"/>
      <c r="G3" s="2"/>
    </row>
    <row r="4" spans="1:23" x14ac:dyDescent="0.25">
      <c r="A4" s="2"/>
      <c r="B4" s="172" t="s">
        <v>107</v>
      </c>
      <c r="C4" s="172"/>
      <c r="D4" s="172"/>
      <c r="E4" s="172"/>
      <c r="F4" s="172"/>
      <c r="G4" s="172"/>
      <c r="H4" s="69"/>
      <c r="I4" s="69"/>
      <c r="J4" s="69"/>
      <c r="K4" s="69"/>
      <c r="L4" s="69"/>
      <c r="M4" s="69"/>
    </row>
    <row r="5" spans="1:23" x14ac:dyDescent="0.25">
      <c r="A5" s="2"/>
      <c r="B5" s="2"/>
      <c r="C5" s="2"/>
      <c r="D5" s="2"/>
      <c r="E5" s="2"/>
      <c r="F5" s="2"/>
      <c r="G5" s="2"/>
      <c r="H5" s="123"/>
      <c r="I5" s="123">
        <v>1.4999999999999999E-2</v>
      </c>
      <c r="J5" s="123">
        <v>1.4999999999999999E-2</v>
      </c>
      <c r="K5" s="123">
        <v>1.7500000000000002E-2</v>
      </c>
      <c r="L5" s="123">
        <v>1.7500000000000002E-2</v>
      </c>
      <c r="M5" s="123"/>
    </row>
    <row r="6" spans="1:23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si="0"/>
        <v>2025</v>
      </c>
      <c r="K6" s="165">
        <f t="shared" si="0"/>
        <v>2026</v>
      </c>
      <c r="L6" s="165">
        <f t="shared" si="0"/>
        <v>2027</v>
      </c>
      <c r="M6" s="178" t="s">
        <v>201</v>
      </c>
    </row>
    <row r="7" spans="1:23" ht="18" customHeight="1" x14ac:dyDescent="0.25">
      <c r="B7" s="3" t="s">
        <v>238</v>
      </c>
      <c r="C7" s="146"/>
      <c r="D7" s="146"/>
      <c r="E7" s="147"/>
      <c r="F7" s="147"/>
      <c r="G7" s="148"/>
      <c r="H7" s="149">
        <v>1</v>
      </c>
      <c r="I7" s="149">
        <v>12</v>
      </c>
      <c r="J7" s="149">
        <v>12</v>
      </c>
      <c r="K7" s="149">
        <v>12</v>
      </c>
      <c r="L7" s="149">
        <v>12</v>
      </c>
      <c r="M7" s="179"/>
    </row>
    <row r="8" spans="1:23" x14ac:dyDescent="0.25">
      <c r="B8" s="15" t="s">
        <v>123</v>
      </c>
      <c r="C8" s="9">
        <v>2746.73</v>
      </c>
      <c r="D8" s="9">
        <v>3674.45</v>
      </c>
      <c r="E8" s="27">
        <v>4427.0600000000004</v>
      </c>
      <c r="F8" s="27">
        <v>4275.6899999999996</v>
      </c>
      <c r="G8" s="27">
        <v>4192.55</v>
      </c>
      <c r="H8" s="27">
        <f>'P&amp;L'!I7</f>
        <v>5023.7999999999993</v>
      </c>
      <c r="I8" s="27">
        <f t="shared" ref="I8:L8" si="1">H8*(1+I5)</f>
        <v>5099.1569999999983</v>
      </c>
      <c r="J8" s="27">
        <f t="shared" si="1"/>
        <v>5175.6443549999976</v>
      </c>
      <c r="K8" s="27">
        <f t="shared" si="1"/>
        <v>5266.2181312124976</v>
      </c>
      <c r="L8" s="27">
        <f t="shared" si="1"/>
        <v>5358.3769485087169</v>
      </c>
      <c r="M8" s="27">
        <f>L8*(1+H28)</f>
        <v>5425.3566603650752</v>
      </c>
      <c r="P8" s="58" t="s">
        <v>41</v>
      </c>
      <c r="Q8" s="59">
        <v>2018</v>
      </c>
      <c r="R8" s="59">
        <f>Q8+1</f>
        <v>2019</v>
      </c>
      <c r="S8" s="59">
        <f t="shared" ref="S8:U8" si="2">R8+1</f>
        <v>2020</v>
      </c>
      <c r="T8" s="59">
        <f t="shared" si="2"/>
        <v>2021</v>
      </c>
      <c r="U8" s="60">
        <f t="shared" si="2"/>
        <v>2022</v>
      </c>
      <c r="V8" s="60">
        <f>'P&amp;L'!Q9</f>
        <v>2023</v>
      </c>
      <c r="W8" s="60" t="s">
        <v>146</v>
      </c>
    </row>
    <row r="9" spans="1:23" x14ac:dyDescent="0.25">
      <c r="B9" s="15" t="s">
        <v>243</v>
      </c>
      <c r="C9" s="9">
        <f>'P&amp;L'!C8</f>
        <v>58.33</v>
      </c>
      <c r="D9" s="9">
        <f>'P&amp;L'!D8</f>
        <v>226.46</v>
      </c>
      <c r="E9" s="9">
        <f>'P&amp;L'!E8</f>
        <v>343.65</v>
      </c>
      <c r="F9" s="9">
        <f>'P&amp;L'!F8</f>
        <v>236.16</v>
      </c>
      <c r="G9" s="9">
        <f>'P&amp;L'!G8</f>
        <v>79.78</v>
      </c>
      <c r="H9" s="27">
        <f>'P&amp;L'!I8</f>
        <v>647.38666666666677</v>
      </c>
      <c r="I9" s="27">
        <f>I8*$W$9</f>
        <v>309.0243444497616</v>
      </c>
      <c r="J9" s="27">
        <f>J8*$W$9</f>
        <v>313.659709616508</v>
      </c>
      <c r="K9" s="27">
        <f>K8*$W$9</f>
        <v>319.14875453479686</v>
      </c>
      <c r="L9" s="27">
        <f>L8*$W$9</f>
        <v>324.73385773915584</v>
      </c>
      <c r="M9" s="27">
        <f t="shared" ref="M9" si="3">M8*$W$9</f>
        <v>328.79303096089529</v>
      </c>
      <c r="P9" s="62" t="s">
        <v>124</v>
      </c>
      <c r="Q9" s="61">
        <f t="shared" ref="Q9:V9" si="4">C9/C8</f>
        <v>2.1236160816680196E-2</v>
      </c>
      <c r="R9" s="61">
        <f t="shared" si="4"/>
        <v>6.1630992393419431E-2</v>
      </c>
      <c r="S9" s="61">
        <f t="shared" si="4"/>
        <v>7.7624879717013082E-2</v>
      </c>
      <c r="T9" s="61">
        <f t="shared" si="4"/>
        <v>5.523319043242144E-2</v>
      </c>
      <c r="U9" s="61">
        <f t="shared" si="4"/>
        <v>1.9028991902302894E-2</v>
      </c>
      <c r="V9" s="61">
        <f t="shared" si="4"/>
        <v>0.12886394097429574</v>
      </c>
      <c r="W9" s="61">
        <f>AVERAGE(Q9:V9)</f>
        <v>6.0603026039355468E-2</v>
      </c>
    </row>
    <row r="10" spans="1:23" x14ac:dyDescent="0.25">
      <c r="B10" s="44" t="s">
        <v>242</v>
      </c>
      <c r="C10" s="14">
        <f>SUM(C8:C9)</f>
        <v>2805.06</v>
      </c>
      <c r="D10" s="14">
        <f t="shared" ref="D10:M10" si="5">SUM(D8:D9)</f>
        <v>3900.91</v>
      </c>
      <c r="E10" s="14">
        <f t="shared" si="5"/>
        <v>4770.71</v>
      </c>
      <c r="F10" s="14">
        <f t="shared" si="5"/>
        <v>4511.8499999999995</v>
      </c>
      <c r="G10" s="14">
        <f t="shared" si="5"/>
        <v>4272.33</v>
      </c>
      <c r="H10" s="14">
        <f t="shared" si="5"/>
        <v>5671.1866666666665</v>
      </c>
      <c r="I10" s="14">
        <f t="shared" si="5"/>
        <v>5408.1813444497602</v>
      </c>
      <c r="J10" s="14">
        <f t="shared" si="5"/>
        <v>5489.3040646165055</v>
      </c>
      <c r="K10" s="14">
        <f t="shared" si="5"/>
        <v>5585.3668857472949</v>
      </c>
      <c r="L10" s="14">
        <f t="shared" si="5"/>
        <v>5683.1108062478725</v>
      </c>
      <c r="M10" s="14">
        <f t="shared" si="5"/>
        <v>5754.1496913259707</v>
      </c>
      <c r="P10" s="32" t="s">
        <v>128</v>
      </c>
      <c r="Q10" s="61">
        <f t="shared" ref="Q10:U11" si="6">C12/C$8</f>
        <v>0.63896706265268155</v>
      </c>
      <c r="R10" s="61">
        <f t="shared" si="6"/>
        <v>0.46975193566384082</v>
      </c>
      <c r="S10" s="61">
        <f t="shared" si="6"/>
        <v>0.63260493420012376</v>
      </c>
      <c r="T10" s="61">
        <f t="shared" si="6"/>
        <v>0.49314379667375335</v>
      </c>
      <c r="U10" s="61">
        <f t="shared" si="6"/>
        <v>0.48004436440829562</v>
      </c>
      <c r="V10" s="61">
        <f>'P&amp;L'!Q11</f>
        <v>0.63666812638507375</v>
      </c>
      <c r="W10" s="61">
        <f>AVERAGE(Q10:V10)</f>
        <v>0.5585300366639615</v>
      </c>
    </row>
    <row r="11" spans="1:23" ht="15.75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P11" s="62" t="s">
        <v>19</v>
      </c>
      <c r="Q11" s="61">
        <f t="shared" si="6"/>
        <v>2.0358753863685183E-2</v>
      </c>
      <c r="R11" s="61">
        <f t="shared" si="6"/>
        <v>2.1178679802419408E-2</v>
      </c>
      <c r="S11" s="61">
        <f t="shared" si="6"/>
        <v>1.4777301414482748E-2</v>
      </c>
      <c r="T11" s="61">
        <f t="shared" si="6"/>
        <v>1.7840395351393579E-2</v>
      </c>
      <c r="U11" s="61">
        <f t="shared" si="6"/>
        <v>1.8997984520160761E-2</v>
      </c>
      <c r="V11" s="61">
        <f>'P&amp;L'!Q12</f>
        <v>1.5826001565879745E-2</v>
      </c>
      <c r="W11" s="61">
        <f>AVERAGE(Q11:V11)</f>
        <v>1.8163186086336904E-2</v>
      </c>
    </row>
    <row r="12" spans="1:23" ht="17.25" customHeight="1" x14ac:dyDescent="0.25">
      <c r="B12" s="50" t="s">
        <v>18</v>
      </c>
      <c r="C12" s="9">
        <v>1755.07</v>
      </c>
      <c r="D12" s="9">
        <v>1726.08</v>
      </c>
      <c r="E12" s="27">
        <v>2800.58</v>
      </c>
      <c r="F12" s="27">
        <v>2108.5300000000002</v>
      </c>
      <c r="G12" s="27">
        <v>2012.61</v>
      </c>
      <c r="H12" s="27">
        <f>'P&amp;L'!I11</f>
        <v>3198.4933333333333</v>
      </c>
      <c r="I12" s="27">
        <f>I8*$W$10</f>
        <v>2848.0323461652952</v>
      </c>
      <c r="J12" s="27">
        <f>J8*$W$10</f>
        <v>2890.7528313577741</v>
      </c>
      <c r="K12" s="27">
        <f>K8*$W$10</f>
        <v>2941.341005906535</v>
      </c>
      <c r="L12" s="27">
        <f>L8*$W$10</f>
        <v>2992.8144735098999</v>
      </c>
      <c r="M12" s="27">
        <f t="shared" ref="M12" si="7">M8*$W$10</f>
        <v>3030.2246544287732</v>
      </c>
      <c r="P12" s="62" t="s">
        <v>208</v>
      </c>
      <c r="Q12" s="61">
        <f>'P&amp;L'!L19</f>
        <v>0.13240835466172504</v>
      </c>
      <c r="R12" s="61">
        <f>'P&amp;L'!M19</f>
        <v>0.51105335492386617</v>
      </c>
      <c r="S12" s="61">
        <f>'P&amp;L'!N19</f>
        <v>0.13213735526511949</v>
      </c>
      <c r="T12" s="61">
        <f>'P&amp;L'!O19</f>
        <v>0.13100575579614054</v>
      </c>
      <c r="U12" s="61">
        <f>'P&amp;L'!P19</f>
        <v>0.16449654744725761</v>
      </c>
      <c r="V12" s="61">
        <f>'P&amp;L'!Q13</f>
        <v>0.15483365845243308</v>
      </c>
      <c r="W12" s="61">
        <f>AVERAGE(S12:V12)</f>
        <v>0.14561832924023768</v>
      </c>
    </row>
    <row r="13" spans="1:23" ht="16.5" customHeight="1" x14ac:dyDescent="0.25">
      <c r="B13" s="47" t="s">
        <v>19</v>
      </c>
      <c r="C13" s="9">
        <v>55.92</v>
      </c>
      <c r="D13" s="9">
        <v>77.819999999999993</v>
      </c>
      <c r="E13" s="27">
        <v>65.42</v>
      </c>
      <c r="F13" s="27">
        <v>76.28</v>
      </c>
      <c r="G13" s="27">
        <v>79.650000000000006</v>
      </c>
      <c r="H13" s="27">
        <f>'P&amp;L'!I12</f>
        <v>79.506666666666675</v>
      </c>
      <c r="I13" s="27">
        <f>I8*$W$11</f>
        <v>92.616937474447397</v>
      </c>
      <c r="J13" s="27">
        <f>J8*$W$11</f>
        <v>94.006191536564103</v>
      </c>
      <c r="K13" s="27">
        <f>K8*$W$11</f>
        <v>95.651299888453977</v>
      </c>
      <c r="L13" s="27">
        <f>L8*$W$11</f>
        <v>97.325197636501926</v>
      </c>
      <c r="M13" s="27">
        <f t="shared" ref="M13" si="8">M8*$W$11</f>
        <v>98.541762606958187</v>
      </c>
    </row>
    <row r="14" spans="1:23" ht="15.75" customHeight="1" x14ac:dyDescent="0.25">
      <c r="B14" s="50" t="s">
        <v>21</v>
      </c>
      <c r="C14" s="9">
        <v>363.69</v>
      </c>
      <c r="D14" s="9">
        <v>1877.84</v>
      </c>
      <c r="E14" s="27">
        <v>1516.57</v>
      </c>
      <c r="F14" s="27">
        <v>1358.41</v>
      </c>
      <c r="G14" s="27">
        <v>689.66</v>
      </c>
      <c r="H14" s="27">
        <f>'P&amp;L'!I13</f>
        <v>777.85333333333335</v>
      </c>
      <c r="I14" s="27">
        <f>I8*$W$12</f>
        <v>742.5307228736624</v>
      </c>
      <c r="J14" s="27">
        <f>J8*$W$12</f>
        <v>753.6686837167673</v>
      </c>
      <c r="K14" s="27">
        <f>K8*$W$12</f>
        <v>766.85788568181067</v>
      </c>
      <c r="L14" s="27">
        <f>L8*$W$12</f>
        <v>780.27789868124239</v>
      </c>
      <c r="M14" s="27">
        <f t="shared" ref="M14" si="9">M8*$W$12</f>
        <v>790.03137241475793</v>
      </c>
    </row>
    <row r="15" spans="1:23" x14ac:dyDescent="0.25">
      <c r="B15" s="44" t="s">
        <v>23</v>
      </c>
      <c r="C15" s="14">
        <f>SUM(C12:C14)</f>
        <v>2174.6799999999998</v>
      </c>
      <c r="D15" s="14">
        <f t="shared" ref="D15:M15" si="10">SUM(D12:D14)</f>
        <v>3681.74</v>
      </c>
      <c r="E15" s="14">
        <f t="shared" si="10"/>
        <v>4382.57</v>
      </c>
      <c r="F15" s="14">
        <f t="shared" si="10"/>
        <v>3543.2200000000003</v>
      </c>
      <c r="G15" s="53">
        <f t="shared" si="10"/>
        <v>2781.9199999999996</v>
      </c>
      <c r="H15" s="53">
        <f t="shared" si="10"/>
        <v>4055.8533333333335</v>
      </c>
      <c r="I15" s="53">
        <f t="shared" si="10"/>
        <v>3683.1800065134048</v>
      </c>
      <c r="J15" s="53">
        <f t="shared" si="10"/>
        <v>3738.4277066111054</v>
      </c>
      <c r="K15" s="53">
        <f t="shared" si="10"/>
        <v>3803.8501914767999</v>
      </c>
      <c r="L15" s="53">
        <f t="shared" si="10"/>
        <v>3870.417569827644</v>
      </c>
      <c r="M15" s="53">
        <f t="shared" si="10"/>
        <v>3918.7977894504893</v>
      </c>
    </row>
    <row r="16" spans="1:23" x14ac:dyDescent="0.25">
      <c r="B16" s="44" t="s">
        <v>121</v>
      </c>
      <c r="C16" s="14">
        <f>C10-C15</f>
        <v>630.38000000000011</v>
      </c>
      <c r="D16" s="14">
        <f>D10-D15</f>
        <v>219.17000000000007</v>
      </c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M16" si="11">H10-H15</f>
        <v>1615.333333333333</v>
      </c>
      <c r="I16" s="53">
        <f t="shared" si="11"/>
        <v>1725.0013379363554</v>
      </c>
      <c r="J16" s="53">
        <f t="shared" si="11"/>
        <v>1750.8763580054001</v>
      </c>
      <c r="K16" s="53">
        <f t="shared" si="11"/>
        <v>1781.516694270495</v>
      </c>
      <c r="L16" s="53">
        <f t="shared" si="11"/>
        <v>1812.6932364202285</v>
      </c>
      <c r="M16" s="53">
        <f t="shared" si="11"/>
        <v>1835.3519018754814</v>
      </c>
    </row>
    <row r="17" spans="2:13" x14ac:dyDescent="0.25">
      <c r="B17" s="64" t="s">
        <v>22</v>
      </c>
      <c r="C17" s="9">
        <v>518.82000000000005</v>
      </c>
      <c r="D17" s="9">
        <v>697.91</v>
      </c>
      <c r="E17" s="27">
        <v>695.21</v>
      </c>
      <c r="F17" s="27">
        <v>679.41</v>
      </c>
      <c r="G17" s="27">
        <v>672.38</v>
      </c>
      <c r="H17" s="27">
        <f>Sheet3!C6</f>
        <v>675.90666666666664</v>
      </c>
      <c r="I17" s="27">
        <f>Sheet3!D6</f>
        <v>585.17197837288575</v>
      </c>
      <c r="J17" s="27">
        <f>Sheet3!E6</f>
        <v>554.78210149633901</v>
      </c>
      <c r="K17" s="27">
        <f>Sheet3!F6</f>
        <v>525.97046939347331</v>
      </c>
      <c r="L17" s="27">
        <f>Sheet3!G6</f>
        <v>498.6551186994563</v>
      </c>
      <c r="M17" s="27">
        <f>L17</f>
        <v>498.6551186994563</v>
      </c>
    </row>
    <row r="18" spans="2:13" x14ac:dyDescent="0.25">
      <c r="B18" s="110" t="s">
        <v>122</v>
      </c>
      <c r="C18" s="14">
        <f>C16-C17</f>
        <v>111.56000000000006</v>
      </c>
      <c r="D18" s="14">
        <f t="shared" ref="D18:M18" si="12">D16-D17</f>
        <v>-478.7399999999999</v>
      </c>
      <c r="E18" s="14">
        <f t="shared" si="12"/>
        <v>-307.06999999999971</v>
      </c>
      <c r="F18" s="14">
        <f t="shared" si="12"/>
        <v>289.21999999999923</v>
      </c>
      <c r="G18" s="53">
        <f t="shared" si="12"/>
        <v>818.03000000000031</v>
      </c>
      <c r="H18" s="107">
        <f t="shared" si="12"/>
        <v>939.42666666666639</v>
      </c>
      <c r="I18" s="107">
        <f t="shared" si="12"/>
        <v>1139.8293595634696</v>
      </c>
      <c r="J18" s="107">
        <f t="shared" si="12"/>
        <v>1196.0942565090611</v>
      </c>
      <c r="K18" s="107">
        <f t="shared" si="12"/>
        <v>1255.5462248770218</v>
      </c>
      <c r="L18" s="107">
        <f t="shared" si="12"/>
        <v>1314.0381177207721</v>
      </c>
      <c r="M18" s="107">
        <f t="shared" si="12"/>
        <v>1336.6967831760251</v>
      </c>
    </row>
    <row r="19" spans="2:13" x14ac:dyDescent="0.25">
      <c r="B19" s="111" t="s">
        <v>185</v>
      </c>
      <c r="H19" s="61">
        <v>0.29120000000000001</v>
      </c>
      <c r="I19" s="61">
        <v>0.29120000000000001</v>
      </c>
      <c r="J19" s="61">
        <v>0.29120000000000001</v>
      </c>
      <c r="K19" s="61">
        <v>0.29120000000000001</v>
      </c>
      <c r="L19" s="61">
        <v>0.29120000000000001</v>
      </c>
      <c r="M19" s="61">
        <v>0.29120000000000001</v>
      </c>
    </row>
    <row r="20" spans="2:13" x14ac:dyDescent="0.25">
      <c r="B20" s="111" t="s">
        <v>186</v>
      </c>
      <c r="H20" s="97">
        <f>1-H19</f>
        <v>0.70879999999999999</v>
      </c>
      <c r="I20" s="97">
        <f t="shared" ref="I20:M20" si="13">1-I19</f>
        <v>0.70879999999999999</v>
      </c>
      <c r="J20" s="97">
        <f t="shared" si="13"/>
        <v>0.70879999999999999</v>
      </c>
      <c r="K20" s="97">
        <f t="shared" si="13"/>
        <v>0.70879999999999999</v>
      </c>
      <c r="L20" s="97">
        <f t="shared" si="13"/>
        <v>0.70879999999999999</v>
      </c>
      <c r="M20" s="97">
        <f t="shared" si="13"/>
        <v>0.70879999999999999</v>
      </c>
    </row>
    <row r="21" spans="2:13" x14ac:dyDescent="0.25">
      <c r="B21" s="112" t="s">
        <v>187</v>
      </c>
      <c r="H21" s="27">
        <f>H18*H20</f>
        <v>665.86562133333314</v>
      </c>
      <c r="I21" s="27">
        <f t="shared" ref="I21:M21" si="14">I18*I20</f>
        <v>807.91105005858719</v>
      </c>
      <c r="J21" s="27">
        <f t="shared" si="14"/>
        <v>847.79160901362252</v>
      </c>
      <c r="K21" s="27">
        <f t="shared" si="14"/>
        <v>889.93116419283308</v>
      </c>
      <c r="L21" s="27">
        <f t="shared" si="14"/>
        <v>931.39021784048327</v>
      </c>
      <c r="M21" s="27">
        <f t="shared" si="14"/>
        <v>947.45067991516657</v>
      </c>
    </row>
    <row r="22" spans="2:13" x14ac:dyDescent="0.25">
      <c r="B22" s="111" t="s">
        <v>188</v>
      </c>
      <c r="H22" s="27">
        <f>H17</f>
        <v>675.90666666666664</v>
      </c>
      <c r="I22" s="27">
        <f t="shared" ref="I22:M22" si="15">I17</f>
        <v>585.17197837288575</v>
      </c>
      <c r="J22" s="27">
        <f t="shared" si="15"/>
        <v>554.78210149633901</v>
      </c>
      <c r="K22" s="27">
        <f t="shared" si="15"/>
        <v>525.97046939347331</v>
      </c>
      <c r="L22" s="27">
        <f t="shared" si="15"/>
        <v>498.6551186994563</v>
      </c>
      <c r="M22" s="27">
        <f t="shared" si="15"/>
        <v>498.6551186994563</v>
      </c>
    </row>
    <row r="23" spans="2:13" x14ac:dyDescent="0.25">
      <c r="B23" s="111" t="s">
        <v>189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</row>
    <row r="24" spans="2:13" ht="15" customHeight="1" x14ac:dyDescent="0.25">
      <c r="B24" s="111" t="s">
        <v>190</v>
      </c>
      <c r="H24" s="27">
        <v>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</row>
    <row r="25" spans="2:13" x14ac:dyDescent="0.25">
      <c r="B25" s="113" t="s">
        <v>191</v>
      </c>
      <c r="H25" s="27">
        <f t="shared" ref="H25:I25" si="16">H21+H22-H23-H24</f>
        <v>1341.7722879999997</v>
      </c>
      <c r="I25" s="27">
        <f t="shared" si="16"/>
        <v>1393.0830284314729</v>
      </c>
      <c r="J25" s="27">
        <f>J21+J22-J23-J24</f>
        <v>1402.5737105099615</v>
      </c>
      <c r="K25" s="27">
        <f>K21+K22-K23-K24</f>
        <v>389.90163358630639</v>
      </c>
      <c r="L25" s="27">
        <f>L21+L22-L23-L24</f>
        <v>404.04533653993963</v>
      </c>
      <c r="M25" s="27">
        <f>M21+M22-M23-M24</f>
        <v>1446.1057986146229</v>
      </c>
    </row>
    <row r="26" spans="2:13" x14ac:dyDescent="0.25">
      <c r="B26" s="113" t="s">
        <v>237</v>
      </c>
      <c r="H26" s="27">
        <f>H25*H29</f>
        <v>111.81435733333331</v>
      </c>
      <c r="I26" s="27">
        <f>I25</f>
        <v>1393.0830284314729</v>
      </c>
      <c r="J26" s="27">
        <f t="shared" ref="J26:M26" si="17">J25</f>
        <v>1402.5737105099615</v>
      </c>
      <c r="K26" s="27">
        <f t="shared" si="17"/>
        <v>389.90163358630639</v>
      </c>
      <c r="L26" s="27">
        <f t="shared" si="17"/>
        <v>404.04533653993963</v>
      </c>
      <c r="M26" s="27">
        <f t="shared" si="17"/>
        <v>1446.1057986146229</v>
      </c>
    </row>
    <row r="27" spans="2:13" x14ac:dyDescent="0.25">
      <c r="B27" s="112" t="s">
        <v>192</v>
      </c>
      <c r="H27" s="173">
        <f>'Discount Rate'!C7</f>
        <v>0.14250000000000002</v>
      </c>
      <c r="I27" s="174"/>
      <c r="J27" s="174"/>
      <c r="K27" s="174"/>
      <c r="L27" s="174"/>
      <c r="M27" s="175"/>
    </row>
    <row r="28" spans="2:13" x14ac:dyDescent="0.25">
      <c r="B28" s="112" t="s">
        <v>196</v>
      </c>
      <c r="H28" s="173">
        <v>1.2500000000000001E-2</v>
      </c>
      <c r="I28" s="174"/>
      <c r="J28" s="174"/>
      <c r="K28" s="174"/>
      <c r="L28" s="174"/>
      <c r="M28" s="175"/>
    </row>
    <row r="29" spans="2:13" ht="15.75" customHeight="1" x14ac:dyDescent="0.25">
      <c r="B29" s="114" t="s">
        <v>193</v>
      </c>
      <c r="H29" s="115">
        <f>1/12</f>
        <v>8.3333333333333329E-2</v>
      </c>
      <c r="I29" s="115">
        <f>H29+1</f>
        <v>1.0833333333333333</v>
      </c>
      <c r="J29" s="115">
        <f t="shared" ref="J29:L29" si="18">I29+1</f>
        <v>2.083333333333333</v>
      </c>
      <c r="K29" s="115">
        <f t="shared" si="18"/>
        <v>3.083333333333333</v>
      </c>
      <c r="L29" s="115">
        <f t="shared" si="18"/>
        <v>4.083333333333333</v>
      </c>
      <c r="M29" s="95" t="s">
        <v>6</v>
      </c>
    </row>
    <row r="30" spans="2:13" ht="15.75" customHeight="1" x14ac:dyDescent="0.25">
      <c r="B30" s="111" t="s">
        <v>194</v>
      </c>
      <c r="C30" s="32"/>
      <c r="D30" s="32"/>
      <c r="E30" s="32"/>
      <c r="F30" s="32"/>
      <c r="G30" s="32"/>
      <c r="H30" s="27">
        <f>1/(1+$H$27)^H29</f>
        <v>0.98895982471244837</v>
      </c>
      <c r="I30" s="27">
        <f t="shared" ref="I30:L30" si="19">1/(1+$H$27)^I29</f>
        <v>0.86561034985772278</v>
      </c>
      <c r="J30" s="27">
        <f t="shared" si="19"/>
        <v>0.75764582044439632</v>
      </c>
      <c r="K30" s="27">
        <f t="shared" si="19"/>
        <v>0.66314732642835561</v>
      </c>
      <c r="L30" s="27">
        <f t="shared" si="19"/>
        <v>0.58043529665501581</v>
      </c>
      <c r="M30" s="95" t="s">
        <v>6</v>
      </c>
    </row>
    <row r="31" spans="2:13" x14ac:dyDescent="0.25">
      <c r="B31" s="32" t="s">
        <v>197</v>
      </c>
      <c r="L31" s="118">
        <f>M25/(H27-H28)</f>
        <v>11123.890758574022</v>
      </c>
      <c r="M31" s="95" t="s">
        <v>6</v>
      </c>
    </row>
    <row r="32" spans="2:13" x14ac:dyDescent="0.25">
      <c r="B32" s="116" t="s">
        <v>195</v>
      </c>
      <c r="C32" s="117"/>
      <c r="D32" s="117"/>
      <c r="E32" s="117"/>
      <c r="F32" s="117"/>
      <c r="G32" s="117"/>
      <c r="H32" s="53">
        <f>H26*H30</f>
        <v>110.57990722870836</v>
      </c>
      <c r="I32" s="53">
        <f>I25*I30</f>
        <v>1205.8670876214233</v>
      </c>
      <c r="J32" s="53">
        <f>J25*J30</f>
        <v>1062.6541096330611</v>
      </c>
      <c r="K32" s="53">
        <f>K25*K30</f>
        <v>258.56222588280741</v>
      </c>
      <c r="L32" s="53">
        <f>L25*L30</f>
        <v>234.52217477663555</v>
      </c>
      <c r="M32" s="95" t="s">
        <v>6</v>
      </c>
    </row>
    <row r="33" spans="2:13" x14ac:dyDescent="0.25">
      <c r="B33" s="112" t="s">
        <v>198</v>
      </c>
      <c r="L33" s="115">
        <f>L31*L30</f>
        <v>6456.6988324109016</v>
      </c>
      <c r="M33" s="95" t="s">
        <v>6</v>
      </c>
    </row>
    <row r="34" spans="2:13" x14ac:dyDescent="0.25">
      <c r="B34" s="112" t="s">
        <v>199</v>
      </c>
      <c r="C34" s="32"/>
      <c r="D34" s="32"/>
      <c r="E34" s="32"/>
      <c r="F34" s="32"/>
      <c r="G34" s="32"/>
      <c r="H34" s="27">
        <f>H32+H33</f>
        <v>110.57990722870836</v>
      </c>
      <c r="I34" s="27">
        <f t="shared" ref="I34:L34" si="20">I32+I33</f>
        <v>1205.8670876214233</v>
      </c>
      <c r="J34" s="27">
        <f t="shared" si="20"/>
        <v>1062.6541096330611</v>
      </c>
      <c r="K34" s="27">
        <f t="shared" si="20"/>
        <v>258.56222588280741</v>
      </c>
      <c r="L34" s="27">
        <f t="shared" si="20"/>
        <v>6691.221007187537</v>
      </c>
      <c r="M34" s="95" t="s">
        <v>6</v>
      </c>
    </row>
    <row r="35" spans="2:13" x14ac:dyDescent="0.25">
      <c r="B35" s="120" t="s">
        <v>200</v>
      </c>
      <c r="C35" s="81"/>
      <c r="D35" s="81"/>
      <c r="E35" s="81"/>
      <c r="F35" s="81"/>
      <c r="G35" s="81"/>
      <c r="H35" s="133">
        <f>SUM(H34:L34)</f>
        <v>9328.884337553538</v>
      </c>
      <c r="I35" s="131" t="s">
        <v>214</v>
      </c>
      <c r="J35" s="131"/>
      <c r="K35" s="131"/>
      <c r="L35" s="132"/>
      <c r="M35" s="143"/>
    </row>
    <row r="40" spans="2:13" x14ac:dyDescent="0.25">
      <c r="J40" s="102"/>
    </row>
  </sheetData>
  <mergeCells count="5">
    <mergeCell ref="B2:M2"/>
    <mergeCell ref="B4:G4"/>
    <mergeCell ref="M6:M7"/>
    <mergeCell ref="H27:M27"/>
    <mergeCell ref="H28:M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B1A6-977F-4B83-AD3D-4ED65B52EEF4}">
  <sheetPr>
    <tabColor theme="7" tint="0.59999389629810485"/>
  </sheetPr>
  <dimension ref="A1:W40"/>
  <sheetViews>
    <sheetView showGridLines="0" topLeftCell="A7" zoomScaleNormal="100" workbookViewId="0">
      <selection activeCell="H32" sqref="H32:L32"/>
    </sheetView>
  </sheetViews>
  <sheetFormatPr defaultRowHeight="15" x14ac:dyDescent="0.25"/>
  <cols>
    <col min="1" max="1" width="5.42578125" customWidth="1"/>
    <col min="2" max="2" width="40.140625" customWidth="1"/>
    <col min="3" max="7" width="9.28515625" customWidth="1"/>
    <col min="8" max="8" width="12.140625" customWidth="1"/>
    <col min="9" max="12" width="12.5703125" bestFit="1" customWidth="1"/>
    <col min="13" max="13" width="10.42578125" customWidth="1"/>
    <col min="14" max="14" width="6.42578125" customWidth="1"/>
    <col min="15" max="15" width="0" hidden="1" customWidth="1"/>
    <col min="16" max="16" width="26.5703125" customWidth="1"/>
    <col min="22" max="22" width="11.7109375" customWidth="1"/>
  </cols>
  <sheetData>
    <row r="1" spans="1:23" x14ac:dyDescent="0.25">
      <c r="A1" s="2"/>
      <c r="B1" s="2"/>
      <c r="C1" s="2"/>
      <c r="D1" s="2"/>
      <c r="E1" s="2"/>
      <c r="F1" s="2"/>
      <c r="G1" s="2"/>
    </row>
    <row r="2" spans="1:23" x14ac:dyDescent="0.25">
      <c r="A2" s="2"/>
      <c r="B2" s="171" t="s">
        <v>99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3" ht="10.5" customHeight="1" x14ac:dyDescent="0.25">
      <c r="A3" s="2"/>
      <c r="B3" s="2"/>
      <c r="C3" s="2"/>
      <c r="D3" s="2"/>
      <c r="E3" s="2"/>
      <c r="F3" s="2"/>
      <c r="G3" s="2"/>
    </row>
    <row r="4" spans="1:23" x14ac:dyDescent="0.25">
      <c r="A4" s="2"/>
      <c r="B4" s="172" t="s">
        <v>107</v>
      </c>
      <c r="C4" s="172"/>
      <c r="D4" s="172"/>
      <c r="E4" s="172"/>
      <c r="F4" s="172"/>
      <c r="G4" s="172"/>
      <c r="H4" s="69"/>
      <c r="I4" s="69"/>
      <c r="J4" s="69"/>
      <c r="K4" s="69"/>
      <c r="L4" s="69"/>
      <c r="M4" s="69"/>
    </row>
    <row r="5" spans="1:23" x14ac:dyDescent="0.25">
      <c r="A5" s="2"/>
      <c r="B5" s="2"/>
      <c r="C5" s="2"/>
      <c r="D5" s="2"/>
      <c r="E5" s="2"/>
      <c r="F5" s="2"/>
      <c r="G5" s="2"/>
      <c r="H5" s="123"/>
      <c r="I5" s="123">
        <v>0.03</v>
      </c>
      <c r="J5" s="123">
        <v>0.03</v>
      </c>
      <c r="K5" s="123">
        <v>3.2500000000000001E-2</v>
      </c>
      <c r="L5" s="123">
        <v>3.2500000000000001E-2</v>
      </c>
      <c r="M5" s="123"/>
    </row>
    <row r="6" spans="1:23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165">
        <f t="shared" si="0"/>
        <v>2023</v>
      </c>
      <c r="I6" s="165">
        <f t="shared" si="0"/>
        <v>2024</v>
      </c>
      <c r="J6" s="165">
        <f t="shared" si="0"/>
        <v>2025</v>
      </c>
      <c r="K6" s="165">
        <f t="shared" si="0"/>
        <v>2026</v>
      </c>
      <c r="L6" s="165">
        <f t="shared" si="0"/>
        <v>2027</v>
      </c>
      <c r="M6" s="178" t="s">
        <v>201</v>
      </c>
    </row>
    <row r="7" spans="1:23" ht="18" customHeight="1" x14ac:dyDescent="0.25">
      <c r="B7" s="3" t="s">
        <v>238</v>
      </c>
      <c r="C7" s="146"/>
      <c r="D7" s="146"/>
      <c r="E7" s="147"/>
      <c r="F7" s="147"/>
      <c r="G7" s="148"/>
      <c r="H7" s="149">
        <v>1</v>
      </c>
      <c r="I7" s="149">
        <v>12</v>
      </c>
      <c r="J7" s="149">
        <v>12</v>
      </c>
      <c r="K7" s="149">
        <v>12</v>
      </c>
      <c r="L7" s="149">
        <v>12</v>
      </c>
      <c r="M7" s="179"/>
    </row>
    <row r="8" spans="1:23" x14ac:dyDescent="0.25">
      <c r="B8" s="15" t="s">
        <v>123</v>
      </c>
      <c r="C8" s="9">
        <v>2746.73</v>
      </c>
      <c r="D8" s="9">
        <v>3674.45</v>
      </c>
      <c r="E8" s="27">
        <v>4427.0600000000004</v>
      </c>
      <c r="F8" s="27">
        <v>4275.6899999999996</v>
      </c>
      <c r="G8" s="27">
        <v>4192.55</v>
      </c>
      <c r="H8" s="27">
        <f>'P&amp;L'!I7</f>
        <v>5023.7999999999993</v>
      </c>
      <c r="I8" s="27">
        <f t="shared" ref="I8:L8" si="1">H8*(1+I5)</f>
        <v>5174.5139999999992</v>
      </c>
      <c r="J8" s="27">
        <f t="shared" si="1"/>
        <v>5329.7494199999992</v>
      </c>
      <c r="K8" s="27">
        <f t="shared" si="1"/>
        <v>5502.9662761499994</v>
      </c>
      <c r="L8" s="27">
        <f t="shared" si="1"/>
        <v>5681.8126801248745</v>
      </c>
      <c r="M8" s="27">
        <f>L8*(1+H28)</f>
        <v>5752.8353386264353</v>
      </c>
      <c r="P8" s="124" t="s">
        <v>41</v>
      </c>
      <c r="Q8" s="169">
        <v>2018</v>
      </c>
      <c r="R8" s="59">
        <f>Q8+1</f>
        <v>2019</v>
      </c>
      <c r="S8" s="59">
        <f t="shared" ref="S8:U8" si="2">R8+1</f>
        <v>2020</v>
      </c>
      <c r="T8" s="59">
        <f t="shared" si="2"/>
        <v>2021</v>
      </c>
      <c r="U8" s="60">
        <f t="shared" si="2"/>
        <v>2022</v>
      </c>
      <c r="V8" s="60">
        <f>'P&amp;L'!Q9</f>
        <v>2023</v>
      </c>
      <c r="W8" s="60" t="s">
        <v>146</v>
      </c>
    </row>
    <row r="9" spans="1:23" x14ac:dyDescent="0.25">
      <c r="B9" s="15" t="s">
        <v>243</v>
      </c>
      <c r="C9" s="9">
        <f>'P&amp;L'!C8</f>
        <v>58.33</v>
      </c>
      <c r="D9" s="9">
        <f>'P&amp;L'!D8</f>
        <v>226.46</v>
      </c>
      <c r="E9" s="9">
        <f>'P&amp;L'!E8</f>
        <v>343.65</v>
      </c>
      <c r="F9" s="9">
        <f>'P&amp;L'!F8</f>
        <v>236.16</v>
      </c>
      <c r="G9" s="9">
        <f>'P&amp;L'!G8</f>
        <v>79.78</v>
      </c>
      <c r="H9" s="27">
        <f>'P&amp;L'!I8</f>
        <v>647.38666666666677</v>
      </c>
      <c r="I9" s="27">
        <f>I8*$W$9</f>
        <v>313.59120668300937</v>
      </c>
      <c r="J9" s="27">
        <f>J8*$W$9</f>
        <v>322.99894288349964</v>
      </c>
      <c r="K9" s="27">
        <f>K8*$W$9</f>
        <v>333.49640852721342</v>
      </c>
      <c r="L9" s="27">
        <f>L8*$W$9</f>
        <v>344.33504180434784</v>
      </c>
      <c r="M9" s="27">
        <f t="shared" ref="M9" si="3">M8*$W$9</f>
        <v>348.63922982690218</v>
      </c>
      <c r="P9" s="62" t="s">
        <v>124</v>
      </c>
      <c r="Q9" s="170">
        <f t="shared" ref="Q9:V9" si="4">C9/C8</f>
        <v>2.1236160816680196E-2</v>
      </c>
      <c r="R9" s="61">
        <f t="shared" si="4"/>
        <v>6.1630992393419431E-2</v>
      </c>
      <c r="S9" s="61">
        <f t="shared" si="4"/>
        <v>7.7624879717013082E-2</v>
      </c>
      <c r="T9" s="61">
        <f t="shared" si="4"/>
        <v>5.523319043242144E-2</v>
      </c>
      <c r="U9" s="61">
        <f t="shared" si="4"/>
        <v>1.9028991902302894E-2</v>
      </c>
      <c r="V9" s="61">
        <f t="shared" si="4"/>
        <v>0.12886394097429574</v>
      </c>
      <c r="W9" s="61">
        <f>AVERAGE(Q9:V9)</f>
        <v>6.0603026039355468E-2</v>
      </c>
    </row>
    <row r="10" spans="1:23" x14ac:dyDescent="0.25">
      <c r="B10" s="44" t="s">
        <v>242</v>
      </c>
      <c r="C10" s="14">
        <f>SUM(C8:C9)</f>
        <v>2805.06</v>
      </c>
      <c r="D10" s="14">
        <f t="shared" ref="D10:M10" si="5">SUM(D8:D9)</f>
        <v>3900.91</v>
      </c>
      <c r="E10" s="14">
        <f t="shared" si="5"/>
        <v>4770.71</v>
      </c>
      <c r="F10" s="14">
        <f t="shared" si="5"/>
        <v>4511.8499999999995</v>
      </c>
      <c r="G10" s="14">
        <f t="shared" si="5"/>
        <v>4272.33</v>
      </c>
      <c r="H10" s="14">
        <f t="shared" si="5"/>
        <v>5671.1866666666665</v>
      </c>
      <c r="I10" s="14">
        <f t="shared" si="5"/>
        <v>5488.1052066830089</v>
      </c>
      <c r="J10" s="14">
        <f t="shared" si="5"/>
        <v>5652.7483628834989</v>
      </c>
      <c r="K10" s="14">
        <f t="shared" si="5"/>
        <v>5836.4626846772126</v>
      </c>
      <c r="L10" s="14">
        <f t="shared" si="5"/>
        <v>6026.1477219292228</v>
      </c>
      <c r="M10" s="14">
        <f t="shared" si="5"/>
        <v>6101.4745684533373</v>
      </c>
      <c r="P10" s="32" t="s">
        <v>128</v>
      </c>
      <c r="Q10" s="170">
        <f t="shared" ref="Q10:U11" si="6">C12/C$8</f>
        <v>0.63896706265268155</v>
      </c>
      <c r="R10" s="61">
        <f t="shared" si="6"/>
        <v>0.46975193566384082</v>
      </c>
      <c r="S10" s="61">
        <f t="shared" si="6"/>
        <v>0.63260493420012376</v>
      </c>
      <c r="T10" s="61">
        <f t="shared" si="6"/>
        <v>0.49314379667375335</v>
      </c>
      <c r="U10" s="61">
        <f t="shared" si="6"/>
        <v>0.48004436440829562</v>
      </c>
      <c r="V10" s="61">
        <f>'P&amp;L'!Q11</f>
        <v>0.63666812638507375</v>
      </c>
      <c r="W10" s="61">
        <f>AVERAGE(Q10:V10)</f>
        <v>0.5585300366639615</v>
      </c>
    </row>
    <row r="11" spans="1:23" ht="15.75" customHeight="1" x14ac:dyDescent="0.25">
      <c r="B11" s="16" t="s">
        <v>126</v>
      </c>
      <c r="C11" s="9"/>
      <c r="D11" s="105"/>
      <c r="E11" s="105"/>
      <c r="F11" s="105"/>
      <c r="G11" s="105"/>
      <c r="H11" s="27"/>
      <c r="I11" s="27"/>
      <c r="J11" s="27"/>
      <c r="K11" s="27"/>
      <c r="L11" s="27"/>
      <c r="M11" s="27"/>
      <c r="P11" s="62" t="s">
        <v>19</v>
      </c>
      <c r="Q11" s="170">
        <f t="shared" si="6"/>
        <v>2.0358753863685183E-2</v>
      </c>
      <c r="R11" s="61">
        <f t="shared" si="6"/>
        <v>2.1178679802419408E-2</v>
      </c>
      <c r="S11" s="61">
        <f t="shared" si="6"/>
        <v>1.4777301414482748E-2</v>
      </c>
      <c r="T11" s="61">
        <f t="shared" si="6"/>
        <v>1.7840395351393579E-2</v>
      </c>
      <c r="U11" s="61">
        <f t="shared" si="6"/>
        <v>1.8997984520160761E-2</v>
      </c>
      <c r="V11" s="61">
        <f>'P&amp;L'!Q12</f>
        <v>1.5826001565879745E-2</v>
      </c>
      <c r="W11" s="61">
        <f>AVERAGE(Q11:V11)</f>
        <v>1.8163186086336904E-2</v>
      </c>
    </row>
    <row r="12" spans="1:23" ht="17.25" customHeight="1" x14ac:dyDescent="0.25">
      <c r="B12" s="50" t="s">
        <v>18</v>
      </c>
      <c r="C12" s="9">
        <v>1755.07</v>
      </c>
      <c r="D12" s="9">
        <v>1726.08</v>
      </c>
      <c r="E12" s="27">
        <v>2800.58</v>
      </c>
      <c r="F12" s="27">
        <v>2108.5300000000002</v>
      </c>
      <c r="G12" s="27">
        <v>2012.61</v>
      </c>
      <c r="H12" s="27">
        <f>'P&amp;L'!I11</f>
        <v>3198.4933333333333</v>
      </c>
      <c r="I12" s="27">
        <f>I8*$W$10</f>
        <v>2890.1214941381818</v>
      </c>
      <c r="J12" s="27">
        <f>J8*$W$10</f>
        <v>2976.8251389623269</v>
      </c>
      <c r="K12" s="27">
        <f>K8*$W$10</f>
        <v>3073.571955978603</v>
      </c>
      <c r="L12" s="27">
        <f>L8*$W$10</f>
        <v>3173.4630445479074</v>
      </c>
      <c r="M12" s="27">
        <f t="shared" ref="M12" si="7">M8*$W$10</f>
        <v>3213.1313326047562</v>
      </c>
      <c r="P12" s="62" t="s">
        <v>208</v>
      </c>
      <c r="Q12" s="170">
        <f>'P&amp;L'!L19</f>
        <v>0.13240835466172504</v>
      </c>
      <c r="R12" s="61">
        <f>'P&amp;L'!M19</f>
        <v>0.51105335492386617</v>
      </c>
      <c r="S12" s="61">
        <f>'P&amp;L'!N19</f>
        <v>0.13213735526511949</v>
      </c>
      <c r="T12" s="61">
        <f>'P&amp;L'!O19</f>
        <v>0.13100575579614054</v>
      </c>
      <c r="U12" s="61">
        <f>'P&amp;L'!P19</f>
        <v>0.16449654744725761</v>
      </c>
      <c r="V12" s="61">
        <f>'P&amp;L'!Q13</f>
        <v>0.15483365845243308</v>
      </c>
      <c r="W12" s="61">
        <f>AVERAGE(S12:V12)</f>
        <v>0.14561832924023768</v>
      </c>
    </row>
    <row r="13" spans="1:23" ht="16.5" customHeight="1" x14ac:dyDescent="0.25">
      <c r="B13" s="47" t="s">
        <v>19</v>
      </c>
      <c r="C13" s="9">
        <v>55.92</v>
      </c>
      <c r="D13" s="9">
        <v>77.819999999999993</v>
      </c>
      <c r="E13" s="27">
        <v>65.42</v>
      </c>
      <c r="F13" s="27">
        <v>76.28</v>
      </c>
      <c r="G13" s="27">
        <v>79.650000000000006</v>
      </c>
      <c r="H13" s="27">
        <f>'P&amp;L'!I12</f>
        <v>79.506666666666675</v>
      </c>
      <c r="I13" s="27">
        <f>I8*$W$11</f>
        <v>93.985660688355509</v>
      </c>
      <c r="J13" s="27">
        <f>J8*$W$11</f>
        <v>96.805230509006165</v>
      </c>
      <c r="K13" s="27">
        <f>K8*$W$11</f>
        <v>99.951400500548871</v>
      </c>
      <c r="L13" s="27">
        <f>L8*$W$11</f>
        <v>103.19982101681671</v>
      </c>
      <c r="M13" s="27">
        <f t="shared" ref="M13" si="8">M8*$W$11</f>
        <v>104.48981877952693</v>
      </c>
    </row>
    <row r="14" spans="1:23" ht="15.75" customHeight="1" x14ac:dyDescent="0.25">
      <c r="B14" s="50" t="s">
        <v>21</v>
      </c>
      <c r="C14" s="9">
        <v>363.69</v>
      </c>
      <c r="D14" s="9">
        <v>1877.84</v>
      </c>
      <c r="E14" s="27">
        <v>1516.57</v>
      </c>
      <c r="F14" s="27">
        <v>1358.41</v>
      </c>
      <c r="G14" s="27">
        <v>689.66</v>
      </c>
      <c r="H14" s="27">
        <f>'P&amp;L'!I13</f>
        <v>777.85333333333335</v>
      </c>
      <c r="I14" s="27">
        <f>I8*$W$12</f>
        <v>753.50408331021913</v>
      </c>
      <c r="J14" s="27">
        <f>J8*$W$12</f>
        <v>776.10920580952575</v>
      </c>
      <c r="K14" s="27">
        <f>K8*$W$12</f>
        <v>801.3327549983353</v>
      </c>
      <c r="L14" s="27">
        <f>L8*$W$12</f>
        <v>827.3760695357812</v>
      </c>
      <c r="M14" s="27">
        <f t="shared" ref="M14" si="9">M8*$W$12</f>
        <v>837.71827040497851</v>
      </c>
    </row>
    <row r="15" spans="1:23" x14ac:dyDescent="0.25">
      <c r="B15" s="44" t="s">
        <v>23</v>
      </c>
      <c r="C15" s="14">
        <f>SUM(C12:C14)</f>
        <v>2174.6799999999998</v>
      </c>
      <c r="D15" s="14">
        <f t="shared" ref="D15:M15" si="10">SUM(D12:D14)</f>
        <v>3681.74</v>
      </c>
      <c r="E15" s="14">
        <f t="shared" si="10"/>
        <v>4382.57</v>
      </c>
      <c r="F15" s="14">
        <f t="shared" si="10"/>
        <v>3543.2200000000003</v>
      </c>
      <c r="G15" s="53">
        <f t="shared" si="10"/>
        <v>2781.9199999999996</v>
      </c>
      <c r="H15" s="53">
        <f t="shared" si="10"/>
        <v>4055.8533333333335</v>
      </c>
      <c r="I15" s="53">
        <f t="shared" si="10"/>
        <v>3737.6112381367566</v>
      </c>
      <c r="J15" s="53">
        <f t="shared" si="10"/>
        <v>3849.7395752808588</v>
      </c>
      <c r="K15" s="53">
        <f t="shared" si="10"/>
        <v>3974.8561114774875</v>
      </c>
      <c r="L15" s="53">
        <f t="shared" si="10"/>
        <v>4104.0389351005051</v>
      </c>
      <c r="M15" s="53">
        <f t="shared" si="10"/>
        <v>4155.3394217892619</v>
      </c>
    </row>
    <row r="16" spans="1:23" x14ac:dyDescent="0.25">
      <c r="B16" s="44" t="s">
        <v>121</v>
      </c>
      <c r="C16" s="14">
        <f>C10-C15</f>
        <v>630.38000000000011</v>
      </c>
      <c r="D16" s="14">
        <f>D10-D15</f>
        <v>219.17000000000007</v>
      </c>
      <c r="E16" s="14">
        <f>E10-E15</f>
        <v>388.14000000000033</v>
      </c>
      <c r="F16" s="14">
        <f>F10-F15</f>
        <v>968.6299999999992</v>
      </c>
      <c r="G16" s="53">
        <f>G10-G15</f>
        <v>1490.4100000000003</v>
      </c>
      <c r="H16" s="53">
        <f t="shared" ref="H16:M16" si="11">H10-H15</f>
        <v>1615.333333333333</v>
      </c>
      <c r="I16" s="53">
        <f t="shared" si="11"/>
        <v>1750.4939685462523</v>
      </c>
      <c r="J16" s="53">
        <f t="shared" si="11"/>
        <v>1803.00878760264</v>
      </c>
      <c r="K16" s="53">
        <f t="shared" si="11"/>
        <v>1861.6065731997251</v>
      </c>
      <c r="L16" s="53">
        <f t="shared" si="11"/>
        <v>1922.1087868287177</v>
      </c>
      <c r="M16" s="53">
        <f t="shared" si="11"/>
        <v>1946.1351466640754</v>
      </c>
    </row>
    <row r="17" spans="2:13" x14ac:dyDescent="0.25">
      <c r="B17" s="64" t="s">
        <v>22</v>
      </c>
      <c r="C17" s="9">
        <v>518.82000000000005</v>
      </c>
      <c r="D17" s="9">
        <v>697.91</v>
      </c>
      <c r="E17" s="27">
        <v>695.21</v>
      </c>
      <c r="F17" s="27">
        <v>679.41</v>
      </c>
      <c r="G17" s="27">
        <v>672.38</v>
      </c>
      <c r="H17" s="27">
        <f>Sheet3!C6</f>
        <v>675.90666666666664</v>
      </c>
      <c r="I17" s="27">
        <f>Sheet3!D6</f>
        <v>585.17197837288575</v>
      </c>
      <c r="J17" s="27">
        <f>Sheet3!E6</f>
        <v>554.78210149633901</v>
      </c>
      <c r="K17" s="27">
        <f>Sheet3!F6</f>
        <v>525.97046939347331</v>
      </c>
      <c r="L17" s="27">
        <f>Sheet3!G6</f>
        <v>498.6551186994563</v>
      </c>
      <c r="M17" s="27">
        <f>L17</f>
        <v>498.6551186994563</v>
      </c>
    </row>
    <row r="18" spans="2:13" x14ac:dyDescent="0.25">
      <c r="B18" s="110" t="s">
        <v>122</v>
      </c>
      <c r="C18" s="14">
        <f>C16-C17</f>
        <v>111.56000000000006</v>
      </c>
      <c r="D18" s="14">
        <f t="shared" ref="D18:M18" si="12">D16-D17</f>
        <v>-478.7399999999999</v>
      </c>
      <c r="E18" s="14">
        <f t="shared" si="12"/>
        <v>-307.06999999999971</v>
      </c>
      <c r="F18" s="14">
        <f t="shared" si="12"/>
        <v>289.21999999999923</v>
      </c>
      <c r="G18" s="53">
        <f t="shared" si="12"/>
        <v>818.03000000000031</v>
      </c>
      <c r="H18" s="107">
        <f t="shared" si="12"/>
        <v>939.42666666666639</v>
      </c>
      <c r="I18" s="107">
        <f t="shared" si="12"/>
        <v>1165.3219901733664</v>
      </c>
      <c r="J18" s="107">
        <f t="shared" si="12"/>
        <v>1248.226686106301</v>
      </c>
      <c r="K18" s="107">
        <f t="shared" si="12"/>
        <v>1335.6361038062519</v>
      </c>
      <c r="L18" s="107">
        <f t="shared" si="12"/>
        <v>1423.4536681292614</v>
      </c>
      <c r="M18" s="107">
        <f t="shared" si="12"/>
        <v>1447.480027964619</v>
      </c>
    </row>
    <row r="19" spans="2:13" x14ac:dyDescent="0.25">
      <c r="B19" s="111" t="s">
        <v>185</v>
      </c>
      <c r="H19" s="61">
        <v>0.29120000000000001</v>
      </c>
      <c r="I19" s="61">
        <v>0.29120000000000001</v>
      </c>
      <c r="J19" s="61">
        <v>0.29120000000000001</v>
      </c>
      <c r="K19" s="61">
        <v>0.29120000000000001</v>
      </c>
      <c r="L19" s="61">
        <v>0.29120000000000001</v>
      </c>
      <c r="M19" s="61">
        <v>0.29120000000000001</v>
      </c>
    </row>
    <row r="20" spans="2:13" x14ac:dyDescent="0.25">
      <c r="B20" s="111" t="s">
        <v>186</v>
      </c>
      <c r="H20" s="97">
        <f>1-H19</f>
        <v>0.70879999999999999</v>
      </c>
      <c r="I20" s="97">
        <f t="shared" ref="I20:M20" si="13">1-I19</f>
        <v>0.70879999999999999</v>
      </c>
      <c r="J20" s="97">
        <f t="shared" si="13"/>
        <v>0.70879999999999999</v>
      </c>
      <c r="K20" s="97">
        <f t="shared" si="13"/>
        <v>0.70879999999999999</v>
      </c>
      <c r="L20" s="97">
        <f t="shared" si="13"/>
        <v>0.70879999999999999</v>
      </c>
      <c r="M20" s="97">
        <f t="shared" si="13"/>
        <v>0.70879999999999999</v>
      </c>
    </row>
    <row r="21" spans="2:13" x14ac:dyDescent="0.25">
      <c r="B21" s="112" t="s">
        <v>187</v>
      </c>
      <c r="H21" s="27">
        <f>H18*H20</f>
        <v>665.86562133333314</v>
      </c>
      <c r="I21" s="27">
        <f t="shared" ref="I21:M21" si="14">I18*I20</f>
        <v>825.98022663488211</v>
      </c>
      <c r="J21" s="27">
        <f t="shared" si="14"/>
        <v>884.74307511214613</v>
      </c>
      <c r="K21" s="27">
        <f t="shared" si="14"/>
        <v>946.69887037787134</v>
      </c>
      <c r="L21" s="27">
        <f t="shared" si="14"/>
        <v>1008.9439599700204</v>
      </c>
      <c r="M21" s="27">
        <f t="shared" si="14"/>
        <v>1025.9738438213219</v>
      </c>
    </row>
    <row r="22" spans="2:13" x14ac:dyDescent="0.25">
      <c r="B22" s="111" t="s">
        <v>188</v>
      </c>
      <c r="H22" s="27">
        <f>H17</f>
        <v>675.90666666666664</v>
      </c>
      <c r="I22" s="27">
        <f t="shared" ref="I22:M22" si="15">I17</f>
        <v>585.17197837288575</v>
      </c>
      <c r="J22" s="27">
        <f t="shared" si="15"/>
        <v>554.78210149633901</v>
      </c>
      <c r="K22" s="27">
        <f t="shared" si="15"/>
        <v>525.97046939347331</v>
      </c>
      <c r="L22" s="27">
        <f t="shared" si="15"/>
        <v>498.6551186994563</v>
      </c>
      <c r="M22" s="27">
        <f t="shared" si="15"/>
        <v>498.6551186994563</v>
      </c>
    </row>
    <row r="23" spans="2:13" x14ac:dyDescent="0.25">
      <c r="B23" s="111" t="s">
        <v>189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</row>
    <row r="24" spans="2:13" ht="15" customHeight="1" x14ac:dyDescent="0.25">
      <c r="B24" s="111" t="s">
        <v>190</v>
      </c>
      <c r="H24" s="27">
        <v>0</v>
      </c>
      <c r="I24" s="27">
        <v>0</v>
      </c>
      <c r="J24" s="27">
        <v>0</v>
      </c>
      <c r="K24" s="27">
        <v>1026</v>
      </c>
      <c r="L24" s="27">
        <f>K24</f>
        <v>1026</v>
      </c>
      <c r="M24" s="27">
        <v>0</v>
      </c>
    </row>
    <row r="25" spans="2:13" x14ac:dyDescent="0.25">
      <c r="B25" s="113" t="s">
        <v>191</v>
      </c>
      <c r="H25" s="27">
        <f t="shared" ref="H25:I25" si="16">H21+H22-H23-H24</f>
        <v>1341.7722879999997</v>
      </c>
      <c r="I25" s="27">
        <f t="shared" si="16"/>
        <v>1411.1522050077679</v>
      </c>
      <c r="J25" s="27">
        <f>J21+J22-J23-J24</f>
        <v>1439.5251766084853</v>
      </c>
      <c r="K25" s="27">
        <f>K21+K22-K23-K24</f>
        <v>446.66933977134477</v>
      </c>
      <c r="L25" s="27">
        <f>L21+L22-L23-L24</f>
        <v>481.59907866947674</v>
      </c>
      <c r="M25" s="27">
        <f>M21+M22-M23-M24</f>
        <v>1524.6289625207783</v>
      </c>
    </row>
    <row r="26" spans="2:13" x14ac:dyDescent="0.25">
      <c r="B26" s="113" t="s">
        <v>237</v>
      </c>
      <c r="H26" s="27">
        <f>H25*H29</f>
        <v>111.81435733333331</v>
      </c>
      <c r="I26" s="27">
        <f>I25</f>
        <v>1411.1522050077679</v>
      </c>
      <c r="J26" s="27">
        <f t="shared" ref="J26:M26" si="17">J25</f>
        <v>1439.5251766084853</v>
      </c>
      <c r="K26" s="27">
        <f t="shared" si="17"/>
        <v>446.66933977134477</v>
      </c>
      <c r="L26" s="27">
        <f t="shared" si="17"/>
        <v>481.59907866947674</v>
      </c>
      <c r="M26" s="27">
        <f t="shared" si="17"/>
        <v>1524.6289625207783</v>
      </c>
    </row>
    <row r="27" spans="2:13" x14ac:dyDescent="0.25">
      <c r="B27" s="112" t="s">
        <v>192</v>
      </c>
      <c r="H27" s="173">
        <f>'Discount Rate'!C7</f>
        <v>0.14250000000000002</v>
      </c>
      <c r="I27" s="174"/>
      <c r="J27" s="174"/>
      <c r="K27" s="174"/>
      <c r="L27" s="174"/>
      <c r="M27" s="175"/>
    </row>
    <row r="28" spans="2:13" x14ac:dyDescent="0.25">
      <c r="B28" s="112" t="s">
        <v>196</v>
      </c>
      <c r="H28" s="173">
        <v>1.2500000000000001E-2</v>
      </c>
      <c r="I28" s="174"/>
      <c r="J28" s="174"/>
      <c r="K28" s="174"/>
      <c r="L28" s="174"/>
      <c r="M28" s="175"/>
    </row>
    <row r="29" spans="2:13" ht="15.75" customHeight="1" x14ac:dyDescent="0.25">
      <c r="B29" s="114" t="s">
        <v>193</v>
      </c>
      <c r="H29" s="115">
        <f>1/12</f>
        <v>8.3333333333333329E-2</v>
      </c>
      <c r="I29" s="115">
        <f>H29+1</f>
        <v>1.0833333333333333</v>
      </c>
      <c r="J29" s="115">
        <f t="shared" ref="J29:L29" si="18">I29+1</f>
        <v>2.083333333333333</v>
      </c>
      <c r="K29" s="115">
        <f t="shared" si="18"/>
        <v>3.083333333333333</v>
      </c>
      <c r="L29" s="115">
        <f t="shared" si="18"/>
        <v>4.083333333333333</v>
      </c>
      <c r="M29" s="95" t="s">
        <v>6</v>
      </c>
    </row>
    <row r="30" spans="2:13" ht="15.75" customHeight="1" x14ac:dyDescent="0.25">
      <c r="B30" s="111" t="s">
        <v>194</v>
      </c>
      <c r="C30" s="32"/>
      <c r="D30" s="32"/>
      <c r="E30" s="32"/>
      <c r="F30" s="32"/>
      <c r="G30" s="32"/>
      <c r="H30" s="27">
        <f>1/(1+$H$27)^H29</f>
        <v>0.98895982471244837</v>
      </c>
      <c r="I30" s="27">
        <f t="shared" ref="I30:L30" si="19">1/(1+$H$27)^I29</f>
        <v>0.86561034985772278</v>
      </c>
      <c r="J30" s="27">
        <f t="shared" si="19"/>
        <v>0.75764582044439632</v>
      </c>
      <c r="K30" s="27">
        <f t="shared" si="19"/>
        <v>0.66314732642835561</v>
      </c>
      <c r="L30" s="27">
        <f t="shared" si="19"/>
        <v>0.58043529665501581</v>
      </c>
      <c r="M30" s="95" t="s">
        <v>6</v>
      </c>
    </row>
    <row r="31" spans="2:13" x14ac:dyDescent="0.25">
      <c r="B31" s="32" t="s">
        <v>197</v>
      </c>
      <c r="L31" s="118">
        <f>M25/(H27-H28)</f>
        <v>11727.915096313678</v>
      </c>
      <c r="M31" s="95" t="s">
        <v>6</v>
      </c>
    </row>
    <row r="32" spans="2:13" x14ac:dyDescent="0.25">
      <c r="B32" s="116" t="s">
        <v>195</v>
      </c>
      <c r="C32" s="117"/>
      <c r="D32" s="117"/>
      <c r="E32" s="117"/>
      <c r="F32" s="117"/>
      <c r="G32" s="117"/>
      <c r="H32" s="53">
        <f>H26*H30</f>
        <v>110.57990722870836</v>
      </c>
      <c r="I32" s="53">
        <f>I25*I30</f>
        <v>1221.5079538792709</v>
      </c>
      <c r="J32" s="53">
        <f>J25*J30</f>
        <v>1090.6502334819004</v>
      </c>
      <c r="K32" s="53">
        <f>K25*K30</f>
        <v>296.20757846688605</v>
      </c>
      <c r="L32" s="53">
        <f>L25*L30</f>
        <v>279.53710409630003</v>
      </c>
      <c r="M32" s="95" t="s">
        <v>6</v>
      </c>
    </row>
    <row r="33" spans="2:13" x14ac:dyDescent="0.25">
      <c r="B33" s="112" t="s">
        <v>198</v>
      </c>
      <c r="L33" s="115">
        <f>L31*L30</f>
        <v>6807.2958780736681</v>
      </c>
      <c r="M33" s="95" t="s">
        <v>6</v>
      </c>
    </row>
    <row r="34" spans="2:13" x14ac:dyDescent="0.25">
      <c r="B34" s="112" t="s">
        <v>199</v>
      </c>
      <c r="C34" s="32"/>
      <c r="D34" s="32"/>
      <c r="E34" s="32"/>
      <c r="F34" s="32"/>
      <c r="G34" s="32"/>
      <c r="H34" s="27">
        <f>H32+H33</f>
        <v>110.57990722870836</v>
      </c>
      <c r="I34" s="27">
        <f t="shared" ref="I34:L34" si="20">I32+I33</f>
        <v>1221.5079538792709</v>
      </c>
      <c r="J34" s="27">
        <f t="shared" si="20"/>
        <v>1090.6502334819004</v>
      </c>
      <c r="K34" s="27">
        <f t="shared" si="20"/>
        <v>296.20757846688605</v>
      </c>
      <c r="L34" s="27">
        <f t="shared" si="20"/>
        <v>7086.8329821699681</v>
      </c>
      <c r="M34" s="95" t="s">
        <v>6</v>
      </c>
    </row>
    <row r="35" spans="2:13" x14ac:dyDescent="0.25">
      <c r="B35" s="120" t="s">
        <v>200</v>
      </c>
      <c r="C35" s="81"/>
      <c r="D35" s="81"/>
      <c r="E35" s="81"/>
      <c r="F35" s="81"/>
      <c r="G35" s="81"/>
      <c r="H35" s="133">
        <f>SUM(H34:L34)</f>
        <v>9805.7786552267335</v>
      </c>
      <c r="I35" s="131" t="s">
        <v>214</v>
      </c>
      <c r="J35" s="131"/>
      <c r="K35" s="131"/>
      <c r="L35" s="132"/>
      <c r="M35" s="143"/>
    </row>
    <row r="40" spans="2:13" x14ac:dyDescent="0.25">
      <c r="J40" s="102"/>
    </row>
  </sheetData>
  <mergeCells count="5">
    <mergeCell ref="B2:M2"/>
    <mergeCell ref="B4:G4"/>
    <mergeCell ref="M6:M7"/>
    <mergeCell ref="H27:M27"/>
    <mergeCell ref="H28:M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Payback Period</vt:lpstr>
      <vt:lpstr>BS</vt:lpstr>
      <vt:lpstr>CFS</vt:lpstr>
      <vt:lpstr>Sheet2</vt:lpstr>
      <vt:lpstr>Sheet3</vt:lpstr>
      <vt:lpstr>P&amp;L</vt:lpstr>
      <vt:lpstr>DCF Valuation (1)</vt:lpstr>
      <vt:lpstr>DCF Valuation (2)</vt:lpstr>
      <vt:lpstr>DCF Valuation (3)</vt:lpstr>
      <vt:lpstr>Discount Rate</vt:lpstr>
      <vt:lpstr>Relative Valuation 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2023-03-21T07:33:46Z</dcterms:modified>
</cp:coreProperties>
</file>