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Y:\In Progress Files\Abhinav Chaturvedi\VIS(2022-23)-PL672-563-937_Rubi\Valuation\"/>
    </mc:Choice>
  </mc:AlternateContent>
  <bookViews>
    <workbookView xWindow="0" yWindow="0" windowWidth="24000" windowHeight="9735" activeTab="1"/>
  </bookViews>
  <sheets>
    <sheet name="Valuation Working" sheetId="4" r:id="rId1"/>
    <sheet name="Sheet1" sheetId="8" r:id="rId2"/>
    <sheet name="Residential" sheetId="9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0" i="4" l="1"/>
  <c r="F39" i="4"/>
  <c r="H39" i="4" s="1"/>
  <c r="E39" i="4"/>
  <c r="D39" i="4"/>
  <c r="C39" i="4"/>
  <c r="B39" i="4"/>
  <c r="H40" i="4"/>
  <c r="G43" i="4"/>
  <c r="G42" i="4"/>
  <c r="F42" i="4"/>
  <c r="F43" i="4" s="1"/>
  <c r="G23" i="4" l="1"/>
  <c r="B23" i="4"/>
  <c r="H11" i="4"/>
  <c r="B49" i="4" l="1"/>
  <c r="B48" i="4"/>
  <c r="G31" i="4" l="1"/>
  <c r="F31" i="4"/>
  <c r="D23" i="8" l="1"/>
  <c r="J10" i="4"/>
  <c r="C27" i="9" l="1"/>
  <c r="C25" i="9"/>
  <c r="E10" i="9" l="1"/>
  <c r="D10" i="9"/>
  <c r="C10" i="9"/>
  <c r="C6" i="9"/>
  <c r="E6" i="9" s="1"/>
  <c r="C5" i="9"/>
  <c r="E5" i="9" s="1"/>
  <c r="L4" i="4"/>
  <c r="L3" i="4"/>
  <c r="J4" i="4"/>
  <c r="J3" i="4"/>
  <c r="D6" i="9" l="1"/>
  <c r="D5" i="9"/>
  <c r="B31" i="4" l="1"/>
  <c r="C31" i="4"/>
  <c r="D31" i="4" s="1"/>
  <c r="E31" i="4" s="1"/>
  <c r="B13" i="4" l="1"/>
  <c r="B10" i="4"/>
  <c r="B5" i="4"/>
  <c r="H35" i="4" l="1"/>
  <c r="H29" i="4"/>
  <c r="B34" i="4"/>
  <c r="B28" i="4"/>
  <c r="B22" i="4"/>
  <c r="B37" i="4"/>
  <c r="C37" i="4" s="1"/>
  <c r="F24" i="4" l="1"/>
  <c r="F25" i="4" s="1"/>
  <c r="D24" i="4"/>
  <c r="D25" i="4" s="1"/>
  <c r="E24" i="4"/>
  <c r="E25" i="4" s="1"/>
  <c r="C24" i="4"/>
  <c r="C25" i="4" s="1"/>
  <c r="C30" i="4"/>
  <c r="C32" i="4" s="1"/>
  <c r="F30" i="4"/>
  <c r="F32" i="4" s="1"/>
  <c r="D30" i="4"/>
  <c r="D32" i="4" s="1"/>
  <c r="E30" i="4"/>
  <c r="E32" i="4" s="1"/>
  <c r="G30" i="4"/>
  <c r="G32" i="4" s="1"/>
  <c r="B36" i="4"/>
  <c r="B38" i="4" s="1"/>
  <c r="C36" i="4"/>
  <c r="C38" i="4" s="1"/>
  <c r="C42" i="4" s="1"/>
  <c r="C43" i="4" s="1"/>
  <c r="E36" i="4"/>
  <c r="H34" i="4"/>
  <c r="H28" i="4"/>
  <c r="D36" i="4"/>
  <c r="D37" i="4"/>
  <c r="B30" i="4"/>
  <c r="B24" i="4" l="1"/>
  <c r="B25" i="4" s="1"/>
  <c r="H36" i="4"/>
  <c r="H30" i="4"/>
  <c r="B32" i="4"/>
  <c r="B42" i="4" s="1"/>
  <c r="E37" i="4"/>
  <c r="D38" i="4"/>
  <c r="D42" i="4" s="1"/>
  <c r="D43" i="4" s="1"/>
  <c r="B43" i="4" l="1"/>
  <c r="E38" i="4"/>
  <c r="E42" i="4" s="1"/>
  <c r="E43" i="4" s="1"/>
  <c r="H32" i="4" l="1"/>
  <c r="H38" i="4" l="1"/>
  <c r="I32" i="4" s="1"/>
  <c r="H42" i="4" l="1"/>
  <c r="H23" i="4" l="1"/>
  <c r="G24" i="4"/>
  <c r="G25" i="4" s="1"/>
  <c r="H25" i="4" l="1"/>
  <c r="H24" i="4"/>
  <c r="H43" i="4" l="1"/>
  <c r="B45" i="4"/>
</calcChain>
</file>

<file path=xl/sharedStrings.xml><?xml version="1.0" encoding="utf-8"?>
<sst xmlns="http://schemas.openxmlformats.org/spreadsheetml/2006/main" count="92" uniqueCount="59">
  <si>
    <t xml:space="preserve">Particulars </t>
  </si>
  <si>
    <t xml:space="preserve">Figures </t>
  </si>
  <si>
    <t xml:space="preserve">Unit </t>
  </si>
  <si>
    <t>Remark</t>
  </si>
  <si>
    <t>Total</t>
  </si>
  <si>
    <t>Net Present Value NPV (Rs. Cr.)</t>
  </si>
  <si>
    <t xml:space="preserve">Average size of unit </t>
  </si>
  <si>
    <t xml:space="preserve">Total unsold area </t>
  </si>
  <si>
    <t xml:space="preserve">Sq feet </t>
  </si>
  <si>
    <t xml:space="preserve">Nos. </t>
  </si>
  <si>
    <t>No. of total unsold unit</t>
  </si>
  <si>
    <t>Average selling price</t>
  </si>
  <si>
    <t xml:space="preserve">Rs. Per sq feet </t>
  </si>
  <si>
    <t xml:space="preserve">Disocount Rate </t>
  </si>
  <si>
    <t>%</t>
  </si>
  <si>
    <t>INR. Cr.</t>
  </si>
  <si>
    <t xml:space="preserve">Provided by company </t>
  </si>
  <si>
    <t xml:space="preserve">Outflow </t>
  </si>
  <si>
    <t>Phase</t>
  </si>
  <si>
    <t>Total Outflow -A (INR Cr.)</t>
  </si>
  <si>
    <t xml:space="preserve">Inflow </t>
  </si>
  <si>
    <t>Total unsold area (sq feet)</t>
  </si>
  <si>
    <t>Selling Phase (%)</t>
  </si>
  <si>
    <t>Average market rate (Rs. Per sq feet)</t>
  </si>
  <si>
    <t>Sale consideration (In Rs. Cr.)- B</t>
  </si>
  <si>
    <t>Total Inflow (Rs. Cr.)</t>
  </si>
  <si>
    <t>Escalation in selling Price (by Anually)</t>
  </si>
  <si>
    <t>FY-23</t>
  </si>
  <si>
    <t>FY-24</t>
  </si>
  <si>
    <t>FY-25</t>
  </si>
  <si>
    <t>FY-26</t>
  </si>
  <si>
    <t>FY-27</t>
  </si>
  <si>
    <t>Office Space</t>
  </si>
  <si>
    <t xml:space="preserve">RKA Research </t>
  </si>
  <si>
    <t>Sale consideration (In Rs. Cr.)</t>
  </si>
  <si>
    <t>Cost to be incurred in phase (INR Cr.)</t>
  </si>
  <si>
    <t>Total area to be sold in phase (sq feet)</t>
  </si>
  <si>
    <t>GreenField</t>
  </si>
  <si>
    <t>Land Zoning</t>
  </si>
  <si>
    <t>Saturatory Approvals</t>
  </si>
  <si>
    <t>Construction Risk</t>
  </si>
  <si>
    <t>Marketing Risk</t>
  </si>
  <si>
    <t>Operating Risk</t>
  </si>
  <si>
    <t>Project Stage</t>
  </si>
  <si>
    <t>Discount Rate</t>
  </si>
  <si>
    <t>Residential</t>
  </si>
  <si>
    <t>1BHK</t>
  </si>
  <si>
    <t>2BHK</t>
  </si>
  <si>
    <t>Shops</t>
  </si>
  <si>
    <t>FY-22</t>
  </si>
  <si>
    <t>Amount to be incurred on Completion of project</t>
  </si>
  <si>
    <t>Amount to be incurred on completion of project (In Rs. Cr.)</t>
  </si>
  <si>
    <t>Amount Received from sold units</t>
  </si>
  <si>
    <t>Discount rate</t>
  </si>
  <si>
    <t>Net Cash Flow</t>
  </si>
  <si>
    <t>Rate</t>
  </si>
  <si>
    <t>BUA</t>
  </si>
  <si>
    <t>Carpet</t>
  </si>
  <si>
    <t>\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</si>
</sst>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9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0" fontId="9" fillId="0" borderId="0"/>
  </cellStyleXfs>
  <cellXfs count="68">
    <xf numFmtId="0" fontId="0" fillId="0" borderId="0" xfId="0"/>
    <xf numFmtId="164" fontId="0" fillId="0" borderId="1" xfId="1" applyFont="1" applyBorder="1"/>
    <xf numFmtId="0" fontId="0" fillId="0" borderId="0" xfId="0"/>
    <xf numFmtId="0" fontId="0" fillId="0" borderId="1" xfId="0" applyBorder="1"/>
    <xf numFmtId="43" fontId="0" fillId="0" borderId="1" xfId="2" applyFont="1" applyBorder="1"/>
    <xf numFmtId="166" fontId="0" fillId="0" borderId="0" xfId="2" applyNumberFormat="1" applyFont="1"/>
    <xf numFmtId="0" fontId="0" fillId="0" borderId="0" xfId="0" applyBorder="1"/>
    <xf numFmtId="0" fontId="0" fillId="0" borderId="1" xfId="0" applyFill="1" applyBorder="1"/>
    <xf numFmtId="0" fontId="2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0" borderId="1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0" fillId="0" borderId="0" xfId="0" applyFill="1" applyBorder="1"/>
    <xf numFmtId="164" fontId="0" fillId="0" borderId="0" xfId="1" applyFont="1"/>
    <xf numFmtId="164" fontId="4" fillId="2" borderId="1" xfId="1" applyFont="1" applyFill="1" applyBorder="1" applyAlignment="1">
      <alignment horizontal="right"/>
    </xf>
    <xf numFmtId="164" fontId="2" fillId="0" borderId="1" xfId="1" applyFont="1" applyBorder="1"/>
    <xf numFmtId="165" fontId="1" fillId="0" borderId="1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center"/>
    </xf>
    <xf numFmtId="165" fontId="1" fillId="0" borderId="1" xfId="1" applyNumberFormat="1" applyFont="1" applyBorder="1"/>
    <xf numFmtId="165" fontId="0" fillId="0" borderId="0" xfId="1" applyNumberFormat="1" applyFont="1"/>
    <xf numFmtId="9" fontId="0" fillId="0" borderId="1" xfId="1" applyNumberFormat="1" applyFont="1" applyBorder="1"/>
    <xf numFmtId="164" fontId="2" fillId="0" borderId="1" xfId="1" applyFont="1" applyFill="1" applyBorder="1" applyAlignment="1">
      <alignment horizontal="center"/>
    </xf>
    <xf numFmtId="165" fontId="5" fillId="0" borderId="1" xfId="1" applyNumberFormat="1" applyFont="1" applyBorder="1"/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164" fontId="2" fillId="0" borderId="1" xfId="1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164" fontId="1" fillId="0" borderId="1" xfId="1" applyFont="1" applyFill="1" applyBorder="1" applyAlignment="1">
      <alignment horizontal="right"/>
    </xf>
    <xf numFmtId="9" fontId="1" fillId="0" borderId="1" xfId="1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64" fontId="2" fillId="2" borderId="1" xfId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center" vertical="center"/>
    </xf>
    <xf numFmtId="167" fontId="0" fillId="0" borderId="1" xfId="1" applyNumberFormat="1" applyFont="1" applyBorder="1"/>
    <xf numFmtId="0" fontId="2" fillId="2" borderId="1" xfId="0" applyFont="1" applyFill="1" applyBorder="1" applyAlignment="1">
      <alignment horizontal="center" vertical="center"/>
    </xf>
    <xf numFmtId="164" fontId="0" fillId="0" borderId="0" xfId="1" applyNumberFormat="1" applyFont="1" applyBorder="1"/>
    <xf numFmtId="43" fontId="0" fillId="0" borderId="0" xfId="2" applyFont="1" applyBorder="1"/>
    <xf numFmtId="0" fontId="6" fillId="3" borderId="1" xfId="0" applyFont="1" applyFill="1" applyBorder="1" applyAlignment="1">
      <alignment horizontal="center"/>
    </xf>
    <xf numFmtId="164" fontId="6" fillId="3" borderId="1" xfId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9" fontId="2" fillId="0" borderId="1" xfId="3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3" applyFont="1"/>
    <xf numFmtId="0" fontId="0" fillId="0" borderId="0" xfId="0"/>
    <xf numFmtId="10" fontId="0" fillId="0" borderId="0" xfId="3" applyNumberFormat="1" applyFont="1"/>
    <xf numFmtId="9" fontId="0" fillId="0" borderId="0" xfId="0" applyNumberFormat="1" applyFill="1"/>
    <xf numFmtId="10" fontId="2" fillId="0" borderId="1" xfId="3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0" fillId="0" borderId="1" xfId="0" applyFill="1" applyBorder="1" applyAlignment="1">
      <alignment horizontal="left" vertical="center"/>
    </xf>
    <xf numFmtId="165" fontId="0" fillId="0" borderId="0" xfId="1" applyNumberFormat="1" applyFont="1" applyFill="1"/>
    <xf numFmtId="165" fontId="0" fillId="0" borderId="0" xfId="0" applyNumberFormat="1"/>
    <xf numFmtId="9" fontId="0" fillId="0" borderId="0" xfId="3" applyFont="1" applyFill="1"/>
    <xf numFmtId="10" fontId="1" fillId="0" borderId="1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43" fontId="0" fillId="0" borderId="0" xfId="0" applyNumberFormat="1" applyFill="1"/>
    <xf numFmtId="10" fontId="1" fillId="0" borderId="1" xfId="3" applyNumberFormat="1" applyFont="1" applyFill="1" applyBorder="1" applyAlignment="1">
      <alignment horizontal="right"/>
    </xf>
    <xf numFmtId="0" fontId="10" fillId="4" borderId="2" xfId="0" applyFont="1" applyFill="1" applyBorder="1" applyAlignment="1">
      <alignment horizontal="right" vertical="center"/>
    </xf>
    <xf numFmtId="0" fontId="10" fillId="4" borderId="3" xfId="0" applyFont="1" applyFill="1" applyBorder="1" applyAlignment="1">
      <alignment horizontal="right" vertical="center"/>
    </xf>
    <xf numFmtId="17" fontId="10" fillId="4" borderId="2" xfId="0" applyNumberFormat="1" applyFont="1" applyFill="1" applyBorder="1" applyAlignment="1">
      <alignment horizontal="center" vertical="center"/>
    </xf>
    <xf numFmtId="17" fontId="10" fillId="4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0" fontId="2" fillId="0" borderId="1" xfId="3" applyNumberFormat="1" applyFont="1" applyFill="1" applyBorder="1" applyAlignment="1">
      <alignment horizontal="center" vertical="center"/>
    </xf>
    <xf numFmtId="9" fontId="0" fillId="0" borderId="0" xfId="3" applyFont="1" applyFill="1" applyBorder="1"/>
    <xf numFmtId="10" fontId="0" fillId="0" borderId="1" xfId="1" applyNumberFormat="1" applyFont="1" applyBorder="1"/>
  </cellXfs>
  <cellStyles count="14">
    <cellStyle name="Comma" xfId="1" builtinId="3"/>
    <cellStyle name="Comma 10" xfId="5"/>
    <cellStyle name="Comma 2" xfId="2"/>
    <cellStyle name="Comma 2 2" xfId="6"/>
    <cellStyle name="Comma 3" xfId="7"/>
    <cellStyle name="Comma 4" xfId="4"/>
    <cellStyle name="Comma 5" xfId="11"/>
    <cellStyle name="Normal" xfId="0" builtinId="0"/>
    <cellStyle name="Normal 2" xfId="12"/>
    <cellStyle name="Normal 3" xfId="8"/>
    <cellStyle name="Normal 3 2" xfId="13"/>
    <cellStyle name="Normal 4" xfId="9"/>
    <cellStyle name="Percent" xfId="3" builtinId="5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Discount Rate V Project Stage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Sheet1!$D$3</c:f>
              <c:strCache>
                <c:ptCount val="1"/>
                <c:pt idx="0">
                  <c:v>Discount Rate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stdErr"/>
            <c:noEndCap val="0"/>
            <c:spPr>
              <a:noFill/>
              <a:ln w="9525">
                <a:solidFill>
                  <a:schemeClr val="tx2">
                    <a:lumMod val="75000"/>
                  </a:schemeClr>
                </a:solidFill>
                <a:round/>
              </a:ln>
              <a:effectLst/>
            </c:spPr>
          </c:errBars>
          <c:cat>
            <c:strRef>
              <c:f>Sheet1!$C$4:$C$9</c:f>
              <c:strCache>
                <c:ptCount val="6"/>
                <c:pt idx="0">
                  <c:v>GreenField</c:v>
                </c:pt>
                <c:pt idx="1">
                  <c:v>Land Zoning</c:v>
                </c:pt>
                <c:pt idx="2">
                  <c:v>Saturatory Approvals</c:v>
                </c:pt>
                <c:pt idx="3">
                  <c:v>Construction Risk</c:v>
                </c:pt>
                <c:pt idx="4">
                  <c:v>Marketing Risk</c:v>
                </c:pt>
                <c:pt idx="5">
                  <c:v>Operating Risk</c:v>
                </c:pt>
              </c:strCache>
            </c:strRef>
          </c:cat>
          <c:val>
            <c:numRef>
              <c:f>Sheet1!$D$4:$D$9</c:f>
              <c:numCache>
                <c:formatCode>0%</c:formatCode>
                <c:ptCount val="6"/>
                <c:pt idx="0">
                  <c:v>0.21</c:v>
                </c:pt>
                <c:pt idx="1">
                  <c:v>0.18</c:v>
                </c:pt>
                <c:pt idx="2">
                  <c:v>0.15</c:v>
                </c:pt>
                <c:pt idx="3">
                  <c:v>0.12</c:v>
                </c:pt>
                <c:pt idx="4">
                  <c:v>0.1</c:v>
                </c:pt>
                <c:pt idx="5">
                  <c:v>0.08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E1-410D-82D3-31B6E21A0E2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9436360"/>
        <c:axId val="129430872"/>
      </c:lineChart>
      <c:catAx>
        <c:axId val="129436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>
                    <a:solidFill>
                      <a:schemeClr val="tx1"/>
                    </a:solidFill>
                  </a:rPr>
                  <a:t>Project Stage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30872"/>
        <c:crosses val="autoZero"/>
        <c:auto val="1"/>
        <c:lblAlgn val="ctr"/>
        <c:lblOffset val="100"/>
        <c:noMultiLvlLbl val="0"/>
      </c:catAx>
      <c:valAx>
        <c:axId val="12943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>
                    <a:solidFill>
                      <a:schemeClr val="tx1"/>
                    </a:solidFill>
                  </a:rPr>
                  <a:t>Discount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436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100012</xdr:rowOff>
    </xdr:from>
    <xdr:to>
      <xdr:col>13</xdr:col>
      <xdr:colOff>304800</xdr:colOff>
      <xdr:row>15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109BD92-89F2-EFE9-3E9B-6C4E82AB6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523874</xdr:colOff>
      <xdr:row>0</xdr:row>
      <xdr:rowOff>0</xdr:rowOff>
    </xdr:from>
    <xdr:to>
      <xdr:col>15</xdr:col>
      <xdr:colOff>361949</xdr:colOff>
      <xdr:row>14</xdr:row>
      <xdr:rowOff>114300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626" t="8467" r="12423" b="22859"/>
        <a:stretch/>
      </xdr:blipFill>
      <xdr:spPr>
        <a:xfrm>
          <a:off x="4895849" y="0"/>
          <a:ext cx="5324475" cy="27813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14</xdr:row>
      <xdr:rowOff>161925</xdr:rowOff>
    </xdr:from>
    <xdr:to>
      <xdr:col>15</xdr:col>
      <xdr:colOff>438150</xdr:colOff>
      <xdr:row>29</xdr:row>
      <xdr:rowOff>161925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626" t="7997" r="12688" b="21448"/>
        <a:stretch/>
      </xdr:blipFill>
      <xdr:spPr>
        <a:xfrm>
          <a:off x="4991100" y="2828925"/>
          <a:ext cx="5305425" cy="28575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30</xdr:row>
      <xdr:rowOff>19049</xdr:rowOff>
    </xdr:from>
    <xdr:to>
      <xdr:col>15</xdr:col>
      <xdr:colOff>459857</xdr:colOff>
      <xdr:row>43</xdr:row>
      <xdr:rowOff>104775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057" t="28928" r="16789" b="30620"/>
        <a:stretch/>
      </xdr:blipFill>
      <xdr:spPr>
        <a:xfrm>
          <a:off x="4895850" y="5734049"/>
          <a:ext cx="5422382" cy="2562226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114299</xdr:colOff>
      <xdr:row>44</xdr:row>
      <xdr:rowOff>57150</xdr:rowOff>
    </xdr:from>
    <xdr:to>
      <xdr:col>15</xdr:col>
      <xdr:colOff>485774</xdr:colOff>
      <xdr:row>58</xdr:row>
      <xdr:rowOff>131567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718" t="15993" r="16921" b="40027"/>
        <a:stretch/>
      </xdr:blipFill>
      <xdr:spPr>
        <a:xfrm>
          <a:off x="5095874" y="8439150"/>
          <a:ext cx="5248275" cy="2741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opLeftCell="A29" workbookViewId="0">
      <selection activeCell="B48" sqref="B48:B49"/>
    </sheetView>
  </sheetViews>
  <sheetFormatPr defaultColWidth="8.85546875" defaultRowHeight="15" x14ac:dyDescent="0.25"/>
  <cols>
    <col min="1" max="1" width="61.85546875" style="2" bestFit="1" customWidth="1"/>
    <col min="2" max="2" width="14.85546875" style="14" bestFit="1" customWidth="1"/>
    <col min="3" max="3" width="14.7109375" style="2" bestFit="1" customWidth="1"/>
    <col min="4" max="4" width="20.7109375" style="2" bestFit="1" customWidth="1"/>
    <col min="5" max="7" width="8" style="2" bestFit="1" customWidth="1"/>
    <col min="8" max="8" width="10.5703125" style="2" bestFit="1" customWidth="1"/>
    <col min="9" max="9" width="14.28515625" style="2" bestFit="1" customWidth="1"/>
    <col min="10" max="10" width="10.5703125" style="20" bestFit="1" customWidth="1"/>
    <col min="11" max="11" width="8" style="20" bestFit="1" customWidth="1"/>
    <col min="12" max="12" width="10.5703125" style="2" bestFit="1" customWidth="1"/>
    <col min="13" max="16384" width="8.85546875" style="2"/>
  </cols>
  <sheetData>
    <row r="1" spans="1:12" x14ac:dyDescent="0.25">
      <c r="A1" s="37" t="s">
        <v>0</v>
      </c>
      <c r="B1" s="38" t="s">
        <v>1</v>
      </c>
      <c r="C1" s="37" t="s">
        <v>2</v>
      </c>
      <c r="D1" s="37" t="s">
        <v>3</v>
      </c>
    </row>
    <row r="2" spans="1:12" x14ac:dyDescent="0.25">
      <c r="A2" s="8" t="s">
        <v>45</v>
      </c>
      <c r="B2" s="22"/>
      <c r="C2" s="9"/>
      <c r="D2" s="9"/>
      <c r="H2" s="47"/>
    </row>
    <row r="3" spans="1:12" x14ac:dyDescent="0.25">
      <c r="A3" s="3" t="s">
        <v>7</v>
      </c>
      <c r="B3" s="23">
        <v>103935</v>
      </c>
      <c r="C3" s="3" t="s">
        <v>8</v>
      </c>
      <c r="D3" s="3" t="s">
        <v>16</v>
      </c>
      <c r="E3" s="10"/>
      <c r="F3" s="10"/>
      <c r="G3" s="10"/>
      <c r="H3" s="47">
        <v>391</v>
      </c>
      <c r="I3" s="2" t="s">
        <v>46</v>
      </c>
      <c r="J3" s="20">
        <f>45*10^5</f>
        <v>4500000</v>
      </c>
      <c r="K3" s="20">
        <v>10000</v>
      </c>
      <c r="L3" s="54">
        <f>K3*H3</f>
        <v>3910000</v>
      </c>
    </row>
    <row r="4" spans="1:12" x14ac:dyDescent="0.25">
      <c r="A4" s="3" t="s">
        <v>10</v>
      </c>
      <c r="B4" s="17">
        <v>211</v>
      </c>
      <c r="C4" s="3" t="s">
        <v>9</v>
      </c>
      <c r="D4" s="3" t="s">
        <v>16</v>
      </c>
      <c r="E4" s="10"/>
      <c r="F4" s="10"/>
      <c r="G4" s="10"/>
      <c r="H4" s="47">
        <v>575</v>
      </c>
      <c r="I4" s="2" t="s">
        <v>47</v>
      </c>
      <c r="J4" s="20">
        <f>65*10^5</f>
        <v>6500000</v>
      </c>
      <c r="K4" s="20">
        <v>10000</v>
      </c>
      <c r="L4" s="54">
        <f>K4*H4</f>
        <v>5750000</v>
      </c>
    </row>
    <row r="5" spans="1:12" x14ac:dyDescent="0.25">
      <c r="A5" s="3" t="s">
        <v>6</v>
      </c>
      <c r="B5" s="18">
        <f>B3/B4</f>
        <v>492.58293838862556</v>
      </c>
      <c r="C5" s="3" t="s">
        <v>8</v>
      </c>
      <c r="D5" s="3"/>
      <c r="E5" s="10"/>
      <c r="F5" s="10"/>
      <c r="G5" s="10"/>
    </row>
    <row r="6" spans="1:12" x14ac:dyDescent="0.25">
      <c r="A6" s="3" t="s">
        <v>11</v>
      </c>
      <c r="B6" s="18">
        <v>10000</v>
      </c>
      <c r="C6" s="3" t="s">
        <v>12</v>
      </c>
      <c r="D6" s="3" t="s">
        <v>33</v>
      </c>
      <c r="E6" s="10"/>
      <c r="F6" s="10"/>
      <c r="G6" s="10"/>
    </row>
    <row r="7" spans="1:12" x14ac:dyDescent="0.25">
      <c r="A7" s="8" t="s">
        <v>48</v>
      </c>
      <c r="B7" s="18"/>
      <c r="C7" s="3"/>
      <c r="D7" s="3"/>
      <c r="E7" s="10"/>
      <c r="F7" s="10"/>
      <c r="G7" s="10"/>
    </row>
    <row r="8" spans="1:12" x14ac:dyDescent="0.25">
      <c r="A8" s="3" t="s">
        <v>7</v>
      </c>
      <c r="B8" s="18">
        <v>2738</v>
      </c>
      <c r="C8" s="3" t="s">
        <v>8</v>
      </c>
      <c r="D8" s="3" t="s">
        <v>16</v>
      </c>
      <c r="E8" s="10"/>
      <c r="F8" s="10"/>
      <c r="G8" s="10"/>
      <c r="J8" s="20">
        <v>270</v>
      </c>
    </row>
    <row r="9" spans="1:12" x14ac:dyDescent="0.25">
      <c r="A9" s="3" t="s">
        <v>10</v>
      </c>
      <c r="B9" s="18">
        <v>2</v>
      </c>
      <c r="C9" s="3" t="s">
        <v>9</v>
      </c>
      <c r="D9" s="3" t="s">
        <v>16</v>
      </c>
      <c r="E9" s="10"/>
      <c r="F9" s="10"/>
      <c r="G9" s="10"/>
      <c r="J9" s="20">
        <v>59</v>
      </c>
    </row>
    <row r="10" spans="1:12" x14ac:dyDescent="0.25">
      <c r="A10" s="3" t="s">
        <v>6</v>
      </c>
      <c r="B10" s="19">
        <f>B8/B9</f>
        <v>1369</v>
      </c>
      <c r="C10" s="3" t="s">
        <v>8</v>
      </c>
      <c r="D10" s="3"/>
      <c r="H10" s="2">
        <v>5.51</v>
      </c>
      <c r="J10" s="48">
        <f>J9/J8</f>
        <v>0.21851851851851853</v>
      </c>
    </row>
    <row r="11" spans="1:12" x14ac:dyDescent="0.25">
      <c r="A11" s="3" t="s">
        <v>11</v>
      </c>
      <c r="B11" s="18">
        <v>14000</v>
      </c>
      <c r="C11" s="3" t="s">
        <v>12</v>
      </c>
      <c r="D11" s="3" t="s">
        <v>33</v>
      </c>
      <c r="H11" s="48">
        <f>H10/B16</f>
        <v>8.3297862138069792E-2</v>
      </c>
    </row>
    <row r="12" spans="1:12" x14ac:dyDescent="0.25">
      <c r="A12" s="8" t="s">
        <v>7</v>
      </c>
      <c r="B12" s="19"/>
      <c r="C12" s="3"/>
      <c r="D12" s="3"/>
      <c r="I12" s="20"/>
    </row>
    <row r="13" spans="1:12" x14ac:dyDescent="0.25">
      <c r="A13" s="3" t="s">
        <v>7</v>
      </c>
      <c r="B13" s="19">
        <f>B8+B3</f>
        <v>106673</v>
      </c>
      <c r="C13" s="3" t="s">
        <v>8</v>
      </c>
      <c r="D13" s="3" t="s">
        <v>16</v>
      </c>
    </row>
    <row r="14" spans="1:12" x14ac:dyDescent="0.25">
      <c r="A14" s="7" t="s">
        <v>13</v>
      </c>
      <c r="B14" s="21">
        <v>0.15</v>
      </c>
      <c r="C14" s="3"/>
      <c r="D14" s="3" t="s">
        <v>33</v>
      </c>
    </row>
    <row r="15" spans="1:12" x14ac:dyDescent="0.25">
      <c r="A15" s="7" t="s">
        <v>26</v>
      </c>
      <c r="B15" s="33">
        <v>0.05</v>
      </c>
      <c r="C15" s="7" t="s">
        <v>14</v>
      </c>
      <c r="D15" s="3" t="s">
        <v>33</v>
      </c>
    </row>
    <row r="16" spans="1:12" x14ac:dyDescent="0.25">
      <c r="A16" s="7" t="s">
        <v>50</v>
      </c>
      <c r="B16" s="1">
        <v>66.14815625</v>
      </c>
      <c r="C16" s="7" t="s">
        <v>15</v>
      </c>
      <c r="D16" s="3" t="s">
        <v>16</v>
      </c>
      <c r="I16" s="48"/>
    </row>
    <row r="17" spans="1:11" x14ac:dyDescent="0.25">
      <c r="A17" s="7" t="s">
        <v>52</v>
      </c>
      <c r="B17" s="1">
        <v>28.542379799999999</v>
      </c>
      <c r="C17" s="7" t="s">
        <v>15</v>
      </c>
      <c r="D17" s="3" t="s">
        <v>16</v>
      </c>
    </row>
    <row r="18" spans="1:11" x14ac:dyDescent="0.25">
      <c r="C18" s="14"/>
      <c r="D18" s="14"/>
      <c r="E18" s="5"/>
      <c r="F18" s="5"/>
      <c r="G18" s="5"/>
    </row>
    <row r="19" spans="1:11" x14ac:dyDescent="0.25">
      <c r="A19" s="44" t="s">
        <v>0</v>
      </c>
      <c r="B19" s="37" t="s">
        <v>49</v>
      </c>
      <c r="C19" s="37" t="s">
        <v>27</v>
      </c>
      <c r="D19" s="37" t="s">
        <v>28</v>
      </c>
      <c r="E19" s="37" t="s">
        <v>29</v>
      </c>
      <c r="F19" s="37" t="s">
        <v>30</v>
      </c>
      <c r="G19" s="37" t="s">
        <v>31</v>
      </c>
      <c r="H19" s="45" t="s">
        <v>4</v>
      </c>
    </row>
    <row r="20" spans="1:11" s="10" customFormat="1" x14ac:dyDescent="0.25">
      <c r="A20" s="43" t="s">
        <v>17</v>
      </c>
      <c r="B20" s="22"/>
      <c r="C20" s="9"/>
      <c r="D20" s="9"/>
      <c r="E20" s="9"/>
      <c r="F20" s="9"/>
      <c r="G20" s="9"/>
      <c r="H20" s="24"/>
      <c r="J20" s="53"/>
      <c r="K20" s="53"/>
    </row>
    <row r="21" spans="1:11" s="10" customFormat="1" x14ac:dyDescent="0.25">
      <c r="A21" s="34" t="s">
        <v>32</v>
      </c>
      <c r="B21" s="22"/>
      <c r="C21" s="9"/>
      <c r="D21" s="9"/>
      <c r="E21" s="9"/>
      <c r="F21" s="9"/>
      <c r="G21" s="9"/>
      <c r="H21" s="24"/>
      <c r="J21" s="53"/>
      <c r="K21" s="53"/>
    </row>
    <row r="22" spans="1:11" s="10" customFormat="1" x14ac:dyDescent="0.25">
      <c r="A22" s="7" t="s">
        <v>51</v>
      </c>
      <c r="B22" s="28">
        <f>B16</f>
        <v>66.14815625</v>
      </c>
      <c r="C22" s="11"/>
      <c r="D22" s="9"/>
      <c r="E22" s="9"/>
      <c r="F22" s="9"/>
      <c r="G22" s="9"/>
      <c r="H22" s="32"/>
      <c r="J22" s="53"/>
      <c r="K22" s="53"/>
    </row>
    <row r="23" spans="1:11" s="10" customFormat="1" x14ac:dyDescent="0.25">
      <c r="A23" s="25" t="s">
        <v>18</v>
      </c>
      <c r="B23" s="56">
        <f>H11</f>
        <v>8.3297862138069792E-2</v>
      </c>
      <c r="C23" s="56">
        <v>0.15</v>
      </c>
      <c r="D23" s="56">
        <v>0.2</v>
      </c>
      <c r="E23" s="56">
        <v>0.25</v>
      </c>
      <c r="F23" s="56">
        <v>0.25</v>
      </c>
      <c r="G23" s="59">
        <f>I23-(SUM(B23:F23))</f>
        <v>6.6702137861930133E-2</v>
      </c>
      <c r="H23" s="50">
        <f>SUM(B23:G23)</f>
        <v>1</v>
      </c>
      <c r="I23" s="49">
        <v>1</v>
      </c>
      <c r="J23" s="55"/>
      <c r="K23" s="55"/>
    </row>
    <row r="24" spans="1:11" s="10" customFormat="1" x14ac:dyDescent="0.25">
      <c r="A24" s="41" t="s">
        <v>35</v>
      </c>
      <c r="B24" s="28">
        <f>$B$22*B23</f>
        <v>5.51</v>
      </c>
      <c r="C24" s="28">
        <f t="shared" ref="C24:F24" si="0">$B$22*C23</f>
        <v>9.9222234374999996</v>
      </c>
      <c r="D24" s="28">
        <f t="shared" si="0"/>
        <v>13.229631250000001</v>
      </c>
      <c r="E24" s="28">
        <f t="shared" si="0"/>
        <v>16.5370390625</v>
      </c>
      <c r="F24" s="28">
        <f t="shared" si="0"/>
        <v>16.5370390625</v>
      </c>
      <c r="G24" s="28">
        <f t="shared" ref="G24" si="1">$B$22*G23</f>
        <v>4.4122234374999953</v>
      </c>
      <c r="H24" s="39">
        <f>SUM(B24:G24)</f>
        <v>66.148156249999985</v>
      </c>
      <c r="J24" s="53" t="s">
        <v>58</v>
      </c>
      <c r="K24" s="53"/>
    </row>
    <row r="25" spans="1:11" s="10" customFormat="1" x14ac:dyDescent="0.25">
      <c r="A25" s="30" t="s">
        <v>19</v>
      </c>
      <c r="B25" s="31">
        <f>B24</f>
        <v>5.51</v>
      </c>
      <c r="C25" s="31">
        <f t="shared" ref="C25:F25" si="2">C24</f>
        <v>9.9222234374999996</v>
      </c>
      <c r="D25" s="31">
        <f t="shared" si="2"/>
        <v>13.229631250000001</v>
      </c>
      <c r="E25" s="31">
        <f t="shared" si="2"/>
        <v>16.5370390625</v>
      </c>
      <c r="F25" s="31">
        <f t="shared" si="2"/>
        <v>16.5370390625</v>
      </c>
      <c r="G25" s="31">
        <f t="shared" ref="G25" si="3">G24</f>
        <v>4.4122234374999953</v>
      </c>
      <c r="H25" s="40">
        <f>SUM(B25:G25)</f>
        <v>66.148156249999985</v>
      </c>
      <c r="J25" s="53"/>
      <c r="K25" s="53"/>
    </row>
    <row r="26" spans="1:11" s="10" customFormat="1" x14ac:dyDescent="0.25">
      <c r="A26" s="43" t="s">
        <v>20</v>
      </c>
      <c r="B26" s="26"/>
      <c r="C26" s="27"/>
      <c r="D26" s="27"/>
      <c r="E26" s="9"/>
      <c r="F26" s="9"/>
      <c r="G26" s="9"/>
      <c r="H26" s="24"/>
      <c r="J26" s="53"/>
      <c r="K26" s="53"/>
    </row>
    <row r="27" spans="1:11" s="10" customFormat="1" x14ac:dyDescent="0.25">
      <c r="A27" s="8" t="s">
        <v>45</v>
      </c>
      <c r="B27" s="26"/>
      <c r="C27" s="27"/>
      <c r="D27" s="27"/>
      <c r="E27" s="9"/>
      <c r="F27" s="9"/>
      <c r="G27" s="9"/>
      <c r="H27" s="24"/>
      <c r="J27" s="53"/>
      <c r="K27" s="53"/>
    </row>
    <row r="28" spans="1:11" s="10" customFormat="1" x14ac:dyDescent="0.25">
      <c r="A28" s="25" t="s">
        <v>21</v>
      </c>
      <c r="B28" s="17">
        <f>B3</f>
        <v>103935</v>
      </c>
      <c r="C28" s="27"/>
      <c r="D28" s="27"/>
      <c r="E28" s="9"/>
      <c r="F28" s="9"/>
      <c r="G28" s="9"/>
      <c r="H28" s="32">
        <f>SUM(B28:G28)</f>
        <v>103935</v>
      </c>
      <c r="J28" s="53"/>
      <c r="K28" s="53"/>
    </row>
    <row r="29" spans="1:11" s="10" customFormat="1" x14ac:dyDescent="0.25">
      <c r="A29" s="25" t="s">
        <v>22</v>
      </c>
      <c r="B29" s="29">
        <v>0</v>
      </c>
      <c r="C29" s="29">
        <v>0.1</v>
      </c>
      <c r="D29" s="29">
        <v>0.2</v>
      </c>
      <c r="E29" s="29">
        <v>0.2</v>
      </c>
      <c r="F29" s="29">
        <v>0.25</v>
      </c>
      <c r="G29" s="29">
        <v>0.25</v>
      </c>
      <c r="H29" s="42">
        <f>SUM(B29:G29)</f>
        <v>1</v>
      </c>
      <c r="J29" s="53"/>
      <c r="K29" s="53"/>
    </row>
    <row r="30" spans="1:11" s="10" customFormat="1" x14ac:dyDescent="0.25">
      <c r="A30" s="25" t="s">
        <v>36</v>
      </c>
      <c r="B30" s="17">
        <f t="shared" ref="B30:G30" si="4">B29*$B$28</f>
        <v>0</v>
      </c>
      <c r="C30" s="17">
        <f t="shared" si="4"/>
        <v>10393.5</v>
      </c>
      <c r="D30" s="17">
        <f t="shared" si="4"/>
        <v>20787</v>
      </c>
      <c r="E30" s="17">
        <f t="shared" si="4"/>
        <v>20787</v>
      </c>
      <c r="F30" s="17">
        <f t="shared" si="4"/>
        <v>25983.75</v>
      </c>
      <c r="G30" s="17">
        <f t="shared" si="4"/>
        <v>25983.75</v>
      </c>
      <c r="H30" s="32">
        <f>SUM(B30:G30)</f>
        <v>103935</v>
      </c>
      <c r="J30" s="53"/>
      <c r="K30" s="53"/>
    </row>
    <row r="31" spans="1:11" s="10" customFormat="1" x14ac:dyDescent="0.25">
      <c r="A31" s="25" t="s">
        <v>23</v>
      </c>
      <c r="B31" s="17">
        <f>B6</f>
        <v>10000</v>
      </c>
      <c r="C31" s="17">
        <f>B6</f>
        <v>10000</v>
      </c>
      <c r="D31" s="17">
        <f>C31+(C31*$B$15)</f>
        <v>10500</v>
      </c>
      <c r="E31" s="17">
        <f>D31</f>
        <v>10500</v>
      </c>
      <c r="F31" s="17">
        <f>E31*1.1</f>
        <v>11550.000000000002</v>
      </c>
      <c r="G31" s="17">
        <f>F31</f>
        <v>11550.000000000002</v>
      </c>
      <c r="H31" s="24"/>
      <c r="J31" s="53"/>
      <c r="K31" s="53"/>
    </row>
    <row r="32" spans="1:11" s="10" customFormat="1" ht="15.75" thickBot="1" x14ac:dyDescent="0.3">
      <c r="A32" s="30" t="s">
        <v>34</v>
      </c>
      <c r="B32" s="31">
        <f>B31*B30/10^7</f>
        <v>0</v>
      </c>
      <c r="C32" s="31">
        <f t="shared" ref="C32:G32" si="5">C31*C30/10^7</f>
        <v>10.3935</v>
      </c>
      <c r="D32" s="31">
        <f t="shared" si="5"/>
        <v>21.826350000000001</v>
      </c>
      <c r="E32" s="31">
        <f t="shared" si="5"/>
        <v>21.826350000000001</v>
      </c>
      <c r="F32" s="31">
        <f t="shared" si="5"/>
        <v>30.011231250000005</v>
      </c>
      <c r="G32" s="31">
        <f t="shared" si="5"/>
        <v>30.011231250000005</v>
      </c>
      <c r="H32" s="40">
        <f>SUM(B32:G32)</f>
        <v>114.06866250000002</v>
      </c>
      <c r="I32" s="58">
        <f>H32+H38+B39</f>
        <v>118.09352250000002</v>
      </c>
      <c r="J32" s="53"/>
      <c r="K32" s="53"/>
    </row>
    <row r="33" spans="1:12" s="10" customFormat="1" ht="16.5" thickBot="1" x14ac:dyDescent="0.3">
      <c r="A33" s="8" t="s">
        <v>48</v>
      </c>
      <c r="B33" s="26"/>
      <c r="C33" s="27"/>
      <c r="D33" s="27"/>
      <c r="E33" s="9"/>
      <c r="F33" s="9"/>
      <c r="G33" s="9"/>
      <c r="H33" s="24"/>
      <c r="J33" s="53"/>
      <c r="K33" s="62">
        <v>44896</v>
      </c>
      <c r="L33" s="60">
        <v>3</v>
      </c>
    </row>
    <row r="34" spans="1:12" s="10" customFormat="1" ht="16.5" thickBot="1" x14ac:dyDescent="0.3">
      <c r="A34" s="25" t="s">
        <v>21</v>
      </c>
      <c r="B34" s="17">
        <f>B8</f>
        <v>2738</v>
      </c>
      <c r="C34" s="27"/>
      <c r="D34" s="27"/>
      <c r="E34" s="9"/>
      <c r="F34" s="9"/>
      <c r="G34" s="9"/>
      <c r="H34" s="32">
        <f>SUM(B34:G34)</f>
        <v>2738</v>
      </c>
      <c r="J34" s="53"/>
      <c r="K34" s="63">
        <v>44986</v>
      </c>
      <c r="L34" s="61">
        <v>4.5</v>
      </c>
    </row>
    <row r="35" spans="1:12" s="10" customFormat="1" ht="16.5" thickBot="1" x14ac:dyDescent="0.3">
      <c r="A35" s="25" t="s">
        <v>22</v>
      </c>
      <c r="B35" s="29">
        <v>0</v>
      </c>
      <c r="C35" s="29">
        <v>0</v>
      </c>
      <c r="D35" s="29">
        <v>0.5</v>
      </c>
      <c r="E35" s="29">
        <v>0.5</v>
      </c>
      <c r="F35" s="29"/>
      <c r="G35" s="29"/>
      <c r="H35" s="42">
        <f>SUM(B35:G35)</f>
        <v>1</v>
      </c>
      <c r="J35" s="53"/>
      <c r="K35" s="63">
        <v>45078</v>
      </c>
      <c r="L35" s="61">
        <v>5.5</v>
      </c>
    </row>
    <row r="36" spans="1:12" s="10" customFormat="1" ht="16.5" thickBot="1" x14ac:dyDescent="0.3">
      <c r="A36" s="25" t="s">
        <v>36</v>
      </c>
      <c r="B36" s="17">
        <f>B35*$B$34</f>
        <v>0</v>
      </c>
      <c r="C36" s="17">
        <f>C35*$B$34</f>
        <v>0</v>
      </c>
      <c r="D36" s="17">
        <f>D35*$B$34</f>
        <v>1369</v>
      </c>
      <c r="E36" s="17">
        <f>E35*$B$34</f>
        <v>1369</v>
      </c>
      <c r="F36" s="17"/>
      <c r="G36" s="17"/>
      <c r="H36" s="32">
        <f>SUM(B36:G36)</f>
        <v>2738</v>
      </c>
      <c r="J36" s="53"/>
      <c r="K36" s="63">
        <v>45170</v>
      </c>
      <c r="L36" s="61">
        <v>6.5</v>
      </c>
    </row>
    <row r="37" spans="1:12" s="10" customFormat="1" ht="16.5" thickBot="1" x14ac:dyDescent="0.3">
      <c r="A37" s="25" t="s">
        <v>23</v>
      </c>
      <c r="B37" s="17">
        <f>B11</f>
        <v>14000</v>
      </c>
      <c r="C37" s="17">
        <f>B37</f>
        <v>14000</v>
      </c>
      <c r="D37" s="17">
        <f>C37+(C37*$B$15)</f>
        <v>14700</v>
      </c>
      <c r="E37" s="17">
        <f>D37</f>
        <v>14700</v>
      </c>
      <c r="F37" s="17"/>
      <c r="G37" s="17"/>
      <c r="H37" s="24"/>
      <c r="J37" s="53"/>
      <c r="K37" s="63">
        <v>45261</v>
      </c>
      <c r="L37" s="61">
        <v>7</v>
      </c>
    </row>
    <row r="38" spans="1:12" s="10" customFormat="1" ht="16.5" thickBot="1" x14ac:dyDescent="0.3">
      <c r="A38" s="30" t="s">
        <v>24</v>
      </c>
      <c r="B38" s="31">
        <f>B37*B36/10^7</f>
        <v>0</v>
      </c>
      <c r="C38" s="31">
        <f>C37*C36/10^7</f>
        <v>0</v>
      </c>
      <c r="D38" s="31">
        <f>D37*D36/10^7</f>
        <v>2.0124300000000002</v>
      </c>
      <c r="E38" s="31">
        <f t="shared" ref="E38" si="6">E37*E36/10^7</f>
        <v>2.0124300000000002</v>
      </c>
      <c r="F38" s="31"/>
      <c r="G38" s="31"/>
      <c r="H38" s="40">
        <f>SUM(B38:G38)</f>
        <v>4.0248600000000003</v>
      </c>
      <c r="J38" s="53"/>
      <c r="K38" s="63">
        <v>45352</v>
      </c>
      <c r="L38" s="61">
        <v>7.5</v>
      </c>
    </row>
    <row r="39" spans="1:12" s="10" customFormat="1" ht="16.5" thickBot="1" x14ac:dyDescent="0.3">
      <c r="A39" s="7" t="s">
        <v>52</v>
      </c>
      <c r="B39" s="51">
        <f>B40*$B$17</f>
        <v>0</v>
      </c>
      <c r="C39" s="51">
        <f t="shared" ref="C39:F39" si="7">C40*$B$17</f>
        <v>7.4210187479999998</v>
      </c>
      <c r="D39" s="51">
        <f t="shared" si="7"/>
        <v>9.3476293844999994</v>
      </c>
      <c r="E39" s="51">
        <f t="shared" si="7"/>
        <v>10.560680525999999</v>
      </c>
      <c r="F39" s="51">
        <f t="shared" si="7"/>
        <v>1.2130511414999994</v>
      </c>
      <c r="G39" s="51"/>
      <c r="H39" s="40">
        <f>SUM(B39:G39)</f>
        <v>28.542379799999996</v>
      </c>
      <c r="J39" s="53"/>
      <c r="K39" s="63">
        <v>45444</v>
      </c>
      <c r="L39" s="61">
        <v>8</v>
      </c>
    </row>
    <row r="40" spans="1:12" s="10" customFormat="1" ht="16.5" thickBot="1" x14ac:dyDescent="0.3">
      <c r="A40" s="7"/>
      <c r="B40" s="51">
        <v>0</v>
      </c>
      <c r="C40" s="55">
        <v>0.26</v>
      </c>
      <c r="D40" s="55">
        <v>0.32750000000000001</v>
      </c>
      <c r="E40" s="55">
        <v>0.37</v>
      </c>
      <c r="F40" s="55">
        <f>I40-(SUM(B40:E40))</f>
        <v>4.2499999999999982E-2</v>
      </c>
      <c r="G40" s="55"/>
      <c r="H40" s="65">
        <f>SUM(B40:G40)</f>
        <v>1</v>
      </c>
      <c r="I40" s="66">
        <v>1</v>
      </c>
      <c r="J40" s="53"/>
      <c r="K40" s="63">
        <v>45536</v>
      </c>
      <c r="L40" s="61">
        <v>8.5</v>
      </c>
    </row>
    <row r="41" spans="1:12" s="10" customFormat="1" ht="16.5" thickBot="1" x14ac:dyDescent="0.3">
      <c r="A41" s="7"/>
      <c r="B41" s="51"/>
      <c r="C41" s="55"/>
      <c r="D41" s="55"/>
      <c r="E41" s="55"/>
      <c r="F41" s="55"/>
      <c r="G41" s="55"/>
      <c r="H41" s="64"/>
      <c r="J41" s="53"/>
      <c r="K41" s="63"/>
      <c r="L41" s="61"/>
    </row>
    <row r="42" spans="1:12" ht="16.5" thickBot="1" x14ac:dyDescent="0.3">
      <c r="A42" s="12" t="s">
        <v>25</v>
      </c>
      <c r="B42" s="15">
        <f>B39+B38+B32</f>
        <v>0</v>
      </c>
      <c r="C42" s="15">
        <f t="shared" ref="C42:G42" si="8">C39+C38+C32</f>
        <v>17.814518747999998</v>
      </c>
      <c r="D42" s="15">
        <f t="shared" si="8"/>
        <v>33.186409384500003</v>
      </c>
      <c r="E42" s="15">
        <f t="shared" si="8"/>
        <v>34.399460525999999</v>
      </c>
      <c r="F42" s="15">
        <f t="shared" si="8"/>
        <v>31.224282391500005</v>
      </c>
      <c r="G42" s="15">
        <f t="shared" si="8"/>
        <v>30.011231250000005</v>
      </c>
      <c r="H42" s="40">
        <f>SUM(B42:G42)</f>
        <v>146.6359023</v>
      </c>
      <c r="K42" s="63">
        <v>45627</v>
      </c>
      <c r="L42" s="61">
        <v>8.75</v>
      </c>
    </row>
    <row r="43" spans="1:12" s="47" customFormat="1" ht="16.5" thickBot="1" x14ac:dyDescent="0.3">
      <c r="A43" s="12" t="s">
        <v>54</v>
      </c>
      <c r="B43" s="15">
        <f>B42-B25</f>
        <v>-5.51</v>
      </c>
      <c r="C43" s="15">
        <f t="shared" ref="C43:G43" si="9">C42-C25</f>
        <v>7.892295310499998</v>
      </c>
      <c r="D43" s="15">
        <f t="shared" si="9"/>
        <v>19.956778134500002</v>
      </c>
      <c r="E43" s="15">
        <f t="shared" si="9"/>
        <v>17.862421463499999</v>
      </c>
      <c r="F43" s="15">
        <f t="shared" si="9"/>
        <v>14.687243329000005</v>
      </c>
      <c r="G43" s="15">
        <f t="shared" si="9"/>
        <v>25.599007812500009</v>
      </c>
      <c r="H43" s="40">
        <f>SUM(B43:G43)</f>
        <v>80.487746050000013</v>
      </c>
      <c r="J43" s="20"/>
      <c r="K43" s="63">
        <v>45717</v>
      </c>
      <c r="L43" s="61">
        <v>9</v>
      </c>
    </row>
    <row r="44" spans="1:12" ht="16.5" thickBot="1" x14ac:dyDescent="0.3">
      <c r="A44" s="52" t="s">
        <v>53</v>
      </c>
      <c r="B44" s="67">
        <v>0.125</v>
      </c>
      <c r="C44" s="3"/>
      <c r="D44" s="3"/>
      <c r="E44" s="3"/>
      <c r="F44" s="3"/>
      <c r="G44" s="3"/>
      <c r="H44" s="4"/>
      <c r="K44" s="63">
        <v>45809</v>
      </c>
      <c r="L44" s="61">
        <v>9.25</v>
      </c>
    </row>
    <row r="45" spans="1:12" ht="16.5" thickBot="1" x14ac:dyDescent="0.3">
      <c r="A45" s="7" t="s">
        <v>5</v>
      </c>
      <c r="B45" s="16">
        <f>NPV(B44,B43:G43)</f>
        <v>47.283418718770804</v>
      </c>
      <c r="C45" s="3"/>
      <c r="D45" s="3"/>
      <c r="E45" s="3"/>
      <c r="F45" s="3"/>
      <c r="G45" s="3"/>
      <c r="H45" s="4"/>
      <c r="K45" s="63">
        <v>45901</v>
      </c>
      <c r="L45" s="61">
        <v>9.5</v>
      </c>
    </row>
    <row r="46" spans="1:12" ht="16.5" thickBot="1" x14ac:dyDescent="0.3">
      <c r="A46" s="13"/>
      <c r="B46" s="35"/>
      <c r="C46" s="6"/>
      <c r="D46" s="6"/>
      <c r="E46" s="6"/>
      <c r="F46" s="6"/>
      <c r="G46" s="6"/>
      <c r="H46" s="36"/>
      <c r="K46" s="63">
        <v>45992</v>
      </c>
      <c r="L46" s="61">
        <v>9.75</v>
      </c>
    </row>
    <row r="47" spans="1:12" ht="16.5" thickBot="1" x14ac:dyDescent="0.3">
      <c r="B47" s="14">
        <v>47.5</v>
      </c>
      <c r="K47" s="63">
        <v>46082</v>
      </c>
      <c r="L47" s="61">
        <v>10</v>
      </c>
    </row>
    <row r="48" spans="1:12" ht="16.5" thickBot="1" x14ac:dyDescent="0.3">
      <c r="B48" s="14">
        <f>B47*0.85</f>
        <v>40.375</v>
      </c>
      <c r="K48" s="63">
        <v>46174</v>
      </c>
      <c r="L48" s="61">
        <v>10</v>
      </c>
    </row>
    <row r="49" spans="2:11" ht="16.5" thickBot="1" x14ac:dyDescent="0.3">
      <c r="B49" s="14">
        <f>B47*0.75</f>
        <v>35.625</v>
      </c>
      <c r="K49" s="63">
        <v>46266</v>
      </c>
    </row>
  </sheetData>
  <phoneticPr fontId="7" type="noConversion"/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26"/>
  <sheetViews>
    <sheetView tabSelected="1" workbookViewId="0">
      <selection activeCell="D8" sqref="D8"/>
    </sheetView>
  </sheetViews>
  <sheetFormatPr defaultRowHeight="15" x14ac:dyDescent="0.25"/>
  <cols>
    <col min="3" max="3" width="19.7109375" bestFit="1" customWidth="1"/>
    <col min="4" max="4" width="14.85546875" style="46" bestFit="1" customWidth="1"/>
  </cols>
  <sheetData>
    <row r="3" spans="3:4" x14ac:dyDescent="0.25">
      <c r="C3" t="s">
        <v>43</v>
      </c>
      <c r="D3" s="46" t="s">
        <v>44</v>
      </c>
    </row>
    <row r="4" spans="3:4" x14ac:dyDescent="0.25">
      <c r="C4" t="s">
        <v>37</v>
      </c>
      <c r="D4" s="46">
        <v>0.21</v>
      </c>
    </row>
    <row r="5" spans="3:4" x14ac:dyDescent="0.25">
      <c r="C5" t="s">
        <v>38</v>
      </c>
      <c r="D5" s="46">
        <v>0.18</v>
      </c>
    </row>
    <row r="6" spans="3:4" x14ac:dyDescent="0.25">
      <c r="C6" t="s">
        <v>39</v>
      </c>
      <c r="D6" s="46">
        <v>0.15</v>
      </c>
    </row>
    <row r="7" spans="3:4" x14ac:dyDescent="0.25">
      <c r="C7" t="s">
        <v>40</v>
      </c>
      <c r="D7" s="46">
        <v>0.12</v>
      </c>
    </row>
    <row r="8" spans="3:4" x14ac:dyDescent="0.25">
      <c r="C8" t="s">
        <v>41</v>
      </c>
      <c r="D8" s="46">
        <v>0.1</v>
      </c>
    </row>
    <row r="9" spans="3:4" x14ac:dyDescent="0.25">
      <c r="C9" t="s">
        <v>42</v>
      </c>
      <c r="D9" s="46">
        <v>0.08</v>
      </c>
    </row>
    <row r="20" spans="4:4" x14ac:dyDescent="0.25">
      <c r="D20" s="14"/>
    </row>
    <row r="21" spans="4:4" x14ac:dyDescent="0.25">
      <c r="D21" s="14">
        <v>4547.47</v>
      </c>
    </row>
    <row r="22" spans="4:4" x14ac:dyDescent="0.25">
      <c r="D22" s="14">
        <v>8660</v>
      </c>
    </row>
    <row r="23" spans="4:4" x14ac:dyDescent="0.25">
      <c r="D23" s="20">
        <f>D22*D21</f>
        <v>39381090.200000003</v>
      </c>
    </row>
    <row r="24" spans="4:4" x14ac:dyDescent="0.25">
      <c r="D24" s="14"/>
    </row>
    <row r="25" spans="4:4" x14ac:dyDescent="0.25">
      <c r="D25" s="14"/>
    </row>
    <row r="26" spans="4:4" x14ac:dyDescent="0.25">
      <c r="D26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7"/>
  <sheetViews>
    <sheetView workbookViewId="0">
      <selection activeCell="E17" sqref="E17"/>
    </sheetView>
  </sheetViews>
  <sheetFormatPr defaultRowHeight="15" x14ac:dyDescent="0.25"/>
  <cols>
    <col min="3" max="3" width="11.5703125" style="20" bestFit="1" customWidth="1"/>
    <col min="4" max="5" width="13.28515625" style="20" bestFit="1" customWidth="1"/>
  </cols>
  <sheetData>
    <row r="3" spans="2:6" x14ac:dyDescent="0.25">
      <c r="C3" s="57" t="s">
        <v>45</v>
      </c>
      <c r="D3" s="57"/>
      <c r="E3" s="57"/>
      <c r="F3" s="57"/>
    </row>
    <row r="4" spans="2:6" x14ac:dyDescent="0.25">
      <c r="C4" s="20" t="s">
        <v>55</v>
      </c>
      <c r="D4" s="20">
        <v>9500</v>
      </c>
      <c r="E4" s="20">
        <v>11000</v>
      </c>
    </row>
    <row r="5" spans="2:6" x14ac:dyDescent="0.25">
      <c r="B5" t="s">
        <v>46</v>
      </c>
      <c r="C5" s="20">
        <f>'Valuation Working'!H3</f>
        <v>391</v>
      </c>
      <c r="D5" s="20">
        <f>C5*D4</f>
        <v>3714500</v>
      </c>
      <c r="E5" s="20">
        <f>C5*E4</f>
        <v>4301000</v>
      </c>
    </row>
    <row r="6" spans="2:6" x14ac:dyDescent="0.25">
      <c r="B6" s="47" t="s">
        <v>47</v>
      </c>
      <c r="C6" s="20">
        <f>'Valuation Working'!H4</f>
        <v>575</v>
      </c>
      <c r="D6" s="20">
        <f>C6*D4</f>
        <v>5462500</v>
      </c>
      <c r="E6" s="20">
        <f>C6*E4</f>
        <v>6325000</v>
      </c>
    </row>
    <row r="9" spans="2:6" x14ac:dyDescent="0.25">
      <c r="B9" t="s">
        <v>56</v>
      </c>
      <c r="C9" s="20" t="s">
        <v>57</v>
      </c>
    </row>
    <row r="10" spans="2:6" x14ac:dyDescent="0.25">
      <c r="B10">
        <v>595</v>
      </c>
      <c r="C10" s="20">
        <f>B10*0.85</f>
        <v>505.75</v>
      </c>
      <c r="D10" s="20">
        <f>29*10^5</f>
        <v>2900000</v>
      </c>
      <c r="E10" s="20">
        <f>D10/C10</f>
        <v>5734.0583292140382</v>
      </c>
    </row>
    <row r="25" spans="3:3" x14ac:dyDescent="0.25">
      <c r="C25" s="20">
        <f>33.75*10^5</f>
        <v>3375000</v>
      </c>
    </row>
    <row r="26" spans="3:3" x14ac:dyDescent="0.25">
      <c r="C26" s="20">
        <v>374</v>
      </c>
    </row>
    <row r="27" spans="3:3" x14ac:dyDescent="0.25">
      <c r="C27" s="20">
        <f>C25/C26</f>
        <v>9024.0641711229946</v>
      </c>
    </row>
  </sheetData>
  <mergeCells count="1">
    <mergeCell ref="C3:F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Valuation Working</vt:lpstr>
      <vt:lpstr>Sheet1</vt:lpstr>
      <vt:lpstr>Residential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GAA10</dc:creator>
  <cp:lastModifiedBy>Ashish Sawe</cp:lastModifiedBy>
  <dcterms:created xsi:type="dcterms:W3CDTF">2015-06-05T18:17:20Z</dcterms:created>
  <dcterms:modified xsi:type="dcterms:W3CDTF">2023-03-03T12:50:07Z</dcterms:modified>
</cp:coreProperties>
</file>