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Y:\In Progress Files\Mahesh Joshi\uploads\VIS(2022-23)-PL673-564-942\"/>
    </mc:Choice>
  </mc:AlternateContent>
  <xr:revisionPtr revIDLastSave="0" documentId="13_ncr:1_{6B5E9D0E-4623-45D2-9D83-01166216334B}" xr6:coauthVersionLast="47" xr6:coauthVersionMax="47" xr10:uidLastSave="{00000000-0000-0000-0000-000000000000}"/>
  <bookViews>
    <workbookView xWindow="-120" yWindow="-120" windowWidth="24240" windowHeight="13140" xr2:uid="{00000000-000D-0000-FFFF-FFFF00000000}"/>
  </bookViews>
  <sheets>
    <sheet name="working" sheetId="2" r:id="rId1"/>
    <sheet name="Sheet1" sheetId="1" r:id="rId2"/>
    <sheet name="Sheet2" sheetId="3" r:id="rId3"/>
    <sheet name="Sheet3" sheetId="4"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2" l="1"/>
  <c r="E21" i="2"/>
  <c r="G6" i="2"/>
  <c r="O6" i="2"/>
  <c r="M6" i="2"/>
  <c r="P6" i="2"/>
  <c r="Q6" i="2"/>
  <c r="S6" i="2"/>
  <c r="G7" i="2"/>
  <c r="O7" i="2"/>
  <c r="M7" i="2"/>
  <c r="P7" i="2"/>
  <c r="Q7" i="2"/>
  <c r="S7" i="2"/>
  <c r="G8" i="2"/>
  <c r="O8" i="2"/>
  <c r="M8" i="2"/>
  <c r="P8" i="2"/>
  <c r="Q8" i="2"/>
  <c r="S8" i="2"/>
  <c r="W7" i="2"/>
  <c r="W8" i="2"/>
  <c r="G5" i="2"/>
  <c r="O5" i="2"/>
  <c r="M5" i="2"/>
  <c r="P5" i="2"/>
  <c r="Q5" i="2"/>
  <c r="S5" i="2"/>
  <c r="S9" i="2"/>
  <c r="W16" i="2"/>
  <c r="E23" i="2"/>
  <c r="P23" i="2"/>
  <c r="Q9" i="2"/>
  <c r="P9" i="2"/>
  <c r="O9" i="2"/>
  <c r="G9" i="2"/>
  <c r="F9" i="2"/>
  <c r="R20" i="2"/>
  <c r="N18" i="1"/>
  <c r="O18" i="1"/>
  <c r="K13" i="1"/>
  <c r="M6" i="4"/>
  <c r="K5" i="4"/>
  <c r="I5" i="4"/>
  <c r="F6" i="4"/>
  <c r="D4" i="4"/>
  <c r="I3" i="3"/>
  <c r="G3" i="3"/>
  <c r="D3" i="3"/>
  <c r="J3" i="3"/>
  <c r="K3" i="3"/>
  <c r="M3" i="3"/>
  <c r="G4" i="1"/>
  <c r="G5" i="1"/>
  <c r="E5" i="1"/>
  <c r="C5" i="1"/>
  <c r="T19" i="2"/>
</calcChain>
</file>

<file path=xl/sharedStrings.xml><?xml version="1.0" encoding="utf-8"?>
<sst xmlns="http://schemas.openxmlformats.org/spreadsheetml/2006/main" count="53" uniqueCount="43">
  <si>
    <t>SR. No.</t>
  </si>
  <si>
    <t>Type of Structure</t>
  </si>
  <si>
    <t xml:space="preserve">Year of Valuation </t>
  </si>
  <si>
    <t>Total Life Consumed 
(In year)</t>
  </si>
  <si>
    <t>Total Economical Life
(In year)</t>
  </si>
  <si>
    <t>Salvage value</t>
  </si>
  <si>
    <t>Depreciation Rate</t>
  </si>
  <si>
    <t>Plinth Area  Rate 
(In per sq ft)</t>
  </si>
  <si>
    <t>Gross Replacement Value
(INR)</t>
  </si>
  <si>
    <t xml:space="preserve">Depreciation
(INR) </t>
  </si>
  <si>
    <t>Depreciated Value
(INR)</t>
  </si>
  <si>
    <t>Depreciated Replacement Market Value
(INR)</t>
  </si>
  <si>
    <t>TOTAL</t>
  </si>
  <si>
    <t>Remarks:</t>
  </si>
  <si>
    <t>3. The valuation is done by considering the depreciated replacement cost approach.</t>
  </si>
  <si>
    <t>Detoration</t>
  </si>
  <si>
    <t>Details of Building</t>
  </si>
  <si>
    <t>Boundary wall valuation</t>
  </si>
  <si>
    <t>Year of Construction</t>
  </si>
  <si>
    <r>
      <t xml:space="preserve">Total Life Consumed 
</t>
    </r>
    <r>
      <rPr>
        <b/>
        <i/>
        <sz val="10"/>
        <rFont val="Calibri"/>
        <family val="2"/>
        <scheme val="minor"/>
      </rPr>
      <t>(in years)</t>
    </r>
  </si>
  <si>
    <r>
      <t xml:space="preserve">Total Economical Life
</t>
    </r>
    <r>
      <rPr>
        <b/>
        <i/>
        <sz val="10"/>
        <rFont val="Calibri"/>
        <family val="2"/>
        <scheme val="minor"/>
      </rPr>
      <t>(in years)</t>
    </r>
  </si>
  <si>
    <t>Discounting Factor</t>
  </si>
  <si>
    <t>RCC Framed Structure</t>
  </si>
  <si>
    <t>Covered area (in sq.mtr)</t>
  </si>
  <si>
    <t>Covered Area 
(in sq ft)</t>
  </si>
  <si>
    <t>Year of Construction (Approximately)</t>
  </si>
  <si>
    <t>Height in Feet</t>
  </si>
  <si>
    <r>
      <t xml:space="preserve">Wall
</t>
    </r>
    <r>
      <rPr>
        <b/>
        <i/>
        <sz val="10"/>
        <rFont val="Calibri"/>
        <family val="2"/>
        <scheme val="minor"/>
      </rPr>
      <t>(in Running mtr.)As per approved plan approx.</t>
    </r>
  </si>
  <si>
    <r>
      <t xml:space="preserve">Plinth Area  Rate 
</t>
    </r>
    <r>
      <rPr>
        <b/>
        <i/>
        <sz val="10"/>
        <rFont val="Calibri"/>
        <family val="2"/>
        <scheme val="minor"/>
      </rPr>
      <t>(in per running mtr)</t>
    </r>
  </si>
  <si>
    <t>2.The subject property is consturcted with RCC Framed type.</t>
  </si>
  <si>
    <t>1/1.19</t>
  </si>
  <si>
    <t>Ground</t>
  </si>
  <si>
    <t>First</t>
  </si>
  <si>
    <t>Second</t>
  </si>
  <si>
    <t>1. All the details pertaing to the building area statement such as area, floor, etc has been taken from the site survey measurement only.</t>
  </si>
  <si>
    <t xml:space="preserve">M/s. RUSTAM FOODS PVT. LTD.|PLOT NO. 221/1, VILLAGE &amp; KASHBA KHANPUR MUSTAKIL, WARD PARGANA AURAIYA </t>
  </si>
  <si>
    <t>* we have taken Rs. 6000 poer Sq.m. for boundary wall as height of boundary wall is approximately ~15 ft. and on main road side a seprate boundary wall of ~5 ft is also constructed.</t>
  </si>
  <si>
    <t>Replacement Govt. value</t>
  </si>
  <si>
    <t>Depreciation</t>
  </si>
  <si>
    <t>Depreciated value</t>
  </si>
  <si>
    <t>Guard Room (ground)</t>
  </si>
  <si>
    <t>5.We have taken the year of construction from site survey information.</t>
  </si>
  <si>
    <t>4.Internal and external works done in the property like internal pavements, swimming pool and other structures other than main building are under construction/finishing stage and considered in the above rates, Since we are not provided with approved map and actual Measurements thus, Rates are taken accordingly on lumpsum basis of these aesthetic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</si>
</sst>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43" formatCode="_ * #,##0.00_ ;_ * \-#,##0.00_ ;_ * &quot;-&quot;??_ ;_ @_ "/>
    <numFmt numFmtId="164" formatCode="0.0000"/>
    <numFmt numFmtId="165" formatCode="_ &quot;₹&quot;\ * #,##0_ ;_ &quot;₹&quot;\ * \-#,##0_ ;_ &quot;₹&quot;\ * &quot;-&quot;??_ ;_ @_ "/>
    <numFmt numFmtId="166" formatCode="_ * #,##0_ ;_ * \-#,##0_ ;_ * &quot;-&quot;??_ ;_ @_ "/>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i/>
      <sz val="11"/>
      <color theme="1"/>
      <name val="Calibri"/>
      <family val="2"/>
      <scheme val="minor"/>
    </font>
    <font>
      <b/>
      <sz val="11"/>
      <name val="Calibri"/>
      <family val="2"/>
      <scheme val="minor"/>
    </font>
    <font>
      <b/>
      <i/>
      <sz val="10"/>
      <name val="Calibri"/>
      <family val="2"/>
      <scheme val="minor"/>
    </font>
  </fonts>
  <fills count="5">
    <fill>
      <patternFill patternType="none"/>
    </fill>
    <fill>
      <patternFill patternType="gray125"/>
    </fill>
    <fill>
      <patternFill patternType="solid">
        <fgColor theme="4" tint="0.59999389629810485"/>
        <bgColor indexed="65"/>
      </patternFill>
    </fill>
    <fill>
      <patternFill patternType="solid">
        <fgColor rgb="FF1E3661"/>
        <bgColor indexed="64"/>
      </patternFill>
    </fill>
    <fill>
      <patternFill patternType="solid">
        <fgColor theme="4"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32">
    <xf numFmtId="0" fontId="0" fillId="0" borderId="0" xfId="0"/>
    <xf numFmtId="0" fontId="2" fillId="2" borderId="1" xfId="3" applyFont="1" applyBorder="1" applyAlignment="1">
      <alignment horizontal="center" vertical="center" wrapText="1"/>
    </xf>
    <xf numFmtId="9" fontId="2" fillId="2" borderId="1" xfId="3" applyNumberFormat="1" applyFont="1" applyBorder="1" applyAlignment="1">
      <alignment horizontal="center" vertical="center" wrapText="1"/>
    </xf>
    <xf numFmtId="0" fontId="0" fillId="0" borderId="1" xfId="0" applyBorder="1" applyAlignment="1">
      <alignment horizontal="center" vertical="center" wrapText="1"/>
    </xf>
    <xf numFmtId="9"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65" fontId="0" fillId="0" borderId="1" xfId="1" applyNumberFormat="1" applyFont="1" applyBorder="1" applyAlignment="1">
      <alignment horizontal="center" vertical="center" wrapText="1"/>
    </xf>
    <xf numFmtId="9" fontId="0" fillId="0" borderId="1" xfId="2" applyFont="1" applyBorder="1" applyAlignment="1">
      <alignment horizontal="center" vertical="center" wrapText="1"/>
    </xf>
    <xf numFmtId="165" fontId="2" fillId="0" borderId="1" xfId="1" applyNumberFormat="1" applyFont="1" applyBorder="1" applyAlignment="1">
      <alignment horizontal="center" vertical="center" wrapText="1"/>
    </xf>
    <xf numFmtId="165" fontId="0" fillId="0" borderId="0" xfId="0" applyNumberFormat="1"/>
    <xf numFmtId="43" fontId="0" fillId="0" borderId="0" xfId="0" applyNumberFormat="1"/>
    <xf numFmtId="2" fontId="2" fillId="0" borderId="1" xfId="0" applyNumberFormat="1" applyFont="1" applyBorder="1" applyAlignment="1">
      <alignment horizontal="center" vertical="center" wrapText="1"/>
    </xf>
    <xf numFmtId="166" fontId="0" fillId="0" borderId="0" xfId="6" applyNumberFormat="1" applyFont="1"/>
    <xf numFmtId="0" fontId="6" fillId="4" borderId="1" xfId="0" applyFont="1" applyFill="1" applyBorder="1" applyAlignment="1">
      <alignment horizontal="center" vertical="center" wrapText="1"/>
    </xf>
    <xf numFmtId="1" fontId="0" fillId="0" borderId="1" xfId="0" applyNumberFormat="1" applyBorder="1" applyAlignment="1">
      <alignment horizontal="center" vertical="center"/>
    </xf>
    <xf numFmtId="0" fontId="0" fillId="0" borderId="1" xfId="0" applyBorder="1" applyAlignment="1">
      <alignment horizontal="center" vertical="center"/>
    </xf>
    <xf numFmtId="9" fontId="0" fillId="0" borderId="1" xfId="0" applyNumberFormat="1" applyBorder="1" applyAlignment="1">
      <alignment horizontal="center" vertical="center"/>
    </xf>
    <xf numFmtId="164" fontId="0" fillId="0" borderId="1" xfId="0" applyNumberFormat="1" applyBorder="1" applyAlignment="1">
      <alignment horizontal="center" vertical="center"/>
    </xf>
    <xf numFmtId="165" fontId="0" fillId="0" borderId="1" xfId="1" applyNumberFormat="1" applyFont="1" applyBorder="1" applyAlignment="1">
      <alignment horizontal="center" vertical="center"/>
    </xf>
    <xf numFmtId="9" fontId="0" fillId="0" borderId="1" xfId="2" applyFont="1" applyBorder="1" applyAlignment="1">
      <alignment horizontal="center" vertical="center"/>
    </xf>
    <xf numFmtId="166" fontId="0" fillId="0" borderId="1" xfId="6" applyNumberFormat="1" applyFont="1" applyBorder="1" applyAlignment="1">
      <alignment horizontal="center" vertical="center" wrapText="1"/>
    </xf>
    <xf numFmtId="43" fontId="0" fillId="0" borderId="1" xfId="0" applyNumberFormat="1" applyBorder="1" applyAlignment="1">
      <alignment horizontal="center" vertical="center" wrapText="1"/>
    </xf>
    <xf numFmtId="166" fontId="2" fillId="2" borderId="1" xfId="6" applyNumberFormat="1" applyFont="1" applyFill="1" applyBorder="1" applyAlignment="1">
      <alignment horizontal="center" vertical="center" wrapText="1"/>
    </xf>
    <xf numFmtId="166" fontId="2" fillId="0" borderId="1" xfId="6" applyNumberFormat="1" applyFont="1" applyBorder="1" applyAlignment="1">
      <alignment horizontal="center" vertical="center" wrapText="1"/>
    </xf>
    <xf numFmtId="44" fontId="0" fillId="0" borderId="0" xfId="0" applyNumberFormat="1"/>
    <xf numFmtId="0" fontId="5" fillId="0" borderId="0" xfId="0" applyFont="1" applyAlignment="1">
      <alignment vertical="center"/>
    </xf>
    <xf numFmtId="0" fontId="3" fillId="3" borderId="1" xfId="0" applyFont="1" applyFill="1" applyBorder="1" applyAlignment="1">
      <alignment horizontal="center" vertical="center" wrapText="1"/>
    </xf>
    <xf numFmtId="0" fontId="5" fillId="0" borderId="1" xfId="0" applyFont="1" applyBorder="1" applyAlignment="1">
      <alignment horizontal="left" vertical="center"/>
    </xf>
    <xf numFmtId="0" fontId="2" fillId="0" borderId="1" xfId="0" applyFont="1" applyBorder="1" applyAlignment="1">
      <alignment horizontal="center" vertical="center" wrapText="1"/>
    </xf>
    <xf numFmtId="0" fontId="4" fillId="0" borderId="1" xfId="0" applyFont="1" applyBorder="1" applyAlignment="1">
      <alignment horizontal="left" vertical="center"/>
    </xf>
    <xf numFmtId="0" fontId="5" fillId="0" borderId="1" xfId="0" applyFont="1" applyBorder="1" applyAlignment="1">
      <alignment horizontal="left" vertical="center" wrapText="1"/>
    </xf>
    <xf numFmtId="0" fontId="3" fillId="3" borderId="2" xfId="0" applyFont="1" applyFill="1" applyBorder="1" applyAlignment="1">
      <alignment horizontal="center" vertical="center" wrapText="1"/>
    </xf>
  </cellXfs>
  <cellStyles count="7">
    <cellStyle name="40% - Accent1" xfId="3" builtinId="31"/>
    <cellStyle name="Comma" xfId="6" builtinId="3"/>
    <cellStyle name="Comma 2" xfId="4" xr:uid="{00000000-0005-0000-0000-000002000000}"/>
    <cellStyle name="Currency" xfId="1" builtinId="4"/>
    <cellStyle name="Currency 2" xfId="5" xr:uid="{00000000-0005-0000-0000-000004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W23"/>
  <sheetViews>
    <sheetView tabSelected="1" topLeftCell="A7" zoomScale="130" zoomScaleNormal="130" workbookViewId="0">
      <selection activeCell="H19" sqref="H19"/>
    </sheetView>
  </sheetViews>
  <sheetFormatPr defaultRowHeight="15" x14ac:dyDescent="0.25"/>
  <cols>
    <col min="2" max="2" width="7.28515625" customWidth="1"/>
    <col min="3" max="3" width="17.42578125" bestFit="1" customWidth="1"/>
    <col min="4" max="4" width="9" customWidth="1"/>
    <col min="5" max="5" width="16.28515625" bestFit="1" customWidth="1"/>
    <col min="6" max="6" width="10.28515625" customWidth="1"/>
    <col min="7" max="7" width="11.42578125" customWidth="1"/>
    <col min="8" max="8" width="15.140625" customWidth="1"/>
    <col min="9" max="9" width="11.42578125" hidden="1" customWidth="1"/>
    <col min="10" max="10" width="10.42578125" customWidth="1"/>
    <col min="11" max="11" width="11.28515625" hidden="1" customWidth="1"/>
    <col min="12" max="12" width="7.7109375" hidden="1" customWidth="1"/>
    <col min="13" max="13" width="6.5703125" hidden="1" customWidth="1"/>
    <col min="14" max="14" width="10.7109375" customWidth="1"/>
    <col min="15" max="15" width="18.7109375" hidden="1" customWidth="1"/>
    <col min="16" max="16" width="15.140625" hidden="1" customWidth="1"/>
    <col min="17" max="17" width="18.28515625" hidden="1" customWidth="1"/>
    <col min="18" max="18" width="11.7109375" hidden="1" customWidth="1"/>
    <col min="19" max="19" width="22.28515625" customWidth="1"/>
    <col min="21" max="21" width="5.85546875" bestFit="1" customWidth="1"/>
    <col min="23" max="23" width="15.85546875" bestFit="1" customWidth="1"/>
  </cols>
  <sheetData>
    <row r="3" spans="2:23" ht="48.75" customHeight="1" x14ac:dyDescent="0.25">
      <c r="B3" s="26" t="s">
        <v>35</v>
      </c>
      <c r="C3" s="26"/>
      <c r="D3" s="26"/>
      <c r="E3" s="26"/>
      <c r="F3" s="26"/>
      <c r="G3" s="26"/>
      <c r="H3" s="26"/>
      <c r="I3" s="26"/>
      <c r="J3" s="26"/>
      <c r="K3" s="26"/>
      <c r="L3" s="26"/>
      <c r="M3" s="26"/>
      <c r="N3" s="26"/>
      <c r="O3" s="26"/>
      <c r="P3" s="26"/>
      <c r="Q3" s="26"/>
      <c r="R3" s="26"/>
      <c r="S3" s="26"/>
    </row>
    <row r="4" spans="2:23" ht="60" x14ac:dyDescent="0.25">
      <c r="B4" s="1" t="s">
        <v>0</v>
      </c>
      <c r="C4" s="1" t="s">
        <v>16</v>
      </c>
      <c r="D4" s="1" t="s">
        <v>26</v>
      </c>
      <c r="E4" s="1" t="s">
        <v>1</v>
      </c>
      <c r="F4" s="1" t="s">
        <v>23</v>
      </c>
      <c r="G4" s="22" t="s">
        <v>24</v>
      </c>
      <c r="H4" s="1" t="s">
        <v>25</v>
      </c>
      <c r="I4" s="1" t="s">
        <v>2</v>
      </c>
      <c r="J4" s="1" t="s">
        <v>3</v>
      </c>
      <c r="K4" s="1" t="s">
        <v>4</v>
      </c>
      <c r="L4" s="1" t="s">
        <v>5</v>
      </c>
      <c r="M4" s="1" t="s">
        <v>6</v>
      </c>
      <c r="N4" s="1" t="s">
        <v>7</v>
      </c>
      <c r="O4" s="1" t="s">
        <v>8</v>
      </c>
      <c r="P4" s="1" t="s">
        <v>9</v>
      </c>
      <c r="Q4" s="1" t="s">
        <v>10</v>
      </c>
      <c r="R4" s="2" t="s">
        <v>15</v>
      </c>
      <c r="S4" s="1" t="s">
        <v>11</v>
      </c>
    </row>
    <row r="5" spans="2:23" ht="30" x14ac:dyDescent="0.25">
      <c r="B5" s="3">
        <v>1</v>
      </c>
      <c r="C5" s="3" t="s">
        <v>31</v>
      </c>
      <c r="D5" s="3">
        <v>10</v>
      </c>
      <c r="E5" s="3" t="s">
        <v>22</v>
      </c>
      <c r="F5" s="21">
        <v>491</v>
      </c>
      <c r="G5" s="20">
        <f>F5*10.764</f>
        <v>5285.1239999999998</v>
      </c>
      <c r="H5" s="3">
        <v>2021</v>
      </c>
      <c r="I5" s="3">
        <v>2023</v>
      </c>
      <c r="J5" s="3">
        <v>2</v>
      </c>
      <c r="K5" s="3">
        <v>60</v>
      </c>
      <c r="L5" s="4">
        <v>0.1</v>
      </c>
      <c r="M5" s="5">
        <f>(1-L5)/K5</f>
        <v>1.5000000000000001E-2</v>
      </c>
      <c r="N5" s="6">
        <v>2000</v>
      </c>
      <c r="O5" s="6">
        <f>N5*G5</f>
        <v>10570248</v>
      </c>
      <c r="P5" s="6">
        <f t="shared" ref="P5:P8" si="0">O5*M5*J5</f>
        <v>317107.44</v>
      </c>
      <c r="Q5" s="6">
        <f t="shared" ref="Q5:Q8" si="1">MAX(O5-P5,0)</f>
        <v>10253140.560000001</v>
      </c>
      <c r="R5" s="7">
        <v>0</v>
      </c>
      <c r="S5" s="6">
        <f>IF(Q5&gt;L5*O5,Q5*(1-R5),O5*L5)</f>
        <v>10253140.560000001</v>
      </c>
    </row>
    <row r="6" spans="2:23" ht="30" x14ac:dyDescent="0.25">
      <c r="B6" s="3">
        <v>2</v>
      </c>
      <c r="C6" s="3" t="s">
        <v>40</v>
      </c>
      <c r="D6" s="3">
        <v>10</v>
      </c>
      <c r="E6" s="3" t="s">
        <v>22</v>
      </c>
      <c r="F6" s="21">
        <v>98</v>
      </c>
      <c r="G6" s="20">
        <f t="shared" ref="G6:G8" si="2">F6*10.764</f>
        <v>1054.8719999999998</v>
      </c>
      <c r="H6" s="3">
        <v>2021</v>
      </c>
      <c r="I6" s="3">
        <v>2023</v>
      </c>
      <c r="J6" s="3">
        <v>2</v>
      </c>
      <c r="K6" s="3">
        <v>60</v>
      </c>
      <c r="L6" s="4">
        <v>0.1</v>
      </c>
      <c r="M6" s="5">
        <f t="shared" ref="M6:M8" si="3">(1-L6)/K6</f>
        <v>1.5000000000000001E-2</v>
      </c>
      <c r="N6" s="6">
        <v>1400</v>
      </c>
      <c r="O6" s="6">
        <f t="shared" ref="O6:O8" si="4">N6*G6</f>
        <v>1476820.7999999998</v>
      </c>
      <c r="P6" s="6">
        <f t="shared" si="0"/>
        <v>44304.623999999996</v>
      </c>
      <c r="Q6" s="6">
        <f t="shared" si="1"/>
        <v>1432516.1759999997</v>
      </c>
      <c r="R6" s="7">
        <v>0</v>
      </c>
      <c r="S6" s="6">
        <f t="shared" ref="S6:S8" si="5">IF(Q6&gt;L6*O6,Q6*(1-R6),O6*L6)</f>
        <v>1432516.1759999997</v>
      </c>
    </row>
    <row r="7" spans="2:23" ht="30" x14ac:dyDescent="0.25">
      <c r="B7" s="3">
        <v>3</v>
      </c>
      <c r="C7" s="3" t="s">
        <v>32</v>
      </c>
      <c r="D7" s="3">
        <v>10</v>
      </c>
      <c r="E7" s="3" t="s">
        <v>22</v>
      </c>
      <c r="F7" s="21">
        <v>400</v>
      </c>
      <c r="G7" s="20">
        <f t="shared" si="2"/>
        <v>4305.5999999999995</v>
      </c>
      <c r="H7" s="3">
        <v>2021</v>
      </c>
      <c r="I7" s="3">
        <v>2023</v>
      </c>
      <c r="J7" s="3">
        <v>2</v>
      </c>
      <c r="K7" s="3">
        <v>60</v>
      </c>
      <c r="L7" s="4">
        <v>0.1</v>
      </c>
      <c r="M7" s="5">
        <f t="shared" si="3"/>
        <v>1.5000000000000001E-2</v>
      </c>
      <c r="N7" s="6">
        <v>2000</v>
      </c>
      <c r="O7" s="6">
        <f t="shared" si="4"/>
        <v>8611199.9999999981</v>
      </c>
      <c r="P7" s="6">
        <f t="shared" si="0"/>
        <v>258335.99999999997</v>
      </c>
      <c r="Q7" s="6">
        <f t="shared" si="1"/>
        <v>8352863.9999999981</v>
      </c>
      <c r="R7" s="7">
        <v>0</v>
      </c>
      <c r="S7" s="6">
        <f t="shared" si="5"/>
        <v>8352863.9999999981</v>
      </c>
      <c r="W7">
        <f>5281+1058</f>
        <v>6339</v>
      </c>
    </row>
    <row r="8" spans="2:23" ht="30" x14ac:dyDescent="0.25">
      <c r="B8" s="3">
        <v>4</v>
      </c>
      <c r="C8" s="3" t="s">
        <v>33</v>
      </c>
      <c r="D8" s="3">
        <v>10</v>
      </c>
      <c r="E8" s="3" t="s">
        <v>22</v>
      </c>
      <c r="F8" s="21">
        <v>150</v>
      </c>
      <c r="G8" s="20">
        <f t="shared" si="2"/>
        <v>1614.6</v>
      </c>
      <c r="H8" s="3">
        <v>2021</v>
      </c>
      <c r="I8" s="3">
        <v>2023</v>
      </c>
      <c r="J8" s="3">
        <v>2</v>
      </c>
      <c r="K8" s="3">
        <v>60</v>
      </c>
      <c r="L8" s="4">
        <v>0.1</v>
      </c>
      <c r="M8" s="5">
        <f t="shared" si="3"/>
        <v>1.5000000000000001E-2</v>
      </c>
      <c r="N8" s="6">
        <v>2000</v>
      </c>
      <c r="O8" s="6">
        <f t="shared" si="4"/>
        <v>3229200</v>
      </c>
      <c r="P8" s="6">
        <f t="shared" si="0"/>
        <v>96876.000000000015</v>
      </c>
      <c r="Q8" s="6">
        <f t="shared" si="1"/>
        <v>3132324</v>
      </c>
      <c r="R8" s="7">
        <v>0</v>
      </c>
      <c r="S8" s="6">
        <f t="shared" si="5"/>
        <v>3132324</v>
      </c>
      <c r="W8">
        <f>W7/10.764</f>
        <v>588.90746934225194</v>
      </c>
    </row>
    <row r="9" spans="2:23" x14ac:dyDescent="0.25">
      <c r="B9" s="28" t="s">
        <v>12</v>
      </c>
      <c r="C9" s="28"/>
      <c r="D9" s="28"/>
      <c r="E9" s="28"/>
      <c r="F9" s="11">
        <f>SUM(F5:F8)</f>
        <v>1139</v>
      </c>
      <c r="G9" s="23">
        <f>SUM(G5:G8)</f>
        <v>12260.195999999998</v>
      </c>
      <c r="H9" s="28"/>
      <c r="I9" s="28"/>
      <c r="J9" s="28"/>
      <c r="K9" s="28"/>
      <c r="L9" s="28"/>
      <c r="M9" s="28"/>
      <c r="N9" s="28"/>
      <c r="O9" s="8">
        <f>SUM(O5:O8)</f>
        <v>23887468.799999997</v>
      </c>
      <c r="P9" s="8">
        <f>SUM(P5:P8)</f>
        <v>716624.06400000001</v>
      </c>
      <c r="Q9" s="8">
        <f>SUM(Q5:Q8)</f>
        <v>23170844.735999998</v>
      </c>
      <c r="R9" s="7"/>
      <c r="S9" s="8">
        <f>SUM(S5:S8)</f>
        <v>23170844.735999998</v>
      </c>
    </row>
    <row r="10" spans="2:23" x14ac:dyDescent="0.25">
      <c r="B10" s="29" t="s">
        <v>13</v>
      </c>
      <c r="C10" s="29"/>
      <c r="D10" s="29"/>
      <c r="E10" s="29"/>
      <c r="F10" s="29"/>
      <c r="G10" s="29"/>
      <c r="H10" s="29"/>
      <c r="I10" s="29"/>
      <c r="J10" s="29"/>
      <c r="K10" s="29"/>
      <c r="L10" s="29"/>
      <c r="M10" s="29"/>
      <c r="N10" s="29"/>
      <c r="O10" s="29"/>
      <c r="P10" s="29"/>
      <c r="Q10" s="29"/>
      <c r="R10" s="29"/>
      <c r="S10" s="29"/>
    </row>
    <row r="11" spans="2:23" x14ac:dyDescent="0.25">
      <c r="B11" s="27" t="s">
        <v>34</v>
      </c>
      <c r="C11" s="27"/>
      <c r="D11" s="27"/>
      <c r="E11" s="27"/>
      <c r="F11" s="27"/>
      <c r="G11" s="27"/>
      <c r="H11" s="27"/>
      <c r="I11" s="27"/>
      <c r="J11" s="27"/>
      <c r="K11" s="27"/>
      <c r="L11" s="27"/>
      <c r="M11" s="27"/>
      <c r="N11" s="27"/>
      <c r="O11" s="27"/>
      <c r="P11" s="27"/>
      <c r="Q11" s="27"/>
      <c r="R11" s="27"/>
      <c r="S11" s="27"/>
    </row>
    <row r="12" spans="2:23" x14ac:dyDescent="0.25">
      <c r="B12" s="27" t="s">
        <v>29</v>
      </c>
      <c r="C12" s="27"/>
      <c r="D12" s="27"/>
      <c r="E12" s="27"/>
      <c r="F12" s="27"/>
      <c r="G12" s="27"/>
      <c r="H12" s="27"/>
      <c r="I12" s="27"/>
      <c r="J12" s="27"/>
      <c r="K12" s="27"/>
      <c r="L12" s="27"/>
      <c r="M12" s="27"/>
      <c r="N12" s="27"/>
      <c r="O12" s="27"/>
      <c r="P12" s="27"/>
      <c r="Q12" s="27"/>
      <c r="R12" s="27"/>
      <c r="S12" s="27"/>
    </row>
    <row r="13" spans="2:23" x14ac:dyDescent="0.25">
      <c r="B13" s="27" t="s">
        <v>14</v>
      </c>
      <c r="C13" s="27"/>
      <c r="D13" s="27"/>
      <c r="E13" s="27"/>
      <c r="F13" s="27"/>
      <c r="G13" s="27"/>
      <c r="H13" s="27"/>
      <c r="I13" s="27"/>
      <c r="J13" s="27"/>
      <c r="K13" s="27"/>
      <c r="L13" s="27"/>
      <c r="M13" s="27"/>
      <c r="N13" s="27"/>
      <c r="O13" s="27"/>
      <c r="P13" s="27"/>
      <c r="Q13" s="27"/>
      <c r="R13" s="27"/>
      <c r="S13" s="27"/>
    </row>
    <row r="14" spans="2:23" ht="44.25" customHeight="1" x14ac:dyDescent="0.25">
      <c r="B14" s="30" t="s">
        <v>42</v>
      </c>
      <c r="C14" s="30"/>
      <c r="D14" s="30"/>
      <c r="E14" s="30"/>
      <c r="F14" s="30"/>
      <c r="G14" s="30"/>
      <c r="H14" s="30"/>
      <c r="I14" s="30"/>
      <c r="J14" s="30"/>
      <c r="K14" s="30"/>
      <c r="L14" s="30"/>
      <c r="M14" s="30"/>
      <c r="N14" s="30"/>
      <c r="O14" s="30"/>
      <c r="P14" s="30"/>
      <c r="Q14" s="30"/>
      <c r="R14" s="30"/>
      <c r="S14" s="30"/>
      <c r="T14" s="25"/>
      <c r="U14" s="25"/>
      <c r="V14" s="25"/>
    </row>
    <row r="15" spans="2:23" x14ac:dyDescent="0.25">
      <c r="B15" s="27" t="s">
        <v>41</v>
      </c>
      <c r="C15" s="27"/>
      <c r="D15" s="27"/>
      <c r="E15" s="27"/>
      <c r="F15" s="27"/>
      <c r="G15" s="27"/>
      <c r="H15" s="27"/>
      <c r="I15" s="27"/>
      <c r="J15" s="27"/>
      <c r="K15" s="27"/>
      <c r="L15" s="27"/>
      <c r="M15" s="27"/>
      <c r="N15" s="27"/>
      <c r="O15" s="27"/>
      <c r="P15" s="27"/>
      <c r="Q15" s="27"/>
      <c r="R15" s="27"/>
      <c r="S15" s="27"/>
    </row>
    <row r="16" spans="2:23" x14ac:dyDescent="0.25">
      <c r="W16" s="24">
        <f>S9*0.8</f>
        <v>18536675.788799997</v>
      </c>
    </row>
    <row r="17" spans="3:20" x14ac:dyDescent="0.25">
      <c r="G17" s="10"/>
    </row>
    <row r="19" spans="3:20" x14ac:dyDescent="0.25">
      <c r="T19">
        <f>S9/G9</f>
        <v>1889.9244951712028</v>
      </c>
    </row>
    <row r="20" spans="3:20" x14ac:dyDescent="0.25">
      <c r="L20" s="9"/>
      <c r="R20">
        <f>187-165</f>
        <v>22</v>
      </c>
    </row>
    <row r="21" spans="3:20" x14ac:dyDescent="0.25">
      <c r="C21" t="s">
        <v>37</v>
      </c>
      <c r="E21">
        <f>1139*12000</f>
        <v>13668000</v>
      </c>
      <c r="N21" s="21"/>
    </row>
    <row r="22" spans="3:20" x14ac:dyDescent="0.25">
      <c r="C22" t="s">
        <v>38</v>
      </c>
      <c r="E22">
        <f>(13668000*2*9)/(80*10)</f>
        <v>307530</v>
      </c>
    </row>
    <row r="23" spans="3:20" x14ac:dyDescent="0.25">
      <c r="C23" t="s">
        <v>39</v>
      </c>
      <c r="E23">
        <f>E21-E22</f>
        <v>13360470</v>
      </c>
      <c r="P23" s="9">
        <f>SUM(S5:S8)</f>
        <v>23170844.735999998</v>
      </c>
    </row>
  </sheetData>
  <mergeCells count="9">
    <mergeCell ref="B3:S3"/>
    <mergeCell ref="B13:S13"/>
    <mergeCell ref="B15:S15"/>
    <mergeCell ref="B9:E9"/>
    <mergeCell ref="H9:N9"/>
    <mergeCell ref="B10:S10"/>
    <mergeCell ref="B11:S11"/>
    <mergeCell ref="B12:S12"/>
    <mergeCell ref="B14:S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O18"/>
  <sheetViews>
    <sheetView workbookViewId="0">
      <selection activeCell="P19" sqref="P19"/>
    </sheetView>
  </sheetViews>
  <sheetFormatPr defaultRowHeight="15" x14ac:dyDescent="0.25"/>
  <cols>
    <col min="2" max="2" width="12.42578125" bestFit="1" customWidth="1"/>
    <col min="3" max="3" width="14.28515625" bestFit="1" customWidth="1"/>
    <col min="5" max="5" width="14.28515625" bestFit="1" customWidth="1"/>
    <col min="8" max="8" width="20" customWidth="1"/>
    <col min="11" max="11" width="13.5703125" customWidth="1"/>
  </cols>
  <sheetData>
    <row r="3" spans="3:14" x14ac:dyDescent="0.25">
      <c r="C3">
        <v>87120</v>
      </c>
      <c r="E3">
        <v>7943455</v>
      </c>
      <c r="G3">
        <v>36000000</v>
      </c>
    </row>
    <row r="4" spans="3:14" x14ac:dyDescent="0.25">
      <c r="C4">
        <v>500</v>
      </c>
      <c r="E4">
        <v>2</v>
      </c>
      <c r="G4">
        <f>60000</f>
        <v>60000</v>
      </c>
    </row>
    <row r="5" spans="3:14" x14ac:dyDescent="0.25">
      <c r="C5" s="12">
        <f>C4*C3</f>
        <v>43560000</v>
      </c>
      <c r="E5" s="12">
        <f>E4*E3</f>
        <v>15886910</v>
      </c>
      <c r="G5">
        <f>G3/G4</f>
        <v>600</v>
      </c>
    </row>
    <row r="12" spans="3:14" x14ac:dyDescent="0.25">
      <c r="H12">
        <v>2003</v>
      </c>
      <c r="K12">
        <v>2017</v>
      </c>
    </row>
    <row r="13" spans="3:14" x14ac:dyDescent="0.25">
      <c r="H13" s="12">
        <v>6000000</v>
      </c>
      <c r="K13">
        <f>M161</f>
        <v>0</v>
      </c>
    </row>
    <row r="16" spans="3:14" x14ac:dyDescent="0.25">
      <c r="N16" t="s">
        <v>30</v>
      </c>
    </row>
    <row r="18" spans="14:15" x14ac:dyDescent="0.25">
      <c r="N18">
        <f>1/1.19</f>
        <v>0.84033613445378152</v>
      </c>
      <c r="O18">
        <f>N18*10.764</f>
        <v>9.045378151260504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
  <sheetViews>
    <sheetView workbookViewId="0">
      <selection activeCell="I11" sqref="I11"/>
    </sheetView>
  </sheetViews>
  <sheetFormatPr defaultRowHeight="15" x14ac:dyDescent="0.25"/>
  <cols>
    <col min="1" max="2" width="8.7109375" bestFit="1" customWidth="1"/>
    <col min="3" max="3" width="8.42578125" bestFit="1" customWidth="1"/>
    <col min="5" max="5" width="8.5703125" bestFit="1" customWidth="1"/>
    <col min="6" max="6" width="7.7109375" bestFit="1" customWidth="1"/>
    <col min="7" max="7" width="9" customWidth="1"/>
    <col min="8" max="8" width="8" customWidth="1"/>
    <col min="9" max="9" width="11.5703125" customWidth="1"/>
    <col min="10" max="10" width="10.5703125" customWidth="1"/>
    <col min="11" max="11" width="11.5703125" customWidth="1"/>
    <col min="12" max="12" width="8.7109375" customWidth="1"/>
    <col min="13" max="13" width="11.5703125" bestFit="1" customWidth="1"/>
  </cols>
  <sheetData>
    <row r="1" spans="1:13" ht="15.75" x14ac:dyDescent="0.25">
      <c r="A1" s="31" t="s">
        <v>17</v>
      </c>
      <c r="B1" s="31"/>
      <c r="C1" s="31"/>
      <c r="D1" s="31"/>
      <c r="E1" s="31"/>
      <c r="F1" s="31"/>
      <c r="G1" s="31"/>
      <c r="H1" s="31"/>
      <c r="I1" s="31"/>
      <c r="J1" s="31"/>
      <c r="K1" s="31"/>
      <c r="L1" s="31"/>
      <c r="M1" s="31"/>
    </row>
    <row r="2" spans="1:13" ht="104.25" x14ac:dyDescent="0.25">
      <c r="A2" s="13" t="s">
        <v>27</v>
      </c>
      <c r="B2" s="13" t="s">
        <v>18</v>
      </c>
      <c r="C2" s="13" t="s">
        <v>2</v>
      </c>
      <c r="D2" s="13" t="s">
        <v>19</v>
      </c>
      <c r="E2" s="13" t="s">
        <v>20</v>
      </c>
      <c r="F2" s="13" t="s">
        <v>5</v>
      </c>
      <c r="G2" s="13" t="s">
        <v>6</v>
      </c>
      <c r="H2" s="13" t="s">
        <v>28</v>
      </c>
      <c r="I2" s="13" t="s">
        <v>8</v>
      </c>
      <c r="J2" s="13" t="s">
        <v>9</v>
      </c>
      <c r="K2" s="13" t="s">
        <v>10</v>
      </c>
      <c r="L2" s="13" t="s">
        <v>21</v>
      </c>
      <c r="M2" s="13" t="s">
        <v>11</v>
      </c>
    </row>
    <row r="3" spans="1:13" x14ac:dyDescent="0.25">
      <c r="A3" s="14">
        <v>290</v>
      </c>
      <c r="B3" s="15">
        <v>2021</v>
      </c>
      <c r="C3" s="15">
        <v>2023</v>
      </c>
      <c r="D3" s="15">
        <f>C3-B3</f>
        <v>2</v>
      </c>
      <c r="E3" s="15">
        <v>60</v>
      </c>
      <c r="F3" s="16">
        <v>0.1</v>
      </c>
      <c r="G3" s="17">
        <f>(1-F3)/E3</f>
        <v>1.5000000000000001E-2</v>
      </c>
      <c r="H3" s="18">
        <v>6000</v>
      </c>
      <c r="I3" s="18">
        <f>H3*A3</f>
        <v>1740000</v>
      </c>
      <c r="J3" s="18">
        <f>I3*G3*D3</f>
        <v>52200.000000000007</v>
      </c>
      <c r="K3" s="18">
        <f>MAX(I3-J3,0)</f>
        <v>1687800</v>
      </c>
      <c r="L3" s="19">
        <v>0</v>
      </c>
      <c r="M3" s="18">
        <f>IF(K3&gt;F3*I3,K3*(1-L3),I3*F3)</f>
        <v>1687800</v>
      </c>
    </row>
    <row r="5" spans="1:13" x14ac:dyDescent="0.25">
      <c r="A5" t="s">
        <v>36</v>
      </c>
    </row>
  </sheetData>
  <mergeCells count="1">
    <mergeCell ref="A1:M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3:M6"/>
  <sheetViews>
    <sheetView workbookViewId="0">
      <selection activeCell="M6" sqref="M6"/>
    </sheetView>
  </sheetViews>
  <sheetFormatPr defaultRowHeight="15" x14ac:dyDescent="0.25"/>
  <cols>
    <col min="4" max="4" width="10" bestFit="1" customWidth="1"/>
    <col min="6" max="6" width="10" bestFit="1" customWidth="1"/>
    <col min="9" max="9" width="10" bestFit="1" customWidth="1"/>
  </cols>
  <sheetData>
    <row r="3" spans="4:13" x14ac:dyDescent="0.25">
      <c r="D3">
        <v>106500000</v>
      </c>
    </row>
    <row r="4" spans="4:13" x14ac:dyDescent="0.25">
      <c r="D4">
        <f>D3/1430</f>
        <v>74475.524475524478</v>
      </c>
      <c r="F4">
        <v>120000000</v>
      </c>
      <c r="I4">
        <v>115000000</v>
      </c>
      <c r="K4">
        <v>98500000</v>
      </c>
      <c r="M4">
        <v>94000000</v>
      </c>
    </row>
    <row r="5" spans="4:13" x14ac:dyDescent="0.25">
      <c r="F5">
        <v>1650</v>
      </c>
      <c r="I5">
        <f>I4/1340</f>
        <v>85820.895522388062</v>
      </c>
      <c r="K5">
        <f>K4/1600</f>
        <v>61562.5</v>
      </c>
      <c r="M5">
        <v>1385</v>
      </c>
    </row>
    <row r="6" spans="4:13" x14ac:dyDescent="0.25">
      <c r="F6">
        <f>F4/F5</f>
        <v>72727.272727272721</v>
      </c>
      <c r="M6">
        <f>M4/M5</f>
        <v>67870.036101083038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working</vt: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Gupta</dc:creator>
  <cp:lastModifiedBy>Rajani Gupta</cp:lastModifiedBy>
  <dcterms:created xsi:type="dcterms:W3CDTF">2022-07-28T09:17:09Z</dcterms:created>
  <dcterms:modified xsi:type="dcterms:W3CDTF">2023-05-03T07:10:21Z</dcterms:modified>
</cp:coreProperties>
</file>