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Rahul Gupta\In progress\VIS(2022-23)-PL677-568-940 JP Flour Mill\"/>
    </mc:Choice>
  </mc:AlternateContent>
  <bookViews>
    <workbookView showVerticalScroll="0" xWindow="0" yWindow="0" windowWidth="20490" windowHeight="7755" activeTab="3"/>
  </bookViews>
  <sheets>
    <sheet name="Boundary wall" sheetId="2" r:id="rId1"/>
    <sheet name="Building" sheetId="1" r:id="rId2"/>
    <sheet name="Conveyance Deed" sheetId="3" r:id="rId3"/>
    <sheet name="Sheet1" sheetId="4" r:id="rId4"/>
  </sheets>
  <definedNames>
    <definedName name="_xlnm._FilterDatabase" localSheetId="1" hidden="1">Building!$B$4:$V$24</definedName>
    <definedName name="_xlnm.Print_Area" localSheetId="1">Building!$B$2:$T$24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8" i="1"/>
  <c r="G5" i="1"/>
  <c r="Q17" i="1"/>
  <c r="K16" i="4"/>
  <c r="K15" i="4"/>
  <c r="K13" i="4"/>
  <c r="K31" i="1" l="1"/>
  <c r="K30" i="1"/>
  <c r="G12" i="4"/>
  <c r="I27" i="1" l="1"/>
  <c r="N15" i="3"/>
  <c r="J21" i="3" l="1"/>
  <c r="J19" i="3"/>
  <c r="H31" i="1"/>
  <c r="H32" i="1" s="1"/>
  <c r="P11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K19" i="1"/>
  <c r="K15" i="1"/>
  <c r="K12" i="1"/>
  <c r="K11" i="1"/>
  <c r="K9" i="1"/>
  <c r="K6" i="1"/>
  <c r="K20" i="1"/>
  <c r="K18" i="1"/>
  <c r="K17" i="1"/>
  <c r="K16" i="1"/>
  <c r="K14" i="1"/>
  <c r="K13" i="1"/>
  <c r="K10" i="1"/>
  <c r="K8" i="1"/>
  <c r="K7" i="1"/>
  <c r="H20" i="1"/>
  <c r="F17" i="1"/>
  <c r="G20" i="1"/>
  <c r="P20" i="1" s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19" i="1"/>
  <c r="F19" i="1" s="1"/>
  <c r="G18" i="1"/>
  <c r="F18" i="1" s="1"/>
  <c r="G17" i="1"/>
  <c r="P17" i="1" s="1"/>
  <c r="F16" i="1"/>
  <c r="G16" i="1" s="1"/>
  <c r="P16" i="1" s="1"/>
  <c r="F15" i="1"/>
  <c r="G15" i="1" s="1"/>
  <c r="P15" i="1" s="1"/>
  <c r="F14" i="1"/>
  <c r="G14" i="1" s="1"/>
  <c r="P14" i="1" s="1"/>
  <c r="G13" i="1"/>
  <c r="P13" i="1" s="1"/>
  <c r="G12" i="1"/>
  <c r="P12" i="1" s="1"/>
  <c r="G11" i="1"/>
  <c r="F11" i="1" s="1"/>
  <c r="G10" i="1"/>
  <c r="F10" i="1" s="1"/>
  <c r="F8" i="1"/>
  <c r="G9" i="1"/>
  <c r="P9" i="1" s="1"/>
  <c r="G7" i="1"/>
  <c r="F7" i="1" s="1"/>
  <c r="G6" i="1"/>
  <c r="F6" i="1" s="1"/>
  <c r="F5" i="1"/>
  <c r="I14" i="3"/>
  <c r="J13" i="3"/>
  <c r="P8" i="1" l="1"/>
  <c r="Q8" i="1" s="1"/>
  <c r="P6" i="1"/>
  <c r="Q6" i="1"/>
  <c r="R6" i="1" s="1"/>
  <c r="T6" i="1" s="1"/>
  <c r="Q13" i="1"/>
  <c r="R13" i="1" s="1"/>
  <c r="T13" i="1" s="1"/>
  <c r="Q14" i="1"/>
  <c r="R14" i="1" s="1"/>
  <c r="T14" i="1" s="1"/>
  <c r="Q9" i="1"/>
  <c r="R9" i="1"/>
  <c r="T9" i="1" s="1"/>
  <c r="Q15" i="1"/>
  <c r="R15" i="1" s="1"/>
  <c r="T15" i="1" s="1"/>
  <c r="R17" i="1"/>
  <c r="T17" i="1" s="1"/>
  <c r="Q12" i="1"/>
  <c r="R12" i="1" s="1"/>
  <c r="T12" i="1" s="1"/>
  <c r="Q20" i="1"/>
  <c r="R20" i="1" s="1"/>
  <c r="T20" i="1" s="1"/>
  <c r="Q11" i="1"/>
  <c r="R11" i="1" s="1"/>
  <c r="T11" i="1" s="1"/>
  <c r="P18" i="1"/>
  <c r="P10" i="1"/>
  <c r="Q16" i="1"/>
  <c r="R16" i="1" s="1"/>
  <c r="T16" i="1" s="1"/>
  <c r="P7" i="1"/>
  <c r="F9" i="1"/>
  <c r="P19" i="1"/>
  <c r="F20" i="1"/>
  <c r="F12" i="1"/>
  <c r="G21" i="1"/>
  <c r="G13" i="3"/>
  <c r="R8" i="1" l="1"/>
  <c r="T8" i="1" s="1"/>
  <c r="F21" i="1"/>
  <c r="Q7" i="1"/>
  <c r="R7" i="1" s="1"/>
  <c r="T7" i="1" s="1"/>
  <c r="Q18" i="1"/>
  <c r="R18" i="1"/>
  <c r="T18" i="1" s="1"/>
  <c r="Q19" i="1"/>
  <c r="R19" i="1" s="1"/>
  <c r="T19" i="1" s="1"/>
  <c r="Q10" i="1"/>
  <c r="R10" i="1" s="1"/>
  <c r="T10" i="1" s="1"/>
  <c r="G10" i="3"/>
  <c r="AB29" i="1" l="1"/>
  <c r="AD23" i="1"/>
  <c r="X27" i="1"/>
  <c r="X28" i="1" s="1"/>
  <c r="K15" i="2"/>
  <c r="O9" i="2"/>
  <c r="O12" i="2"/>
  <c r="J15" i="2"/>
  <c r="J11" i="2"/>
  <c r="O15" i="2"/>
  <c r="O14" i="2"/>
  <c r="Z24" i="1"/>
  <c r="F10" i="2"/>
  <c r="F11" i="2"/>
  <c r="G3" i="2"/>
  <c r="D3" i="2"/>
  <c r="I3" i="2"/>
  <c r="V21" i="1"/>
  <c r="P5" i="1"/>
  <c r="P21" i="1" s="1"/>
  <c r="N5" i="1"/>
  <c r="K5" i="1"/>
  <c r="J3" i="2" l="1"/>
  <c r="K3" i="2" s="1"/>
  <c r="M3" i="2" s="1"/>
  <c r="N17" i="3" s="1"/>
  <c r="Q5" i="1"/>
  <c r="R5" i="1" s="1"/>
  <c r="R21" i="1" s="1"/>
  <c r="T5" i="1" l="1"/>
  <c r="T21" i="1" s="1"/>
  <c r="N16" i="3" s="1"/>
  <c r="N18" i="3" s="1"/>
</calcChain>
</file>

<file path=xl/sharedStrings.xml><?xml version="1.0" encoding="utf-8"?>
<sst xmlns="http://schemas.openxmlformats.org/spreadsheetml/2006/main" count="132" uniqueCount="89">
  <si>
    <t>Floor</t>
  </si>
  <si>
    <t>Year of Construction</t>
  </si>
  <si>
    <t xml:space="preserve">Year of Valuation 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</si>
  <si>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</si>
  <si>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</si>
  <si>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</si>
  <si>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</si>
  <si>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</si>
  <si>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</si>
  <si>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</si>
  <si>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</si>
  <si>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</si>
  <si>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</si>
  <si>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</si>
  <si>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</si>
  <si>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r>
      <t xml:space="preserve">Area
</t>
    </r>
    <r>
      <rPr>
        <b/>
        <i/>
        <sz val="10"/>
        <rFont val="Calibri"/>
        <family val="2"/>
        <scheme val="minor"/>
      </rPr>
      <t>(in sq.ft)</t>
    </r>
  </si>
  <si>
    <t>S. No.</t>
  </si>
  <si>
    <r>
      <t xml:space="preserve">Area
</t>
    </r>
    <r>
      <rPr>
        <b/>
        <i/>
        <sz val="10"/>
        <rFont val="Calibri"/>
        <family val="2"/>
        <scheme val="minor"/>
      </rPr>
      <t>(in sq.mtr.)</t>
    </r>
  </si>
  <si>
    <r>
      <t>2.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</si>
  <si>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 xml:space="preserve">Guideline Rate </t>
  </si>
  <si>
    <t xml:space="preserve">Guideline Value 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</si>
  <si>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</si>
  <si>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</si>
  <si>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</si>
  <si>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Deed No.</t>
  </si>
  <si>
    <t>In Favor of</t>
  </si>
  <si>
    <t>Deed Date</t>
  </si>
  <si>
    <t>Mr. Balchand Prasad</t>
  </si>
  <si>
    <t>Area in Satak</t>
  </si>
  <si>
    <t>remarks</t>
  </si>
  <si>
    <t>Please check</t>
  </si>
  <si>
    <t>S.no</t>
  </si>
  <si>
    <t>Khatian No.</t>
  </si>
  <si>
    <t>Mouza</t>
  </si>
  <si>
    <t>L.R. Plot No.</t>
  </si>
  <si>
    <t>Bighati</t>
  </si>
  <si>
    <t>5 Kri and511 Kri</t>
  </si>
  <si>
    <t>488 Kri</t>
  </si>
  <si>
    <t>5114 and 5115</t>
  </si>
  <si>
    <t>431 Kri</t>
  </si>
  <si>
    <t>Total</t>
  </si>
  <si>
    <t>Type of Deed</t>
  </si>
  <si>
    <t>Conveyance Deed</t>
  </si>
  <si>
    <t xml:space="preserve"> M/S J.P. FLOUR MILLS PVT LTD., L.S PLOT NO.5117,5114,5115,5116 MOUZA BIGHATI, BIGHATI GRAM PANCHAYAT, A.D.S.R. CHANDANAGAR, P.S.- BHADRESWAR, DISTRICT- HOOGHLY</t>
  </si>
  <si>
    <t xml:space="preserve"> Ground  Floor+1</t>
  </si>
  <si>
    <t>RCC</t>
  </si>
  <si>
    <t>Admin Building</t>
  </si>
  <si>
    <t>Guest House</t>
  </si>
  <si>
    <t>Second Floor</t>
  </si>
  <si>
    <t>GI Shed</t>
  </si>
  <si>
    <t>G+2</t>
  </si>
  <si>
    <t>Godown Finish Product</t>
  </si>
  <si>
    <t>G+1</t>
  </si>
  <si>
    <t>Tin Shed</t>
  </si>
  <si>
    <t>Mill</t>
  </si>
  <si>
    <t>Ground +4</t>
  </si>
  <si>
    <t>Raw Material</t>
  </si>
  <si>
    <t>Brick wall, Iron Truss and Tin Shed</t>
  </si>
  <si>
    <t>Wheat Godwn</t>
  </si>
  <si>
    <t xml:space="preserve">Ground Floor </t>
  </si>
  <si>
    <t>Labour Quarter 1</t>
  </si>
  <si>
    <t>Labour Quarter 2</t>
  </si>
  <si>
    <t>Ground+3</t>
  </si>
  <si>
    <t>Ground+1</t>
  </si>
  <si>
    <t>Type of Structure/Roof</t>
  </si>
  <si>
    <t>Labour Quarter 3</t>
  </si>
  <si>
    <t>G+3</t>
  </si>
  <si>
    <t>Electrical Operating Room</t>
  </si>
  <si>
    <t>Panel, Transformer and Meter Room</t>
  </si>
  <si>
    <t>Security Room</t>
  </si>
  <si>
    <t>Brick wall and Tin Shed</t>
  </si>
  <si>
    <t>Weigh Bridge</t>
  </si>
  <si>
    <r>
      <t>Floor Height (</t>
    </r>
    <r>
      <rPr>
        <b/>
        <i/>
        <sz val="10"/>
        <rFont val="Calibri"/>
        <family val="2"/>
        <scheme val="minor"/>
      </rPr>
      <t>in ft.)</t>
    </r>
  </si>
  <si>
    <t>FAR</t>
  </si>
  <si>
    <t>Plot area</t>
  </si>
  <si>
    <t>9186 sq.mtr</t>
  </si>
  <si>
    <r>
      <t xml:space="preserve">1. </t>
    </r>
    <r>
      <rPr>
        <i/>
        <sz val="10"/>
        <color theme="1"/>
        <rFont val="Calibri"/>
        <family val="2"/>
        <scheme val="minor"/>
      </rPr>
      <t>All the details pertaining to the building such as area has been taken from site survey only.</t>
    </r>
  </si>
  <si>
    <t>1 ACRE</t>
  </si>
  <si>
    <t>60.5 KATTHA</t>
  </si>
  <si>
    <t>Description of Building</t>
  </si>
  <si>
    <t>3.All the structure that has been taken in the area statement belonging to M/s J.P Flour Mills Pvt Ltd.</t>
  </si>
  <si>
    <t>Production Capacity</t>
  </si>
  <si>
    <t>Particulars</t>
  </si>
  <si>
    <t>Production Capacity  Ton Per Annum</t>
  </si>
  <si>
    <t>Maida</t>
  </si>
  <si>
    <t>Mill Atta</t>
  </si>
  <si>
    <t>Suji</t>
  </si>
  <si>
    <t>Bran</t>
  </si>
  <si>
    <t>Chakki 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</si>
</sst>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_ ;_ [$₹-4009]\ * \-#,##0_ ;_ [$₹-4009]\ * &quot;-&quot;??_ ;_ @_ "/>
    <numFmt numFmtId="168" formatCode="_ [$₹-4009]\ * #,##0.00_ ;_ [$₹-4009]\ * \-#,##0.00_ ;_ [$₹-4009]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43" fontId="0" fillId="0" borderId="0" xfId="3" applyFont="1"/>
    <xf numFmtId="164" fontId="0" fillId="0" borderId="0" xfId="3" applyNumberFormat="1" applyFont="1"/>
    <xf numFmtId="164" fontId="0" fillId="0" borderId="1" xfId="3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0" fillId="0" borderId="1" xfId="3" applyFont="1" applyBorder="1" applyAlignment="1">
      <alignment horizontal="center" vertical="center" wrapText="1"/>
    </xf>
    <xf numFmtId="168" fontId="0" fillId="0" borderId="1" xfId="1" applyNumberFormat="1" applyFont="1" applyBorder="1"/>
    <xf numFmtId="0" fontId="6" fillId="0" borderId="0" xfId="0" applyFont="1" applyAlignment="1">
      <alignment wrapText="1"/>
    </xf>
    <xf numFmtId="168" fontId="0" fillId="0" borderId="1" xfId="3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7" fontId="2" fillId="0" borderId="1" xfId="0" applyNumberFormat="1" applyFon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1" fillId="4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64" fontId="0" fillId="0" borderId="1" xfId="3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M3" sqref="M3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10" bestFit="1" customWidth="1"/>
    <col min="7" max="7" width="9" bestFit="1" customWidth="1"/>
    <col min="8" max="8" width="8" bestFit="1" customWidth="1"/>
    <col min="9" max="9" width="11.5703125" bestFit="1" customWidth="1"/>
    <col min="10" max="10" width="10.5703125" bestFit="1" customWidth="1"/>
    <col min="11" max="11" width="11.5703125" bestFit="1" customWidth="1"/>
    <col min="12" max="12" width="8.7109375" bestFit="1" customWidth="1"/>
    <col min="13" max="13" width="11.5703125" bestFit="1" customWidth="1"/>
    <col min="14" max="15" width="15.28515625" bestFit="1" customWidth="1"/>
  </cols>
  <sheetData>
    <row r="1" spans="1:15" ht="15.75" x14ac:dyDescent="0.25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5" ht="91.5" x14ac:dyDescent="0.25">
      <c r="A2" s="10" t="s">
        <v>22</v>
      </c>
      <c r="B2" s="10" t="s">
        <v>1</v>
      </c>
      <c r="C2" s="10" t="s">
        <v>2</v>
      </c>
      <c r="D2" s="10" t="s">
        <v>11</v>
      </c>
      <c r="E2" s="10" t="s">
        <v>12</v>
      </c>
      <c r="F2" s="10" t="s">
        <v>3</v>
      </c>
      <c r="G2" s="10" t="s">
        <v>5</v>
      </c>
      <c r="H2" s="10" t="s">
        <v>23</v>
      </c>
      <c r="I2" s="10" t="s">
        <v>9</v>
      </c>
      <c r="J2" s="10" t="s">
        <v>6</v>
      </c>
      <c r="K2" s="10" t="s">
        <v>7</v>
      </c>
      <c r="L2" s="10" t="s">
        <v>10</v>
      </c>
      <c r="M2" s="10" t="s">
        <v>8</v>
      </c>
    </row>
    <row r="3" spans="1:15" x14ac:dyDescent="0.25">
      <c r="A3" s="7">
        <v>1440</v>
      </c>
      <c r="B3" s="2">
        <v>2006</v>
      </c>
      <c r="C3" s="2">
        <v>2023</v>
      </c>
      <c r="D3" s="2">
        <f>C3-B3</f>
        <v>17</v>
      </c>
      <c r="E3" s="2">
        <v>60</v>
      </c>
      <c r="F3" s="3">
        <v>0.1</v>
      </c>
      <c r="G3" s="4">
        <f>(1-F3)/E3</f>
        <v>1.5000000000000001E-2</v>
      </c>
      <c r="H3" s="5">
        <v>1500</v>
      </c>
      <c r="I3" s="5">
        <f>H3*A3</f>
        <v>2160000</v>
      </c>
      <c r="J3" s="5">
        <f>I3*G3*D3</f>
        <v>550800.00000000012</v>
      </c>
      <c r="K3" s="5">
        <f>MAX(I3-J3,0)</f>
        <v>1609200</v>
      </c>
      <c r="L3" s="8">
        <v>0</v>
      </c>
      <c r="M3" s="5">
        <f>IF(K3&gt;F3*I3,K3*(1-L3),I3*F3)</f>
        <v>1609200</v>
      </c>
    </row>
    <row r="5" spans="1:15" x14ac:dyDescent="0.25">
      <c r="O5">
        <v>68.59</v>
      </c>
    </row>
    <row r="7" spans="1:15" x14ac:dyDescent="0.25">
      <c r="F7">
        <v>68.58</v>
      </c>
    </row>
    <row r="8" spans="1:15" x14ac:dyDescent="0.25">
      <c r="F8">
        <v>188</v>
      </c>
    </row>
    <row r="9" spans="1:15" x14ac:dyDescent="0.25">
      <c r="F9">
        <v>67.86</v>
      </c>
      <c r="J9">
        <v>11470550</v>
      </c>
      <c r="N9" s="22"/>
      <c r="O9">
        <f>K15</f>
        <v>185577000</v>
      </c>
    </row>
    <row r="10" spans="1:15" x14ac:dyDescent="0.25">
      <c r="F10">
        <f>SUM(F7:F9)</f>
        <v>324.44</v>
      </c>
      <c r="J10">
        <v>57239000</v>
      </c>
      <c r="O10">
        <v>62922765</v>
      </c>
    </row>
    <row r="11" spans="1:15" x14ac:dyDescent="0.25">
      <c r="F11">
        <f>F10*3.28</f>
        <v>1064.1632</v>
      </c>
      <c r="J11">
        <f>SUM(J9:J10)</f>
        <v>68709550</v>
      </c>
      <c r="O11">
        <v>1150000</v>
      </c>
    </row>
    <row r="12" spans="1:15" x14ac:dyDescent="0.25">
      <c r="O12" s="21">
        <f>SUM(O9:O11)</f>
        <v>249649765</v>
      </c>
    </row>
    <row r="13" spans="1:15" x14ac:dyDescent="0.25">
      <c r="O13" s="22">
        <v>249600000</v>
      </c>
    </row>
    <row r="14" spans="1:15" x14ac:dyDescent="0.25">
      <c r="J14">
        <v>17674</v>
      </c>
      <c r="K14">
        <v>17674</v>
      </c>
      <c r="O14" s="17">
        <f>O13*0.85</f>
        <v>212160000</v>
      </c>
    </row>
    <row r="15" spans="1:15" x14ac:dyDescent="0.25">
      <c r="J15">
        <f>J14*10500</f>
        <v>185577000</v>
      </c>
      <c r="K15">
        <f>K14*10500</f>
        <v>185577000</v>
      </c>
      <c r="O15" s="17">
        <f>O13*0.75</f>
        <v>187200000</v>
      </c>
    </row>
  </sheetData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2"/>
  <sheetViews>
    <sheetView topLeftCell="D13" zoomScaleNormal="100" zoomScaleSheetLayoutView="85" workbookViewId="0">
      <selection activeCell="B3" sqref="B3:V25"/>
    </sheetView>
  </sheetViews>
  <sheetFormatPr defaultRowHeight="15" x14ac:dyDescent="0.25"/>
  <cols>
    <col min="1" max="1" width="8" bestFit="1" customWidth="1"/>
    <col min="2" max="2" width="6.140625" bestFit="1" customWidth="1"/>
    <col min="3" max="3" width="24.28515625" bestFit="1" customWidth="1"/>
    <col min="4" max="4" width="7.5703125" style="13" bestFit="1" customWidth="1"/>
    <col min="5" max="5" width="16.42578125" style="13" bestFit="1" customWidth="1"/>
    <col min="6" max="6" width="10.85546875" style="13" bestFit="1" customWidth="1"/>
    <col min="7" max="7" width="9" style="16" bestFit="1" customWidth="1"/>
    <col min="8" max="8" width="11.140625" bestFit="1" customWidth="1"/>
    <col min="9" max="9" width="12.28515625" bestFit="1" customWidth="1"/>
    <col min="10" max="10" width="9.5703125" bestFit="1" customWidth="1"/>
    <col min="11" max="11" width="12" bestFit="1" customWidth="1"/>
    <col min="12" max="12" width="9.42578125" bestFit="1" customWidth="1"/>
    <col min="13" max="13" width="7.7109375" hidden="1" customWidth="1"/>
    <col min="14" max="14" width="12.42578125" hidden="1" customWidth="1"/>
    <col min="15" max="15" width="10.85546875" bestFit="1" customWidth="1"/>
    <col min="16" max="16" width="18.42578125" bestFit="1" customWidth="1"/>
    <col min="17" max="17" width="13.28515625" bestFit="1" customWidth="1"/>
    <col min="18" max="18" width="14.28515625" bestFit="1" customWidth="1"/>
    <col min="19" max="19" width="11.42578125" hidden="1" customWidth="1"/>
    <col min="20" max="20" width="24.42578125" style="14" bestFit="1" customWidth="1"/>
    <col min="21" max="21" width="14.42578125" hidden="1" customWidth="1"/>
    <col min="22" max="22" width="6.140625" hidden="1" customWidth="1"/>
    <col min="23" max="23" width="14.28515625" bestFit="1" customWidth="1"/>
    <col min="24" max="24" width="11" bestFit="1" customWidth="1"/>
    <col min="26" max="26" width="7" bestFit="1" customWidth="1"/>
    <col min="28" max="28" width="10" bestFit="1" customWidth="1"/>
    <col min="30" max="31" width="10" bestFit="1" customWidth="1"/>
  </cols>
  <sheetData>
    <row r="3" spans="2:25" ht="33.75" customHeight="1" x14ac:dyDescent="0.25">
      <c r="B3" s="46" t="s">
        <v>43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2:25" s="11" customFormat="1" ht="60" x14ac:dyDescent="0.25">
      <c r="B4" s="9" t="s">
        <v>16</v>
      </c>
      <c r="C4" s="9" t="s">
        <v>79</v>
      </c>
      <c r="D4" s="10" t="s">
        <v>0</v>
      </c>
      <c r="E4" s="10" t="s">
        <v>64</v>
      </c>
      <c r="F4" s="15" t="s">
        <v>17</v>
      </c>
      <c r="G4" s="15" t="s">
        <v>15</v>
      </c>
      <c r="H4" s="10" t="s">
        <v>72</v>
      </c>
      <c r="I4" s="10" t="s">
        <v>1</v>
      </c>
      <c r="J4" s="10" t="s">
        <v>2</v>
      </c>
      <c r="K4" s="10" t="s">
        <v>11</v>
      </c>
      <c r="L4" s="10" t="s">
        <v>12</v>
      </c>
      <c r="M4" s="10" t="s">
        <v>3</v>
      </c>
      <c r="N4" s="10" t="s">
        <v>5</v>
      </c>
      <c r="O4" s="10" t="s">
        <v>13</v>
      </c>
      <c r="P4" s="10" t="s">
        <v>9</v>
      </c>
      <c r="Q4" s="10" t="s">
        <v>6</v>
      </c>
      <c r="R4" s="10" t="s">
        <v>7</v>
      </c>
      <c r="S4" s="10" t="s">
        <v>10</v>
      </c>
      <c r="T4" s="10" t="s">
        <v>8</v>
      </c>
      <c r="U4" s="10" t="s">
        <v>19</v>
      </c>
      <c r="V4" s="10" t="s">
        <v>20</v>
      </c>
      <c r="W4" s="27"/>
      <c r="X4" s="27"/>
      <c r="Y4" s="27"/>
    </row>
    <row r="5" spans="2:25" ht="45" x14ac:dyDescent="0.25">
      <c r="B5" s="2">
        <v>1</v>
      </c>
      <c r="C5" s="2" t="s">
        <v>46</v>
      </c>
      <c r="D5" s="12" t="s">
        <v>44</v>
      </c>
      <c r="E5" s="12" t="s">
        <v>45</v>
      </c>
      <c r="F5" s="25">
        <f>G5/10.7639</f>
        <v>260.12876373805034</v>
      </c>
      <c r="G5" s="42">
        <f>2*50*28</f>
        <v>2800</v>
      </c>
      <c r="H5" s="7">
        <f>2.9*3.28</f>
        <v>9.5119999999999987</v>
      </c>
      <c r="I5" s="2">
        <v>2006</v>
      </c>
      <c r="J5" s="2">
        <v>2023</v>
      </c>
      <c r="K5" s="2">
        <f>J5-I5</f>
        <v>17</v>
      </c>
      <c r="L5" s="2">
        <v>65</v>
      </c>
      <c r="M5" s="3">
        <v>0.1</v>
      </c>
      <c r="N5" s="4">
        <f>(1-M5)/L5</f>
        <v>1.3846153846153847E-2</v>
      </c>
      <c r="O5" s="5">
        <v>1500</v>
      </c>
      <c r="P5" s="5">
        <f>O5*G5</f>
        <v>4200000</v>
      </c>
      <c r="Q5" s="5">
        <f>P5*N5*K5</f>
        <v>988615.38461538462</v>
      </c>
      <c r="R5" s="5">
        <f t="shared" ref="R5:R20" si="0">MAX(P5-Q5,0)</f>
        <v>3211384.6153846155</v>
      </c>
      <c r="S5" s="8">
        <v>0</v>
      </c>
      <c r="T5" s="5">
        <f t="shared" ref="T5:T20" si="1">IF(R5&gt;M5*P5,R5*(1-S5),P5*M5)</f>
        <v>3211384.6153846155</v>
      </c>
      <c r="U5" s="28"/>
      <c r="V5" s="29"/>
      <c r="W5" s="1"/>
    </row>
    <row r="6" spans="2:25" ht="30" x14ac:dyDescent="0.25">
      <c r="B6" s="2"/>
      <c r="C6" s="2" t="s">
        <v>46</v>
      </c>
      <c r="D6" s="12" t="s">
        <v>48</v>
      </c>
      <c r="E6" s="12" t="s">
        <v>49</v>
      </c>
      <c r="F6" s="25">
        <f t="shared" ref="F6:F12" si="2">G6/10.7639</f>
        <v>130.06438186902517</v>
      </c>
      <c r="G6" s="42">
        <f>50*28</f>
        <v>1400</v>
      </c>
      <c r="H6" s="7">
        <f>2.9*3.28</f>
        <v>9.5119999999999987</v>
      </c>
      <c r="I6" s="2">
        <v>2006</v>
      </c>
      <c r="J6" s="2">
        <v>2023</v>
      </c>
      <c r="K6" s="2">
        <f>J6-I6</f>
        <v>17</v>
      </c>
      <c r="L6" s="2">
        <v>45</v>
      </c>
      <c r="M6" s="3">
        <v>0.1</v>
      </c>
      <c r="N6" s="4">
        <f t="shared" ref="N6:N20" si="3">(1-M6)/L6</f>
        <v>0.02</v>
      </c>
      <c r="O6" s="5">
        <v>800</v>
      </c>
      <c r="P6" s="5">
        <f t="shared" ref="P6:P20" si="4">O6*G6</f>
        <v>1120000</v>
      </c>
      <c r="Q6" s="5">
        <f t="shared" ref="Q6:Q20" si="5">P6*N6*K6</f>
        <v>380800</v>
      </c>
      <c r="R6" s="5">
        <f t="shared" si="0"/>
        <v>739200</v>
      </c>
      <c r="S6" s="8">
        <v>0</v>
      </c>
      <c r="T6" s="5">
        <f t="shared" si="1"/>
        <v>739200</v>
      </c>
      <c r="U6" s="28"/>
      <c r="V6" s="29"/>
      <c r="W6" s="1"/>
    </row>
    <row r="7" spans="2:25" x14ac:dyDescent="0.25">
      <c r="B7" s="2">
        <v>2</v>
      </c>
      <c r="C7" s="2" t="s">
        <v>47</v>
      </c>
      <c r="D7" s="12" t="s">
        <v>50</v>
      </c>
      <c r="E7" s="12" t="s">
        <v>45</v>
      </c>
      <c r="F7" s="25">
        <f t="shared" si="2"/>
        <v>132.66566950640566</v>
      </c>
      <c r="G7" s="42">
        <f>3*17*28</f>
        <v>1428</v>
      </c>
      <c r="H7" s="7">
        <f>2.9*3.28</f>
        <v>9.5119999999999987</v>
      </c>
      <c r="I7" s="2">
        <v>2006</v>
      </c>
      <c r="J7" s="2">
        <v>2023</v>
      </c>
      <c r="K7" s="2">
        <f t="shared" ref="K7:K8" si="6">J7-I7</f>
        <v>17</v>
      </c>
      <c r="L7" s="2">
        <v>65</v>
      </c>
      <c r="M7" s="3">
        <v>0.1</v>
      </c>
      <c r="N7" s="4">
        <f t="shared" si="3"/>
        <v>1.3846153846153847E-2</v>
      </c>
      <c r="O7" s="5">
        <v>1500</v>
      </c>
      <c r="P7" s="5">
        <f t="shared" si="4"/>
        <v>2142000</v>
      </c>
      <c r="Q7" s="5">
        <f t="shared" si="5"/>
        <v>504193.84615384619</v>
      </c>
      <c r="R7" s="5">
        <f t="shared" si="0"/>
        <v>1637806.1538461538</v>
      </c>
      <c r="S7" s="8">
        <v>0</v>
      </c>
      <c r="T7" s="5">
        <f t="shared" si="1"/>
        <v>1637806.1538461538</v>
      </c>
      <c r="U7" s="28"/>
      <c r="V7" s="29"/>
      <c r="W7" s="1"/>
    </row>
    <row r="8" spans="2:25" x14ac:dyDescent="0.25">
      <c r="B8" s="2">
        <v>3</v>
      </c>
      <c r="C8" s="2" t="s">
        <v>51</v>
      </c>
      <c r="D8" s="12" t="s">
        <v>52</v>
      </c>
      <c r="E8" s="12" t="s">
        <v>45</v>
      </c>
      <c r="F8" s="25">
        <f t="shared" si="2"/>
        <v>2044.7978892408887</v>
      </c>
      <c r="G8" s="42">
        <f>2*155*71</f>
        <v>22010</v>
      </c>
      <c r="H8" s="7">
        <f>3.28*3</f>
        <v>9.84</v>
      </c>
      <c r="I8" s="2">
        <v>2006</v>
      </c>
      <c r="J8" s="2">
        <v>2023</v>
      </c>
      <c r="K8" s="2">
        <f t="shared" si="6"/>
        <v>17</v>
      </c>
      <c r="L8" s="2">
        <v>65</v>
      </c>
      <c r="M8" s="3">
        <v>0.1</v>
      </c>
      <c r="N8" s="4">
        <f t="shared" si="3"/>
        <v>1.3846153846153847E-2</v>
      </c>
      <c r="O8" s="5">
        <v>1500</v>
      </c>
      <c r="P8" s="5">
        <f t="shared" si="4"/>
        <v>33015000</v>
      </c>
      <c r="Q8" s="5">
        <f t="shared" si="5"/>
        <v>7771223.076923077</v>
      </c>
      <c r="R8" s="5">
        <f t="shared" si="0"/>
        <v>25243776.923076924</v>
      </c>
      <c r="S8" s="8">
        <v>0</v>
      </c>
      <c r="T8" s="5">
        <f t="shared" si="1"/>
        <v>25243776.923076924</v>
      </c>
      <c r="U8" s="28"/>
      <c r="V8" s="29"/>
      <c r="W8" s="1"/>
    </row>
    <row r="9" spans="2:25" ht="30" x14ac:dyDescent="0.25">
      <c r="B9" s="2">
        <v>4</v>
      </c>
      <c r="C9" s="2" t="s">
        <v>51</v>
      </c>
      <c r="D9" s="12" t="s">
        <v>48</v>
      </c>
      <c r="E9" s="12" t="s">
        <v>53</v>
      </c>
      <c r="F9" s="25">
        <f t="shared" si="2"/>
        <v>1022.3989446204444</v>
      </c>
      <c r="G9" s="42">
        <f>155*71</f>
        <v>11005</v>
      </c>
      <c r="H9" s="7">
        <f>3.28*3</f>
        <v>9.84</v>
      </c>
      <c r="I9" s="2">
        <v>2006</v>
      </c>
      <c r="J9" s="2">
        <v>2023</v>
      </c>
      <c r="K9" s="2">
        <f>J9-I9</f>
        <v>17</v>
      </c>
      <c r="L9" s="2">
        <v>45</v>
      </c>
      <c r="M9" s="3">
        <v>0.1</v>
      </c>
      <c r="N9" s="4">
        <f t="shared" si="3"/>
        <v>0.02</v>
      </c>
      <c r="O9" s="5">
        <v>800</v>
      </c>
      <c r="P9" s="5">
        <f t="shared" si="4"/>
        <v>8804000</v>
      </c>
      <c r="Q9" s="5">
        <f t="shared" si="5"/>
        <v>2993360</v>
      </c>
      <c r="R9" s="5">
        <f t="shared" si="0"/>
        <v>5810640</v>
      </c>
      <c r="S9" s="8">
        <v>0</v>
      </c>
      <c r="T9" s="5">
        <f t="shared" si="1"/>
        <v>5810640</v>
      </c>
      <c r="U9" s="28"/>
      <c r="V9" s="29"/>
      <c r="W9" s="1"/>
    </row>
    <row r="10" spans="2:25" ht="30" x14ac:dyDescent="0.25">
      <c r="B10" s="2">
        <v>5</v>
      </c>
      <c r="C10" s="2" t="s">
        <v>54</v>
      </c>
      <c r="D10" s="12" t="s">
        <v>55</v>
      </c>
      <c r="E10" s="12" t="s">
        <v>45</v>
      </c>
      <c r="F10" s="25">
        <f t="shared" si="2"/>
        <v>3383.9965068423157</v>
      </c>
      <c r="G10" s="42">
        <f>5*155*47</f>
        <v>36425</v>
      </c>
      <c r="H10" s="7">
        <f>3.28*3</f>
        <v>9.84</v>
      </c>
      <c r="I10" s="2">
        <v>2006</v>
      </c>
      <c r="J10" s="2">
        <v>2023</v>
      </c>
      <c r="K10" s="2">
        <f>J10-I10</f>
        <v>17</v>
      </c>
      <c r="L10" s="2">
        <v>65</v>
      </c>
      <c r="M10" s="3">
        <v>0.1</v>
      </c>
      <c r="N10" s="4">
        <f t="shared" si="3"/>
        <v>1.3846153846153847E-2</v>
      </c>
      <c r="O10" s="5">
        <v>1500</v>
      </c>
      <c r="P10" s="5">
        <f t="shared" si="4"/>
        <v>54637500</v>
      </c>
      <c r="Q10" s="5">
        <f t="shared" si="5"/>
        <v>12860826.923076922</v>
      </c>
      <c r="R10" s="5">
        <f t="shared" si="0"/>
        <v>41776673.07692308</v>
      </c>
      <c r="S10" s="8">
        <v>0</v>
      </c>
      <c r="T10" s="5">
        <f t="shared" si="1"/>
        <v>41776673.07692308</v>
      </c>
      <c r="U10" s="28"/>
      <c r="V10" s="29"/>
      <c r="W10" s="1"/>
    </row>
    <row r="11" spans="2:25" ht="45" x14ac:dyDescent="0.25">
      <c r="B11" s="2">
        <v>6</v>
      </c>
      <c r="C11" s="2" t="s">
        <v>56</v>
      </c>
      <c r="D11" s="12" t="s">
        <v>59</v>
      </c>
      <c r="E11" s="12" t="s">
        <v>57</v>
      </c>
      <c r="F11" s="25">
        <f t="shared" si="2"/>
        <v>2203.1977257313802</v>
      </c>
      <c r="G11" s="42">
        <f>155*153</f>
        <v>23715</v>
      </c>
      <c r="H11" s="7">
        <f>8.2*3.28</f>
        <v>26.895999999999997</v>
      </c>
      <c r="I11" s="2">
        <v>2006</v>
      </c>
      <c r="J11" s="2">
        <v>2023</v>
      </c>
      <c r="K11" s="2">
        <f t="shared" ref="K11:K12" si="7">J11-I11</f>
        <v>17</v>
      </c>
      <c r="L11" s="2">
        <v>45</v>
      </c>
      <c r="M11" s="3">
        <v>0.1</v>
      </c>
      <c r="N11" s="4">
        <f t="shared" si="3"/>
        <v>0.02</v>
      </c>
      <c r="O11" s="5">
        <v>800</v>
      </c>
      <c r="P11" s="5">
        <f t="shared" si="4"/>
        <v>18972000</v>
      </c>
      <c r="Q11" s="5">
        <f t="shared" si="5"/>
        <v>6450480</v>
      </c>
      <c r="R11" s="5">
        <f t="shared" si="0"/>
        <v>12521520</v>
      </c>
      <c r="S11" s="8">
        <v>0</v>
      </c>
      <c r="T11" s="5">
        <f t="shared" si="1"/>
        <v>12521520</v>
      </c>
      <c r="U11" s="28"/>
      <c r="V11" s="29"/>
      <c r="W11" s="1"/>
    </row>
    <row r="12" spans="2:25" ht="45" x14ac:dyDescent="0.25">
      <c r="B12" s="2">
        <v>7</v>
      </c>
      <c r="C12" s="2" t="s">
        <v>58</v>
      </c>
      <c r="D12" s="12" t="s">
        <v>59</v>
      </c>
      <c r="E12" s="12" t="s">
        <v>57</v>
      </c>
      <c r="F12" s="25">
        <f t="shared" si="2"/>
        <v>500.00464515649531</v>
      </c>
      <c r="G12" s="42">
        <f>78*69</f>
        <v>5382</v>
      </c>
      <c r="H12" s="7">
        <f>7.4*3.28</f>
        <v>24.271999999999998</v>
      </c>
      <c r="I12" s="2">
        <v>2006</v>
      </c>
      <c r="J12" s="2">
        <v>2023</v>
      </c>
      <c r="K12" s="2">
        <f t="shared" si="7"/>
        <v>17</v>
      </c>
      <c r="L12" s="2">
        <v>45</v>
      </c>
      <c r="M12" s="3">
        <v>0.1</v>
      </c>
      <c r="N12" s="4">
        <f t="shared" si="3"/>
        <v>0.02</v>
      </c>
      <c r="O12" s="5">
        <v>800</v>
      </c>
      <c r="P12" s="5">
        <f t="shared" si="4"/>
        <v>4305600</v>
      </c>
      <c r="Q12" s="5">
        <f t="shared" si="5"/>
        <v>1463904</v>
      </c>
      <c r="R12" s="5">
        <f t="shared" si="0"/>
        <v>2841696</v>
      </c>
      <c r="S12" s="8">
        <v>0</v>
      </c>
      <c r="T12" s="5">
        <f t="shared" si="1"/>
        <v>2841696</v>
      </c>
      <c r="U12" s="28"/>
      <c r="V12" s="29"/>
      <c r="W12" s="1"/>
    </row>
    <row r="13" spans="2:25" ht="30" x14ac:dyDescent="0.25">
      <c r="B13" s="2">
        <v>8</v>
      </c>
      <c r="C13" s="2" t="s">
        <v>60</v>
      </c>
      <c r="D13" s="12" t="s">
        <v>62</v>
      </c>
      <c r="E13" s="12" t="s">
        <v>45</v>
      </c>
      <c r="F13" s="25">
        <f>4*15.8*8.4</f>
        <v>530.88</v>
      </c>
      <c r="G13" s="42">
        <f>F13*10.7639</f>
        <v>5714.3392319999994</v>
      </c>
      <c r="H13" s="7">
        <f>2.9*3.28</f>
        <v>9.5119999999999987</v>
      </c>
      <c r="I13" s="2">
        <v>2006</v>
      </c>
      <c r="J13" s="2">
        <v>2023</v>
      </c>
      <c r="K13" s="2">
        <f t="shared" ref="K13:K14" si="8">J13-I13</f>
        <v>17</v>
      </c>
      <c r="L13" s="2">
        <v>65</v>
      </c>
      <c r="M13" s="3">
        <v>0.1</v>
      </c>
      <c r="N13" s="4">
        <f t="shared" si="3"/>
        <v>1.3846153846153847E-2</v>
      </c>
      <c r="O13" s="5">
        <v>1500</v>
      </c>
      <c r="P13" s="5">
        <f t="shared" si="4"/>
        <v>8571508.8479999993</v>
      </c>
      <c r="Q13" s="5">
        <f t="shared" si="5"/>
        <v>2017601.3134523076</v>
      </c>
      <c r="R13" s="5">
        <f t="shared" si="0"/>
        <v>6553907.5345476922</v>
      </c>
      <c r="S13" s="8">
        <v>0</v>
      </c>
      <c r="T13" s="5">
        <f t="shared" si="1"/>
        <v>6553907.5345476922</v>
      </c>
      <c r="U13" s="28"/>
      <c r="V13" s="29"/>
      <c r="W13" s="1"/>
    </row>
    <row r="14" spans="2:25" ht="30" x14ac:dyDescent="0.25">
      <c r="B14" s="2">
        <v>9</v>
      </c>
      <c r="C14" s="2" t="s">
        <v>61</v>
      </c>
      <c r="D14" s="12" t="s">
        <v>63</v>
      </c>
      <c r="E14" s="12" t="s">
        <v>45</v>
      </c>
      <c r="F14" s="25">
        <f>2*16.3*8.9</f>
        <v>290.14000000000004</v>
      </c>
      <c r="G14" s="42">
        <f>F14*10.7639</f>
        <v>3123.0379460000004</v>
      </c>
      <c r="H14" s="7">
        <f>2.9*3.28</f>
        <v>9.5119999999999987</v>
      </c>
      <c r="I14" s="2">
        <v>2006</v>
      </c>
      <c r="J14" s="2">
        <v>2023</v>
      </c>
      <c r="K14" s="2">
        <f t="shared" si="8"/>
        <v>17</v>
      </c>
      <c r="L14" s="2">
        <v>65</v>
      </c>
      <c r="M14" s="3">
        <v>0.1</v>
      </c>
      <c r="N14" s="4">
        <f t="shared" si="3"/>
        <v>1.3846153846153847E-2</v>
      </c>
      <c r="O14" s="5">
        <v>1500</v>
      </c>
      <c r="P14" s="5">
        <f t="shared" si="4"/>
        <v>4684556.9190000007</v>
      </c>
      <c r="Q14" s="5">
        <f t="shared" si="5"/>
        <v>1102672.628626154</v>
      </c>
      <c r="R14" s="5">
        <f t="shared" si="0"/>
        <v>3581884.2903738469</v>
      </c>
      <c r="S14" s="8">
        <v>0</v>
      </c>
      <c r="T14" s="5">
        <f t="shared" si="1"/>
        <v>3581884.2903738469</v>
      </c>
      <c r="U14" s="28"/>
      <c r="V14" s="29"/>
      <c r="W14" s="1"/>
    </row>
    <row r="15" spans="2:25" ht="45" x14ac:dyDescent="0.25">
      <c r="B15" s="2">
        <v>10</v>
      </c>
      <c r="C15" s="2" t="s">
        <v>61</v>
      </c>
      <c r="D15" s="12" t="s">
        <v>48</v>
      </c>
      <c r="E15" s="12" t="s">
        <v>57</v>
      </c>
      <c r="F15" s="25">
        <f>16.3*8.9</f>
        <v>145.07000000000002</v>
      </c>
      <c r="G15" s="42">
        <f>F15*10.7639</f>
        <v>1561.5189730000002</v>
      </c>
      <c r="H15" s="7">
        <f>2.9*3.28</f>
        <v>9.5119999999999987</v>
      </c>
      <c r="I15" s="2">
        <v>2006</v>
      </c>
      <c r="J15" s="2">
        <v>2023</v>
      </c>
      <c r="K15" s="2">
        <f>J15-I15</f>
        <v>17</v>
      </c>
      <c r="L15" s="2">
        <v>45</v>
      </c>
      <c r="M15" s="3">
        <v>0.1</v>
      </c>
      <c r="N15" s="4">
        <f t="shared" si="3"/>
        <v>0.02</v>
      </c>
      <c r="O15" s="5">
        <v>800</v>
      </c>
      <c r="P15" s="5">
        <f t="shared" si="4"/>
        <v>1249215.1784000001</v>
      </c>
      <c r="Q15" s="5">
        <f t="shared" si="5"/>
        <v>424733.16065600002</v>
      </c>
      <c r="R15" s="5">
        <f t="shared" si="0"/>
        <v>824482.01774400007</v>
      </c>
      <c r="S15" s="8">
        <v>0</v>
      </c>
      <c r="T15" s="5">
        <f t="shared" si="1"/>
        <v>824482.01774400007</v>
      </c>
      <c r="U15" s="28"/>
      <c r="V15" s="29"/>
      <c r="W15" s="1"/>
    </row>
    <row r="16" spans="2:25" x14ac:dyDescent="0.25">
      <c r="B16" s="2">
        <v>11</v>
      </c>
      <c r="C16" s="2" t="s">
        <v>65</v>
      </c>
      <c r="D16" s="12" t="s">
        <v>66</v>
      </c>
      <c r="E16" s="12" t="s">
        <v>45</v>
      </c>
      <c r="F16" s="25">
        <f>4*14.2*14.4</f>
        <v>817.92</v>
      </c>
      <c r="G16" s="42">
        <f>F16*10.7639</f>
        <v>8804.0090879999989</v>
      </c>
      <c r="H16" s="7">
        <f>3*3.28</f>
        <v>9.84</v>
      </c>
      <c r="I16" s="2">
        <v>2006</v>
      </c>
      <c r="J16" s="2">
        <v>2023</v>
      </c>
      <c r="K16" s="2">
        <f t="shared" ref="K16:K18" si="9">J16-I16</f>
        <v>17</v>
      </c>
      <c r="L16" s="2">
        <v>65</v>
      </c>
      <c r="M16" s="3">
        <v>0.1</v>
      </c>
      <c r="N16" s="4">
        <f t="shared" si="3"/>
        <v>1.3846153846153847E-2</v>
      </c>
      <c r="O16" s="5">
        <v>1500</v>
      </c>
      <c r="P16" s="5">
        <f t="shared" si="4"/>
        <v>13206013.631999997</v>
      </c>
      <c r="Q16" s="5">
        <f t="shared" si="5"/>
        <v>3108492.4395323074</v>
      </c>
      <c r="R16" s="5">
        <f t="shared" si="0"/>
        <v>10097521.19246769</v>
      </c>
      <c r="S16" s="8">
        <v>0</v>
      </c>
      <c r="T16" s="5">
        <f t="shared" si="1"/>
        <v>10097521.19246769</v>
      </c>
      <c r="U16" s="28"/>
      <c r="V16" s="29"/>
      <c r="W16" s="1"/>
    </row>
    <row r="17" spans="2:31" x14ac:dyDescent="0.25">
      <c r="B17" s="2">
        <v>12</v>
      </c>
      <c r="C17" s="2" t="s">
        <v>67</v>
      </c>
      <c r="D17" s="12" t="s">
        <v>52</v>
      </c>
      <c r="E17" s="12" t="s">
        <v>45</v>
      </c>
      <c r="F17" s="25">
        <f>G17/10.7639</f>
        <v>35.303189364449686</v>
      </c>
      <c r="G17" s="42">
        <f>19*10*2</f>
        <v>380</v>
      </c>
      <c r="H17" s="7">
        <f>3.3*3.28</f>
        <v>10.823999999999998</v>
      </c>
      <c r="I17" s="2">
        <v>2006</v>
      </c>
      <c r="J17" s="2">
        <v>2023</v>
      </c>
      <c r="K17" s="2">
        <f t="shared" si="9"/>
        <v>17</v>
      </c>
      <c r="L17" s="2">
        <v>65</v>
      </c>
      <c r="M17" s="3">
        <v>0.1</v>
      </c>
      <c r="N17" s="4">
        <f t="shared" si="3"/>
        <v>1.3846153846153847E-2</v>
      </c>
      <c r="O17" s="5">
        <v>1500</v>
      </c>
      <c r="P17" s="5">
        <f t="shared" si="4"/>
        <v>570000</v>
      </c>
      <c r="Q17" s="5">
        <f>P17*N17*K17</f>
        <v>134169.23076923078</v>
      </c>
      <c r="R17" s="5">
        <f t="shared" si="0"/>
        <v>435830.76923076925</v>
      </c>
      <c r="S17" s="8">
        <v>0</v>
      </c>
      <c r="T17" s="5">
        <f t="shared" si="1"/>
        <v>435830.76923076925</v>
      </c>
      <c r="U17" s="28"/>
      <c r="V17" s="29"/>
      <c r="W17" s="1"/>
    </row>
    <row r="18" spans="2:31" ht="30" x14ac:dyDescent="0.25">
      <c r="B18" s="2">
        <v>13</v>
      </c>
      <c r="C18" s="12" t="s">
        <v>68</v>
      </c>
      <c r="D18" s="12" t="s">
        <v>59</v>
      </c>
      <c r="E18" s="12" t="s">
        <v>45</v>
      </c>
      <c r="F18" s="25">
        <f t="shared" ref="F18:F20" si="10">G18/10.7639</f>
        <v>105.53795557372328</v>
      </c>
      <c r="G18" s="42">
        <f>71*16</f>
        <v>1136</v>
      </c>
      <c r="H18" s="7">
        <f>3.3*3.28</f>
        <v>10.823999999999998</v>
      </c>
      <c r="I18" s="2">
        <v>2006</v>
      </c>
      <c r="J18" s="2">
        <v>2023</v>
      </c>
      <c r="K18" s="2">
        <f t="shared" si="9"/>
        <v>17</v>
      </c>
      <c r="L18" s="2">
        <v>65</v>
      </c>
      <c r="M18" s="3">
        <v>0.1</v>
      </c>
      <c r="N18" s="4">
        <f t="shared" si="3"/>
        <v>1.3846153846153847E-2</v>
      </c>
      <c r="O18" s="5">
        <v>1500</v>
      </c>
      <c r="P18" s="5">
        <f t="shared" si="4"/>
        <v>1704000</v>
      </c>
      <c r="Q18" s="5">
        <f t="shared" si="5"/>
        <v>401095.38461538462</v>
      </c>
      <c r="R18" s="5">
        <f t="shared" si="0"/>
        <v>1302904.6153846155</v>
      </c>
      <c r="S18" s="8">
        <v>0</v>
      </c>
      <c r="T18" s="5">
        <f t="shared" si="1"/>
        <v>1302904.6153846155</v>
      </c>
      <c r="U18" s="28"/>
      <c r="V18" s="29"/>
      <c r="W18" s="1"/>
    </row>
    <row r="19" spans="2:31" ht="30" x14ac:dyDescent="0.25">
      <c r="B19" s="2">
        <v>14</v>
      </c>
      <c r="C19" s="2" t="s">
        <v>69</v>
      </c>
      <c r="D19" s="12" t="s">
        <v>59</v>
      </c>
      <c r="E19" s="12" t="s">
        <v>70</v>
      </c>
      <c r="F19" s="25">
        <f t="shared" si="10"/>
        <v>59.876067224704805</v>
      </c>
      <c r="G19" s="42">
        <f>36*12+25*8.5</f>
        <v>644.5</v>
      </c>
      <c r="H19" s="7">
        <f>2.8*3.28</f>
        <v>9.1839999999999993</v>
      </c>
      <c r="I19" s="2">
        <v>2006</v>
      </c>
      <c r="J19" s="2">
        <v>2023</v>
      </c>
      <c r="K19" s="2">
        <f>J19-I19</f>
        <v>17</v>
      </c>
      <c r="L19" s="2">
        <v>45</v>
      </c>
      <c r="M19" s="3">
        <v>0.1</v>
      </c>
      <c r="N19" s="4">
        <f t="shared" si="3"/>
        <v>0.02</v>
      </c>
      <c r="O19" s="5">
        <v>800</v>
      </c>
      <c r="P19" s="5">
        <f t="shared" si="4"/>
        <v>515600</v>
      </c>
      <c r="Q19" s="5">
        <f t="shared" si="5"/>
        <v>175304</v>
      </c>
      <c r="R19" s="5">
        <f t="shared" si="0"/>
        <v>340296</v>
      </c>
      <c r="S19" s="8">
        <v>0</v>
      </c>
      <c r="T19" s="5">
        <f t="shared" si="1"/>
        <v>340296</v>
      </c>
      <c r="U19" s="28"/>
      <c r="V19" s="29"/>
      <c r="W19" s="1"/>
    </row>
    <row r="20" spans="2:31" ht="30" x14ac:dyDescent="0.25">
      <c r="B20" s="2">
        <v>15</v>
      </c>
      <c r="C20" s="2" t="s">
        <v>71</v>
      </c>
      <c r="D20" s="12" t="s">
        <v>59</v>
      </c>
      <c r="E20" s="12" t="s">
        <v>45</v>
      </c>
      <c r="F20" s="25">
        <f t="shared" si="10"/>
        <v>11.148375588773586</v>
      </c>
      <c r="G20" s="42">
        <f>12*10</f>
        <v>120</v>
      </c>
      <c r="H20" s="7">
        <f>2.76*3.28</f>
        <v>9.0527999999999995</v>
      </c>
      <c r="I20" s="2">
        <v>2006</v>
      </c>
      <c r="J20" s="2">
        <v>2023</v>
      </c>
      <c r="K20" s="2">
        <f>J20-I20</f>
        <v>17</v>
      </c>
      <c r="L20" s="2">
        <v>65</v>
      </c>
      <c r="M20" s="3">
        <v>0.1</v>
      </c>
      <c r="N20" s="4">
        <f t="shared" si="3"/>
        <v>1.3846153846153847E-2</v>
      </c>
      <c r="O20" s="5">
        <v>1500</v>
      </c>
      <c r="P20" s="5">
        <f t="shared" si="4"/>
        <v>180000</v>
      </c>
      <c r="Q20" s="5">
        <f t="shared" si="5"/>
        <v>42369.230769230773</v>
      </c>
      <c r="R20" s="5">
        <f t="shared" si="0"/>
        <v>137630.76923076922</v>
      </c>
      <c r="S20" s="8">
        <v>0</v>
      </c>
      <c r="T20" s="5">
        <f t="shared" si="1"/>
        <v>137630.76923076922</v>
      </c>
      <c r="U20" s="28"/>
      <c r="V20" s="29"/>
      <c r="W20" s="1"/>
    </row>
    <row r="21" spans="2:31" x14ac:dyDescent="0.25">
      <c r="B21" s="45" t="s">
        <v>4</v>
      </c>
      <c r="C21" s="45"/>
      <c r="D21" s="45"/>
      <c r="E21" s="45"/>
      <c r="F21" s="23">
        <f>SUM(F5:F20)</f>
        <v>11673.130114456653</v>
      </c>
      <c r="G21" s="23">
        <f>SUM(G5:G20)</f>
        <v>125648.40523899999</v>
      </c>
      <c r="H21" s="24"/>
      <c r="I21" s="45"/>
      <c r="J21" s="45"/>
      <c r="K21" s="45"/>
      <c r="L21" s="45"/>
      <c r="M21" s="45"/>
      <c r="N21" s="45"/>
      <c r="O21" s="45"/>
      <c r="P21" s="6">
        <f>SUM(P5:P20)</f>
        <v>157876994.5774</v>
      </c>
      <c r="Q21" s="6"/>
      <c r="R21" s="6">
        <f>SUM(R5:R20)</f>
        <v>117057153.95821016</v>
      </c>
      <c r="S21" s="6"/>
      <c r="T21" s="6">
        <f>SUM(T5:T20)</f>
        <v>117057153.95821016</v>
      </c>
      <c r="U21" s="26"/>
      <c r="V21" s="30">
        <f>SUM(V5:V5)</f>
        <v>0</v>
      </c>
    </row>
    <row r="22" spans="2:31" x14ac:dyDescent="0.25">
      <c r="B22" s="47" t="s">
        <v>14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Z22">
        <v>138.09</v>
      </c>
      <c r="AD22">
        <v>15664</v>
      </c>
    </row>
    <row r="23" spans="2:31" x14ac:dyDescent="0.25">
      <c r="B23" s="48" t="s">
        <v>76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Z23">
        <v>44.49</v>
      </c>
      <c r="AB23">
        <v>68.59</v>
      </c>
      <c r="AD23">
        <f>AD22/2</f>
        <v>7832</v>
      </c>
    </row>
    <row r="24" spans="2:31" x14ac:dyDescent="0.25">
      <c r="B24" s="44" t="s">
        <v>18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Z24">
        <f>SUM(Z22:Z23)</f>
        <v>182.58</v>
      </c>
      <c r="AB24">
        <v>67.86</v>
      </c>
    </row>
    <row r="25" spans="2:31" x14ac:dyDescent="0.25">
      <c r="B25" s="44" t="s">
        <v>80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AB25">
        <v>182.58</v>
      </c>
      <c r="AD25">
        <v>221800000</v>
      </c>
    </row>
    <row r="26" spans="2:31" x14ac:dyDescent="0.25">
      <c r="D26" s="19"/>
      <c r="E26" s="18"/>
      <c r="F26" s="18"/>
      <c r="I26">
        <v>3.66</v>
      </c>
      <c r="X26">
        <v>1144</v>
      </c>
    </row>
    <row r="27" spans="2:31" x14ac:dyDescent="0.25">
      <c r="D27" s="19"/>
      <c r="E27" s="18"/>
      <c r="F27" s="18"/>
      <c r="I27">
        <f>I26*60.5</f>
        <v>221.43</v>
      </c>
      <c r="X27">
        <f>X26*10.7639</f>
        <v>12313.901599999999</v>
      </c>
      <c r="AB27">
        <v>15664.13</v>
      </c>
      <c r="AE27">
        <v>164473365</v>
      </c>
    </row>
    <row r="28" spans="2:31" x14ac:dyDescent="0.25">
      <c r="D28" s="20"/>
      <c r="E28" s="18"/>
      <c r="F28" s="18" t="s">
        <v>73</v>
      </c>
      <c r="G28" s="16">
        <v>2</v>
      </c>
      <c r="X28">
        <f>X27*1500</f>
        <v>18470852.399999999</v>
      </c>
      <c r="AB28">
        <v>10500</v>
      </c>
      <c r="AE28">
        <v>56181040</v>
      </c>
    </row>
    <row r="29" spans="2:31" x14ac:dyDescent="0.25">
      <c r="E29" s="18"/>
      <c r="F29" s="18"/>
      <c r="K29">
        <v>6083</v>
      </c>
      <c r="AB29">
        <f>AB28*AB27</f>
        <v>164473365</v>
      </c>
      <c r="AE29">
        <v>1150000</v>
      </c>
    </row>
    <row r="30" spans="2:31" x14ac:dyDescent="0.25">
      <c r="F30" s="13" t="s">
        <v>74</v>
      </c>
      <c r="H30" t="s">
        <v>75</v>
      </c>
      <c r="K30">
        <f>K29*10.7639</f>
        <v>65476.803699999997</v>
      </c>
    </row>
    <row r="31" spans="2:31" x14ac:dyDescent="0.25">
      <c r="H31">
        <f>9186*2</f>
        <v>18372</v>
      </c>
      <c r="K31">
        <f>K30*1500</f>
        <v>98215205.549999997</v>
      </c>
    </row>
    <row r="32" spans="2:31" x14ac:dyDescent="0.25">
      <c r="H32" s="22">
        <f>H31*10.7639</f>
        <v>197754.3708</v>
      </c>
    </row>
  </sheetData>
  <mergeCells count="7">
    <mergeCell ref="B25:V25"/>
    <mergeCell ref="B24:V24"/>
    <mergeCell ref="B21:E21"/>
    <mergeCell ref="I21:O21"/>
    <mergeCell ref="B3:V3"/>
    <mergeCell ref="B22:V22"/>
    <mergeCell ref="B23:V23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1"/>
  <sheetViews>
    <sheetView topLeftCell="B1" workbookViewId="0">
      <selection activeCell="J21" sqref="J21"/>
    </sheetView>
  </sheetViews>
  <sheetFormatPr defaultRowHeight="15" x14ac:dyDescent="0.25"/>
  <cols>
    <col min="4" max="4" width="17" hidden="1" customWidth="1"/>
    <col min="6" max="6" width="10.28515625" bestFit="1" customWidth="1"/>
    <col min="7" max="7" width="12.42578125" bestFit="1" customWidth="1"/>
    <col min="8" max="8" width="12.42578125" hidden="1" customWidth="1"/>
    <col min="9" max="9" width="15.28515625" customWidth="1"/>
    <col min="10" max="10" width="20" customWidth="1"/>
    <col min="11" max="11" width="11.5703125" customWidth="1"/>
    <col min="12" max="12" width="19" bestFit="1" customWidth="1"/>
    <col min="14" max="14" width="15.28515625" bestFit="1" customWidth="1"/>
  </cols>
  <sheetData>
    <row r="4" spans="3:14" x14ac:dyDescent="0.25">
      <c r="H4" t="s">
        <v>30</v>
      </c>
    </row>
    <row r="5" spans="3:14" x14ac:dyDescent="0.25">
      <c r="C5" s="33" t="s">
        <v>31</v>
      </c>
      <c r="D5" s="33" t="s">
        <v>41</v>
      </c>
      <c r="E5" s="33" t="s">
        <v>24</v>
      </c>
      <c r="F5" s="33" t="s">
        <v>26</v>
      </c>
      <c r="G5" s="33" t="s">
        <v>28</v>
      </c>
      <c r="H5" s="33" t="s">
        <v>29</v>
      </c>
      <c r="I5" s="33" t="s">
        <v>34</v>
      </c>
      <c r="J5" s="33" t="s">
        <v>32</v>
      </c>
      <c r="K5" s="33" t="s">
        <v>33</v>
      </c>
      <c r="L5" s="33" t="s">
        <v>25</v>
      </c>
    </row>
    <row r="6" spans="3:14" x14ac:dyDescent="0.25">
      <c r="C6" s="35">
        <v>1</v>
      </c>
      <c r="D6" s="35" t="s">
        <v>42</v>
      </c>
      <c r="E6" s="2">
        <v>1292</v>
      </c>
      <c r="F6" s="31">
        <v>36371</v>
      </c>
      <c r="G6" s="2">
        <v>40</v>
      </c>
      <c r="H6" s="2"/>
      <c r="I6" s="39">
        <v>5116</v>
      </c>
      <c r="J6" s="40">
        <v>9874338491056</v>
      </c>
      <c r="K6" s="36" t="s">
        <v>35</v>
      </c>
      <c r="L6" s="2" t="s">
        <v>27</v>
      </c>
    </row>
    <row r="7" spans="3:14" x14ac:dyDescent="0.25">
      <c r="C7" s="35">
        <v>2</v>
      </c>
      <c r="D7" s="35" t="s">
        <v>42</v>
      </c>
      <c r="E7" s="35">
        <v>1272</v>
      </c>
      <c r="F7" s="34">
        <v>36369</v>
      </c>
      <c r="G7" s="35">
        <v>90</v>
      </c>
      <c r="H7" s="36"/>
      <c r="I7" s="40" t="s">
        <v>38</v>
      </c>
      <c r="J7" s="36" t="s">
        <v>36</v>
      </c>
      <c r="K7" s="36" t="s">
        <v>35</v>
      </c>
      <c r="L7" s="2" t="s">
        <v>27</v>
      </c>
    </row>
    <row r="8" spans="3:14" x14ac:dyDescent="0.25">
      <c r="C8" s="35">
        <v>3</v>
      </c>
      <c r="D8" s="35" t="s">
        <v>42</v>
      </c>
      <c r="E8" s="35">
        <v>1157</v>
      </c>
      <c r="F8" s="34">
        <v>36389</v>
      </c>
      <c r="G8" s="35">
        <v>48</v>
      </c>
      <c r="H8" s="32"/>
      <c r="I8" s="36">
        <v>5117</v>
      </c>
      <c r="J8" s="36" t="s">
        <v>37</v>
      </c>
      <c r="K8" s="36" t="s">
        <v>35</v>
      </c>
      <c r="L8" s="2" t="s">
        <v>27</v>
      </c>
    </row>
    <row r="9" spans="3:14" x14ac:dyDescent="0.25">
      <c r="C9" s="35">
        <v>4</v>
      </c>
      <c r="D9" s="35" t="s">
        <v>42</v>
      </c>
      <c r="E9" s="35">
        <v>1645</v>
      </c>
      <c r="F9" s="34">
        <v>36422</v>
      </c>
      <c r="G9" s="35">
        <v>49</v>
      </c>
      <c r="H9" s="32"/>
      <c r="I9" s="41">
        <v>5117</v>
      </c>
      <c r="J9" s="41" t="s">
        <v>39</v>
      </c>
      <c r="K9" s="36" t="s">
        <v>35</v>
      </c>
      <c r="L9" s="2" t="s">
        <v>27</v>
      </c>
    </row>
    <row r="10" spans="3:14" x14ac:dyDescent="0.25">
      <c r="C10" s="32"/>
      <c r="D10" s="32"/>
      <c r="E10" s="32"/>
      <c r="F10" s="37" t="s">
        <v>40</v>
      </c>
      <c r="G10" s="37">
        <f>SUM(G6:G9)</f>
        <v>227</v>
      </c>
      <c r="H10" s="32"/>
      <c r="I10" s="32"/>
      <c r="J10" s="32"/>
      <c r="K10" s="32"/>
      <c r="L10" s="32"/>
    </row>
    <row r="12" spans="3:14" x14ac:dyDescent="0.25">
      <c r="G12" s="38">
        <v>0.01</v>
      </c>
    </row>
    <row r="13" spans="3:14" x14ac:dyDescent="0.25">
      <c r="G13">
        <f>G12*G10</f>
        <v>2.27</v>
      </c>
      <c r="I13">
        <v>205</v>
      </c>
      <c r="J13">
        <f>I13*0.01</f>
        <v>2.0499999999999998</v>
      </c>
    </row>
    <row r="14" spans="3:14" x14ac:dyDescent="0.25">
      <c r="I14">
        <f>G10-I13</f>
        <v>22</v>
      </c>
      <c r="N14">
        <v>41667917</v>
      </c>
    </row>
    <row r="15" spans="3:14" x14ac:dyDescent="0.25">
      <c r="N15" s="1">
        <f>J21</f>
        <v>54934000</v>
      </c>
    </row>
    <row r="16" spans="3:14" x14ac:dyDescent="0.25">
      <c r="N16">
        <f>Building!T21</f>
        <v>117057153.95821016</v>
      </c>
    </row>
    <row r="17" spans="9:14" x14ac:dyDescent="0.25">
      <c r="I17" t="s">
        <v>77</v>
      </c>
      <c r="J17" t="s">
        <v>78</v>
      </c>
      <c r="N17">
        <f>'Boundary wall'!M3</f>
        <v>1609200</v>
      </c>
    </row>
    <row r="18" spans="9:14" x14ac:dyDescent="0.25">
      <c r="N18" s="22">
        <f>SUM(N14:N17)</f>
        <v>215268270.95821017</v>
      </c>
    </row>
    <row r="19" spans="9:14" x14ac:dyDescent="0.25">
      <c r="J19">
        <f>2.27*60.5</f>
        <v>137.33500000000001</v>
      </c>
    </row>
    <row r="21" spans="9:14" x14ac:dyDescent="0.25">
      <c r="J21" s="22">
        <f>J19*400000</f>
        <v>54934000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K16"/>
  <sheetViews>
    <sheetView tabSelected="1" workbookViewId="0">
      <selection activeCell="K16" sqref="K16"/>
    </sheetView>
  </sheetViews>
  <sheetFormatPr defaultRowHeight="15" x14ac:dyDescent="0.25"/>
  <cols>
    <col min="5" max="5" width="9.140625" style="14"/>
    <col min="6" max="6" width="12.5703125" customWidth="1"/>
    <col min="7" max="7" width="25.140625" customWidth="1"/>
    <col min="11" max="11" width="10" bestFit="1" customWidth="1"/>
  </cols>
  <sheetData>
    <row r="4" spans="5:11" x14ac:dyDescent="0.25">
      <c r="E4" s="14" t="s">
        <v>81</v>
      </c>
    </row>
    <row r="6" spans="5:11" ht="30" x14ac:dyDescent="0.25">
      <c r="E6" s="49" t="s">
        <v>31</v>
      </c>
      <c r="F6" s="49" t="s">
        <v>82</v>
      </c>
      <c r="G6" s="50" t="s">
        <v>83</v>
      </c>
    </row>
    <row r="7" spans="5:11" x14ac:dyDescent="0.25">
      <c r="E7" s="35">
        <v>1</v>
      </c>
      <c r="F7" s="32" t="s">
        <v>84</v>
      </c>
      <c r="G7" s="32">
        <v>64575</v>
      </c>
    </row>
    <row r="8" spans="5:11" x14ac:dyDescent="0.25">
      <c r="E8" s="35">
        <v>2</v>
      </c>
      <c r="F8" s="32" t="s">
        <v>85</v>
      </c>
      <c r="G8" s="32">
        <v>13650</v>
      </c>
    </row>
    <row r="9" spans="5:11" x14ac:dyDescent="0.25">
      <c r="E9" s="35">
        <v>3</v>
      </c>
      <c r="F9" s="32" t="s">
        <v>86</v>
      </c>
      <c r="G9" s="32">
        <v>1575</v>
      </c>
      <c r="K9">
        <v>54934000</v>
      </c>
    </row>
    <row r="10" spans="5:11" x14ac:dyDescent="0.25">
      <c r="E10" s="35">
        <v>4</v>
      </c>
      <c r="F10" s="32" t="s">
        <v>87</v>
      </c>
      <c r="G10" s="32">
        <v>25200</v>
      </c>
      <c r="K10">
        <v>117057154</v>
      </c>
    </row>
    <row r="11" spans="5:11" x14ac:dyDescent="0.25">
      <c r="E11" s="35">
        <v>5</v>
      </c>
      <c r="F11" s="32" t="s">
        <v>88</v>
      </c>
      <c r="G11" s="32">
        <v>30000</v>
      </c>
      <c r="K11">
        <v>1609200</v>
      </c>
    </row>
    <row r="12" spans="5:11" x14ac:dyDescent="0.25">
      <c r="E12" s="35"/>
      <c r="F12" s="51" t="s">
        <v>40</v>
      </c>
      <c r="G12" s="32">
        <f>SUM(G7:G11)</f>
        <v>135000</v>
      </c>
      <c r="K12">
        <v>41667917</v>
      </c>
    </row>
    <row r="13" spans="5:11" x14ac:dyDescent="0.25">
      <c r="K13">
        <f>SUM(K9:K12)</f>
        <v>215268271</v>
      </c>
    </row>
    <row r="14" spans="5:11" x14ac:dyDescent="0.25">
      <c r="K14">
        <v>215300000</v>
      </c>
    </row>
    <row r="15" spans="5:11" x14ac:dyDescent="0.25">
      <c r="K15">
        <f>K14*0.85</f>
        <v>183005000</v>
      </c>
    </row>
    <row r="16" spans="5:11" x14ac:dyDescent="0.25">
      <c r="K16">
        <f>K14*0.75</f>
        <v>161475000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Boundary wall</vt:lpstr>
      <vt:lpstr>Building</vt:lpstr>
      <vt:lpstr>Conveyance Deed</vt:lpstr>
      <vt:lpstr>Sheet1</vt:lpstr>
      <vt:lpstr>Building!Print_Area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Rahul Gupta</cp:lastModifiedBy>
  <cp:lastPrinted>2022-01-07T08:12:53Z</cp:lastPrinted>
  <dcterms:created xsi:type="dcterms:W3CDTF">2021-09-16T11:33:35Z</dcterms:created>
  <dcterms:modified xsi:type="dcterms:W3CDTF">2023-03-24T08:00:55Z</dcterms:modified>
</cp:coreProperties>
</file>