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2" firstSheet="1" activeTab="1"/>
  </bookViews>
  <sheets>
    <sheet name="Balance Sheet" sheetId="18" r:id="rId1"/>
    <sheet name="Operating Statement" sheetId="17" r:id="rId2"/>
    <sheet name="Calculation of Depreciation" sheetId="16" r:id="rId3"/>
    <sheet name="Term Loan Summary CMA" sheetId="13" r:id="rId4"/>
    <sheet name="DEBT SERVICE COVERAGE RATIO" sheetId="15" r:id="rId5"/>
    <sheet name="Summary" sheetId="1" state="hidden" r:id="rId6"/>
    <sheet name="New Term Loan" sheetId="14" r:id="rId7"/>
    <sheet name="5. HDFC Car BMW" sheetId="2" r:id="rId8"/>
    <sheet name="HDFC ATS-6040" sheetId="12" r:id="rId9"/>
    <sheet name="7. ICICI Property-8764" sheetId="3" r:id="rId10"/>
    <sheet name="SBI Halol-3679" sheetId="11" r:id="rId11"/>
    <sheet name="3. SBI-5610" sheetId="5" r:id="rId12"/>
    <sheet name="2. SBI Project-9157" sheetId="9" r:id="rId13"/>
    <sheet name="4. SBI Project-1736" sheetId="8" r:id="rId14"/>
    <sheet name="SBI COVID II-1820" sheetId="7" r:id="rId15"/>
    <sheet name="Sheet1" sheetId="19" r:id="rId16"/>
    <sheet name="SBI COVID-6343" sheetId="10" r:id="rId17"/>
  </sheets>
  <definedNames>
    <definedName name="_xlnm._FilterDatabase" localSheetId="6" hidden="1">'New Term Loan'!$B$5:$H$93</definedName>
    <definedName name="_xlnm._FilterDatabase" localSheetId="10" hidden="1">'SBI Halol-3679'!$B$5:$G$93</definedName>
    <definedName name="_xlnm._FilterDatabase" localSheetId="5" hidden="1">Summary!$A$4:$G$15</definedName>
    <definedName name="_xlnm._FilterDatabase" localSheetId="3" hidden="1">'Term Loan Summary CMA'!$A$3:$F$11</definedName>
  </definedNames>
  <calcPr calcId="152511"/>
</workbook>
</file>

<file path=xl/calcChain.xml><?xml version="1.0" encoding="utf-8"?>
<calcChain xmlns="http://schemas.openxmlformats.org/spreadsheetml/2006/main">
  <c r="F7" i="17" l="1"/>
  <c r="N87" i="18"/>
  <c r="O87" i="18"/>
  <c r="O40" i="18"/>
  <c r="O39" i="18"/>
  <c r="E53" i="18"/>
  <c r="E39" i="17"/>
  <c r="G24" i="13"/>
  <c r="G23" i="13"/>
  <c r="G22" i="13"/>
  <c r="G21" i="13"/>
  <c r="G4" i="13"/>
  <c r="G20" i="13"/>
  <c r="C76" i="17"/>
  <c r="B76" i="17"/>
  <c r="G18" i="17"/>
  <c r="H18" i="17"/>
  <c r="I18" i="17"/>
  <c r="J18" i="17"/>
  <c r="K18" i="17"/>
  <c r="L18" i="17"/>
  <c r="M18" i="17"/>
  <c r="F18" i="17"/>
  <c r="E44" i="17"/>
  <c r="E43" i="17"/>
  <c r="F34" i="17"/>
  <c r="L41" i="17"/>
  <c r="C41" i="17"/>
  <c r="G15" i="17"/>
  <c r="F13" i="17"/>
  <c r="M13" i="17"/>
  <c r="L13" i="17"/>
  <c r="L14" i="17" s="1"/>
  <c r="K13" i="17"/>
  <c r="J13" i="17"/>
  <c r="I13" i="17"/>
  <c r="H13" i="17"/>
  <c r="H14" i="17"/>
  <c r="G13" i="17"/>
  <c r="G14" i="17" s="1"/>
  <c r="I14" i="17"/>
  <c r="J14" i="17"/>
  <c r="K14" i="17"/>
  <c r="M14" i="17"/>
  <c r="P7" i="18" l="1"/>
  <c r="Q7" i="18"/>
  <c r="R7" i="18"/>
  <c r="S7" i="18"/>
  <c r="T7" i="18"/>
  <c r="U7" i="18"/>
  <c r="V7" i="18"/>
  <c r="P50" i="18" l="1"/>
  <c r="Q50" i="18"/>
  <c r="R50" i="18"/>
  <c r="S50" i="18"/>
  <c r="T50" i="18"/>
  <c r="U50" i="18"/>
  <c r="V50" i="18"/>
  <c r="O50" i="18"/>
  <c r="P46" i="18"/>
  <c r="Q46" i="18"/>
  <c r="R46" i="18"/>
  <c r="S46" i="18"/>
  <c r="T46" i="18"/>
  <c r="U46" i="18"/>
  <c r="V46" i="18"/>
  <c r="O46" i="18"/>
  <c r="V35" i="18"/>
  <c r="U35" i="18"/>
  <c r="T35" i="18"/>
  <c r="S35" i="18"/>
  <c r="R35" i="18"/>
  <c r="Q35" i="18"/>
  <c r="P35" i="18"/>
  <c r="O35" i="18"/>
  <c r="P34" i="18"/>
  <c r="Q34" i="18"/>
  <c r="R34" i="18"/>
  <c r="S34" i="18"/>
  <c r="T34" i="18"/>
  <c r="U34" i="18"/>
  <c r="V34" i="18"/>
  <c r="O34" i="18"/>
  <c r="P33" i="18"/>
  <c r="Q33" i="18"/>
  <c r="R33" i="18"/>
  <c r="S33" i="18"/>
  <c r="T33" i="18"/>
  <c r="U33" i="18"/>
  <c r="V33" i="18"/>
  <c r="O33" i="18"/>
  <c r="E131" i="13" l="1"/>
  <c r="C131" i="13"/>
  <c r="M34" i="18" l="1"/>
  <c r="M8" i="18" s="1"/>
  <c r="D64" i="17"/>
  <c r="D96" i="18"/>
  <c r="D91" i="18"/>
  <c r="D89" i="18"/>
  <c r="C42" i="18"/>
  <c r="D35" i="18"/>
  <c r="D42" i="18" s="1"/>
  <c r="C35" i="18"/>
  <c r="D8" i="18"/>
  <c r="D7" i="18"/>
  <c r="D26" i="17"/>
  <c r="D32" i="17"/>
  <c r="D31" i="17"/>
  <c r="D5" i="17"/>
  <c r="D42" i="17" l="1"/>
  <c r="C17" i="11"/>
  <c r="M7" i="17" l="1"/>
  <c r="L7" i="17"/>
  <c r="K7" i="17"/>
  <c r="J7" i="17"/>
  <c r="I7" i="17"/>
  <c r="H7" i="17"/>
  <c r="G7" i="17"/>
  <c r="H4" i="13" l="1"/>
  <c r="H12" i="13"/>
  <c r="H11" i="13"/>
  <c r="H10" i="13"/>
  <c r="H9" i="13"/>
  <c r="H8" i="13"/>
  <c r="H7" i="13"/>
  <c r="H6" i="13"/>
  <c r="H5" i="13"/>
  <c r="E9" i="5"/>
  <c r="E8" i="5"/>
  <c r="E7" i="5"/>
  <c r="E6" i="5"/>
  <c r="E9" i="9"/>
  <c r="E8" i="9"/>
  <c r="E7" i="9"/>
  <c r="E6" i="9"/>
  <c r="E9" i="8"/>
  <c r="E8" i="8"/>
  <c r="E7" i="8"/>
  <c r="E6" i="8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16" i="11"/>
  <c r="E13" i="11"/>
  <c r="E11" i="11"/>
  <c r="E10" i="11"/>
  <c r="E9" i="11"/>
  <c r="E8" i="11"/>
  <c r="E7" i="11"/>
  <c r="E6" i="11"/>
  <c r="F13" i="14"/>
  <c r="F11" i="14"/>
  <c r="F7" i="14"/>
  <c r="F6" i="14"/>
  <c r="E77" i="18" l="1"/>
  <c r="E38" i="17" l="1"/>
  <c r="M19" i="17"/>
  <c r="L19" i="17"/>
  <c r="K19" i="17"/>
  <c r="J19" i="17"/>
  <c r="I19" i="17"/>
  <c r="H19" i="17"/>
  <c r="G19" i="17"/>
  <c r="E42" i="17"/>
  <c r="F42" i="17" s="1"/>
  <c r="F19" i="17"/>
  <c r="E20" i="17"/>
  <c r="E78" i="18" s="1"/>
  <c r="J5" i="17"/>
  <c r="I5" i="17"/>
  <c r="R11" i="17" s="1"/>
  <c r="H5" i="17"/>
  <c r="F5" i="17"/>
  <c r="O11" i="17" s="1"/>
  <c r="G5" i="17"/>
  <c r="M5" i="17"/>
  <c r="L5" i="17"/>
  <c r="K5" i="17"/>
  <c r="E5" i="17"/>
  <c r="E10" i="17" s="1"/>
  <c r="E66" i="18" s="1"/>
  <c r="D10" i="17"/>
  <c r="C5" i="17"/>
  <c r="C10" i="17" s="1"/>
  <c r="G10" i="17" l="1"/>
  <c r="G66" i="18" s="1"/>
  <c r="P11" i="17"/>
  <c r="G77" i="18"/>
  <c r="P19" i="17"/>
  <c r="K77" i="18"/>
  <c r="T19" i="17"/>
  <c r="K10" i="17"/>
  <c r="K66" i="18" s="1"/>
  <c r="T11" i="17"/>
  <c r="L77" i="18"/>
  <c r="U19" i="17"/>
  <c r="L10" i="17"/>
  <c r="L66" i="18" s="1"/>
  <c r="U11" i="17"/>
  <c r="H10" i="17"/>
  <c r="H66" i="18" s="1"/>
  <c r="Q11" i="17"/>
  <c r="F77" i="18"/>
  <c r="O19" i="17"/>
  <c r="I77" i="18"/>
  <c r="R19" i="17"/>
  <c r="M77" i="18"/>
  <c r="V19" i="17"/>
  <c r="J10" i="17"/>
  <c r="J66" i="18" s="1"/>
  <c r="S11" i="17"/>
  <c r="H77" i="18"/>
  <c r="Q19" i="17"/>
  <c r="M10" i="17"/>
  <c r="M66" i="18" s="1"/>
  <c r="V11" i="17"/>
  <c r="G42" i="17"/>
  <c r="O42" i="17"/>
  <c r="J77" i="18"/>
  <c r="S19" i="17"/>
  <c r="F20" i="17"/>
  <c r="I10" i="17"/>
  <c r="I66" i="18" s="1"/>
  <c r="F10" i="17"/>
  <c r="F66" i="18" s="1"/>
  <c r="E26" i="17"/>
  <c r="F26" i="17" s="1"/>
  <c r="E32" i="17"/>
  <c r="F32" i="17" s="1"/>
  <c r="E28" i="17"/>
  <c r="F28" i="17" s="1"/>
  <c r="E31" i="17"/>
  <c r="F31" i="17" s="1"/>
  <c r="C32" i="17"/>
  <c r="C31" i="17"/>
  <c r="C42" i="17" s="1"/>
  <c r="C26" i="17"/>
  <c r="G32" i="17" l="1"/>
  <c r="O32" i="17"/>
  <c r="G31" i="17"/>
  <c r="O31" i="17"/>
  <c r="G26" i="17"/>
  <c r="O26" i="17"/>
  <c r="H42" i="17"/>
  <c r="P42" i="17"/>
  <c r="G28" i="17"/>
  <c r="O28" i="17"/>
  <c r="E80" i="18"/>
  <c r="F38" i="17"/>
  <c r="F39" i="17"/>
  <c r="F80" i="18" s="1"/>
  <c r="F78" i="18"/>
  <c r="G20" i="17"/>
  <c r="L59" i="17"/>
  <c r="L53" i="17"/>
  <c r="L25" i="17"/>
  <c r="I42" i="17" l="1"/>
  <c r="Q42" i="17"/>
  <c r="H31" i="17"/>
  <c r="P31" i="17"/>
  <c r="L60" i="17"/>
  <c r="H28" i="17"/>
  <c r="P28" i="17"/>
  <c r="H26" i="17"/>
  <c r="P26" i="17"/>
  <c r="H32" i="17"/>
  <c r="P32" i="17"/>
  <c r="G38" i="17"/>
  <c r="G39" i="17"/>
  <c r="G80" i="18" s="1"/>
  <c r="G78" i="18"/>
  <c r="H20" i="17"/>
  <c r="C15" i="16"/>
  <c r="C16" i="16"/>
  <c r="H38" i="17" l="1"/>
  <c r="I26" i="17"/>
  <c r="Q26" i="17"/>
  <c r="I28" i="17"/>
  <c r="Q28" i="17"/>
  <c r="I31" i="17"/>
  <c r="Q31" i="17"/>
  <c r="I32" i="17"/>
  <c r="Q32" i="17"/>
  <c r="J42" i="17"/>
  <c r="R42" i="17"/>
  <c r="H39" i="17"/>
  <c r="H80" i="18" s="1"/>
  <c r="I20" i="17"/>
  <c r="H78" i="18"/>
  <c r="C12" i="13"/>
  <c r="C11" i="13"/>
  <c r="C10" i="13"/>
  <c r="C9" i="13"/>
  <c r="C8" i="13"/>
  <c r="C7" i="13"/>
  <c r="C6" i="13"/>
  <c r="J28" i="17" l="1"/>
  <c r="R28" i="17"/>
  <c r="J32" i="17"/>
  <c r="R32" i="17"/>
  <c r="K42" i="17"/>
  <c r="S42" i="17"/>
  <c r="J31" i="17"/>
  <c r="R31" i="17"/>
  <c r="J26" i="17"/>
  <c r="R26" i="17"/>
  <c r="I38" i="17"/>
  <c r="I39" i="17"/>
  <c r="I80" i="18" s="1"/>
  <c r="J20" i="17"/>
  <c r="I78" i="18"/>
  <c r="L118" i="18"/>
  <c r="L71" i="18"/>
  <c r="M11" i="18"/>
  <c r="K31" i="17" l="1"/>
  <c r="S31" i="17"/>
  <c r="J39" i="17"/>
  <c r="J80" i="18" s="1"/>
  <c r="K32" i="17"/>
  <c r="S32" i="17"/>
  <c r="K26" i="17"/>
  <c r="S26" i="17"/>
  <c r="L42" i="17"/>
  <c r="T42" i="17"/>
  <c r="K28" i="17"/>
  <c r="S28" i="17"/>
  <c r="J38" i="17"/>
  <c r="K20" i="17"/>
  <c r="J78" i="18"/>
  <c r="K38" i="17"/>
  <c r="K39" i="17"/>
  <c r="D11" i="18"/>
  <c r="G8" i="16"/>
  <c r="L32" i="17" l="1"/>
  <c r="T32" i="17"/>
  <c r="L28" i="17"/>
  <c r="T28" i="17"/>
  <c r="L26" i="17"/>
  <c r="T26" i="17"/>
  <c r="M42" i="17"/>
  <c r="V42" i="17" s="1"/>
  <c r="U42" i="17"/>
  <c r="L31" i="17"/>
  <c r="T31" i="17"/>
  <c r="L20" i="17"/>
  <c r="K78" i="18"/>
  <c r="K80" i="18"/>
  <c r="L39" i="17"/>
  <c r="L38" i="17"/>
  <c r="M118" i="18"/>
  <c r="K118" i="18"/>
  <c r="J118" i="18"/>
  <c r="I118" i="18"/>
  <c r="H118" i="18"/>
  <c r="G118" i="18"/>
  <c r="F118" i="18"/>
  <c r="E118" i="18"/>
  <c r="D118" i="18"/>
  <c r="C118" i="18"/>
  <c r="D98" i="18"/>
  <c r="C98" i="18"/>
  <c r="C96" i="18"/>
  <c r="C91" i="18"/>
  <c r="C89" i="18"/>
  <c r="J84" i="18"/>
  <c r="I84" i="18"/>
  <c r="H84" i="18"/>
  <c r="G84" i="18"/>
  <c r="F84" i="18"/>
  <c r="E84" i="18"/>
  <c r="D84" i="18"/>
  <c r="C84" i="18"/>
  <c r="M71" i="18"/>
  <c r="K71" i="18"/>
  <c r="J71" i="18"/>
  <c r="I71" i="18"/>
  <c r="H71" i="18"/>
  <c r="G71" i="18"/>
  <c r="F71" i="18"/>
  <c r="E71" i="18"/>
  <c r="D71" i="18"/>
  <c r="D94" i="18" s="1"/>
  <c r="D121" i="18" s="1"/>
  <c r="C71" i="18"/>
  <c r="C94" i="18" s="1"/>
  <c r="C121" i="18" s="1"/>
  <c r="C57" i="18"/>
  <c r="D27" i="18"/>
  <c r="D28" i="18" s="1"/>
  <c r="C27" i="18"/>
  <c r="C11" i="18"/>
  <c r="C28" i="18" s="1"/>
  <c r="M59" i="17"/>
  <c r="K59" i="17"/>
  <c r="J59" i="17"/>
  <c r="I59" i="17"/>
  <c r="H59" i="17"/>
  <c r="G59" i="17"/>
  <c r="F59" i="17"/>
  <c r="E59" i="17"/>
  <c r="D59" i="17"/>
  <c r="C59" i="17"/>
  <c r="M53" i="17"/>
  <c r="K53" i="17"/>
  <c r="K60" i="17" s="1"/>
  <c r="J53" i="17"/>
  <c r="I53" i="17"/>
  <c r="H53" i="17"/>
  <c r="G53" i="17"/>
  <c r="G60" i="17" s="1"/>
  <c r="F53" i="17"/>
  <c r="E53" i="17"/>
  <c r="D53" i="17"/>
  <c r="C53" i="17"/>
  <c r="C60" i="17" s="1"/>
  <c r="M25" i="17"/>
  <c r="K25" i="17"/>
  <c r="J25" i="17"/>
  <c r="I25" i="17"/>
  <c r="H25" i="17"/>
  <c r="G25" i="17"/>
  <c r="F25" i="17"/>
  <c r="E25" i="17"/>
  <c r="D25" i="17"/>
  <c r="C25" i="17"/>
  <c r="K21" i="17"/>
  <c r="J21" i="17"/>
  <c r="I21" i="17"/>
  <c r="I15" i="18" s="1"/>
  <c r="H21" i="17"/>
  <c r="G21" i="17"/>
  <c r="F21" i="17"/>
  <c r="F15" i="18" s="1"/>
  <c r="E21" i="17"/>
  <c r="E15" i="18" s="1"/>
  <c r="D21" i="17"/>
  <c r="D34" i="17" s="1"/>
  <c r="D37" i="17" s="1"/>
  <c r="D40" i="17" s="1"/>
  <c r="D43" i="17" s="1"/>
  <c r="C21" i="17"/>
  <c r="C34" i="17" s="1"/>
  <c r="C37" i="17" s="1"/>
  <c r="C40" i="17" s="1"/>
  <c r="L15" i="17"/>
  <c r="F14" i="17"/>
  <c r="E13" i="17"/>
  <c r="E14" i="17" s="1"/>
  <c r="D13" i="17"/>
  <c r="D14" i="17" s="1"/>
  <c r="C13" i="17"/>
  <c r="C14" i="17" s="1"/>
  <c r="H13" i="16"/>
  <c r="G9" i="16"/>
  <c r="G12" i="16" s="1"/>
  <c r="F8" i="16"/>
  <c r="F9" i="16" s="1"/>
  <c r="F12" i="16" s="1"/>
  <c r="D8" i="16"/>
  <c r="D9" i="16" s="1"/>
  <c r="D12" i="16" s="1"/>
  <c r="C8" i="16"/>
  <c r="C9" i="16" s="1"/>
  <c r="C12" i="16" s="1"/>
  <c r="B8" i="16"/>
  <c r="E7" i="16"/>
  <c r="H6" i="16"/>
  <c r="H5" i="16"/>
  <c r="M28" i="17" l="1"/>
  <c r="V28" i="17" s="1"/>
  <c r="U28" i="17"/>
  <c r="F60" i="17"/>
  <c r="J60" i="17"/>
  <c r="M31" i="17"/>
  <c r="V31" i="17" s="1"/>
  <c r="U31" i="17"/>
  <c r="M26" i="17"/>
  <c r="V26" i="17" s="1"/>
  <c r="U26" i="17"/>
  <c r="M32" i="17"/>
  <c r="V32" i="17" s="1"/>
  <c r="U32" i="17"/>
  <c r="C43" i="18"/>
  <c r="C58" i="18" s="1"/>
  <c r="C123" i="18" s="1"/>
  <c r="C125" i="18"/>
  <c r="D43" i="18"/>
  <c r="D125" i="18"/>
  <c r="K84" i="18"/>
  <c r="M20" i="17"/>
  <c r="L78" i="18"/>
  <c r="L21" i="17"/>
  <c r="L15" i="18" s="1"/>
  <c r="H15" i="18"/>
  <c r="G15" i="18"/>
  <c r="L80" i="18"/>
  <c r="L84" i="18" s="1"/>
  <c r="M39" i="17"/>
  <c r="M80" i="18" s="1"/>
  <c r="M38" i="17"/>
  <c r="K15" i="18"/>
  <c r="J15" i="18"/>
  <c r="D60" i="17"/>
  <c r="H60" i="17"/>
  <c r="M60" i="17"/>
  <c r="E60" i="17"/>
  <c r="I60" i="17"/>
  <c r="C43" i="17"/>
  <c r="C44" i="17" s="1"/>
  <c r="C46" i="17" s="1"/>
  <c r="C62" i="17" s="1"/>
  <c r="K15" i="17"/>
  <c r="D44" i="17"/>
  <c r="D46" i="17" s="1"/>
  <c r="D62" i="17" s="1"/>
  <c r="D15" i="17"/>
  <c r="F15" i="17"/>
  <c r="H15" i="17"/>
  <c r="J15" i="17"/>
  <c r="M15" i="17"/>
  <c r="E15" i="17"/>
  <c r="I15" i="17"/>
  <c r="D41" i="17"/>
  <c r="G15" i="16"/>
  <c r="G14" i="16"/>
  <c r="D15" i="16"/>
  <c r="D14" i="16"/>
  <c r="F15" i="16"/>
  <c r="F14" i="16"/>
  <c r="B9" i="16"/>
  <c r="B12" i="16" s="1"/>
  <c r="E8" i="16"/>
  <c r="E9" i="16" s="1"/>
  <c r="E12" i="16" s="1"/>
  <c r="H7" i="16"/>
  <c r="C14" i="16"/>
  <c r="L19" i="13"/>
  <c r="K19" i="13"/>
  <c r="C66" i="17" l="1"/>
  <c r="C69" i="17" s="1"/>
  <c r="C71" i="17"/>
  <c r="M78" i="18"/>
  <c r="M84" i="18" s="1"/>
  <c r="M21" i="17"/>
  <c r="M15" i="18" s="1"/>
  <c r="D66" i="17"/>
  <c r="D69" i="17" s="1"/>
  <c r="D53" i="18" s="1"/>
  <c r="D57" i="18" s="1"/>
  <c r="D58" i="18" s="1"/>
  <c r="D123" i="18" s="1"/>
  <c r="D71" i="17"/>
  <c r="E15" i="16"/>
  <c r="E14" i="16"/>
  <c r="C18" i="16"/>
  <c r="C19" i="16" s="1"/>
  <c r="H8" i="16"/>
  <c r="B15" i="16"/>
  <c r="B14" i="16"/>
  <c r="H12" i="16"/>
  <c r="F16" i="16"/>
  <c r="D16" i="16"/>
  <c r="G16" i="16"/>
  <c r="H9" i="16" l="1"/>
  <c r="E96" i="18" s="1"/>
  <c r="E98" i="18" s="1"/>
  <c r="E33" i="17"/>
  <c r="G18" i="16"/>
  <c r="G19" i="16" s="1"/>
  <c r="F18" i="16"/>
  <c r="F19" i="16" s="1"/>
  <c r="B16" i="16"/>
  <c r="H14" i="16"/>
  <c r="C21" i="16"/>
  <c r="C22" i="16" s="1"/>
  <c r="D18" i="16"/>
  <c r="D19" i="16" s="1"/>
  <c r="H15" i="16"/>
  <c r="F33" i="17" s="1"/>
  <c r="E16" i="16"/>
  <c r="F165" i="13"/>
  <c r="E165" i="13"/>
  <c r="D165" i="13"/>
  <c r="B165" i="13"/>
  <c r="F152" i="13"/>
  <c r="E152" i="13"/>
  <c r="D152" i="13"/>
  <c r="B152" i="13"/>
  <c r="D21" i="13"/>
  <c r="C21" i="13"/>
  <c r="C5" i="13" s="1"/>
  <c r="D20" i="13"/>
  <c r="C20" i="13"/>
  <c r="B20" i="13"/>
  <c r="A17" i="13"/>
  <c r="H13" i="14"/>
  <c r="C14" i="14" s="1"/>
  <c r="H11" i="14"/>
  <c r="C12" i="14" s="1"/>
  <c r="F12" i="14" s="1"/>
  <c r="H7" i="14"/>
  <c r="H6" i="14"/>
  <c r="K2" i="14"/>
  <c r="E30" i="14" s="1"/>
  <c r="A29" i="14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28" i="14"/>
  <c r="G13" i="14"/>
  <c r="G11" i="14"/>
  <c r="C7" i="14"/>
  <c r="G6" i="14"/>
  <c r="C5" i="15" l="1"/>
  <c r="E34" i="17"/>
  <c r="E37" i="17" s="1"/>
  <c r="E40" i="17" s="1"/>
  <c r="E113" i="14"/>
  <c r="E96" i="14"/>
  <c r="E84" i="14"/>
  <c r="E76" i="14"/>
  <c r="E72" i="14"/>
  <c r="E64" i="14"/>
  <c r="E60" i="14"/>
  <c r="E52" i="14"/>
  <c r="E44" i="14"/>
  <c r="E36" i="14"/>
  <c r="E112" i="14"/>
  <c r="E111" i="14"/>
  <c r="E107" i="14"/>
  <c r="E103" i="14"/>
  <c r="E99" i="14"/>
  <c r="E95" i="14"/>
  <c r="E91" i="14"/>
  <c r="E87" i="14"/>
  <c r="E83" i="14"/>
  <c r="E79" i="14"/>
  <c r="E75" i="14"/>
  <c r="E71" i="14"/>
  <c r="E67" i="14"/>
  <c r="E63" i="14"/>
  <c r="E59" i="14"/>
  <c r="E55" i="14"/>
  <c r="E51" i="14"/>
  <c r="E47" i="14"/>
  <c r="E43" i="14"/>
  <c r="E39" i="14"/>
  <c r="E35" i="14"/>
  <c r="E31" i="14"/>
  <c r="E110" i="14"/>
  <c r="E106" i="14"/>
  <c r="E102" i="14"/>
  <c r="E98" i="14"/>
  <c r="E94" i="14"/>
  <c r="E90" i="14"/>
  <c r="E86" i="14"/>
  <c r="E82" i="14"/>
  <c r="E78" i="14"/>
  <c r="E74" i="14"/>
  <c r="E70" i="14"/>
  <c r="E66" i="14"/>
  <c r="E62" i="14"/>
  <c r="E58" i="14"/>
  <c r="E54" i="14"/>
  <c r="E50" i="14"/>
  <c r="E46" i="14"/>
  <c r="E38" i="14"/>
  <c r="E34" i="14"/>
  <c r="E109" i="14"/>
  <c r="E105" i="14"/>
  <c r="E101" i="14"/>
  <c r="E97" i="14"/>
  <c r="E93" i="14"/>
  <c r="E89" i="14"/>
  <c r="E85" i="14"/>
  <c r="E81" i="14"/>
  <c r="E77" i="14"/>
  <c r="E73" i="14"/>
  <c r="E69" i="14"/>
  <c r="E65" i="14"/>
  <c r="E61" i="14"/>
  <c r="E57" i="14"/>
  <c r="E53" i="14"/>
  <c r="E49" i="14"/>
  <c r="E45" i="14"/>
  <c r="E41" i="14"/>
  <c r="E37" i="14"/>
  <c r="E33" i="14"/>
  <c r="E108" i="14"/>
  <c r="E104" i="14"/>
  <c r="E100" i="14"/>
  <c r="E92" i="14"/>
  <c r="E88" i="14"/>
  <c r="E80" i="14"/>
  <c r="E68" i="14"/>
  <c r="E56" i="14"/>
  <c r="E48" i="14"/>
  <c r="E40" i="14"/>
  <c r="E32" i="14"/>
  <c r="E42" i="14"/>
  <c r="H14" i="14"/>
  <c r="C15" i="14" s="1"/>
  <c r="F14" i="14"/>
  <c r="G14" i="14" s="1"/>
  <c r="D5" i="15"/>
  <c r="F37" i="17"/>
  <c r="F40" i="17" s="1"/>
  <c r="D21" i="16"/>
  <c r="D22" i="16" s="1"/>
  <c r="C24" i="16"/>
  <c r="C25" i="16" s="1"/>
  <c r="B18" i="16"/>
  <c r="B19" i="16" s="1"/>
  <c r="H16" i="16"/>
  <c r="F96" i="18" s="1"/>
  <c r="F98" i="18" s="1"/>
  <c r="F21" i="16"/>
  <c r="F22" i="16" s="1"/>
  <c r="G21" i="16"/>
  <c r="G22" i="16" s="1"/>
  <c r="E18" i="16"/>
  <c r="E19" i="16" s="1"/>
  <c r="H12" i="14"/>
  <c r="G12" i="14"/>
  <c r="C8" i="14"/>
  <c r="G7" i="14"/>
  <c r="K15" i="1"/>
  <c r="L15" i="1"/>
  <c r="L13" i="1"/>
  <c r="L12" i="1"/>
  <c r="L11" i="1"/>
  <c r="L10" i="1"/>
  <c r="L9" i="1"/>
  <c r="L8" i="1"/>
  <c r="L7" i="1"/>
  <c r="L6" i="1"/>
  <c r="L5" i="1"/>
  <c r="K13" i="1"/>
  <c r="K12" i="1"/>
  <c r="K11" i="1"/>
  <c r="K10" i="1"/>
  <c r="K9" i="1"/>
  <c r="K8" i="1"/>
  <c r="K7" i="1"/>
  <c r="K6" i="1"/>
  <c r="K5" i="1"/>
  <c r="A115" i="13"/>
  <c r="F177" i="13"/>
  <c r="E177" i="13"/>
  <c r="D177" i="13"/>
  <c r="B177" i="13"/>
  <c r="F176" i="13"/>
  <c r="E176" i="13"/>
  <c r="E5" i="2"/>
  <c r="F7" i="2"/>
  <c r="F6" i="2"/>
  <c r="F5" i="2"/>
  <c r="B176" i="13"/>
  <c r="A173" i="13"/>
  <c r="F164" i="13"/>
  <c r="E164" i="13"/>
  <c r="D164" i="13"/>
  <c r="B164" i="13"/>
  <c r="F163" i="13"/>
  <c r="E163" i="13"/>
  <c r="D163" i="13"/>
  <c r="B163" i="13"/>
  <c r="F162" i="13"/>
  <c r="E162" i="13"/>
  <c r="D162" i="13"/>
  <c r="B162" i="13"/>
  <c r="F161" i="13"/>
  <c r="E161" i="13"/>
  <c r="D161" i="13"/>
  <c r="B161" i="13"/>
  <c r="F160" i="13"/>
  <c r="E160" i="13"/>
  <c r="D160" i="13"/>
  <c r="B160" i="13"/>
  <c r="F159" i="13"/>
  <c r="E159" i="13"/>
  <c r="D159" i="13"/>
  <c r="B159" i="13"/>
  <c r="F158" i="13"/>
  <c r="E158" i="13"/>
  <c r="D158" i="13"/>
  <c r="B158" i="13"/>
  <c r="F157" i="13"/>
  <c r="E157" i="13"/>
  <c r="D157" i="13"/>
  <c r="C157" i="13"/>
  <c r="B157" i="13"/>
  <c r="A154" i="13"/>
  <c r="F151" i="13"/>
  <c r="E151" i="13"/>
  <c r="D151" i="13"/>
  <c r="B151" i="13"/>
  <c r="F150" i="13"/>
  <c r="E150" i="13"/>
  <c r="D150" i="13"/>
  <c r="B150" i="13"/>
  <c r="F149" i="13"/>
  <c r="E149" i="13"/>
  <c r="D149" i="13"/>
  <c r="B149" i="13"/>
  <c r="F148" i="13"/>
  <c r="E148" i="13"/>
  <c r="D148" i="13"/>
  <c r="B148" i="13"/>
  <c r="F147" i="13"/>
  <c r="E147" i="13"/>
  <c r="D147" i="13"/>
  <c r="B147" i="13"/>
  <c r="F146" i="13"/>
  <c r="E146" i="13"/>
  <c r="D146" i="13"/>
  <c r="B146" i="13"/>
  <c r="F145" i="13"/>
  <c r="E145" i="13"/>
  <c r="D145" i="13"/>
  <c r="B145" i="13"/>
  <c r="F144" i="13"/>
  <c r="E144" i="13"/>
  <c r="D144" i="13"/>
  <c r="B144" i="13"/>
  <c r="A141" i="13"/>
  <c r="D137" i="13"/>
  <c r="D136" i="13"/>
  <c r="D135" i="13"/>
  <c r="D134" i="13"/>
  <c r="D133" i="13"/>
  <c r="H8" i="14" l="1"/>
  <c r="F8" i="14"/>
  <c r="G8" i="14" s="1"/>
  <c r="D22" i="13"/>
  <c r="D23" i="13"/>
  <c r="E41" i="17"/>
  <c r="D24" i="13"/>
  <c r="D27" i="13"/>
  <c r="D26" i="13"/>
  <c r="D25" i="13"/>
  <c r="H15" i="14"/>
  <c r="C16" i="14" s="1"/>
  <c r="F15" i="14"/>
  <c r="G15" i="14" s="1"/>
  <c r="F43" i="17"/>
  <c r="F44" i="17" s="1"/>
  <c r="F41" i="17"/>
  <c r="E21" i="16"/>
  <c r="E22" i="16" s="1"/>
  <c r="G24" i="16"/>
  <c r="G25" i="16" s="1"/>
  <c r="F24" i="16"/>
  <c r="F25" i="16" s="1"/>
  <c r="B21" i="16"/>
  <c r="H19" i="16"/>
  <c r="G96" i="18" s="1"/>
  <c r="G98" i="18" s="1"/>
  <c r="C27" i="16"/>
  <c r="C28" i="16" s="1"/>
  <c r="D24" i="16"/>
  <c r="D25" i="16" s="1"/>
  <c r="H18" i="16"/>
  <c r="G33" i="17" s="1"/>
  <c r="C9" i="14"/>
  <c r="D131" i="13"/>
  <c r="D132" i="13"/>
  <c r="C4" i="13"/>
  <c r="B131" i="13"/>
  <c r="A128" i="13"/>
  <c r="F124" i="13"/>
  <c r="E124" i="13"/>
  <c r="D124" i="13"/>
  <c r="D10" i="13" s="1"/>
  <c r="B124" i="13"/>
  <c r="F123" i="13"/>
  <c r="E123" i="13"/>
  <c r="D123" i="13"/>
  <c r="B123" i="13"/>
  <c r="F122" i="13"/>
  <c r="E122" i="13"/>
  <c r="D122" i="13"/>
  <c r="B122" i="13"/>
  <c r="F121" i="13"/>
  <c r="E121" i="13"/>
  <c r="D121" i="13"/>
  <c r="B121" i="13"/>
  <c r="F120" i="13"/>
  <c r="E120" i="13"/>
  <c r="D120" i="13"/>
  <c r="B120" i="13"/>
  <c r="F119" i="13"/>
  <c r="E119" i="13"/>
  <c r="D78" i="5"/>
  <c r="G77" i="5"/>
  <c r="C78" i="5" s="1"/>
  <c r="F77" i="5"/>
  <c r="C77" i="5"/>
  <c r="C17" i="5"/>
  <c r="G17" i="5" s="1"/>
  <c r="C18" i="5" s="1"/>
  <c r="D118" i="13"/>
  <c r="D119" i="13"/>
  <c r="B118" i="13"/>
  <c r="F101" i="13"/>
  <c r="E101" i="13"/>
  <c r="D101" i="13"/>
  <c r="B101" i="13"/>
  <c r="F100" i="13"/>
  <c r="E100" i="13"/>
  <c r="D100" i="13"/>
  <c r="B100" i="13"/>
  <c r="F99" i="13"/>
  <c r="E99" i="13"/>
  <c r="D99" i="13"/>
  <c r="B99" i="13"/>
  <c r="A96" i="13"/>
  <c r="F89" i="13"/>
  <c r="E89" i="13"/>
  <c r="D89" i="13"/>
  <c r="B89" i="13"/>
  <c r="F88" i="13"/>
  <c r="E88" i="13"/>
  <c r="D88" i="13"/>
  <c r="B88" i="13"/>
  <c r="F87" i="13"/>
  <c r="E87" i="13"/>
  <c r="D87" i="13"/>
  <c r="B87" i="13"/>
  <c r="F86" i="13"/>
  <c r="E86" i="13"/>
  <c r="D86" i="13"/>
  <c r="B86" i="13"/>
  <c r="A83" i="13"/>
  <c r="F77" i="13"/>
  <c r="E77" i="13"/>
  <c r="D77" i="13"/>
  <c r="D8" i="13" s="1"/>
  <c r="E76" i="13"/>
  <c r="B77" i="13"/>
  <c r="F76" i="13"/>
  <c r="D76" i="13"/>
  <c r="B76" i="13"/>
  <c r="F75" i="13"/>
  <c r="E75" i="13"/>
  <c r="D75" i="13"/>
  <c r="B75" i="13"/>
  <c r="F74" i="13"/>
  <c r="E74" i="13"/>
  <c r="D74" i="13"/>
  <c r="B74" i="13"/>
  <c r="F73" i="13"/>
  <c r="E73" i="13"/>
  <c r="D73" i="13"/>
  <c r="B73" i="13"/>
  <c r="A70" i="13"/>
  <c r="D61" i="13"/>
  <c r="D60" i="13"/>
  <c r="B60" i="13"/>
  <c r="A57" i="13"/>
  <c r="D15" i="1"/>
  <c r="A7" i="1"/>
  <c r="A8" i="1" s="1"/>
  <c r="A9" i="1" s="1"/>
  <c r="A10" i="1" s="1"/>
  <c r="A11" i="1" s="1"/>
  <c r="A12" i="1" s="1"/>
  <c r="A13" i="1" s="1"/>
  <c r="A6" i="1"/>
  <c r="E9" i="7"/>
  <c r="E8" i="7"/>
  <c r="E7" i="7"/>
  <c r="E6" i="7"/>
  <c r="G7" i="10"/>
  <c r="E7" i="10"/>
  <c r="H9" i="14" l="1"/>
  <c r="C10" i="14" s="1"/>
  <c r="F9" i="14"/>
  <c r="B4" i="13"/>
  <c r="D7" i="13"/>
  <c r="G9" i="15"/>
  <c r="H34" i="18"/>
  <c r="I9" i="15"/>
  <c r="J34" i="18"/>
  <c r="D9" i="13"/>
  <c r="H16" i="14"/>
  <c r="C17" i="14" s="1"/>
  <c r="F16" i="14"/>
  <c r="G16" i="14" s="1"/>
  <c r="H21" i="16"/>
  <c r="H33" i="17" s="1"/>
  <c r="F5" i="15" s="1"/>
  <c r="E5" i="15"/>
  <c r="G34" i="17"/>
  <c r="G37" i="17" s="1"/>
  <c r="G40" i="17" s="1"/>
  <c r="D5" i="13"/>
  <c r="B22" i="16"/>
  <c r="B24" i="16" s="1"/>
  <c r="B25" i="16" s="1"/>
  <c r="D27" i="16"/>
  <c r="D28" i="16" s="1"/>
  <c r="C31" i="16"/>
  <c r="C30" i="16"/>
  <c r="H22" i="16"/>
  <c r="H96" i="18" s="1"/>
  <c r="H98" i="18" s="1"/>
  <c r="F27" i="16"/>
  <c r="F28" i="16" s="1"/>
  <c r="G27" i="16"/>
  <c r="G28" i="16" s="1"/>
  <c r="E24" i="16"/>
  <c r="E25" i="16" s="1"/>
  <c r="G9" i="14"/>
  <c r="G78" i="5"/>
  <c r="F78" i="5"/>
  <c r="G18" i="5"/>
  <c r="C19" i="5" s="1"/>
  <c r="F18" i="5"/>
  <c r="F17" i="5"/>
  <c r="F9" i="12"/>
  <c r="F8" i="12"/>
  <c r="F7" i="12"/>
  <c r="F6" i="12"/>
  <c r="H10" i="14" l="1"/>
  <c r="F10" i="14"/>
  <c r="E34" i="18"/>
  <c r="E8" i="18" s="1"/>
  <c r="E11" i="18" s="1"/>
  <c r="D9" i="15"/>
  <c r="H9" i="15"/>
  <c r="I34" i="18"/>
  <c r="J8" i="18"/>
  <c r="J11" i="18" s="1"/>
  <c r="H8" i="18"/>
  <c r="H11" i="18" s="1"/>
  <c r="F9" i="15"/>
  <c r="G34" i="18"/>
  <c r="H34" i="17"/>
  <c r="H37" i="17" s="1"/>
  <c r="H40" i="17" s="1"/>
  <c r="H43" i="17" s="1"/>
  <c r="H44" i="17" s="1"/>
  <c r="H17" i="14"/>
  <c r="E20" i="13" s="1"/>
  <c r="F17" i="14"/>
  <c r="F20" i="13" s="1"/>
  <c r="G43" i="17"/>
  <c r="G44" i="17" s="1"/>
  <c r="G41" i="17"/>
  <c r="E27" i="16"/>
  <c r="E28" i="16" s="1"/>
  <c r="G30" i="16"/>
  <c r="G31" i="16" s="1"/>
  <c r="F30" i="16"/>
  <c r="F31" i="16" s="1"/>
  <c r="B28" i="16"/>
  <c r="B27" i="16"/>
  <c r="H25" i="16"/>
  <c r="I96" i="18" s="1"/>
  <c r="I98" i="18" s="1"/>
  <c r="C33" i="16"/>
  <c r="C34" i="16" s="1"/>
  <c r="D30" i="16"/>
  <c r="D31" i="16" s="1"/>
  <c r="H24" i="16"/>
  <c r="I33" i="17" s="1"/>
  <c r="G17" i="14"/>
  <c r="G10" i="14"/>
  <c r="G19" i="5"/>
  <c r="C20" i="5" s="1"/>
  <c r="F19" i="5"/>
  <c r="E6" i="12"/>
  <c r="G6" i="12" s="1"/>
  <c r="F7" i="9"/>
  <c r="F6" i="5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6" i="9"/>
  <c r="G8" i="18" l="1"/>
  <c r="G11" i="18" s="1"/>
  <c r="I8" i="18"/>
  <c r="I11" i="18" s="1"/>
  <c r="H41" i="17"/>
  <c r="C18" i="14"/>
  <c r="H27" i="16"/>
  <c r="J33" i="17" s="1"/>
  <c r="H5" i="15" s="1"/>
  <c r="G5" i="15"/>
  <c r="I34" i="17"/>
  <c r="I37" i="17" s="1"/>
  <c r="I40" i="17" s="1"/>
  <c r="D33" i="16"/>
  <c r="D34" i="16" s="1"/>
  <c r="C37" i="16"/>
  <c r="C36" i="16"/>
  <c r="B31" i="16"/>
  <c r="B30" i="16"/>
  <c r="H28" i="16"/>
  <c r="J96" i="18" s="1"/>
  <c r="J98" i="18" s="1"/>
  <c r="F33" i="16"/>
  <c r="F34" i="16" s="1"/>
  <c r="G33" i="16"/>
  <c r="G34" i="16" s="1"/>
  <c r="E30" i="16"/>
  <c r="E31" i="16" s="1"/>
  <c r="G20" i="5"/>
  <c r="C21" i="5" s="1"/>
  <c r="F20" i="5"/>
  <c r="E7" i="12"/>
  <c r="G7" i="12" s="1"/>
  <c r="F6" i="8"/>
  <c r="F16" i="11"/>
  <c r="G16" i="11"/>
  <c r="A28" i="1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G6" i="11"/>
  <c r="C7" i="11" s="1"/>
  <c r="F6" i="11"/>
  <c r="G6" i="7"/>
  <c r="C7" i="7" s="1"/>
  <c r="F6" i="7"/>
  <c r="F7" i="10"/>
  <c r="F7" i="3"/>
  <c r="F6" i="3"/>
  <c r="J34" i="17" l="1"/>
  <c r="J37" i="17" s="1"/>
  <c r="J40" i="17" s="1"/>
  <c r="J43" i="17" s="1"/>
  <c r="J44" i="17" s="1"/>
  <c r="H18" i="14"/>
  <c r="C19" i="14" s="1"/>
  <c r="F18" i="14"/>
  <c r="G18" i="14" s="1"/>
  <c r="B21" i="13"/>
  <c r="I43" i="17"/>
  <c r="I44" i="17" s="1"/>
  <c r="I41" i="17"/>
  <c r="E33" i="16"/>
  <c r="E34" i="16" s="1"/>
  <c r="G37" i="16"/>
  <c r="G36" i="16"/>
  <c r="F36" i="16"/>
  <c r="F37" i="16" s="1"/>
  <c r="B34" i="16"/>
  <c r="B33" i="16"/>
  <c r="H31" i="16"/>
  <c r="K96" i="18" s="1"/>
  <c r="K98" i="18" s="1"/>
  <c r="D36" i="16"/>
  <c r="D37" i="16" s="1"/>
  <c r="H30" i="16"/>
  <c r="K33" i="17" s="1"/>
  <c r="G21" i="5"/>
  <c r="C22" i="5" s="1"/>
  <c r="F21" i="5"/>
  <c r="E8" i="12"/>
  <c r="G8" i="12" s="1"/>
  <c r="G7" i="7"/>
  <c r="C8" i="7" s="1"/>
  <c r="G8" i="7" s="1"/>
  <c r="C9" i="7" s="1"/>
  <c r="F7" i="7"/>
  <c r="G7" i="11"/>
  <c r="C8" i="11" s="1"/>
  <c r="F7" i="11"/>
  <c r="F8" i="7"/>
  <c r="J41" i="17" l="1"/>
  <c r="H19" i="14"/>
  <c r="C20" i="14" s="1"/>
  <c r="F19" i="14"/>
  <c r="G19" i="14" s="1"/>
  <c r="H33" i="16"/>
  <c r="L33" i="17" s="1"/>
  <c r="J5" i="15" s="1"/>
  <c r="I5" i="15"/>
  <c r="K34" i="17"/>
  <c r="K37" i="17" s="1"/>
  <c r="K40" i="17" s="1"/>
  <c r="B36" i="16"/>
  <c r="B37" i="16" s="1"/>
  <c r="H34" i="16"/>
  <c r="L96" i="18" s="1"/>
  <c r="L98" i="18" s="1"/>
  <c r="E36" i="16"/>
  <c r="E37" i="16" s="1"/>
  <c r="G22" i="5"/>
  <c r="C23" i="5" s="1"/>
  <c r="F22" i="5"/>
  <c r="E9" i="12"/>
  <c r="G9" i="7"/>
  <c r="C10" i="7" s="1"/>
  <c r="F9" i="7"/>
  <c r="G8" i="11"/>
  <c r="C9" i="11" s="1"/>
  <c r="F8" i="11"/>
  <c r="L34" i="17" l="1"/>
  <c r="L37" i="17" s="1"/>
  <c r="L40" i="17" s="1"/>
  <c r="L43" i="17" s="1"/>
  <c r="L44" i="17" s="1"/>
  <c r="F20" i="14"/>
  <c r="G20" i="14" s="1"/>
  <c r="H20" i="14"/>
  <c r="C21" i="14" s="1"/>
  <c r="H21" i="14" s="1"/>
  <c r="C22" i="14" s="1"/>
  <c r="K43" i="17"/>
  <c r="K44" i="17" s="1"/>
  <c r="K41" i="17"/>
  <c r="H37" i="16"/>
  <c r="M96" i="18" s="1"/>
  <c r="M98" i="18" s="1"/>
  <c r="H36" i="16"/>
  <c r="M33" i="17" s="1"/>
  <c r="G23" i="5"/>
  <c r="C24" i="5" s="1"/>
  <c r="F23" i="5"/>
  <c r="G9" i="12"/>
  <c r="C10" i="12" s="1"/>
  <c r="F10" i="12" s="1"/>
  <c r="E10" i="12" s="1"/>
  <c r="G10" i="12" s="1"/>
  <c r="C11" i="12" s="1"/>
  <c r="F11" i="12" s="1"/>
  <c r="G10" i="7"/>
  <c r="C11" i="7" s="1"/>
  <c r="F10" i="7"/>
  <c r="G9" i="11"/>
  <c r="C10" i="11" s="1"/>
  <c r="F9" i="11"/>
  <c r="F21" i="14" l="1"/>
  <c r="G21" i="14" s="1"/>
  <c r="K5" i="15"/>
  <c r="L5" i="15" s="1"/>
  <c r="M34" i="17"/>
  <c r="M37" i="17" s="1"/>
  <c r="M40" i="17" s="1"/>
  <c r="H22" i="14"/>
  <c r="C23" i="14" s="1"/>
  <c r="F22" i="14"/>
  <c r="G22" i="14" s="1"/>
  <c r="G24" i="5"/>
  <c r="C25" i="5" s="1"/>
  <c r="F24" i="5"/>
  <c r="E11" i="12"/>
  <c r="G11" i="12" s="1"/>
  <c r="C12" i="12" s="1"/>
  <c r="F12" i="12" s="1"/>
  <c r="F11" i="7"/>
  <c r="G11" i="7"/>
  <c r="C12" i="7" s="1"/>
  <c r="G10" i="11"/>
  <c r="F10" i="11"/>
  <c r="M43" i="17" l="1"/>
  <c r="M44" i="17" s="1"/>
  <c r="M41" i="17"/>
  <c r="H23" i="14"/>
  <c r="C24" i="14" s="1"/>
  <c r="F23" i="14"/>
  <c r="G23" i="14" s="1"/>
  <c r="G25" i="5"/>
  <c r="C26" i="5" s="1"/>
  <c r="F25" i="5"/>
  <c r="E12" i="12"/>
  <c r="G12" i="12" s="1"/>
  <c r="C13" i="12" s="1"/>
  <c r="F13" i="12" s="1"/>
  <c r="G12" i="7"/>
  <c r="C13" i="7" s="1"/>
  <c r="F12" i="7"/>
  <c r="G11" i="11"/>
  <c r="E12" i="11" s="1"/>
  <c r="F11" i="11"/>
  <c r="H24" i="14" l="1"/>
  <c r="C25" i="14" s="1"/>
  <c r="F24" i="14"/>
  <c r="G26" i="5"/>
  <c r="C27" i="5" s="1"/>
  <c r="F26" i="5"/>
  <c r="E13" i="12"/>
  <c r="G13" i="12" s="1"/>
  <c r="C14" i="12" s="1"/>
  <c r="F14" i="12" s="1"/>
  <c r="F13" i="7"/>
  <c r="G13" i="7"/>
  <c r="C14" i="7" s="1"/>
  <c r="G12" i="11"/>
  <c r="F12" i="11"/>
  <c r="H25" i="14" l="1"/>
  <c r="C26" i="14" s="1"/>
  <c r="F25" i="14"/>
  <c r="G25" i="14" s="1"/>
  <c r="G24" i="14"/>
  <c r="G27" i="5"/>
  <c r="C28" i="5" s="1"/>
  <c r="F27" i="5"/>
  <c r="E14" i="12"/>
  <c r="G14" i="12" s="1"/>
  <c r="C15" i="12" s="1"/>
  <c r="F15" i="12" s="1"/>
  <c r="G14" i="7"/>
  <c r="C15" i="7" s="1"/>
  <c r="F14" i="7"/>
  <c r="G13" i="11"/>
  <c r="E14" i="11" s="1"/>
  <c r="F13" i="11"/>
  <c r="H26" i="14" l="1"/>
  <c r="C27" i="14" s="1"/>
  <c r="F26" i="14"/>
  <c r="G26" i="14" s="1"/>
  <c r="G28" i="5"/>
  <c r="C29" i="5" s="1"/>
  <c r="F28" i="5"/>
  <c r="E15" i="12"/>
  <c r="G15" i="12" s="1"/>
  <c r="C16" i="12" s="1"/>
  <c r="F16" i="12" s="1"/>
  <c r="F15" i="7"/>
  <c r="G15" i="7"/>
  <c r="C16" i="7" s="1"/>
  <c r="G14" i="11"/>
  <c r="E15" i="11" s="1"/>
  <c r="F14" i="11"/>
  <c r="H27" i="14" l="1"/>
  <c r="C28" i="14" s="1"/>
  <c r="F27" i="14"/>
  <c r="G29" i="5"/>
  <c r="C30" i="5" s="1"/>
  <c r="F29" i="5"/>
  <c r="E16" i="12"/>
  <c r="G16" i="12" s="1"/>
  <c r="C17" i="12" s="1"/>
  <c r="F17" i="12" s="1"/>
  <c r="G16" i="7"/>
  <c r="C17" i="7" s="1"/>
  <c r="F16" i="7"/>
  <c r="G15" i="11"/>
  <c r="F15" i="1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C8" i="10"/>
  <c r="H28" i="14" l="1"/>
  <c r="C29" i="14" s="1"/>
  <c r="F28" i="14"/>
  <c r="G28" i="14" s="1"/>
  <c r="G27" i="14"/>
  <c r="G30" i="5"/>
  <c r="C31" i="5" s="1"/>
  <c r="F30" i="5"/>
  <c r="E8" i="10"/>
  <c r="G8" i="10"/>
  <c r="C9" i="10" s="1"/>
  <c r="E9" i="10" s="1"/>
  <c r="E17" i="12"/>
  <c r="G17" i="12" s="1"/>
  <c r="C18" i="12" s="1"/>
  <c r="F18" i="12" s="1"/>
  <c r="F17" i="7"/>
  <c r="G17" i="7"/>
  <c r="C18" i="7" s="1"/>
  <c r="E17" i="11" l="1"/>
  <c r="F131" i="13" s="1"/>
  <c r="H29" i="14"/>
  <c r="E21" i="13" s="1"/>
  <c r="F29" i="14"/>
  <c r="G31" i="5"/>
  <c r="C32" i="5" s="1"/>
  <c r="F31" i="5"/>
  <c r="F8" i="10"/>
  <c r="E18" i="12"/>
  <c r="G18" i="12" s="1"/>
  <c r="C19" i="12" s="1"/>
  <c r="F19" i="12" s="1"/>
  <c r="G18" i="7"/>
  <c r="C19" i="7" s="1"/>
  <c r="F18" i="7"/>
  <c r="G17" i="11"/>
  <c r="G9" i="10"/>
  <c r="C10" i="10" s="1"/>
  <c r="E10" i="10" s="1"/>
  <c r="F9" i="10"/>
  <c r="C18" i="11" l="1"/>
  <c r="F17" i="11"/>
  <c r="C30" i="14"/>
  <c r="F30" i="14" s="1"/>
  <c r="G29" i="14"/>
  <c r="F21" i="13"/>
  <c r="G32" i="5"/>
  <c r="C33" i="5" s="1"/>
  <c r="F32" i="5"/>
  <c r="E19" i="12"/>
  <c r="G19" i="12" s="1"/>
  <c r="C20" i="12" s="1"/>
  <c r="F20" i="12" s="1"/>
  <c r="G19" i="7"/>
  <c r="C20" i="7" s="1"/>
  <c r="F19" i="7"/>
  <c r="G18" i="11"/>
  <c r="C19" i="11" s="1"/>
  <c r="G10" i="10"/>
  <c r="C11" i="10" s="1"/>
  <c r="F10" i="10"/>
  <c r="E19" i="11" l="1"/>
  <c r="F19" i="11" s="1"/>
  <c r="E18" i="11"/>
  <c r="B132" i="13"/>
  <c r="B22" i="13"/>
  <c r="H30" i="14"/>
  <c r="C31" i="14" s="1"/>
  <c r="H31" i="14" s="1"/>
  <c r="C32" i="14" s="1"/>
  <c r="G30" i="14"/>
  <c r="G33" i="5"/>
  <c r="C34" i="5" s="1"/>
  <c r="F33" i="5"/>
  <c r="E20" i="12"/>
  <c r="G20" i="12" s="1"/>
  <c r="C21" i="12" s="1"/>
  <c r="F21" i="12" s="1"/>
  <c r="F20" i="7"/>
  <c r="G20" i="7"/>
  <c r="C21" i="7" s="1"/>
  <c r="G19" i="11"/>
  <c r="C20" i="11" s="1"/>
  <c r="G11" i="10"/>
  <c r="C12" i="10" s="1"/>
  <c r="F11" i="10"/>
  <c r="E20" i="11" l="1"/>
  <c r="F20" i="11" s="1"/>
  <c r="F18" i="11"/>
  <c r="F31" i="14"/>
  <c r="G31" i="14" s="1"/>
  <c r="H32" i="14"/>
  <c r="C33" i="14" s="1"/>
  <c r="F32" i="14"/>
  <c r="G32" i="14" s="1"/>
  <c r="F34" i="5"/>
  <c r="G34" i="5"/>
  <c r="C35" i="5" s="1"/>
  <c r="E21" i="12"/>
  <c r="G21" i="12" s="1"/>
  <c r="C22" i="12" s="1"/>
  <c r="F22" i="12" s="1"/>
  <c r="G21" i="7"/>
  <c r="C22" i="7" s="1"/>
  <c r="F21" i="7"/>
  <c r="G20" i="11"/>
  <c r="C21" i="11" s="1"/>
  <c r="G12" i="10"/>
  <c r="C13" i="10" s="1"/>
  <c r="F12" i="10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E21" i="11" l="1"/>
  <c r="H33" i="14"/>
  <c r="C34" i="14" s="1"/>
  <c r="F33" i="14"/>
  <c r="G33" i="14" s="1"/>
  <c r="F35" i="5"/>
  <c r="G35" i="5"/>
  <c r="C36" i="5" s="1"/>
  <c r="E22" i="12"/>
  <c r="G22" i="12" s="1"/>
  <c r="C23" i="12" s="1"/>
  <c r="F23" i="12" s="1"/>
  <c r="F22" i="7"/>
  <c r="G22" i="7"/>
  <c r="C23" i="7" s="1"/>
  <c r="G21" i="11"/>
  <c r="C22" i="11" s="1"/>
  <c r="G13" i="10"/>
  <c r="C14" i="10" s="1"/>
  <c r="F13" i="10"/>
  <c r="E22" i="11" l="1"/>
  <c r="F22" i="11" s="1"/>
  <c r="F21" i="11"/>
  <c r="H34" i="14"/>
  <c r="C35" i="14" s="1"/>
  <c r="F34" i="14"/>
  <c r="F36" i="5"/>
  <c r="G36" i="5"/>
  <c r="C37" i="5" s="1"/>
  <c r="E23" i="12"/>
  <c r="G23" i="12" s="1"/>
  <c r="C24" i="12" s="1"/>
  <c r="F24" i="12" s="1"/>
  <c r="G23" i="7"/>
  <c r="C24" i="7" s="1"/>
  <c r="F23" i="7"/>
  <c r="G22" i="11"/>
  <c r="C23" i="11" s="1"/>
  <c r="E23" i="11" s="1"/>
  <c r="G14" i="10"/>
  <c r="C15" i="10" s="1"/>
  <c r="F14" i="10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G6" i="9"/>
  <c r="C7" i="9" s="1"/>
  <c r="G7" i="9" s="1"/>
  <c r="C8" i="9" s="1"/>
  <c r="G8" i="9" s="1"/>
  <c r="C9" i="9" s="1"/>
  <c r="G9" i="9" s="1"/>
  <c r="C10" i="9" s="1"/>
  <c r="G10" i="9" s="1"/>
  <c r="C11" i="9" s="1"/>
  <c r="G11" i="9" s="1"/>
  <c r="C12" i="9" s="1"/>
  <c r="G12" i="9" s="1"/>
  <c r="C13" i="9" s="1"/>
  <c r="G13" i="9" s="1"/>
  <c r="C14" i="9" s="1"/>
  <c r="G14" i="9" s="1"/>
  <c r="C15" i="9" s="1"/>
  <c r="G15" i="9" s="1"/>
  <c r="C16" i="9" s="1"/>
  <c r="G16" i="9" s="1"/>
  <c r="C17" i="9" s="1"/>
  <c r="G17" i="9" s="1"/>
  <c r="C18" i="9" s="1"/>
  <c r="G18" i="9" s="1"/>
  <c r="C19" i="9" s="1"/>
  <c r="G19" i="9" s="1"/>
  <c r="C20" i="9" s="1"/>
  <c r="G20" i="9" s="1"/>
  <c r="C21" i="9" s="1"/>
  <c r="G21" i="9" s="1"/>
  <c r="C22" i="9" s="1"/>
  <c r="G22" i="9" s="1"/>
  <c r="C23" i="9" s="1"/>
  <c r="G23" i="9" s="1"/>
  <c r="C24" i="9" s="1"/>
  <c r="G24" i="9" s="1"/>
  <c r="C25" i="9" s="1"/>
  <c r="G25" i="9" s="1"/>
  <c r="C26" i="9" s="1"/>
  <c r="G26" i="9" s="1"/>
  <c r="C27" i="9" s="1"/>
  <c r="G27" i="9" s="1"/>
  <c r="C28" i="9" s="1"/>
  <c r="G28" i="9" s="1"/>
  <c r="C29" i="9" s="1"/>
  <c r="G29" i="9" s="1"/>
  <c r="C30" i="9" s="1"/>
  <c r="G30" i="9" s="1"/>
  <c r="C31" i="9" s="1"/>
  <c r="G31" i="9" s="1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28" i="7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H35" i="14" l="1"/>
  <c r="C36" i="14" s="1"/>
  <c r="F35" i="14"/>
  <c r="G35" i="14" s="1"/>
  <c r="G34" i="14"/>
  <c r="F37" i="5"/>
  <c r="G37" i="5"/>
  <c r="C38" i="5" s="1"/>
  <c r="E24" i="12"/>
  <c r="G24" i="12" s="1"/>
  <c r="C25" i="12" s="1"/>
  <c r="F25" i="12" s="1"/>
  <c r="F24" i="7"/>
  <c r="G24" i="7"/>
  <c r="C25" i="7" s="1"/>
  <c r="G23" i="11"/>
  <c r="C24" i="11" s="1"/>
  <c r="E24" i="11" s="1"/>
  <c r="F23" i="11"/>
  <c r="G15" i="10"/>
  <c r="C16" i="10" s="1"/>
  <c r="F15" i="10"/>
  <c r="G6" i="8"/>
  <c r="C7" i="8" s="1"/>
  <c r="H36" i="14" l="1"/>
  <c r="C37" i="14" s="1"/>
  <c r="F36" i="14"/>
  <c r="G36" i="14" s="1"/>
  <c r="F38" i="5"/>
  <c r="G38" i="5"/>
  <c r="C39" i="5" s="1"/>
  <c r="E25" i="12"/>
  <c r="G25" i="12" s="1"/>
  <c r="C26" i="12" s="1"/>
  <c r="F26" i="12" s="1"/>
  <c r="G7" i="8"/>
  <c r="C8" i="8" s="1"/>
  <c r="F7" i="8"/>
  <c r="G25" i="7"/>
  <c r="C26" i="7" s="1"/>
  <c r="F25" i="7"/>
  <c r="G24" i="11"/>
  <c r="C25" i="11" s="1"/>
  <c r="E25" i="11" s="1"/>
  <c r="F24" i="11"/>
  <c r="G16" i="10"/>
  <c r="C17" i="10" s="1"/>
  <c r="F16" i="10"/>
  <c r="H37" i="14" l="1"/>
  <c r="C38" i="14" s="1"/>
  <c r="F37" i="14"/>
  <c r="G37" i="14" s="1"/>
  <c r="F39" i="5"/>
  <c r="G39" i="5"/>
  <c r="C40" i="5" s="1"/>
  <c r="E26" i="12"/>
  <c r="G26" i="12" s="1"/>
  <c r="C27" i="12" s="1"/>
  <c r="F27" i="12" s="1"/>
  <c r="G8" i="8"/>
  <c r="C9" i="8" s="1"/>
  <c r="F8" i="8"/>
  <c r="G26" i="7"/>
  <c r="C27" i="7" s="1"/>
  <c r="F26" i="7"/>
  <c r="G25" i="11"/>
  <c r="C26" i="11" s="1"/>
  <c r="E26" i="11" s="1"/>
  <c r="F25" i="11"/>
  <c r="G17" i="10"/>
  <c r="C18" i="10" s="1"/>
  <c r="F60" i="13" s="1"/>
  <c r="F17" i="10"/>
  <c r="H38" i="14" l="1"/>
  <c r="C39" i="14" s="1"/>
  <c r="F38" i="14"/>
  <c r="G38" i="14" s="1"/>
  <c r="F40" i="5"/>
  <c r="G40" i="5"/>
  <c r="C41" i="5" s="1"/>
  <c r="E27" i="12"/>
  <c r="G27" i="12" s="1"/>
  <c r="C28" i="12" s="1"/>
  <c r="F28" i="12" s="1"/>
  <c r="G9" i="8"/>
  <c r="C10" i="8" s="1"/>
  <c r="F9" i="8"/>
  <c r="G27" i="7"/>
  <c r="C28" i="7" s="1"/>
  <c r="F27" i="7"/>
  <c r="G26" i="11"/>
  <c r="C27" i="11" s="1"/>
  <c r="E27" i="11" s="1"/>
  <c r="F26" i="11"/>
  <c r="G18" i="10"/>
  <c r="F18" i="10"/>
  <c r="H39" i="14" l="1"/>
  <c r="C40" i="14" s="1"/>
  <c r="F39" i="14"/>
  <c r="G39" i="14" s="1"/>
  <c r="F41" i="5"/>
  <c r="G41" i="5"/>
  <c r="C42" i="5" s="1"/>
  <c r="C19" i="10"/>
  <c r="E60" i="13"/>
  <c r="E28" i="12"/>
  <c r="G28" i="12" s="1"/>
  <c r="C29" i="12" s="1"/>
  <c r="F29" i="12" s="1"/>
  <c r="G10" i="8"/>
  <c r="C11" i="8" s="1"/>
  <c r="F10" i="8"/>
  <c r="G28" i="7"/>
  <c r="C29" i="7" s="1"/>
  <c r="F28" i="7"/>
  <c r="G27" i="11"/>
  <c r="C28" i="11" s="1"/>
  <c r="E28" i="11" s="1"/>
  <c r="F27" i="11"/>
  <c r="H40" i="14" l="1"/>
  <c r="C41" i="14" s="1"/>
  <c r="F40" i="14"/>
  <c r="G40" i="14" s="1"/>
  <c r="F42" i="5"/>
  <c r="G42" i="5"/>
  <c r="C43" i="5" s="1"/>
  <c r="B61" i="13"/>
  <c r="G19" i="10"/>
  <c r="C20" i="10" s="1"/>
  <c r="F20" i="10" s="1"/>
  <c r="E29" i="12"/>
  <c r="G29" i="12" s="1"/>
  <c r="C30" i="12" s="1"/>
  <c r="F30" i="12" s="1"/>
  <c r="G11" i="8"/>
  <c r="C12" i="8" s="1"/>
  <c r="F11" i="8"/>
  <c r="G29" i="7"/>
  <c r="C30" i="7" s="1"/>
  <c r="F29" i="7"/>
  <c r="G28" i="11"/>
  <c r="C29" i="11" s="1"/>
  <c r="E29" i="11" s="1"/>
  <c r="F132" i="13" s="1"/>
  <c r="F28" i="11"/>
  <c r="G20" i="10"/>
  <c r="C21" i="10" s="1"/>
  <c r="G6" i="5"/>
  <c r="C7" i="5" s="1"/>
  <c r="H41" i="14" l="1"/>
  <c r="E22" i="13" s="1"/>
  <c r="F41" i="14"/>
  <c r="F43" i="5"/>
  <c r="G43" i="5"/>
  <c r="C44" i="5" s="1"/>
  <c r="F7" i="5"/>
  <c r="F19" i="10"/>
  <c r="E30" i="12"/>
  <c r="G30" i="12" s="1"/>
  <c r="C31" i="12" s="1"/>
  <c r="F31" i="12" s="1"/>
  <c r="G12" i="8"/>
  <c r="C13" i="8" s="1"/>
  <c r="F12" i="8"/>
  <c r="G30" i="7"/>
  <c r="C31" i="7" s="1"/>
  <c r="F30" i="7"/>
  <c r="G29" i="11"/>
  <c r="F29" i="11"/>
  <c r="G21" i="10"/>
  <c r="C22" i="10" s="1"/>
  <c r="F21" i="10"/>
  <c r="G7" i="5"/>
  <c r="C8" i="5" s="1"/>
  <c r="C30" i="11" l="1"/>
  <c r="E132" i="13"/>
  <c r="C42" i="14"/>
  <c r="F42" i="14" s="1"/>
  <c r="G41" i="14"/>
  <c r="F22" i="13"/>
  <c r="F44" i="5"/>
  <c r="G44" i="5"/>
  <c r="C45" i="5" s="1"/>
  <c r="F8" i="5"/>
  <c r="E31" i="12"/>
  <c r="G31" i="12" s="1"/>
  <c r="C32" i="12" s="1"/>
  <c r="F32" i="12" s="1"/>
  <c r="G13" i="8"/>
  <c r="C14" i="8" s="1"/>
  <c r="F13" i="8"/>
  <c r="G31" i="7"/>
  <c r="C32" i="7" s="1"/>
  <c r="F31" i="7"/>
  <c r="G30" i="11"/>
  <c r="C31" i="11" s="1"/>
  <c r="E31" i="11" s="1"/>
  <c r="G22" i="10"/>
  <c r="C23" i="10" s="1"/>
  <c r="F22" i="10"/>
  <c r="G8" i="5"/>
  <c r="C9" i="5" s="1"/>
  <c r="E30" i="11" l="1"/>
  <c r="B133" i="13"/>
  <c r="B23" i="13"/>
  <c r="H42" i="14"/>
  <c r="C43" i="14" s="1"/>
  <c r="F43" i="14" s="1"/>
  <c r="G43" i="14" s="1"/>
  <c r="G42" i="14"/>
  <c r="F45" i="5"/>
  <c r="G45" i="5"/>
  <c r="C46" i="5" s="1"/>
  <c r="F9" i="5"/>
  <c r="E32" i="12"/>
  <c r="G32" i="12" s="1"/>
  <c r="C33" i="12" s="1"/>
  <c r="F33" i="12" s="1"/>
  <c r="G14" i="8"/>
  <c r="C15" i="8" s="1"/>
  <c r="F14" i="8"/>
  <c r="G32" i="7"/>
  <c r="C33" i="7" s="1"/>
  <c r="F32" i="7"/>
  <c r="F31" i="11"/>
  <c r="G31" i="11"/>
  <c r="C32" i="11" s="1"/>
  <c r="E32" i="11" s="1"/>
  <c r="G23" i="10"/>
  <c r="C24" i="10" s="1"/>
  <c r="F23" i="10"/>
  <c r="G9" i="5"/>
  <c r="C10" i="5" s="1"/>
  <c r="F30" i="11" l="1"/>
  <c r="H43" i="14"/>
  <c r="C44" i="14" s="1"/>
  <c r="H44" i="14" s="1"/>
  <c r="C45" i="14" s="1"/>
  <c r="F46" i="5"/>
  <c r="G46" i="5"/>
  <c r="C47" i="5" s="1"/>
  <c r="F10" i="5"/>
  <c r="E33" i="12"/>
  <c r="G33" i="12" s="1"/>
  <c r="C34" i="12" s="1"/>
  <c r="F34" i="12" s="1"/>
  <c r="G15" i="8"/>
  <c r="C16" i="8" s="1"/>
  <c r="F15" i="8"/>
  <c r="G33" i="7"/>
  <c r="C34" i="7" s="1"/>
  <c r="F33" i="7"/>
  <c r="G32" i="11"/>
  <c r="C33" i="11" s="1"/>
  <c r="E33" i="11" s="1"/>
  <c r="F32" i="11"/>
  <c r="G24" i="10"/>
  <c r="C25" i="10" s="1"/>
  <c r="F24" i="10"/>
  <c r="G10" i="5"/>
  <c r="C11" i="5" s="1"/>
  <c r="F44" i="14" l="1"/>
  <c r="G44" i="14" s="1"/>
  <c r="H45" i="14"/>
  <c r="C46" i="14" s="1"/>
  <c r="F45" i="14"/>
  <c r="G45" i="14" s="1"/>
  <c r="F47" i="5"/>
  <c r="G47" i="5"/>
  <c r="C48" i="5" s="1"/>
  <c r="F11" i="5"/>
  <c r="E34" i="12"/>
  <c r="G34" i="12" s="1"/>
  <c r="C35" i="12" s="1"/>
  <c r="F35" i="12" s="1"/>
  <c r="G16" i="8"/>
  <c r="C17" i="8" s="1"/>
  <c r="F16" i="8"/>
  <c r="G34" i="7"/>
  <c r="C35" i="7" s="1"/>
  <c r="F34" i="7"/>
  <c r="G33" i="11"/>
  <c r="C34" i="11" s="1"/>
  <c r="E34" i="11" s="1"/>
  <c r="F33" i="11"/>
  <c r="G25" i="10"/>
  <c r="C26" i="10" s="1"/>
  <c r="F25" i="10"/>
  <c r="G11" i="5"/>
  <c r="C12" i="5" s="1"/>
  <c r="H46" i="14" l="1"/>
  <c r="C47" i="14" s="1"/>
  <c r="F46" i="14"/>
  <c r="F48" i="5"/>
  <c r="G48" i="5"/>
  <c r="C49" i="5" s="1"/>
  <c r="F12" i="5"/>
  <c r="E35" i="12"/>
  <c r="G35" i="12" s="1"/>
  <c r="C36" i="12" s="1"/>
  <c r="F36" i="12" s="1"/>
  <c r="G17" i="8"/>
  <c r="C18" i="8" s="1"/>
  <c r="F17" i="8"/>
  <c r="G35" i="7"/>
  <c r="C36" i="7" s="1"/>
  <c r="F35" i="7"/>
  <c r="G34" i="11"/>
  <c r="C35" i="11" s="1"/>
  <c r="E35" i="11" s="1"/>
  <c r="F34" i="11"/>
  <c r="G26" i="10"/>
  <c r="C27" i="10" s="1"/>
  <c r="F26" i="10"/>
  <c r="G12" i="5"/>
  <c r="C13" i="5" s="1"/>
  <c r="G5" i="2"/>
  <c r="C6" i="2" s="1"/>
  <c r="H47" i="14" l="1"/>
  <c r="C48" i="14" s="1"/>
  <c r="F47" i="14"/>
  <c r="G47" i="14" s="1"/>
  <c r="G46" i="14"/>
  <c r="F49" i="5"/>
  <c r="G49" i="5"/>
  <c r="C50" i="5" s="1"/>
  <c r="F13" i="5"/>
  <c r="E36" i="12"/>
  <c r="G36" i="12" s="1"/>
  <c r="C37" i="12" s="1"/>
  <c r="F37" i="12" s="1"/>
  <c r="G18" i="8"/>
  <c r="C19" i="8" s="1"/>
  <c r="F18" i="8"/>
  <c r="G36" i="7"/>
  <c r="C37" i="7" s="1"/>
  <c r="F36" i="7"/>
  <c r="F35" i="11"/>
  <c r="G35" i="11"/>
  <c r="C36" i="11" s="1"/>
  <c r="E36" i="11" s="1"/>
  <c r="G27" i="10"/>
  <c r="C28" i="10" s="1"/>
  <c r="F27" i="10"/>
  <c r="E6" i="3"/>
  <c r="G6" i="3" s="1"/>
  <c r="C7" i="3" s="1"/>
  <c r="G13" i="5"/>
  <c r="C14" i="5" s="1"/>
  <c r="E6" i="2"/>
  <c r="H48" i="14" l="1"/>
  <c r="C49" i="14" s="1"/>
  <c r="F48" i="14"/>
  <c r="G48" i="14" s="1"/>
  <c r="G6" i="2"/>
  <c r="C7" i="2" s="1"/>
  <c r="F50" i="5"/>
  <c r="G50" i="5"/>
  <c r="C51" i="5" s="1"/>
  <c r="F14" i="5"/>
  <c r="E37" i="12"/>
  <c r="G37" i="12" s="1"/>
  <c r="C38" i="12" s="1"/>
  <c r="F38" i="12" s="1"/>
  <c r="G19" i="8"/>
  <c r="C20" i="8" s="1"/>
  <c r="F19" i="8"/>
  <c r="G37" i="7"/>
  <c r="C38" i="7" s="1"/>
  <c r="F37" i="7"/>
  <c r="G36" i="11"/>
  <c r="C37" i="11" s="1"/>
  <c r="E37" i="11" s="1"/>
  <c r="F36" i="11"/>
  <c r="G28" i="10"/>
  <c r="C29" i="10" s="1"/>
  <c r="F28" i="10"/>
  <c r="E7" i="3"/>
  <c r="G7" i="3" s="1"/>
  <c r="G14" i="5"/>
  <c r="C15" i="5" s="1"/>
  <c r="E7" i="2"/>
  <c r="G7" i="2" s="1"/>
  <c r="C8" i="2" s="1"/>
  <c r="H49" i="14" l="1"/>
  <c r="C50" i="14" s="1"/>
  <c r="F49" i="14"/>
  <c r="G49" i="14" s="1"/>
  <c r="F51" i="5"/>
  <c r="G51" i="5"/>
  <c r="C52" i="5" s="1"/>
  <c r="F15" i="5"/>
  <c r="E38" i="12"/>
  <c r="G38" i="12" s="1"/>
  <c r="C39" i="12" s="1"/>
  <c r="F39" i="12" s="1"/>
  <c r="G20" i="8"/>
  <c r="C21" i="8" s="1"/>
  <c r="F20" i="8"/>
  <c r="G38" i="7"/>
  <c r="C39" i="7" s="1"/>
  <c r="F38" i="7"/>
  <c r="G37" i="11"/>
  <c r="C38" i="11" s="1"/>
  <c r="E38" i="11" s="1"/>
  <c r="F37" i="11"/>
  <c r="G29" i="10"/>
  <c r="C30" i="10" s="1"/>
  <c r="F61" i="13" s="1"/>
  <c r="F5" i="13" s="1"/>
  <c r="G5" i="13" s="1"/>
  <c r="F29" i="10"/>
  <c r="C8" i="3"/>
  <c r="F8" i="3" s="1"/>
  <c r="G15" i="5"/>
  <c r="C16" i="5" s="1"/>
  <c r="F8" i="2"/>
  <c r="E8" i="2" s="1"/>
  <c r="H50" i="14" l="1"/>
  <c r="C51" i="14" s="1"/>
  <c r="F50" i="14"/>
  <c r="G50" i="14" s="1"/>
  <c r="D6" i="15"/>
  <c r="D11" i="15" s="1"/>
  <c r="D13" i="15" s="1"/>
  <c r="I5" i="13"/>
  <c r="F45" i="17" s="1"/>
  <c r="G8" i="2"/>
  <c r="C9" i="2" s="1"/>
  <c r="F52" i="5"/>
  <c r="G52" i="5"/>
  <c r="C53" i="5" s="1"/>
  <c r="F16" i="5"/>
  <c r="E39" i="12"/>
  <c r="G39" i="12" s="1"/>
  <c r="C40" i="12" s="1"/>
  <c r="F40" i="12" s="1"/>
  <c r="G21" i="8"/>
  <c r="C22" i="8" s="1"/>
  <c r="F21" i="8"/>
  <c r="G39" i="7"/>
  <c r="C40" i="7" s="1"/>
  <c r="F39" i="7"/>
  <c r="G38" i="11"/>
  <c r="C39" i="11" s="1"/>
  <c r="E39" i="11" s="1"/>
  <c r="F38" i="11"/>
  <c r="G30" i="10"/>
  <c r="E61" i="13" s="1"/>
  <c r="F30" i="10"/>
  <c r="E8" i="3"/>
  <c r="G8" i="3" s="1"/>
  <c r="C9" i="3" s="1"/>
  <c r="G16" i="5"/>
  <c r="F9" i="2"/>
  <c r="E9" i="2" s="1"/>
  <c r="G9" i="2" s="1"/>
  <c r="C10" i="2" s="1"/>
  <c r="F46" i="17" l="1"/>
  <c r="F62" i="17" s="1"/>
  <c r="F64" i="17" s="1"/>
  <c r="O45" i="17"/>
  <c r="H51" i="14"/>
  <c r="C52" i="14" s="1"/>
  <c r="F51" i="14"/>
  <c r="G51" i="14" s="1"/>
  <c r="F71" i="17"/>
  <c r="E5" i="13"/>
  <c r="F33" i="18" s="1"/>
  <c r="F53" i="5"/>
  <c r="G53" i="5"/>
  <c r="C54" i="5" s="1"/>
  <c r="C31" i="10"/>
  <c r="E40" i="12"/>
  <c r="G40" i="12" s="1"/>
  <c r="C41" i="12" s="1"/>
  <c r="F41" i="12" s="1"/>
  <c r="G22" i="8"/>
  <c r="C23" i="8" s="1"/>
  <c r="F22" i="8"/>
  <c r="G40" i="7"/>
  <c r="C41" i="7" s="1"/>
  <c r="F40" i="7"/>
  <c r="F39" i="11"/>
  <c r="G39" i="11"/>
  <c r="C40" i="11" s="1"/>
  <c r="E40" i="11" s="1"/>
  <c r="G31" i="10"/>
  <c r="C32" i="10" s="1"/>
  <c r="E9" i="3"/>
  <c r="G9" i="3" s="1"/>
  <c r="C10" i="3" s="1"/>
  <c r="F10" i="3" s="1"/>
  <c r="E10" i="3" s="1"/>
  <c r="G10" i="3" s="1"/>
  <c r="C11" i="3" s="1"/>
  <c r="F11" i="3" s="1"/>
  <c r="F9" i="3"/>
  <c r="F10" i="2"/>
  <c r="E10" i="2" s="1"/>
  <c r="G10" i="2" s="1"/>
  <c r="C11" i="2" s="1"/>
  <c r="F11" i="2" s="1"/>
  <c r="E11" i="2" s="1"/>
  <c r="G11" i="2" s="1"/>
  <c r="C12" i="2" s="1"/>
  <c r="F12" i="2" s="1"/>
  <c r="E12" i="2" s="1"/>
  <c r="G12" i="2" s="1"/>
  <c r="C13" i="2" s="1"/>
  <c r="F13" i="2" s="1"/>
  <c r="E13" i="2" s="1"/>
  <c r="G13" i="2" s="1"/>
  <c r="C14" i="2" s="1"/>
  <c r="F14" i="2" s="1"/>
  <c r="E14" i="2" s="1"/>
  <c r="G14" i="2" s="1"/>
  <c r="C15" i="2" s="1"/>
  <c r="F15" i="2" s="1"/>
  <c r="E15" i="2" s="1"/>
  <c r="G15" i="2" s="1"/>
  <c r="C16" i="2" s="1"/>
  <c r="F16" i="2" s="1"/>
  <c r="E16" i="2" s="1"/>
  <c r="G16" i="2" s="1"/>
  <c r="C17" i="2" s="1"/>
  <c r="F17" i="2" s="1"/>
  <c r="E17" i="2" s="1"/>
  <c r="G17" i="2" s="1"/>
  <c r="C18" i="2" s="1"/>
  <c r="F18" i="2" s="1"/>
  <c r="E18" i="2" s="1"/>
  <c r="G18" i="2" s="1"/>
  <c r="C19" i="2" s="1"/>
  <c r="F19" i="2" s="1"/>
  <c r="E19" i="2" s="1"/>
  <c r="G19" i="2" s="1"/>
  <c r="C20" i="2" s="1"/>
  <c r="F20" i="2" s="1"/>
  <c r="E20" i="2" s="1"/>
  <c r="G20" i="2" s="1"/>
  <c r="C21" i="2" s="1"/>
  <c r="F21" i="2" s="1"/>
  <c r="E21" i="2" s="1"/>
  <c r="G21" i="2" s="1"/>
  <c r="C22" i="2" s="1"/>
  <c r="F22" i="2" s="1"/>
  <c r="E22" i="2" s="1"/>
  <c r="G22" i="2" s="1"/>
  <c r="C23" i="2" s="1"/>
  <c r="H52" i="14" l="1"/>
  <c r="C53" i="14" s="1"/>
  <c r="F52" i="14"/>
  <c r="G52" i="14" s="1"/>
  <c r="F66" i="17"/>
  <c r="F69" i="17" s="1"/>
  <c r="D4" i="15" s="1"/>
  <c r="D8" i="15" s="1"/>
  <c r="D15" i="15" s="1"/>
  <c r="F89" i="18"/>
  <c r="F18" i="18"/>
  <c r="F27" i="18" s="1"/>
  <c r="D176" i="13"/>
  <c r="D4" i="13" s="1"/>
  <c r="C9" i="15" s="1"/>
  <c r="F54" i="5"/>
  <c r="G54" i="5"/>
  <c r="C55" i="5" s="1"/>
  <c r="G32" i="10"/>
  <c r="E62" i="13" s="1"/>
  <c r="D32" i="10"/>
  <c r="D62" i="13" s="1"/>
  <c r="D6" i="13" s="1"/>
  <c r="B62" i="13"/>
  <c r="B6" i="13" s="1"/>
  <c r="F32" i="10"/>
  <c r="E41" i="12"/>
  <c r="G41" i="12" s="1"/>
  <c r="C42" i="12" s="1"/>
  <c r="F42" i="12" s="1"/>
  <c r="G23" i="8"/>
  <c r="C24" i="8" s="1"/>
  <c r="F23" i="8"/>
  <c r="G41" i="7"/>
  <c r="C42" i="7" s="1"/>
  <c r="F41" i="7"/>
  <c r="G40" i="11"/>
  <c r="C41" i="11" s="1"/>
  <c r="E41" i="11" s="1"/>
  <c r="F133" i="13" s="1"/>
  <c r="F40" i="11"/>
  <c r="F23" i="2"/>
  <c r="E23" i="2" s="1"/>
  <c r="G23" i="2" s="1"/>
  <c r="E11" i="3"/>
  <c r="G11" i="3" s="1"/>
  <c r="C12" i="3" s="1"/>
  <c r="F12" i="3" s="1"/>
  <c r="E9" i="15" l="1"/>
  <c r="F34" i="18"/>
  <c r="H53" i="14"/>
  <c r="E23" i="13" s="1"/>
  <c r="F53" i="14"/>
  <c r="F55" i="5"/>
  <c r="G55" i="5"/>
  <c r="C56" i="5" s="1"/>
  <c r="F118" i="13"/>
  <c r="F4" i="13" s="1"/>
  <c r="F31" i="10"/>
  <c r="F62" i="13"/>
  <c r="F6" i="13" s="1"/>
  <c r="G6" i="13" s="1"/>
  <c r="E42" i="12"/>
  <c r="G42" i="12" s="1"/>
  <c r="C43" i="12" s="1"/>
  <c r="F43" i="12" s="1"/>
  <c r="G24" i="8"/>
  <c r="C25" i="8" s="1"/>
  <c r="F24" i="8"/>
  <c r="G42" i="7"/>
  <c r="C43" i="7" s="1"/>
  <c r="F42" i="7"/>
  <c r="G41" i="11"/>
  <c r="F41" i="11"/>
  <c r="E12" i="3"/>
  <c r="G12" i="3" s="1"/>
  <c r="C13" i="3" s="1"/>
  <c r="F13" i="3" s="1"/>
  <c r="F35" i="18" l="1"/>
  <c r="F42" i="18" s="1"/>
  <c r="F8" i="18"/>
  <c r="F11" i="18" s="1"/>
  <c r="F28" i="18" s="1"/>
  <c r="C42" i="11"/>
  <c r="E133" i="13"/>
  <c r="E6" i="13" s="1"/>
  <c r="G33" i="18" s="1"/>
  <c r="G35" i="18" s="1"/>
  <c r="G42" i="18" s="1"/>
  <c r="C54" i="14"/>
  <c r="F54" i="14" s="1"/>
  <c r="E6" i="15"/>
  <c r="E11" i="15" s="1"/>
  <c r="E13" i="15" s="1"/>
  <c r="I6" i="13"/>
  <c r="G45" i="17" s="1"/>
  <c r="C6" i="15"/>
  <c r="I4" i="13"/>
  <c r="E45" i="17" s="1"/>
  <c r="E46" i="17" s="1"/>
  <c r="E62" i="17" s="1"/>
  <c r="E71" i="17" s="1"/>
  <c r="G53" i="14"/>
  <c r="F23" i="13"/>
  <c r="F56" i="5"/>
  <c r="G56" i="5"/>
  <c r="C57" i="5" s="1"/>
  <c r="E118" i="13"/>
  <c r="E4" i="13" s="1"/>
  <c r="E33" i="18" s="1"/>
  <c r="E35" i="18" s="1"/>
  <c r="E42" i="18" s="1"/>
  <c r="E43" i="12"/>
  <c r="G43" i="12" s="1"/>
  <c r="C44" i="12" s="1"/>
  <c r="F44" i="12" s="1"/>
  <c r="G25" i="8"/>
  <c r="C26" i="8" s="1"/>
  <c r="F25" i="8"/>
  <c r="G43" i="7"/>
  <c r="C44" i="7" s="1"/>
  <c r="F43" i="7"/>
  <c r="G42" i="11"/>
  <c r="C43" i="11" s="1"/>
  <c r="E43" i="11" s="1"/>
  <c r="E13" i="3"/>
  <c r="G13" i="3" s="1"/>
  <c r="C14" i="3" s="1"/>
  <c r="F14" i="3" s="1"/>
  <c r="G46" i="17" l="1"/>
  <c r="G62" i="17" s="1"/>
  <c r="P45" i="17"/>
  <c r="F43" i="18"/>
  <c r="E42" i="11"/>
  <c r="B134" i="13"/>
  <c r="B7" i="13" s="1"/>
  <c r="B24" i="13"/>
  <c r="H54" i="14"/>
  <c r="C55" i="14" s="1"/>
  <c r="H55" i="14" s="1"/>
  <c r="C56" i="14" s="1"/>
  <c r="G71" i="17"/>
  <c r="G64" i="17"/>
  <c r="E64" i="17"/>
  <c r="C11" i="15"/>
  <c r="G54" i="14"/>
  <c r="F57" i="5"/>
  <c r="G57" i="5"/>
  <c r="C58" i="5" s="1"/>
  <c r="B119" i="13"/>
  <c r="B5" i="13" s="1"/>
  <c r="E44" i="12"/>
  <c r="G44" i="12" s="1"/>
  <c r="C45" i="12" s="1"/>
  <c r="F45" i="12" s="1"/>
  <c r="G26" i="8"/>
  <c r="C27" i="8" s="1"/>
  <c r="F26" i="8"/>
  <c r="G44" i="7"/>
  <c r="C45" i="7" s="1"/>
  <c r="F44" i="7"/>
  <c r="F43" i="11"/>
  <c r="G43" i="11"/>
  <c r="C44" i="11" s="1"/>
  <c r="E44" i="11" s="1"/>
  <c r="E14" i="3"/>
  <c r="G14" i="3" s="1"/>
  <c r="C15" i="3" s="1"/>
  <c r="F15" i="3" s="1"/>
  <c r="F42" i="11" l="1"/>
  <c r="F55" i="14"/>
  <c r="G55" i="14" s="1"/>
  <c r="H56" i="14"/>
  <c r="C57" i="14" s="1"/>
  <c r="F56" i="14"/>
  <c r="G89" i="18"/>
  <c r="G18" i="18"/>
  <c r="G27" i="18" s="1"/>
  <c r="G28" i="18" s="1"/>
  <c r="G43" i="18" s="1"/>
  <c r="G66" i="17"/>
  <c r="G69" i="17" s="1"/>
  <c r="E4" i="15" s="1"/>
  <c r="E8" i="15" s="1"/>
  <c r="E15" i="15" s="1"/>
  <c r="C13" i="15"/>
  <c r="E66" i="17"/>
  <c r="E69" i="17" s="1"/>
  <c r="E89" i="18"/>
  <c r="E18" i="18"/>
  <c r="E27" i="18" s="1"/>
  <c r="E28" i="18" s="1"/>
  <c r="E43" i="18" s="1"/>
  <c r="F58" i="5"/>
  <c r="G58" i="5"/>
  <c r="C59" i="5" s="1"/>
  <c r="E45" i="12"/>
  <c r="G45" i="12" s="1"/>
  <c r="C46" i="12" s="1"/>
  <c r="F46" i="12" s="1"/>
  <c r="G27" i="8"/>
  <c r="C28" i="8" s="1"/>
  <c r="F27" i="8"/>
  <c r="G45" i="7"/>
  <c r="C46" i="7" s="1"/>
  <c r="F45" i="7"/>
  <c r="G44" i="11"/>
  <c r="C45" i="11" s="1"/>
  <c r="E45" i="11" s="1"/>
  <c r="F44" i="11"/>
  <c r="E15" i="3"/>
  <c r="G15" i="3" s="1"/>
  <c r="C16" i="3" s="1"/>
  <c r="F16" i="3" s="1"/>
  <c r="H57" i="14" l="1"/>
  <c r="C58" i="14" s="1"/>
  <c r="F57" i="14"/>
  <c r="G57" i="14" s="1"/>
  <c r="C4" i="15"/>
  <c r="G56" i="14"/>
  <c r="F59" i="5"/>
  <c r="G59" i="5"/>
  <c r="C60" i="5" s="1"/>
  <c r="E46" i="12"/>
  <c r="G46" i="12" s="1"/>
  <c r="C47" i="12" s="1"/>
  <c r="F47" i="12" s="1"/>
  <c r="G28" i="8"/>
  <c r="C29" i="8" s="1"/>
  <c r="F28" i="8"/>
  <c r="G46" i="7"/>
  <c r="C47" i="7" s="1"/>
  <c r="F46" i="7"/>
  <c r="G45" i="11"/>
  <c r="C46" i="11" s="1"/>
  <c r="E46" i="11" s="1"/>
  <c r="F45" i="11"/>
  <c r="E16" i="3"/>
  <c r="G16" i="3" s="1"/>
  <c r="C17" i="3" s="1"/>
  <c r="F17" i="3" s="1"/>
  <c r="H58" i="14" l="1"/>
  <c r="C59" i="14" s="1"/>
  <c r="F58" i="14"/>
  <c r="G58" i="14" s="1"/>
  <c r="C8" i="15"/>
  <c r="C15" i="15" s="1"/>
  <c r="F53" i="18"/>
  <c r="E57" i="18"/>
  <c r="E58" i="18" s="1"/>
  <c r="E62" i="18" s="1"/>
  <c r="E94" i="18" s="1"/>
  <c r="F60" i="5"/>
  <c r="G60" i="5"/>
  <c r="C61" i="5" s="1"/>
  <c r="E47" i="12"/>
  <c r="G47" i="12" s="1"/>
  <c r="C48" i="12" s="1"/>
  <c r="F48" i="12" s="1"/>
  <c r="G29" i="8"/>
  <c r="C30" i="8" s="1"/>
  <c r="F29" i="8"/>
  <c r="G47" i="7"/>
  <c r="C48" i="7" s="1"/>
  <c r="F47" i="7"/>
  <c r="G46" i="11"/>
  <c r="C47" i="11" s="1"/>
  <c r="E47" i="11" s="1"/>
  <c r="F46" i="11"/>
  <c r="E17" i="3"/>
  <c r="G17" i="3" s="1"/>
  <c r="C18" i="3" s="1"/>
  <c r="F18" i="3" s="1"/>
  <c r="H59" i="14" l="1"/>
  <c r="C60" i="14" s="1"/>
  <c r="F59" i="14"/>
  <c r="E121" i="18"/>
  <c r="E123" i="18" s="1"/>
  <c r="E125" i="18"/>
  <c r="G53" i="18"/>
  <c r="F57" i="18"/>
  <c r="F58" i="18" s="1"/>
  <c r="F61" i="5"/>
  <c r="G61" i="5"/>
  <c r="C62" i="5" s="1"/>
  <c r="E48" i="12"/>
  <c r="G48" i="12" s="1"/>
  <c r="C49" i="12" s="1"/>
  <c r="F49" i="12" s="1"/>
  <c r="G30" i="8"/>
  <c r="C31" i="8" s="1"/>
  <c r="F30" i="8"/>
  <c r="G48" i="7"/>
  <c r="C49" i="7" s="1"/>
  <c r="F48" i="7"/>
  <c r="F47" i="11"/>
  <c r="G47" i="11"/>
  <c r="C48" i="11" s="1"/>
  <c r="E48" i="11" s="1"/>
  <c r="E18" i="3"/>
  <c r="G18" i="3" s="1"/>
  <c r="C19" i="3" s="1"/>
  <c r="F19" i="3" s="1"/>
  <c r="H60" i="14" l="1"/>
  <c r="C61" i="14" s="1"/>
  <c r="F60" i="14"/>
  <c r="G60" i="14" s="1"/>
  <c r="F62" i="18"/>
  <c r="F94" i="18" s="1"/>
  <c r="G57" i="18"/>
  <c r="G58" i="18" s="1"/>
  <c r="G62" i="18" s="1"/>
  <c r="G94" i="18" s="1"/>
  <c r="G59" i="14"/>
  <c r="F62" i="5"/>
  <c r="G62" i="5"/>
  <c r="C63" i="5" s="1"/>
  <c r="E49" i="12"/>
  <c r="G49" i="12" s="1"/>
  <c r="C50" i="12" s="1"/>
  <c r="F50" i="12" s="1"/>
  <c r="G31" i="8"/>
  <c r="C32" i="8" s="1"/>
  <c r="F31" i="8"/>
  <c r="G49" i="7"/>
  <c r="C50" i="7" s="1"/>
  <c r="F49" i="7"/>
  <c r="G48" i="11"/>
  <c r="C49" i="11" s="1"/>
  <c r="E49" i="11" s="1"/>
  <c r="F48" i="11"/>
  <c r="E19" i="3"/>
  <c r="G19" i="3" s="1"/>
  <c r="C20" i="3" s="1"/>
  <c r="F20" i="3" s="1"/>
  <c r="H61" i="14" l="1"/>
  <c r="C62" i="14" s="1"/>
  <c r="F61" i="14"/>
  <c r="G61" i="14" s="1"/>
  <c r="G121" i="18"/>
  <c r="G123" i="18" s="1"/>
  <c r="G125" i="18"/>
  <c r="F121" i="18"/>
  <c r="F123" i="18" s="1"/>
  <c r="F125" i="18"/>
  <c r="F63" i="5"/>
  <c r="G63" i="5"/>
  <c r="C64" i="5" s="1"/>
  <c r="E50" i="12"/>
  <c r="G50" i="12" s="1"/>
  <c r="C51" i="12" s="1"/>
  <c r="F51" i="12" s="1"/>
  <c r="G32" i="8"/>
  <c r="C33" i="8" s="1"/>
  <c r="F32" i="8"/>
  <c r="G50" i="7"/>
  <c r="C51" i="7" s="1"/>
  <c r="F50" i="7"/>
  <c r="G49" i="11"/>
  <c r="C50" i="11" s="1"/>
  <c r="E50" i="11" s="1"/>
  <c r="F49" i="11"/>
  <c r="E20" i="3"/>
  <c r="G20" i="3" s="1"/>
  <c r="C21" i="3" s="1"/>
  <c r="F21" i="3" s="1"/>
  <c r="H62" i="14" l="1"/>
  <c r="C63" i="14" s="1"/>
  <c r="F62" i="14"/>
  <c r="G62" i="14" s="1"/>
  <c r="F64" i="5"/>
  <c r="G64" i="5"/>
  <c r="C65" i="5" s="1"/>
  <c r="E51" i="12"/>
  <c r="G51" i="12" s="1"/>
  <c r="C52" i="12" s="1"/>
  <c r="F52" i="12" s="1"/>
  <c r="G33" i="8"/>
  <c r="C34" i="8" s="1"/>
  <c r="F33" i="8"/>
  <c r="G51" i="7"/>
  <c r="C52" i="7" s="1"/>
  <c r="F51" i="7"/>
  <c r="G50" i="11"/>
  <c r="C51" i="11" s="1"/>
  <c r="E51" i="11" s="1"/>
  <c r="F50" i="11"/>
  <c r="E21" i="3"/>
  <c r="G21" i="3" s="1"/>
  <c r="C22" i="3" s="1"/>
  <c r="F22" i="3" s="1"/>
  <c r="H63" i="14" l="1"/>
  <c r="C64" i="14" s="1"/>
  <c r="F63" i="14"/>
  <c r="G63" i="14" s="1"/>
  <c r="F65" i="5"/>
  <c r="G65" i="5"/>
  <c r="C66" i="5" s="1"/>
  <c r="E52" i="12"/>
  <c r="G52" i="12" s="1"/>
  <c r="C53" i="12" s="1"/>
  <c r="F53" i="12" s="1"/>
  <c r="G34" i="8"/>
  <c r="C35" i="8" s="1"/>
  <c r="F34" i="8"/>
  <c r="G52" i="7"/>
  <c r="C53" i="7" s="1"/>
  <c r="F52" i="7"/>
  <c r="F51" i="11"/>
  <c r="G51" i="11"/>
  <c r="C52" i="11" s="1"/>
  <c r="E52" i="11" s="1"/>
  <c r="E22" i="3"/>
  <c r="G22" i="3" s="1"/>
  <c r="C23" i="3" s="1"/>
  <c r="F23" i="3" s="1"/>
  <c r="H64" i="14" l="1"/>
  <c r="C65" i="14" s="1"/>
  <c r="F64" i="14"/>
  <c r="G64" i="14" s="1"/>
  <c r="F66" i="5"/>
  <c r="G66" i="5"/>
  <c r="C67" i="5" s="1"/>
  <c r="E53" i="12"/>
  <c r="G53" i="12" s="1"/>
  <c r="C54" i="12" s="1"/>
  <c r="F54" i="12" s="1"/>
  <c r="G35" i="8"/>
  <c r="C36" i="8" s="1"/>
  <c r="F35" i="8"/>
  <c r="G53" i="7"/>
  <c r="C54" i="7" s="1"/>
  <c r="F53" i="7"/>
  <c r="G52" i="11"/>
  <c r="C53" i="11" s="1"/>
  <c r="E53" i="11" s="1"/>
  <c r="F134" i="13" s="1"/>
  <c r="F7" i="13" s="1"/>
  <c r="G7" i="13" s="1"/>
  <c r="F52" i="11"/>
  <c r="E23" i="3"/>
  <c r="G23" i="3" s="1"/>
  <c r="C24" i="3" s="1"/>
  <c r="F24" i="3" s="1"/>
  <c r="I7" i="13" l="1"/>
  <c r="H45" i="17" s="1"/>
  <c r="F6" i="15"/>
  <c r="F11" i="15" s="1"/>
  <c r="F13" i="15" s="1"/>
  <c r="H65" i="14"/>
  <c r="E24" i="13" s="1"/>
  <c r="F65" i="14"/>
  <c r="F67" i="5"/>
  <c r="G67" i="5"/>
  <c r="C68" i="5" s="1"/>
  <c r="E54" i="12"/>
  <c r="G54" i="12" s="1"/>
  <c r="C55" i="12" s="1"/>
  <c r="F55" i="12" s="1"/>
  <c r="G36" i="8"/>
  <c r="C37" i="8" s="1"/>
  <c r="F36" i="8"/>
  <c r="G54" i="7"/>
  <c r="C55" i="7" s="1"/>
  <c r="F54" i="7"/>
  <c r="G53" i="11"/>
  <c r="F53" i="11"/>
  <c r="E24" i="3"/>
  <c r="G24" i="3" s="1"/>
  <c r="C25" i="3" s="1"/>
  <c r="F25" i="3" s="1"/>
  <c r="H46" i="17" l="1"/>
  <c r="H62" i="17" s="1"/>
  <c r="H64" i="17" s="1"/>
  <c r="Q45" i="17"/>
  <c r="C54" i="11"/>
  <c r="E134" i="13"/>
  <c r="E7" i="13" s="1"/>
  <c r="H33" i="18" s="1"/>
  <c r="H35" i="18" s="1"/>
  <c r="H42" i="18" s="1"/>
  <c r="H71" i="17"/>
  <c r="C66" i="14"/>
  <c r="F66" i="14" s="1"/>
  <c r="G65" i="14"/>
  <c r="F24" i="13"/>
  <c r="F68" i="5"/>
  <c r="G68" i="5"/>
  <c r="C69" i="5" s="1"/>
  <c r="E55" i="12"/>
  <c r="G55" i="12" s="1"/>
  <c r="C56" i="12" s="1"/>
  <c r="F56" i="12" s="1"/>
  <c r="G37" i="8"/>
  <c r="C38" i="8" s="1"/>
  <c r="F37" i="8"/>
  <c r="G55" i="7"/>
  <c r="C56" i="7" s="1"/>
  <c r="F55" i="7"/>
  <c r="G54" i="11"/>
  <c r="C55" i="11" s="1"/>
  <c r="E55" i="11" s="1"/>
  <c r="E25" i="3"/>
  <c r="G25" i="3" s="1"/>
  <c r="C26" i="3" s="1"/>
  <c r="F26" i="3" s="1"/>
  <c r="H66" i="17" l="1"/>
  <c r="H69" i="17" s="1"/>
  <c r="H18" i="18"/>
  <c r="H27" i="18" s="1"/>
  <c r="H28" i="18" s="1"/>
  <c r="H43" i="18" s="1"/>
  <c r="H89" i="18"/>
  <c r="E54" i="11"/>
  <c r="B135" i="13"/>
  <c r="B8" i="13" s="1"/>
  <c r="B25" i="13"/>
  <c r="H66" i="14"/>
  <c r="C67" i="14" s="1"/>
  <c r="H67" i="14" s="1"/>
  <c r="C68" i="14" s="1"/>
  <c r="G66" i="14"/>
  <c r="F69" i="5"/>
  <c r="G69" i="5"/>
  <c r="C70" i="5" s="1"/>
  <c r="E56" i="12"/>
  <c r="G56" i="12" s="1"/>
  <c r="C57" i="12" s="1"/>
  <c r="F57" i="12" s="1"/>
  <c r="G38" i="8"/>
  <c r="C39" i="8" s="1"/>
  <c r="F38" i="8"/>
  <c r="G56" i="7"/>
  <c r="C57" i="7" s="1"/>
  <c r="F56" i="7"/>
  <c r="F55" i="11"/>
  <c r="G55" i="11"/>
  <c r="C56" i="11" s="1"/>
  <c r="E56" i="11" s="1"/>
  <c r="E26" i="3"/>
  <c r="G26" i="3" s="1"/>
  <c r="C27" i="3" s="1"/>
  <c r="F27" i="3" s="1"/>
  <c r="F4" i="15" l="1"/>
  <c r="F8" i="15" s="1"/>
  <c r="F15" i="15" s="1"/>
  <c r="H53" i="18"/>
  <c r="H57" i="18" s="1"/>
  <c r="H58" i="18" s="1"/>
  <c r="H62" i="18" s="1"/>
  <c r="H94" i="18" s="1"/>
  <c r="F54" i="11"/>
  <c r="F67" i="14"/>
  <c r="G67" i="14" s="1"/>
  <c r="H68" i="14"/>
  <c r="C69" i="14" s="1"/>
  <c r="F68" i="14"/>
  <c r="F70" i="5"/>
  <c r="G70" i="5"/>
  <c r="C71" i="5" s="1"/>
  <c r="E57" i="12"/>
  <c r="G57" i="12" s="1"/>
  <c r="C58" i="12" s="1"/>
  <c r="F58" i="12" s="1"/>
  <c r="G39" i="8"/>
  <c r="C40" i="8" s="1"/>
  <c r="F39" i="8"/>
  <c r="G57" i="7"/>
  <c r="C58" i="7" s="1"/>
  <c r="F57" i="7"/>
  <c r="G56" i="11"/>
  <c r="C57" i="11" s="1"/>
  <c r="E57" i="11" s="1"/>
  <c r="F56" i="11"/>
  <c r="E27" i="3"/>
  <c r="G27" i="3" s="1"/>
  <c r="C28" i="3" s="1"/>
  <c r="H121" i="18" l="1"/>
  <c r="H123" i="18" s="1"/>
  <c r="H125" i="18"/>
  <c r="H69" i="14"/>
  <c r="C70" i="14" s="1"/>
  <c r="F69" i="14"/>
  <c r="G69" i="14" s="1"/>
  <c r="G68" i="14"/>
  <c r="F71" i="5"/>
  <c r="G71" i="5"/>
  <c r="C72" i="5" s="1"/>
  <c r="E58" i="12"/>
  <c r="G58" i="12" s="1"/>
  <c r="C59" i="12" s="1"/>
  <c r="F59" i="12" s="1"/>
  <c r="G40" i="8"/>
  <c r="C41" i="8" s="1"/>
  <c r="F40" i="8"/>
  <c r="G58" i="7"/>
  <c r="C59" i="7" s="1"/>
  <c r="F58" i="7"/>
  <c r="G57" i="11"/>
  <c r="C58" i="11" s="1"/>
  <c r="E58" i="11" s="1"/>
  <c r="F57" i="11"/>
  <c r="E28" i="3"/>
  <c r="G28" i="3" s="1"/>
  <c r="C29" i="3" s="1"/>
  <c r="F29" i="3" s="1"/>
  <c r="E29" i="3" s="1"/>
  <c r="G29" i="3" s="1"/>
  <c r="C30" i="3" s="1"/>
  <c r="F30" i="3" s="1"/>
  <c r="F28" i="3"/>
  <c r="H70" i="14" l="1"/>
  <c r="C71" i="14" s="1"/>
  <c r="F70" i="14"/>
  <c r="G70" i="14" s="1"/>
  <c r="F72" i="5"/>
  <c r="G72" i="5"/>
  <c r="C73" i="5" s="1"/>
  <c r="E59" i="12"/>
  <c r="G59" i="12" s="1"/>
  <c r="C60" i="12" s="1"/>
  <c r="F60" i="12" s="1"/>
  <c r="G41" i="8"/>
  <c r="C42" i="8" s="1"/>
  <c r="F41" i="8"/>
  <c r="G59" i="7"/>
  <c r="C60" i="7" s="1"/>
  <c r="F59" i="7"/>
  <c r="G58" i="11"/>
  <c r="C59" i="11" s="1"/>
  <c r="E59" i="11" s="1"/>
  <c r="F58" i="11"/>
  <c r="E30" i="3"/>
  <c r="G30" i="3" s="1"/>
  <c r="C31" i="3" s="1"/>
  <c r="F31" i="3" s="1"/>
  <c r="H71" i="14" l="1"/>
  <c r="C72" i="14" s="1"/>
  <c r="F71" i="14"/>
  <c r="G71" i="14" s="1"/>
  <c r="F73" i="5"/>
  <c r="G73" i="5"/>
  <c r="C74" i="5" s="1"/>
  <c r="E60" i="12"/>
  <c r="G60" i="12" s="1"/>
  <c r="C61" i="12" s="1"/>
  <c r="F61" i="12" s="1"/>
  <c r="G42" i="8"/>
  <c r="C43" i="8" s="1"/>
  <c r="F42" i="8"/>
  <c r="G60" i="7"/>
  <c r="C61" i="7" s="1"/>
  <c r="F60" i="7"/>
  <c r="F59" i="11"/>
  <c r="G59" i="11"/>
  <c r="C60" i="11" s="1"/>
  <c r="E60" i="11" s="1"/>
  <c r="E31" i="3"/>
  <c r="G31" i="3" s="1"/>
  <c r="C32" i="3" s="1"/>
  <c r="F32" i="3" s="1"/>
  <c r="H72" i="14" l="1"/>
  <c r="C73" i="14" s="1"/>
  <c r="F72" i="14"/>
  <c r="G72" i="14" s="1"/>
  <c r="F74" i="5"/>
  <c r="G74" i="5"/>
  <c r="C75" i="5" s="1"/>
  <c r="E61" i="12"/>
  <c r="G61" i="12" s="1"/>
  <c r="C62" i="12" s="1"/>
  <c r="F62" i="12" s="1"/>
  <c r="G43" i="8"/>
  <c r="C44" i="8" s="1"/>
  <c r="F43" i="8"/>
  <c r="G61" i="7"/>
  <c r="C62" i="7" s="1"/>
  <c r="F61" i="7"/>
  <c r="G60" i="11"/>
  <c r="C61" i="11" s="1"/>
  <c r="E61" i="11" s="1"/>
  <c r="F60" i="11"/>
  <c r="E32" i="3"/>
  <c r="G32" i="3" s="1"/>
  <c r="C33" i="3" s="1"/>
  <c r="F33" i="3" s="1"/>
  <c r="H73" i="14" l="1"/>
  <c r="C74" i="14" s="1"/>
  <c r="F73" i="14"/>
  <c r="G73" i="14" s="1"/>
  <c r="F75" i="5"/>
  <c r="G75" i="5"/>
  <c r="C76" i="5" s="1"/>
  <c r="E62" i="12"/>
  <c r="G62" i="12" s="1"/>
  <c r="C63" i="12" s="1"/>
  <c r="F63" i="12" s="1"/>
  <c r="G44" i="8"/>
  <c r="C45" i="8" s="1"/>
  <c r="F44" i="8"/>
  <c r="D62" i="7"/>
  <c r="G61" i="11"/>
  <c r="C62" i="11" s="1"/>
  <c r="E62" i="11" s="1"/>
  <c r="F61" i="11"/>
  <c r="E33" i="3"/>
  <c r="G33" i="3" s="1"/>
  <c r="C34" i="3" s="1"/>
  <c r="F34" i="3" s="1"/>
  <c r="H74" i="14" l="1"/>
  <c r="C75" i="14" s="1"/>
  <c r="F74" i="14"/>
  <c r="G74" i="14" s="1"/>
  <c r="F76" i="5"/>
  <c r="G76" i="5"/>
  <c r="E63" i="12"/>
  <c r="G63" i="12" s="1"/>
  <c r="C64" i="12" s="1"/>
  <c r="F64" i="12" s="1"/>
  <c r="G45" i="8"/>
  <c r="C46" i="8" s="1"/>
  <c r="F45" i="8"/>
  <c r="G62" i="7"/>
  <c r="F62" i="7"/>
  <c r="G62" i="11"/>
  <c r="C63" i="11" s="1"/>
  <c r="E63" i="11" s="1"/>
  <c r="E34" i="3"/>
  <c r="G34" i="3" s="1"/>
  <c r="C35" i="3" s="1"/>
  <c r="F35" i="3" s="1"/>
  <c r="H75" i="14" l="1"/>
  <c r="C76" i="14" s="1"/>
  <c r="F75" i="14"/>
  <c r="G75" i="14" s="1"/>
  <c r="E64" i="12"/>
  <c r="G64" i="12" s="1"/>
  <c r="C65" i="12" s="1"/>
  <c r="F65" i="12" s="1"/>
  <c r="G63" i="11"/>
  <c r="C64" i="11" s="1"/>
  <c r="E64" i="11" s="1"/>
  <c r="F63" i="11"/>
  <c r="G46" i="8"/>
  <c r="C47" i="8" s="1"/>
  <c r="F46" i="8"/>
  <c r="F62" i="11"/>
  <c r="E35" i="3"/>
  <c r="G35" i="3" s="1"/>
  <c r="C36" i="3" s="1"/>
  <c r="F36" i="3" s="1"/>
  <c r="H76" i="14" l="1"/>
  <c r="C77" i="14" s="1"/>
  <c r="F76" i="14"/>
  <c r="G76" i="14" s="1"/>
  <c r="E65" i="12"/>
  <c r="G65" i="12" s="1"/>
  <c r="C66" i="12" s="1"/>
  <c r="F66" i="12" s="1"/>
  <c r="G64" i="11"/>
  <c r="C65" i="11" s="1"/>
  <c r="E65" i="11" s="1"/>
  <c r="F135" i="13" s="1"/>
  <c r="F8" i="13" s="1"/>
  <c r="G8" i="13" s="1"/>
  <c r="F64" i="11"/>
  <c r="G47" i="8"/>
  <c r="C48" i="8" s="1"/>
  <c r="F47" i="8"/>
  <c r="E36" i="3"/>
  <c r="G36" i="3" s="1"/>
  <c r="C37" i="3" s="1"/>
  <c r="F37" i="3" s="1"/>
  <c r="G6" i="15" l="1"/>
  <c r="G11" i="15" s="1"/>
  <c r="G13" i="15" s="1"/>
  <c r="I8" i="13"/>
  <c r="I45" i="17" s="1"/>
  <c r="H77" i="14"/>
  <c r="E25" i="13" s="1"/>
  <c r="F77" i="14"/>
  <c r="E66" i="12"/>
  <c r="G66" i="12" s="1"/>
  <c r="C67" i="12" s="1"/>
  <c r="F67" i="12" s="1"/>
  <c r="F65" i="11"/>
  <c r="G65" i="11"/>
  <c r="G48" i="8"/>
  <c r="C49" i="8" s="1"/>
  <c r="F48" i="8"/>
  <c r="E37" i="3"/>
  <c r="G37" i="3" s="1"/>
  <c r="C38" i="3" s="1"/>
  <c r="F38" i="3" s="1"/>
  <c r="I46" i="17" l="1"/>
  <c r="I62" i="17" s="1"/>
  <c r="R45" i="17"/>
  <c r="C66" i="11"/>
  <c r="E135" i="13"/>
  <c r="E8" i="13" s="1"/>
  <c r="I33" i="18" s="1"/>
  <c r="I35" i="18" s="1"/>
  <c r="I42" i="18" s="1"/>
  <c r="I64" i="17"/>
  <c r="I71" i="17"/>
  <c r="C78" i="14"/>
  <c r="F78" i="14" s="1"/>
  <c r="G77" i="14"/>
  <c r="F25" i="13"/>
  <c r="E67" i="12"/>
  <c r="G67" i="12" s="1"/>
  <c r="C68" i="12" s="1"/>
  <c r="F68" i="12" s="1"/>
  <c r="G66" i="11"/>
  <c r="C67" i="11" s="1"/>
  <c r="E67" i="11" s="1"/>
  <c r="G49" i="8"/>
  <c r="C50" i="8" s="1"/>
  <c r="F49" i="8"/>
  <c r="E38" i="3"/>
  <c r="G38" i="3" s="1"/>
  <c r="C39" i="3" s="1"/>
  <c r="F39" i="3" s="1"/>
  <c r="I66" i="17" l="1"/>
  <c r="I69" i="17" s="1"/>
  <c r="I89" i="18"/>
  <c r="I18" i="18"/>
  <c r="I27" i="18" s="1"/>
  <c r="I28" i="18" s="1"/>
  <c r="I43" i="18" s="1"/>
  <c r="E66" i="11"/>
  <c r="B136" i="13"/>
  <c r="B9" i="13" s="1"/>
  <c r="B26" i="13"/>
  <c r="H78" i="14"/>
  <c r="C79" i="14" s="1"/>
  <c r="F79" i="14" s="1"/>
  <c r="G79" i="14" s="1"/>
  <c r="G78" i="14"/>
  <c r="E68" i="12"/>
  <c r="G68" i="12" s="1"/>
  <c r="C69" i="12" s="1"/>
  <c r="F69" i="12" s="1"/>
  <c r="F67" i="11"/>
  <c r="G67" i="11"/>
  <c r="C68" i="11" s="1"/>
  <c r="E68" i="11" s="1"/>
  <c r="G50" i="8"/>
  <c r="C51" i="8" s="1"/>
  <c r="F50" i="8"/>
  <c r="E39" i="3"/>
  <c r="G39" i="3" s="1"/>
  <c r="C40" i="3" s="1"/>
  <c r="G4" i="15" l="1"/>
  <c r="G8" i="15" s="1"/>
  <c r="G15" i="15" s="1"/>
  <c r="I53" i="18"/>
  <c r="I57" i="18" s="1"/>
  <c r="I58" i="18" s="1"/>
  <c r="I62" i="18" s="1"/>
  <c r="I94" i="18" s="1"/>
  <c r="F66" i="11"/>
  <c r="H79" i="14"/>
  <c r="C80" i="14" s="1"/>
  <c r="F80" i="14" s="1"/>
  <c r="G80" i="14" s="1"/>
  <c r="E69" i="12"/>
  <c r="G69" i="12" s="1"/>
  <c r="C70" i="12" s="1"/>
  <c r="F70" i="12" s="1"/>
  <c r="G68" i="11"/>
  <c r="C69" i="11" s="1"/>
  <c r="E69" i="11" s="1"/>
  <c r="F68" i="11"/>
  <c r="D51" i="8"/>
  <c r="E40" i="3"/>
  <c r="G40" i="3" s="1"/>
  <c r="C41" i="3" s="1"/>
  <c r="F40" i="3"/>
  <c r="I121" i="18" l="1"/>
  <c r="I123" i="18" s="1"/>
  <c r="I125" i="18"/>
  <c r="H80" i="14"/>
  <c r="C81" i="14" s="1"/>
  <c r="H81" i="14" s="1"/>
  <c r="C82" i="14" s="1"/>
  <c r="E70" i="12"/>
  <c r="G70" i="12" s="1"/>
  <c r="C71" i="12" s="1"/>
  <c r="F71" i="12" s="1"/>
  <c r="G69" i="11"/>
  <c r="C70" i="11" s="1"/>
  <c r="E70" i="11" s="1"/>
  <c r="F69" i="11"/>
  <c r="F51" i="8"/>
  <c r="G51" i="8"/>
  <c r="E41" i="3"/>
  <c r="G41" i="3" s="1"/>
  <c r="C42" i="3" s="1"/>
  <c r="F42" i="3" s="1"/>
  <c r="E42" i="3" s="1"/>
  <c r="G42" i="3" s="1"/>
  <c r="C43" i="3" s="1"/>
  <c r="F43" i="3" s="1"/>
  <c r="E43" i="3" s="1"/>
  <c r="G43" i="3" s="1"/>
  <c r="C44" i="3" s="1"/>
  <c r="F44" i="3" s="1"/>
  <c r="F41" i="3"/>
  <c r="F81" i="14" l="1"/>
  <c r="G81" i="14" s="1"/>
  <c r="H82" i="14"/>
  <c r="C83" i="14" s="1"/>
  <c r="F82" i="14"/>
  <c r="E71" i="12"/>
  <c r="G71" i="12" s="1"/>
  <c r="C72" i="12" s="1"/>
  <c r="F72" i="12" s="1"/>
  <c r="G70" i="11"/>
  <c r="C71" i="11" s="1"/>
  <c r="E71" i="11" s="1"/>
  <c r="F70" i="11"/>
  <c r="E44" i="3"/>
  <c r="G44" i="3" s="1"/>
  <c r="C45" i="3" s="1"/>
  <c r="F45" i="3" s="1"/>
  <c r="H83" i="14" l="1"/>
  <c r="C84" i="14" s="1"/>
  <c r="F83" i="14"/>
  <c r="G83" i="14" s="1"/>
  <c r="G82" i="14"/>
  <c r="E72" i="12"/>
  <c r="G72" i="12" s="1"/>
  <c r="C73" i="12" s="1"/>
  <c r="F73" i="12" s="1"/>
  <c r="G71" i="11"/>
  <c r="C72" i="11" s="1"/>
  <c r="E72" i="11" s="1"/>
  <c r="F71" i="11"/>
  <c r="E45" i="3"/>
  <c r="G45" i="3" s="1"/>
  <c r="C46" i="3" s="1"/>
  <c r="F46" i="3" s="1"/>
  <c r="H84" i="14" l="1"/>
  <c r="C85" i="14" s="1"/>
  <c r="F84" i="14"/>
  <c r="G84" i="14" s="1"/>
  <c r="E73" i="12"/>
  <c r="G73" i="12" s="1"/>
  <c r="C74" i="12" s="1"/>
  <c r="F74" i="12" s="1"/>
  <c r="G72" i="11"/>
  <c r="C73" i="11" s="1"/>
  <c r="E73" i="11" s="1"/>
  <c r="F72" i="11"/>
  <c r="E46" i="3"/>
  <c r="G46" i="3" s="1"/>
  <c r="C47" i="3" s="1"/>
  <c r="F47" i="3" s="1"/>
  <c r="H85" i="14" l="1"/>
  <c r="C86" i="14" s="1"/>
  <c r="F85" i="14"/>
  <c r="G85" i="14" s="1"/>
  <c r="E74" i="12"/>
  <c r="G74" i="12" s="1"/>
  <c r="C75" i="12" s="1"/>
  <c r="F75" i="12" s="1"/>
  <c r="G73" i="11"/>
  <c r="C74" i="11" s="1"/>
  <c r="E74" i="11" s="1"/>
  <c r="F73" i="11"/>
  <c r="E47" i="3"/>
  <c r="G47" i="3" s="1"/>
  <c r="C48" i="3" s="1"/>
  <c r="F48" i="3" s="1"/>
  <c r="H86" i="14" l="1"/>
  <c r="C87" i="14" s="1"/>
  <c r="F86" i="14"/>
  <c r="G86" i="14" s="1"/>
  <c r="E75" i="12"/>
  <c r="G75" i="12" s="1"/>
  <c r="C76" i="12" s="1"/>
  <c r="F76" i="12" s="1"/>
  <c r="F74" i="11"/>
  <c r="G74" i="11"/>
  <c r="C75" i="11" s="1"/>
  <c r="E75" i="11" s="1"/>
  <c r="E48" i="3"/>
  <c r="G48" i="3" s="1"/>
  <c r="C49" i="3" s="1"/>
  <c r="F49" i="3" s="1"/>
  <c r="H87" i="14" l="1"/>
  <c r="C88" i="14" s="1"/>
  <c r="F87" i="14"/>
  <c r="G87" i="14" s="1"/>
  <c r="E76" i="12"/>
  <c r="G76" i="12" s="1"/>
  <c r="C77" i="12" s="1"/>
  <c r="F77" i="12" s="1"/>
  <c r="F75" i="11"/>
  <c r="G75" i="11"/>
  <c r="C76" i="11" s="1"/>
  <c r="E76" i="11" s="1"/>
  <c r="E49" i="3"/>
  <c r="G49" i="3" s="1"/>
  <c r="C50" i="3" s="1"/>
  <c r="F50" i="3" s="1"/>
  <c r="H88" i="14" l="1"/>
  <c r="C89" i="14" s="1"/>
  <c r="F88" i="14"/>
  <c r="G88" i="14" s="1"/>
  <c r="E77" i="12"/>
  <c r="G77" i="12" s="1"/>
  <c r="C78" i="12" s="1"/>
  <c r="F78" i="12" s="1"/>
  <c r="F76" i="11"/>
  <c r="G76" i="11"/>
  <c r="C77" i="11" s="1"/>
  <c r="E77" i="11" s="1"/>
  <c r="F136" i="13" s="1"/>
  <c r="F9" i="13" s="1"/>
  <c r="G9" i="13" s="1"/>
  <c r="E50" i="3"/>
  <c r="G50" i="3" s="1"/>
  <c r="C51" i="3" s="1"/>
  <c r="F51" i="3" s="1"/>
  <c r="I9" i="13" l="1"/>
  <c r="J45" i="17" s="1"/>
  <c r="H6" i="15"/>
  <c r="H11" i="15" s="1"/>
  <c r="H13" i="15" s="1"/>
  <c r="H89" i="14"/>
  <c r="E26" i="13" s="1"/>
  <c r="F89" i="14"/>
  <c r="E78" i="12"/>
  <c r="G78" i="12" s="1"/>
  <c r="C79" i="12" s="1"/>
  <c r="F79" i="12" s="1"/>
  <c r="F77" i="11"/>
  <c r="G77" i="11"/>
  <c r="E51" i="3"/>
  <c r="G51" i="3" s="1"/>
  <c r="C52" i="3" s="1"/>
  <c r="F52" i="3" s="1"/>
  <c r="J46" i="17" l="1"/>
  <c r="J62" i="17" s="1"/>
  <c r="J64" i="17" s="1"/>
  <c r="S45" i="17"/>
  <c r="C78" i="11"/>
  <c r="E136" i="13"/>
  <c r="E9" i="13" s="1"/>
  <c r="J33" i="18" s="1"/>
  <c r="J35" i="18" s="1"/>
  <c r="J42" i="18" s="1"/>
  <c r="J71" i="17"/>
  <c r="C90" i="14"/>
  <c r="F90" i="14" s="1"/>
  <c r="G89" i="14"/>
  <c r="F26" i="13"/>
  <c r="E79" i="12"/>
  <c r="G79" i="12" s="1"/>
  <c r="C80" i="12" s="1"/>
  <c r="F80" i="12" s="1"/>
  <c r="G78" i="11"/>
  <c r="C79" i="11" s="1"/>
  <c r="E79" i="11" s="1"/>
  <c r="E52" i="3"/>
  <c r="G52" i="3" s="1"/>
  <c r="C53" i="3" s="1"/>
  <c r="F53" i="3" s="1"/>
  <c r="J66" i="17" l="1"/>
  <c r="J69" i="17" s="1"/>
  <c r="J89" i="18"/>
  <c r="J18" i="18"/>
  <c r="J27" i="18" s="1"/>
  <c r="J28" i="18" s="1"/>
  <c r="J43" i="18" s="1"/>
  <c r="E78" i="11"/>
  <c r="B137" i="13"/>
  <c r="B10" i="13" s="1"/>
  <c r="B27" i="13"/>
  <c r="H90" i="14"/>
  <c r="C91" i="14" s="1"/>
  <c r="H91" i="14" s="1"/>
  <c r="C92" i="14" s="1"/>
  <c r="G90" i="14"/>
  <c r="E80" i="12"/>
  <c r="G80" i="12" s="1"/>
  <c r="C81" i="12" s="1"/>
  <c r="F81" i="12" s="1"/>
  <c r="F79" i="11"/>
  <c r="G79" i="11"/>
  <c r="C80" i="11" s="1"/>
  <c r="E80" i="11" s="1"/>
  <c r="E53" i="3"/>
  <c r="G53" i="3" s="1"/>
  <c r="C54" i="3" s="1"/>
  <c r="F54" i="3" s="1"/>
  <c r="H4" i="15" l="1"/>
  <c r="H8" i="15" s="1"/>
  <c r="H15" i="15" s="1"/>
  <c r="J53" i="18"/>
  <c r="J57" i="18" s="1"/>
  <c r="J58" i="18" s="1"/>
  <c r="J62" i="18" s="1"/>
  <c r="J94" i="18" s="1"/>
  <c r="F78" i="11"/>
  <c r="F91" i="14"/>
  <c r="G91" i="14" s="1"/>
  <c r="H92" i="14"/>
  <c r="C93" i="14" s="1"/>
  <c r="F93" i="14" s="1"/>
  <c r="F92" i="14"/>
  <c r="G92" i="14" s="1"/>
  <c r="E81" i="12"/>
  <c r="G81" i="12" s="1"/>
  <c r="C82" i="12" s="1"/>
  <c r="F82" i="12" s="1"/>
  <c r="F80" i="11"/>
  <c r="G80" i="11"/>
  <c r="C81" i="11" s="1"/>
  <c r="E81" i="11" s="1"/>
  <c r="E54" i="3"/>
  <c r="G54" i="3" s="1"/>
  <c r="C55" i="3" s="1"/>
  <c r="F55" i="3" s="1"/>
  <c r="J121" i="18" l="1"/>
  <c r="J123" i="18" s="1"/>
  <c r="J125" i="18"/>
  <c r="H93" i="14"/>
  <c r="C94" i="14" s="1"/>
  <c r="F94" i="14" s="1"/>
  <c r="E82" i="12"/>
  <c r="G82" i="12" s="1"/>
  <c r="C83" i="12" s="1"/>
  <c r="F83" i="12" s="1"/>
  <c r="F81" i="11"/>
  <c r="G81" i="11"/>
  <c r="C82" i="11" s="1"/>
  <c r="E82" i="11" s="1"/>
  <c r="E55" i="3"/>
  <c r="G55" i="3" s="1"/>
  <c r="C56" i="3" s="1"/>
  <c r="F56" i="3" s="1"/>
  <c r="H94" i="14" l="1"/>
  <c r="C95" i="14" s="1"/>
  <c r="F95" i="14" s="1"/>
  <c r="G94" i="14"/>
  <c r="G93" i="14"/>
  <c r="E83" i="12"/>
  <c r="G83" i="12" s="1"/>
  <c r="C84" i="12" s="1"/>
  <c r="F84" i="12" s="1"/>
  <c r="F82" i="11"/>
  <c r="G82" i="11"/>
  <c r="C83" i="11" s="1"/>
  <c r="E83" i="11" s="1"/>
  <c r="E56" i="3"/>
  <c r="G56" i="3" s="1"/>
  <c r="C57" i="3" s="1"/>
  <c r="H95" i="14" l="1"/>
  <c r="C96" i="14" s="1"/>
  <c r="F96" i="14" s="1"/>
  <c r="E84" i="12"/>
  <c r="G84" i="12" s="1"/>
  <c r="C85" i="12" s="1"/>
  <c r="F85" i="12" s="1"/>
  <c r="F83" i="11"/>
  <c r="G83" i="11"/>
  <c r="C84" i="11" s="1"/>
  <c r="E84" i="11" s="1"/>
  <c r="E57" i="3"/>
  <c r="G57" i="3" s="1"/>
  <c r="C58" i="3" s="1"/>
  <c r="F58" i="3" s="1"/>
  <c r="F57" i="3"/>
  <c r="E58" i="3"/>
  <c r="G58" i="3" s="1"/>
  <c r="C59" i="3" s="1"/>
  <c r="F59" i="3" s="1"/>
  <c r="G95" i="14" l="1"/>
  <c r="H96" i="14"/>
  <c r="C97" i="14" s="1"/>
  <c r="F97" i="14" s="1"/>
  <c r="G96" i="14"/>
  <c r="E85" i="12"/>
  <c r="G85" i="12" s="1"/>
  <c r="C86" i="12" s="1"/>
  <c r="F86" i="12" s="1"/>
  <c r="F84" i="11"/>
  <c r="G84" i="11"/>
  <c r="C85" i="11" s="1"/>
  <c r="E85" i="11" s="1"/>
  <c r="E59" i="3"/>
  <c r="G59" i="3" s="1"/>
  <c r="C60" i="3" s="1"/>
  <c r="H97" i="14" l="1"/>
  <c r="C98" i="14" s="1"/>
  <c r="F98" i="14" s="1"/>
  <c r="G97" i="14"/>
  <c r="E86" i="12"/>
  <c r="G86" i="12" s="1"/>
  <c r="C87" i="12" s="1"/>
  <c r="F87" i="12" s="1"/>
  <c r="G85" i="11"/>
  <c r="C86" i="11" s="1"/>
  <c r="E86" i="11" s="1"/>
  <c r="F85" i="11"/>
  <c r="E60" i="3"/>
  <c r="G60" i="3" s="1"/>
  <c r="C61" i="3" s="1"/>
  <c r="F61" i="3" s="1"/>
  <c r="F60" i="3"/>
  <c r="E61" i="3"/>
  <c r="G61" i="3" s="1"/>
  <c r="C62" i="3" s="1"/>
  <c r="G98" i="14" l="1"/>
  <c r="H98" i="14"/>
  <c r="C99" i="14" s="1"/>
  <c r="F99" i="14" s="1"/>
  <c r="E87" i="12"/>
  <c r="G87" i="12" s="1"/>
  <c r="C88" i="12" s="1"/>
  <c r="F88" i="12" s="1"/>
  <c r="G86" i="11"/>
  <c r="C87" i="11" s="1"/>
  <c r="E87" i="11" s="1"/>
  <c r="F86" i="11"/>
  <c r="E62" i="3"/>
  <c r="G62" i="3" s="1"/>
  <c r="C63" i="3" s="1"/>
  <c r="F63" i="3" s="1"/>
  <c r="F62" i="3"/>
  <c r="E63" i="3"/>
  <c r="G63" i="3" s="1"/>
  <c r="C64" i="3" s="1"/>
  <c r="F64" i="3" s="1"/>
  <c r="G99" i="14" l="1"/>
  <c r="H99" i="14"/>
  <c r="C100" i="14" s="1"/>
  <c r="F100" i="14" s="1"/>
  <c r="E88" i="12"/>
  <c r="G88" i="12" s="1"/>
  <c r="C89" i="12" s="1"/>
  <c r="F89" i="12" s="1"/>
  <c r="G87" i="11"/>
  <c r="C88" i="11" s="1"/>
  <c r="E88" i="11" s="1"/>
  <c r="F87" i="11"/>
  <c r="E64" i="3"/>
  <c r="G64" i="3" s="1"/>
  <c r="C65" i="3" s="1"/>
  <c r="G100" i="14" l="1"/>
  <c r="H100" i="14"/>
  <c r="C101" i="14" s="1"/>
  <c r="F101" i="14" s="1"/>
  <c r="E89" i="12"/>
  <c r="G89" i="12" s="1"/>
  <c r="C90" i="12" s="1"/>
  <c r="F90" i="12" s="1"/>
  <c r="G88" i="11"/>
  <c r="C89" i="11" s="1"/>
  <c r="E89" i="11" s="1"/>
  <c r="F137" i="13" s="1"/>
  <c r="F10" i="13" s="1"/>
  <c r="G10" i="13" s="1"/>
  <c r="F88" i="11"/>
  <c r="E65" i="3"/>
  <c r="G65" i="3" s="1"/>
  <c r="C66" i="3" s="1"/>
  <c r="F66" i="3" s="1"/>
  <c r="F65" i="3"/>
  <c r="E66" i="3"/>
  <c r="G66" i="3" s="1"/>
  <c r="C67" i="3" s="1"/>
  <c r="I6" i="15" l="1"/>
  <c r="I11" i="15" s="1"/>
  <c r="I13" i="15" s="1"/>
  <c r="I10" i="13"/>
  <c r="K45" i="17" s="1"/>
  <c r="H101" i="14"/>
  <c r="E90" i="12"/>
  <c r="G90" i="12" s="1"/>
  <c r="C91" i="12" s="1"/>
  <c r="F91" i="12" s="1"/>
  <c r="G89" i="11"/>
  <c r="F89" i="11"/>
  <c r="E67" i="3"/>
  <c r="G67" i="3" s="1"/>
  <c r="C68" i="3" s="1"/>
  <c r="F68" i="3" s="1"/>
  <c r="F67" i="3"/>
  <c r="E68" i="3"/>
  <c r="G68" i="3" s="1"/>
  <c r="C69" i="3" s="1"/>
  <c r="F69" i="3" s="1"/>
  <c r="K46" i="17" l="1"/>
  <c r="K62" i="17" s="1"/>
  <c r="K71" i="17" s="1"/>
  <c r="T45" i="17"/>
  <c r="C90" i="11"/>
  <c r="E137" i="13"/>
  <c r="E10" i="13" s="1"/>
  <c r="K33" i="18" s="1"/>
  <c r="G101" i="14"/>
  <c r="F27" i="13"/>
  <c r="C102" i="14"/>
  <c r="F102" i="14" s="1"/>
  <c r="E27" i="13"/>
  <c r="E91" i="12"/>
  <c r="G91" i="12" s="1"/>
  <c r="C92" i="12" s="1"/>
  <c r="F92" i="12" s="1"/>
  <c r="G90" i="11"/>
  <c r="C91" i="11" s="1"/>
  <c r="E91" i="11" s="1"/>
  <c r="E69" i="3"/>
  <c r="G69" i="3" s="1"/>
  <c r="C70" i="3" s="1"/>
  <c r="F70" i="3" s="1"/>
  <c r="K64" i="17" l="1"/>
  <c r="K66" i="17" s="1"/>
  <c r="K69" i="17" s="1"/>
  <c r="E90" i="11"/>
  <c r="B138" i="13"/>
  <c r="B11" i="13" s="1"/>
  <c r="B28" i="13"/>
  <c r="B12" i="13" s="1"/>
  <c r="H102" i="14"/>
  <c r="C103" i="14" s="1"/>
  <c r="F103" i="14" s="1"/>
  <c r="E92" i="12"/>
  <c r="G92" i="12" s="1"/>
  <c r="C93" i="12" s="1"/>
  <c r="F93" i="12" s="1"/>
  <c r="G91" i="11"/>
  <c r="C92" i="11" s="1"/>
  <c r="E92" i="11" s="1"/>
  <c r="F91" i="11"/>
  <c r="E70" i="3"/>
  <c r="G70" i="3" s="1"/>
  <c r="C71" i="3" s="1"/>
  <c r="F71" i="3" s="1"/>
  <c r="K89" i="18" l="1"/>
  <c r="K18" i="18"/>
  <c r="K27" i="18" s="1"/>
  <c r="K53" i="18"/>
  <c r="K57" i="18" s="1"/>
  <c r="I4" i="15"/>
  <c r="I8" i="15" s="1"/>
  <c r="I15" i="15" s="1"/>
  <c r="F90" i="11"/>
  <c r="G102" i="14"/>
  <c r="G103" i="14"/>
  <c r="H103" i="14"/>
  <c r="C104" i="14" s="1"/>
  <c r="F104" i="14" s="1"/>
  <c r="E93" i="12"/>
  <c r="G93" i="12" s="1"/>
  <c r="C94" i="12" s="1"/>
  <c r="F94" i="12" s="1"/>
  <c r="G92" i="11"/>
  <c r="C93" i="11" s="1"/>
  <c r="E93" i="11" s="1"/>
  <c r="F138" i="13" s="1"/>
  <c r="F11" i="13" s="1"/>
  <c r="G11" i="13" s="1"/>
  <c r="F92" i="11"/>
  <c r="E71" i="3"/>
  <c r="G71" i="3" s="1"/>
  <c r="C72" i="3" s="1"/>
  <c r="F72" i="3" s="1"/>
  <c r="J6" i="15" l="1"/>
  <c r="J11" i="15" s="1"/>
  <c r="I11" i="13"/>
  <c r="L45" i="17" s="1"/>
  <c r="H104" i="14"/>
  <c r="C105" i="14" s="1"/>
  <c r="F105" i="14" s="1"/>
  <c r="E94" i="12"/>
  <c r="G94" i="12" s="1"/>
  <c r="C95" i="12" s="1"/>
  <c r="F95" i="12" s="1"/>
  <c r="D93" i="11"/>
  <c r="D138" i="13" s="1"/>
  <c r="D11" i="13" s="1"/>
  <c r="G93" i="11"/>
  <c r="E138" i="13" s="1"/>
  <c r="E11" i="13" s="1"/>
  <c r="L33" i="18" s="1"/>
  <c r="E72" i="3"/>
  <c r="G72" i="3" s="1"/>
  <c r="C73" i="3" s="1"/>
  <c r="F73" i="3" s="1"/>
  <c r="L46" i="17" l="1"/>
  <c r="L62" i="17" s="1"/>
  <c r="L64" i="17" s="1"/>
  <c r="U45" i="17"/>
  <c r="J9" i="15"/>
  <c r="K34" i="18"/>
  <c r="J13" i="15"/>
  <c r="F93" i="11"/>
  <c r="G104" i="14"/>
  <c r="G105" i="14"/>
  <c r="H105" i="14"/>
  <c r="C106" i="14" s="1"/>
  <c r="F106" i="14" s="1"/>
  <c r="E95" i="12"/>
  <c r="G95" i="12" s="1"/>
  <c r="C96" i="12" s="1"/>
  <c r="F96" i="12" s="1"/>
  <c r="E73" i="3"/>
  <c r="G73" i="3" s="1"/>
  <c r="C74" i="3" s="1"/>
  <c r="L71" i="17" l="1"/>
  <c r="K35" i="18"/>
  <c r="K42" i="18" s="1"/>
  <c r="K8" i="18"/>
  <c r="K11" i="18" s="1"/>
  <c r="K28" i="18" s="1"/>
  <c r="L66" i="17"/>
  <c r="L69" i="17" s="1"/>
  <c r="J4" i="15" s="1"/>
  <c r="J8" i="15" s="1"/>
  <c r="J15" i="15" s="1"/>
  <c r="L89" i="18"/>
  <c r="L18" i="18"/>
  <c r="L27" i="18" s="1"/>
  <c r="G106" i="14"/>
  <c r="H106" i="14"/>
  <c r="C107" i="14" s="1"/>
  <c r="F107" i="14" s="1"/>
  <c r="E96" i="12"/>
  <c r="G96" i="12" s="1"/>
  <c r="C97" i="12" s="1"/>
  <c r="F97" i="12" s="1"/>
  <c r="E74" i="3"/>
  <c r="G74" i="3" s="1"/>
  <c r="C75" i="3" s="1"/>
  <c r="F75" i="3" s="1"/>
  <c r="F74" i="3"/>
  <c r="E75" i="3"/>
  <c r="G75" i="3" s="1"/>
  <c r="C76" i="3" s="1"/>
  <c r="K43" i="18" l="1"/>
  <c r="K58" i="18" s="1"/>
  <c r="K62" i="18" s="1"/>
  <c r="K94" i="18" s="1"/>
  <c r="H107" i="14"/>
  <c r="C108" i="14" s="1"/>
  <c r="F108" i="14" s="1"/>
  <c r="E97" i="12"/>
  <c r="G97" i="12" s="1"/>
  <c r="C98" i="12" s="1"/>
  <c r="F98" i="12" s="1"/>
  <c r="E76" i="3"/>
  <c r="G76" i="3" s="1"/>
  <c r="C77" i="3" s="1"/>
  <c r="F77" i="3" s="1"/>
  <c r="F76" i="3"/>
  <c r="E77" i="3"/>
  <c r="G77" i="3" s="1"/>
  <c r="C78" i="3" s="1"/>
  <c r="F78" i="3" s="1"/>
  <c r="K125" i="18" l="1"/>
  <c r="K121" i="18"/>
  <c r="K123" i="18" s="1"/>
  <c r="G107" i="14"/>
  <c r="G108" i="14"/>
  <c r="H108" i="14"/>
  <c r="C109" i="14" s="1"/>
  <c r="F109" i="14" s="1"/>
  <c r="E98" i="12"/>
  <c r="G98" i="12" s="1"/>
  <c r="C99" i="12" s="1"/>
  <c r="F99" i="12" s="1"/>
  <c r="E78" i="3"/>
  <c r="G78" i="3" s="1"/>
  <c r="C79" i="3" s="1"/>
  <c r="F79" i="3" s="1"/>
  <c r="H109" i="14" l="1"/>
  <c r="C110" i="14" s="1"/>
  <c r="F110" i="14" s="1"/>
  <c r="G109" i="14"/>
  <c r="E99" i="12"/>
  <c r="G99" i="12" s="1"/>
  <c r="C100" i="12" s="1"/>
  <c r="F100" i="12" s="1"/>
  <c r="E79" i="3"/>
  <c r="G79" i="3" s="1"/>
  <c r="C80" i="3" s="1"/>
  <c r="G110" i="14" l="1"/>
  <c r="H110" i="14"/>
  <c r="C111" i="14" s="1"/>
  <c r="F111" i="14" s="1"/>
  <c r="E100" i="12"/>
  <c r="G100" i="12" s="1"/>
  <c r="C101" i="12" s="1"/>
  <c r="F101" i="12" s="1"/>
  <c r="E80" i="3"/>
  <c r="G80" i="3" s="1"/>
  <c r="C81" i="3" s="1"/>
  <c r="F80" i="3"/>
  <c r="G111" i="14" l="1"/>
  <c r="H111" i="14"/>
  <c r="C112" i="14" s="1"/>
  <c r="F112" i="14" s="1"/>
  <c r="E101" i="12"/>
  <c r="G101" i="12" s="1"/>
  <c r="C102" i="12" s="1"/>
  <c r="F102" i="12" s="1"/>
  <c r="E81" i="3"/>
  <c r="G81" i="3" s="1"/>
  <c r="C82" i="3" s="1"/>
  <c r="F81" i="3"/>
  <c r="G112" i="14" l="1"/>
  <c r="H112" i="14"/>
  <c r="C113" i="14" s="1"/>
  <c r="E102" i="12"/>
  <c r="G102" i="12" s="1"/>
  <c r="C103" i="12" s="1"/>
  <c r="F103" i="12" s="1"/>
  <c r="E82" i="3"/>
  <c r="G82" i="3" s="1"/>
  <c r="C83" i="3" s="1"/>
  <c r="F83" i="3" s="1"/>
  <c r="E83" i="3" s="1"/>
  <c r="G83" i="3" s="1"/>
  <c r="C84" i="3" s="1"/>
  <c r="F82" i="3"/>
  <c r="F113" i="14" l="1"/>
  <c r="H113" i="14"/>
  <c r="D28" i="13"/>
  <c r="D12" i="13" s="1"/>
  <c r="E103" i="12"/>
  <c r="G103" i="12" s="1"/>
  <c r="C104" i="12" s="1"/>
  <c r="F104" i="12" s="1"/>
  <c r="E84" i="3"/>
  <c r="G84" i="3" s="1"/>
  <c r="C85" i="3" s="1"/>
  <c r="F84" i="3"/>
  <c r="K9" i="15" l="1"/>
  <c r="L9" i="15" s="1"/>
  <c r="L34" i="18"/>
  <c r="G113" i="14"/>
  <c r="F28" i="13"/>
  <c r="F12" i="13" s="1"/>
  <c r="G12" i="13" s="1"/>
  <c r="E28" i="13"/>
  <c r="E104" i="12"/>
  <c r="G104" i="12" s="1"/>
  <c r="C105" i="12" s="1"/>
  <c r="F105" i="12" s="1"/>
  <c r="E85" i="3"/>
  <c r="G85" i="3" s="1"/>
  <c r="C86" i="3" s="1"/>
  <c r="F86" i="3" s="1"/>
  <c r="E86" i="3" s="1"/>
  <c r="G86" i="3" s="1"/>
  <c r="C87" i="3" s="1"/>
  <c r="F87" i="3" s="1"/>
  <c r="E87" i="3" s="1"/>
  <c r="G87" i="3" s="1"/>
  <c r="C88" i="3" s="1"/>
  <c r="F88" i="3" s="1"/>
  <c r="E88" i="3" s="1"/>
  <c r="G88" i="3" s="1"/>
  <c r="C89" i="3" s="1"/>
  <c r="F85" i="3"/>
  <c r="L8" i="18" l="1"/>
  <c r="L11" i="18" s="1"/>
  <c r="L28" i="18" s="1"/>
  <c r="L35" i="18"/>
  <c r="L42" i="18" s="1"/>
  <c r="K6" i="15"/>
  <c r="I12" i="13"/>
  <c r="M45" i="17" s="1"/>
  <c r="E12" i="13"/>
  <c r="M33" i="18" s="1"/>
  <c r="M35" i="18" s="1"/>
  <c r="M42" i="18" s="1"/>
  <c r="E105" i="12"/>
  <c r="G105" i="12" s="1"/>
  <c r="C106" i="12" s="1"/>
  <c r="F106" i="12" s="1"/>
  <c r="E89" i="3"/>
  <c r="G89" i="3" s="1"/>
  <c r="C90" i="3" s="1"/>
  <c r="F90" i="3" s="1"/>
  <c r="E90" i="3" s="1"/>
  <c r="G90" i="3" s="1"/>
  <c r="C91" i="3" s="1"/>
  <c r="F91" i="3" s="1"/>
  <c r="F89" i="3"/>
  <c r="E91" i="3"/>
  <c r="G91" i="3" s="1"/>
  <c r="C92" i="3" s="1"/>
  <c r="F92" i="3" s="1"/>
  <c r="M46" i="17" l="1"/>
  <c r="M62" i="17" s="1"/>
  <c r="V45" i="17"/>
  <c r="L43" i="18"/>
  <c r="M64" i="17"/>
  <c r="M71" i="17"/>
  <c r="K11" i="15"/>
  <c r="L6" i="15"/>
  <c r="E106" i="12"/>
  <c r="G106" i="12" s="1"/>
  <c r="C107" i="12" s="1"/>
  <c r="F107" i="12" s="1"/>
  <c r="E92" i="3"/>
  <c r="G92" i="3" s="1"/>
  <c r="C93" i="3" s="1"/>
  <c r="M89" i="18" l="1"/>
  <c r="M18" i="18"/>
  <c r="M27" i="18" s="1"/>
  <c r="M28" i="18" s="1"/>
  <c r="M43" i="18" s="1"/>
  <c r="K13" i="15"/>
  <c r="L11" i="15"/>
  <c r="L13" i="15" s="1"/>
  <c r="M66" i="17"/>
  <c r="M69" i="17" s="1"/>
  <c r="E107" i="12"/>
  <c r="G107" i="12" s="1"/>
  <c r="C108" i="12" s="1"/>
  <c r="F108" i="12" s="1"/>
  <c r="E93" i="3"/>
  <c r="G93" i="3" s="1"/>
  <c r="C94" i="3" s="1"/>
  <c r="F94" i="3" s="1"/>
  <c r="F93" i="3"/>
  <c r="E94" i="3"/>
  <c r="G94" i="3" s="1"/>
  <c r="C95" i="3" s="1"/>
  <c r="F95" i="3" s="1"/>
  <c r="K4" i="15" l="1"/>
  <c r="M53" i="18"/>
  <c r="M57" i="18" s="1"/>
  <c r="M58" i="18" s="1"/>
  <c r="M62" i="18" s="1"/>
  <c r="M94" i="18" s="1"/>
  <c r="L53" i="18"/>
  <c r="L57" i="18" s="1"/>
  <c r="L58" i="18" s="1"/>
  <c r="L62" i="18" s="1"/>
  <c r="L94" i="18" s="1"/>
  <c r="E108" i="12"/>
  <c r="G108" i="12" s="1"/>
  <c r="C109" i="12" s="1"/>
  <c r="F109" i="12" s="1"/>
  <c r="E95" i="3"/>
  <c r="G95" i="3" s="1"/>
  <c r="C96" i="3" s="1"/>
  <c r="L121" i="18" l="1"/>
  <c r="L123" i="18" s="1"/>
  <c r="L125" i="18"/>
  <c r="M121" i="18"/>
  <c r="M123" i="18" s="1"/>
  <c r="M125" i="18"/>
  <c r="K8" i="15"/>
  <c r="K15" i="15" s="1"/>
  <c r="L4" i="15"/>
  <c r="L8" i="15" s="1"/>
  <c r="E109" i="12"/>
  <c r="G109" i="12" s="1"/>
  <c r="C110" i="12" s="1"/>
  <c r="F110" i="12" s="1"/>
  <c r="E96" i="3"/>
  <c r="G96" i="3" s="1"/>
  <c r="C97" i="3" s="1"/>
  <c r="F96" i="3"/>
  <c r="L15" i="15" l="1"/>
  <c r="C17" i="15" s="1"/>
  <c r="E110" i="12"/>
  <c r="G110" i="12" s="1"/>
  <c r="C111" i="12" s="1"/>
  <c r="F111" i="12" s="1"/>
  <c r="E97" i="3"/>
  <c r="G97" i="3" s="1"/>
  <c r="C98" i="3" s="1"/>
  <c r="F98" i="3" s="1"/>
  <c r="E98" i="3" s="1"/>
  <c r="G98" i="3" s="1"/>
  <c r="C99" i="3" s="1"/>
  <c r="F99" i="3" s="1"/>
  <c r="E99" i="3" s="1"/>
  <c r="G99" i="3" s="1"/>
  <c r="C100" i="3" s="1"/>
  <c r="F100" i="3" s="1"/>
  <c r="F97" i="3"/>
  <c r="E100" i="3"/>
  <c r="G100" i="3" s="1"/>
  <c r="C101" i="3" s="1"/>
  <c r="E111" i="12" l="1"/>
  <c r="G111" i="12" s="1"/>
  <c r="C112" i="12" s="1"/>
  <c r="F112" i="12" s="1"/>
  <c r="E101" i="3"/>
  <c r="G101" i="3" s="1"/>
  <c r="C102" i="3" s="1"/>
  <c r="F102" i="3" s="1"/>
  <c r="E102" i="3" s="1"/>
  <c r="G102" i="3" s="1"/>
  <c r="C103" i="3" s="1"/>
  <c r="F103" i="3" s="1"/>
  <c r="F101" i="3"/>
  <c r="E103" i="3"/>
  <c r="G103" i="3" s="1"/>
  <c r="C104" i="3" s="1"/>
  <c r="F104" i="3" s="1"/>
  <c r="E112" i="12" l="1"/>
  <c r="G112" i="12" s="1"/>
  <c r="C113" i="12" s="1"/>
  <c r="F113" i="12" s="1"/>
  <c r="E104" i="3"/>
  <c r="G104" i="3" s="1"/>
  <c r="C105" i="3" s="1"/>
  <c r="F105" i="3" s="1"/>
  <c r="E113" i="12" l="1"/>
  <c r="G113" i="12" s="1"/>
  <c r="C114" i="12" s="1"/>
  <c r="F114" i="12" s="1"/>
  <c r="E105" i="3"/>
  <c r="G105" i="3" s="1"/>
  <c r="C106" i="3" s="1"/>
  <c r="F106" i="3" s="1"/>
  <c r="E106" i="3" s="1"/>
  <c r="G106" i="3" s="1"/>
  <c r="C107" i="3" s="1"/>
  <c r="F107" i="3" s="1"/>
  <c r="E114" i="12" l="1"/>
  <c r="G114" i="12" s="1"/>
  <c r="C115" i="12" s="1"/>
  <c r="F115" i="12" s="1"/>
  <c r="E107" i="3"/>
  <c r="G107" i="3" s="1"/>
  <c r="C108" i="3" s="1"/>
  <c r="F108" i="3" s="1"/>
  <c r="E115" i="12" l="1"/>
  <c r="G115" i="12" s="1"/>
  <c r="C116" i="12" s="1"/>
  <c r="F116" i="12" s="1"/>
  <c r="E108" i="3"/>
  <c r="G108" i="3" s="1"/>
  <c r="C109" i="3" s="1"/>
  <c r="F109" i="3" s="1"/>
  <c r="E116" i="12" l="1"/>
  <c r="G116" i="12" s="1"/>
  <c r="C117" i="12" s="1"/>
  <c r="F117" i="12" s="1"/>
  <c r="E109" i="3"/>
  <c r="G109" i="3" s="1"/>
  <c r="C110" i="3" s="1"/>
  <c r="F110" i="3" s="1"/>
  <c r="E110" i="3" s="1"/>
  <c r="G110" i="3" s="1"/>
  <c r="C111" i="3" s="1"/>
  <c r="F111" i="3" s="1"/>
  <c r="E117" i="12" l="1"/>
  <c r="G117" i="12" s="1"/>
  <c r="C118" i="12" s="1"/>
  <c r="F118" i="12" s="1"/>
  <c r="E111" i="3"/>
  <c r="G111" i="3" s="1"/>
  <c r="C112" i="3" s="1"/>
  <c r="F112" i="3" s="1"/>
  <c r="E118" i="12" l="1"/>
  <c r="G118" i="12" s="1"/>
  <c r="C119" i="12" s="1"/>
  <c r="F119" i="12" s="1"/>
  <c r="E112" i="3"/>
  <c r="G112" i="3" s="1"/>
  <c r="C113" i="3" s="1"/>
  <c r="F113" i="3" s="1"/>
  <c r="E119" i="12" l="1"/>
  <c r="G119" i="12" s="1"/>
  <c r="C120" i="12" s="1"/>
  <c r="F120" i="12" s="1"/>
  <c r="E113" i="3"/>
  <c r="G113" i="3" s="1"/>
  <c r="C114" i="3" s="1"/>
  <c r="E120" i="12" l="1"/>
  <c r="G120" i="12" s="1"/>
  <c r="C121" i="12" s="1"/>
  <c r="F121" i="12" s="1"/>
  <c r="E114" i="3"/>
  <c r="G114" i="3" s="1"/>
  <c r="C115" i="3" s="1"/>
  <c r="F115" i="3" s="1"/>
  <c r="E115" i="3" s="1"/>
  <c r="G115" i="3" s="1"/>
  <c r="C116" i="3" s="1"/>
  <c r="F116" i="3" s="1"/>
  <c r="F114" i="3"/>
  <c r="E116" i="3"/>
  <c r="G116" i="3" s="1"/>
  <c r="C117" i="3" s="1"/>
  <c r="F117" i="3" s="1"/>
  <c r="E121" i="12" l="1"/>
  <c r="G121" i="12" s="1"/>
  <c r="C122" i="12" s="1"/>
  <c r="F122" i="12" s="1"/>
  <c r="E117" i="3"/>
  <c r="G117" i="3" s="1"/>
  <c r="C118" i="3" s="1"/>
  <c r="F118" i="3" s="1"/>
  <c r="E122" i="12" l="1"/>
  <c r="G122" i="12" s="1"/>
  <c r="C123" i="12" s="1"/>
  <c r="F123" i="12" s="1"/>
  <c r="E118" i="3"/>
  <c r="G118" i="3" s="1"/>
  <c r="C119" i="3" s="1"/>
  <c r="F119" i="3" s="1"/>
  <c r="E119" i="3" s="1"/>
  <c r="G119" i="3" s="1"/>
  <c r="C120" i="3" s="1"/>
  <c r="F120" i="3" s="1"/>
  <c r="E123" i="12" l="1"/>
  <c r="G123" i="12" s="1"/>
  <c r="C124" i="12" s="1"/>
  <c r="F124" i="12" s="1"/>
  <c r="E120" i="3"/>
  <c r="G120" i="3" s="1"/>
  <c r="C121" i="3" s="1"/>
  <c r="F121" i="3" s="1"/>
  <c r="E124" i="12" l="1"/>
  <c r="G124" i="12" s="1"/>
  <c r="C125" i="12" s="1"/>
  <c r="F125" i="12" s="1"/>
  <c r="E121" i="3"/>
  <c r="G121" i="3" s="1"/>
  <c r="C122" i="3" s="1"/>
  <c r="F122" i="3" s="1"/>
  <c r="E125" i="12" l="1"/>
  <c r="G125" i="12" s="1"/>
  <c r="C126" i="12" s="1"/>
  <c r="F126" i="12" s="1"/>
  <c r="E122" i="3"/>
  <c r="G122" i="3" s="1"/>
  <c r="C123" i="3" s="1"/>
  <c r="F123" i="3" s="1"/>
  <c r="E126" i="12" l="1"/>
  <c r="G126" i="12" s="1"/>
  <c r="C127" i="12" s="1"/>
  <c r="F127" i="12" s="1"/>
  <c r="E123" i="3"/>
  <c r="G123" i="3" s="1"/>
  <c r="C124" i="3" s="1"/>
  <c r="F124" i="3" s="1"/>
  <c r="E127" i="12" l="1"/>
  <c r="G127" i="12" s="1"/>
  <c r="C128" i="12" s="1"/>
  <c r="F128" i="12" s="1"/>
  <c r="E124" i="3"/>
  <c r="G124" i="3" s="1"/>
  <c r="C125" i="3" s="1"/>
  <c r="F125" i="3" s="1"/>
  <c r="E128" i="12" l="1"/>
  <c r="G128" i="12" s="1"/>
  <c r="C129" i="12" s="1"/>
  <c r="F129" i="12" s="1"/>
  <c r="E125" i="3"/>
  <c r="G125" i="3" s="1"/>
  <c r="C126" i="3" s="1"/>
  <c r="F126" i="3" s="1"/>
  <c r="E129" i="12" l="1"/>
  <c r="G129" i="12" s="1"/>
  <c r="C130" i="12" s="1"/>
  <c r="F130" i="12" s="1"/>
  <c r="E126" i="3"/>
  <c r="G126" i="3" s="1"/>
  <c r="C127" i="3" s="1"/>
  <c r="F127" i="3" s="1"/>
  <c r="E130" i="12" l="1"/>
  <c r="G130" i="12" s="1"/>
  <c r="C131" i="12" s="1"/>
  <c r="F131" i="12" s="1"/>
  <c r="E127" i="3"/>
  <c r="G127" i="3" s="1"/>
  <c r="C128" i="3" s="1"/>
  <c r="F128" i="3" s="1"/>
  <c r="E131" i="12" l="1"/>
  <c r="G131" i="12" s="1"/>
  <c r="C132" i="12" s="1"/>
  <c r="F132" i="12" s="1"/>
  <c r="E128" i="3"/>
  <c r="G128" i="3" s="1"/>
  <c r="C129" i="3" s="1"/>
  <c r="F129" i="3" s="1"/>
  <c r="E129" i="3" s="1"/>
  <c r="G129" i="3" s="1"/>
  <c r="C130" i="3" s="1"/>
  <c r="F130" i="3" s="1"/>
  <c r="E132" i="12" l="1"/>
  <c r="G132" i="12" s="1"/>
  <c r="C133" i="12" s="1"/>
  <c r="F133" i="12" s="1"/>
  <c r="E130" i="3"/>
  <c r="G130" i="3" s="1"/>
  <c r="C131" i="3" s="1"/>
  <c r="F131" i="3" s="1"/>
  <c r="E133" i="12" l="1"/>
  <c r="G133" i="12" s="1"/>
  <c r="C134" i="12" s="1"/>
  <c r="F134" i="12" s="1"/>
  <c r="E131" i="3"/>
  <c r="G131" i="3" s="1"/>
  <c r="C132" i="3" s="1"/>
  <c r="F132" i="3" s="1"/>
  <c r="E134" i="12" l="1"/>
  <c r="G134" i="12" s="1"/>
  <c r="C135" i="12" s="1"/>
  <c r="F135" i="12" s="1"/>
  <c r="E132" i="3"/>
  <c r="G132" i="3" s="1"/>
  <c r="C133" i="3" s="1"/>
  <c r="F133" i="3" s="1"/>
  <c r="E133" i="3" s="1"/>
  <c r="G133" i="3" s="1"/>
  <c r="C134" i="3" s="1"/>
  <c r="F134" i="3" s="1"/>
  <c r="E135" i="12" l="1"/>
  <c r="G135" i="12" s="1"/>
  <c r="C136" i="12" s="1"/>
  <c r="F136" i="12" s="1"/>
  <c r="E134" i="3"/>
  <c r="G134" i="3" s="1"/>
  <c r="C135" i="3" s="1"/>
  <c r="F135" i="3" s="1"/>
  <c r="E135" i="3" s="1"/>
  <c r="G135" i="3" s="1"/>
  <c r="C136" i="3" s="1"/>
  <c r="F136" i="3" s="1"/>
  <c r="E136" i="12" l="1"/>
  <c r="G136" i="12" s="1"/>
  <c r="C137" i="12" s="1"/>
  <c r="F137" i="12" s="1"/>
  <c r="E136" i="3"/>
  <c r="G136" i="3" s="1"/>
  <c r="C137" i="3" s="1"/>
  <c r="F137" i="3" s="1"/>
  <c r="E137" i="3" s="1"/>
  <c r="G137" i="3" s="1"/>
  <c r="C138" i="3" s="1"/>
  <c r="F138" i="3" s="1"/>
  <c r="E137" i="12" l="1"/>
  <c r="G137" i="12" s="1"/>
  <c r="C138" i="12" s="1"/>
  <c r="E138" i="3"/>
  <c r="F138" i="12" l="1"/>
  <c r="E138" i="12" s="1"/>
  <c r="G138" i="12" s="1"/>
  <c r="C139" i="12" s="1"/>
  <c r="G138" i="3"/>
  <c r="F139" i="12" l="1"/>
  <c r="E139" i="12" s="1"/>
  <c r="G139" i="12"/>
  <c r="C140" i="12" s="1"/>
  <c r="F140" i="12" s="1"/>
  <c r="E140" i="12" s="1"/>
  <c r="G140" i="12" s="1"/>
  <c r="C141" i="12" s="1"/>
  <c r="F141" i="12" s="1"/>
  <c r="E141" i="12" s="1"/>
  <c r="G141" i="12" s="1"/>
  <c r="C142" i="12" s="1"/>
  <c r="F142" i="12" l="1"/>
  <c r="E142" i="12" s="1"/>
  <c r="G142" i="12"/>
  <c r="C143" i="12" s="1"/>
  <c r="F143" i="12" l="1"/>
  <c r="E143" i="12" s="1"/>
  <c r="G143" i="12"/>
  <c r="C144" i="12" s="1"/>
  <c r="F144" i="12" l="1"/>
  <c r="E144" i="12" s="1"/>
  <c r="G144" i="12"/>
  <c r="C145" i="12" s="1"/>
  <c r="F145" i="12" l="1"/>
  <c r="E145" i="12" s="1"/>
  <c r="G145" i="12"/>
  <c r="C146" i="12" s="1"/>
  <c r="F146" i="12" l="1"/>
  <c r="E146" i="12" s="1"/>
  <c r="G146" i="12"/>
  <c r="C147" i="12" s="1"/>
  <c r="F147" i="12" l="1"/>
  <c r="E147" i="12" s="1"/>
  <c r="G147" i="12"/>
  <c r="C148" i="12" s="1"/>
  <c r="F148" i="12" l="1"/>
  <c r="E148" i="12" s="1"/>
  <c r="G148" i="12"/>
  <c r="C149" i="12" s="1"/>
  <c r="F149" i="12" l="1"/>
  <c r="E149" i="12" s="1"/>
  <c r="G149" i="12"/>
  <c r="C150" i="12" s="1"/>
  <c r="F150" i="12" l="1"/>
  <c r="E150" i="12" s="1"/>
  <c r="G150" i="12"/>
  <c r="C151" i="12" s="1"/>
  <c r="F151" i="12" l="1"/>
  <c r="E151" i="12" s="1"/>
  <c r="G151" i="12"/>
  <c r="C152" i="12" s="1"/>
  <c r="F152" i="12" l="1"/>
  <c r="E152" i="12" s="1"/>
  <c r="G152" i="12"/>
  <c r="C153" i="12" s="1"/>
  <c r="F153" i="12" l="1"/>
  <c r="E153" i="12" s="1"/>
  <c r="G153" i="12"/>
  <c r="C154" i="12" s="1"/>
  <c r="F154" i="12" l="1"/>
  <c r="E154" i="12" s="1"/>
  <c r="G154" i="12"/>
  <c r="C155" i="12" s="1"/>
  <c r="F155" i="12" l="1"/>
  <c r="E155" i="12" s="1"/>
  <c r="G155" i="12"/>
  <c r="C156" i="12" s="1"/>
  <c r="F156" i="12" l="1"/>
  <c r="E156" i="12" s="1"/>
  <c r="G156" i="12"/>
  <c r="C157" i="12" s="1"/>
  <c r="F157" i="12" l="1"/>
  <c r="E157" i="12" s="1"/>
  <c r="G157" i="12"/>
  <c r="C158" i="12" s="1"/>
  <c r="F158" i="12" l="1"/>
  <c r="E158" i="12" s="1"/>
  <c r="G158" i="12"/>
  <c r="C159" i="12" s="1"/>
  <c r="F159" i="12" l="1"/>
  <c r="E159" i="12" s="1"/>
  <c r="G159" i="12"/>
  <c r="C160" i="12" s="1"/>
  <c r="F160" i="12" l="1"/>
  <c r="E160" i="12" s="1"/>
  <c r="G160" i="12"/>
  <c r="C161" i="12" s="1"/>
  <c r="F161" i="12" l="1"/>
  <c r="E161" i="12" s="1"/>
  <c r="G161" i="12"/>
  <c r="C162" i="12" s="1"/>
  <c r="F162" i="12" l="1"/>
  <c r="E162" i="12" s="1"/>
  <c r="G162" i="12"/>
  <c r="C163" i="12" s="1"/>
  <c r="F163" i="12" l="1"/>
  <c r="E163" i="12" s="1"/>
  <c r="G163" i="12"/>
  <c r="C164" i="12" s="1"/>
  <c r="F164" i="12" l="1"/>
  <c r="E164" i="12" s="1"/>
  <c r="G164" i="12" s="1"/>
  <c r="C165" i="12" s="1"/>
  <c r="F165" i="12" l="1"/>
  <c r="E165" i="12" s="1"/>
  <c r="G165" i="12"/>
  <c r="C166" i="12" s="1"/>
  <c r="F166" i="12" l="1"/>
  <c r="E166" i="12" s="1"/>
  <c r="G166" i="12"/>
  <c r="C167" i="12" s="1"/>
  <c r="F167" i="12" l="1"/>
  <c r="E167" i="12" s="1"/>
  <c r="G167" i="12"/>
  <c r="C168" i="12" s="1"/>
  <c r="F168" i="12" l="1"/>
  <c r="E168" i="12" s="1"/>
  <c r="G168" i="12"/>
  <c r="C169" i="12" s="1"/>
  <c r="F169" i="12" l="1"/>
  <c r="E169" i="12" s="1"/>
  <c r="G169" i="12"/>
  <c r="C170" i="12" s="1"/>
  <c r="F170" i="12" l="1"/>
  <c r="E170" i="12" s="1"/>
  <c r="G170" i="12"/>
  <c r="C171" i="12" s="1"/>
  <c r="F171" i="12" l="1"/>
  <c r="E171" i="12" s="1"/>
  <c r="G171" i="12"/>
  <c r="C172" i="12" s="1"/>
  <c r="F172" i="12" l="1"/>
  <c r="E172" i="12" s="1"/>
  <c r="G172" i="12"/>
  <c r="C173" i="12" s="1"/>
  <c r="F173" i="12" l="1"/>
  <c r="E173" i="12" s="1"/>
  <c r="G173" i="12"/>
  <c r="C174" i="12" s="1"/>
  <c r="F174" i="12" l="1"/>
  <c r="E174" i="12" s="1"/>
  <c r="G174" i="12" s="1"/>
  <c r="C175" i="12" s="1"/>
  <c r="F175" i="12" l="1"/>
  <c r="E175" i="12" s="1"/>
  <c r="G175" i="12"/>
  <c r="C176" i="12" s="1"/>
  <c r="F176" i="12" l="1"/>
  <c r="E176" i="12" s="1"/>
  <c r="G176" i="12" s="1"/>
  <c r="C177" i="12" s="1"/>
  <c r="F177" i="12" l="1"/>
  <c r="E177" i="12" s="1"/>
  <c r="G177" i="12" s="1"/>
  <c r="C178" i="12" s="1"/>
  <c r="F178" i="12" l="1"/>
  <c r="E178" i="12" s="1"/>
  <c r="G178" i="12"/>
  <c r="C179" i="12" s="1"/>
  <c r="F179" i="12" l="1"/>
  <c r="E179" i="12" s="1"/>
  <c r="G179" i="12"/>
  <c r="C180" i="12" s="1"/>
  <c r="F180" i="12" l="1"/>
  <c r="E180" i="12" s="1"/>
  <c r="G180" i="12"/>
  <c r="C181" i="12" s="1"/>
  <c r="F181" i="12" l="1"/>
  <c r="E181" i="12" s="1"/>
  <c r="G181" i="12"/>
  <c r="C182" i="12" s="1"/>
  <c r="F182" i="12" l="1"/>
  <c r="E182" i="12" s="1"/>
  <c r="G182" i="12" s="1"/>
  <c r="C183" i="12" s="1"/>
  <c r="F183" i="12" l="1"/>
  <c r="E183" i="12" s="1"/>
  <c r="G183" i="12"/>
  <c r="C184" i="12" s="1"/>
  <c r="F184" i="12" l="1"/>
  <c r="E184" i="12" s="1"/>
  <c r="G184" i="12"/>
  <c r="C185" i="12" s="1"/>
  <c r="F185" i="12" l="1"/>
  <c r="E185" i="12" s="1"/>
  <c r="G185" i="12"/>
  <c r="C186" i="12" s="1"/>
  <c r="F186" i="12" l="1"/>
  <c r="E186" i="12" s="1"/>
  <c r="G186" i="12"/>
  <c r="C187" i="12" s="1"/>
  <c r="F187" i="12" l="1"/>
  <c r="E187" i="12" s="1"/>
  <c r="G187" i="12"/>
  <c r="C188" i="12" s="1"/>
  <c r="F188" i="12" l="1"/>
  <c r="E188" i="12" s="1"/>
  <c r="G188" i="12" s="1"/>
  <c r="C189" i="12" s="1"/>
  <c r="F189" i="12" l="1"/>
  <c r="E189" i="12" s="1"/>
  <c r="G189" i="12"/>
  <c r="C190" i="12" s="1"/>
  <c r="F190" i="12" l="1"/>
  <c r="E190" i="12" s="1"/>
  <c r="G190" i="12"/>
  <c r="C191" i="12" s="1"/>
  <c r="F191" i="12" l="1"/>
  <c r="E191" i="12" s="1"/>
  <c r="G191" i="12"/>
  <c r="C192" i="12" s="1"/>
  <c r="F192" i="12" l="1"/>
  <c r="E192" i="12" s="1"/>
  <c r="G192" i="12"/>
  <c r="C193" i="12" s="1"/>
  <c r="F193" i="12" l="1"/>
  <c r="E193" i="12" s="1"/>
  <c r="G193" i="12"/>
  <c r="C194" i="12" s="1"/>
  <c r="F194" i="12" l="1"/>
  <c r="E194" i="12" s="1"/>
  <c r="G194" i="12" s="1"/>
  <c r="C195" i="12" s="1"/>
  <c r="F195" i="12" l="1"/>
  <c r="E195" i="12" s="1"/>
  <c r="G195" i="12"/>
  <c r="C196" i="12" s="1"/>
  <c r="F196" i="12" l="1"/>
  <c r="E196" i="12" s="1"/>
  <c r="G196" i="12"/>
  <c r="C197" i="12" s="1"/>
  <c r="F197" i="12" l="1"/>
  <c r="E197" i="12" s="1"/>
  <c r="G197" i="12"/>
  <c r="C198" i="12" s="1"/>
  <c r="F198" i="12" l="1"/>
  <c r="E198" i="12" s="1"/>
  <c r="G198" i="12" s="1"/>
  <c r="C199" i="12" s="1"/>
  <c r="F199" i="12" l="1"/>
  <c r="E199" i="12" s="1"/>
  <c r="G199" i="12"/>
  <c r="C200" i="12" s="1"/>
  <c r="F200" i="12" l="1"/>
  <c r="E200" i="12" s="1"/>
  <c r="G200" i="12"/>
  <c r="C201" i="12" s="1"/>
  <c r="F201" i="12" l="1"/>
  <c r="E201" i="12" s="1"/>
  <c r="G201" i="12"/>
  <c r="C202" i="12" s="1"/>
  <c r="F202" i="12" l="1"/>
  <c r="E202" i="12" s="1"/>
  <c r="G202" i="12" s="1"/>
  <c r="C203" i="12" s="1"/>
  <c r="F203" i="12" s="1"/>
  <c r="E203" i="12" s="1"/>
  <c r="G203" i="12" s="1"/>
  <c r="C204" i="12" s="1"/>
  <c r="F204" i="12" s="1"/>
  <c r="E204" i="12" s="1"/>
  <c r="G204" i="12" s="1"/>
  <c r="C205" i="12" s="1"/>
  <c r="F205" i="12" l="1"/>
  <c r="E205" i="12" s="1"/>
  <c r="G205" i="12" s="1"/>
  <c r="C206" i="12" s="1"/>
  <c r="F206" i="12" l="1"/>
  <c r="E206" i="12" s="1"/>
  <c r="G206" i="12" s="1"/>
  <c r="C207" i="12" s="1"/>
  <c r="F207" i="12" l="1"/>
  <c r="E207" i="12" s="1"/>
  <c r="G207" i="12" s="1"/>
  <c r="C208" i="12" s="1"/>
  <c r="F208" i="12" l="1"/>
  <c r="E208" i="12" s="1"/>
  <c r="G208" i="12" s="1"/>
  <c r="C209" i="12" s="1"/>
  <c r="F209" i="12" l="1"/>
  <c r="E209" i="12" s="1"/>
  <c r="G209" i="12" s="1"/>
  <c r="C210" i="12" s="1"/>
  <c r="F210" i="12" l="1"/>
  <c r="E210" i="12" s="1"/>
  <c r="G210" i="12" s="1"/>
  <c r="C211" i="12" s="1"/>
  <c r="F211" i="12" l="1"/>
  <c r="E211" i="12" s="1"/>
  <c r="G211" i="12" s="1"/>
  <c r="C212" i="12" s="1"/>
  <c r="F212" i="12" l="1"/>
  <c r="E212" i="12" s="1"/>
  <c r="G212" i="12" s="1"/>
  <c r="C213" i="12" s="1"/>
  <c r="F213" i="12" l="1"/>
  <c r="E213" i="12" s="1"/>
  <c r="G213" i="12" s="1"/>
  <c r="C214" i="12" s="1"/>
  <c r="F214" i="12" l="1"/>
  <c r="E214" i="12" s="1"/>
  <c r="G214" i="12" s="1"/>
  <c r="C215" i="12" s="1"/>
  <c r="F215" i="12" l="1"/>
  <c r="E215" i="12" s="1"/>
  <c r="G215" i="12" s="1"/>
  <c r="C216" i="12" s="1"/>
  <c r="F216" i="12" s="1"/>
  <c r="E216" i="12" s="1"/>
  <c r="G216" i="12" s="1"/>
  <c r="C217" i="12" s="1"/>
  <c r="F217" i="12" l="1"/>
  <c r="E217" i="12" s="1"/>
  <c r="G217" i="12" s="1"/>
  <c r="C218" i="12" s="1"/>
  <c r="F218" i="12" l="1"/>
  <c r="E218" i="12" s="1"/>
  <c r="G218" i="12" s="1"/>
  <c r="C219" i="12" s="1"/>
  <c r="F219" i="12" l="1"/>
  <c r="E219" i="12" s="1"/>
  <c r="G219" i="12" s="1"/>
  <c r="C220" i="12" s="1"/>
  <c r="F220" i="12" l="1"/>
  <c r="E220" i="12" s="1"/>
  <c r="G220" i="12" s="1"/>
  <c r="C221" i="12" s="1"/>
  <c r="F221" i="12" l="1"/>
  <c r="E221" i="12" s="1"/>
  <c r="G221" i="12" s="1"/>
  <c r="C222" i="12" s="1"/>
  <c r="F222" i="12" l="1"/>
  <c r="E222" i="12" s="1"/>
  <c r="G222" i="12" s="1"/>
  <c r="C223" i="12" s="1"/>
  <c r="F223" i="12" s="1"/>
  <c r="E223" i="12" s="1"/>
  <c r="G223" i="12" s="1"/>
  <c r="C224" i="12" s="1"/>
  <c r="F224" i="12" s="1"/>
  <c r="E224" i="12" s="1"/>
  <c r="G224" i="12" s="1"/>
  <c r="C225" i="12" s="1"/>
  <c r="F225" i="12" s="1"/>
  <c r="E225" i="12" s="1"/>
  <c r="G225" i="12" s="1"/>
  <c r="C226" i="12" s="1"/>
  <c r="F226" i="12" s="1"/>
  <c r="E226" i="12" s="1"/>
  <c r="G226" i="12" s="1"/>
  <c r="C227" i="12" s="1"/>
  <c r="F227" i="12" l="1"/>
  <c r="E227" i="12" s="1"/>
  <c r="G227" i="12" s="1"/>
  <c r="C228" i="12" s="1"/>
  <c r="F228" i="12" s="1"/>
  <c r="E228" i="12" s="1"/>
  <c r="G228" i="12" s="1"/>
  <c r="C229" i="12" s="1"/>
  <c r="F229" i="12" s="1"/>
  <c r="E229" i="12" s="1"/>
  <c r="G229" i="12" s="1"/>
  <c r="C230" i="12" s="1"/>
  <c r="F230" i="12" s="1"/>
  <c r="E230" i="12" s="1"/>
  <c r="G230" i="12" s="1"/>
  <c r="C231" i="12" s="1"/>
  <c r="F231" i="12" l="1"/>
  <c r="E231" i="12" s="1"/>
  <c r="G231" i="12" s="1"/>
  <c r="C232" i="12" s="1"/>
  <c r="F232" i="12" l="1"/>
  <c r="E232" i="12" s="1"/>
  <c r="G232" i="12" s="1"/>
  <c r="C233" i="12" s="1"/>
  <c r="F233" i="12" l="1"/>
  <c r="E233" i="12" s="1"/>
  <c r="G233" i="12" s="1"/>
  <c r="C234" i="12" s="1"/>
  <c r="F234" i="12" l="1"/>
  <c r="E234" i="12" s="1"/>
  <c r="G234" i="12" s="1"/>
  <c r="C235" i="12" s="1"/>
  <c r="F235" i="12" l="1"/>
  <c r="E235" i="12" s="1"/>
  <c r="G235" i="12" s="1"/>
  <c r="C236" i="12" s="1"/>
  <c r="F236" i="12" l="1"/>
  <c r="E236" i="12" s="1"/>
  <c r="G236" i="12" s="1"/>
  <c r="C237" i="12" s="1"/>
  <c r="F237" i="12" l="1"/>
  <c r="E237" i="12" s="1"/>
  <c r="G237" i="12" s="1"/>
  <c r="C238" i="12" s="1"/>
  <c r="F238" i="12" l="1"/>
  <c r="E238" i="12" s="1"/>
  <c r="G238" i="12" s="1"/>
  <c r="C239" i="12" s="1"/>
  <c r="F239" i="12" l="1"/>
  <c r="E239" i="12" s="1"/>
  <c r="G239" i="12" s="1"/>
  <c r="C240" i="12" s="1"/>
  <c r="F240" i="12" l="1"/>
  <c r="E240" i="12" s="1"/>
  <c r="G240" i="12" s="1"/>
  <c r="C241" i="12" s="1"/>
  <c r="F241" i="12" l="1"/>
  <c r="E241" i="12" s="1"/>
  <c r="G241" i="12" s="1"/>
  <c r="C242" i="12" s="1"/>
  <c r="F242" i="12" l="1"/>
  <c r="E242" i="12" s="1"/>
  <c r="G242" i="12" s="1"/>
  <c r="C243" i="12" s="1"/>
  <c r="F243" i="12" l="1"/>
  <c r="E243" i="12" s="1"/>
  <c r="G243" i="12" s="1"/>
  <c r="C244" i="12" s="1"/>
  <c r="F244" i="12" l="1"/>
  <c r="E244" i="12" s="1"/>
  <c r="G244" i="12" s="1"/>
  <c r="C245" i="12" s="1"/>
  <c r="F245" i="12" l="1"/>
  <c r="E245" i="12" s="1"/>
  <c r="G245" i="12" s="1"/>
  <c r="C246" i="12" s="1"/>
  <c r="F246" i="12" l="1"/>
  <c r="E246" i="12" s="1"/>
  <c r="G246" i="12" s="1"/>
  <c r="C247" i="12" s="1"/>
  <c r="F247" i="12" l="1"/>
  <c r="E247" i="12" s="1"/>
  <c r="G247" i="12" s="1"/>
  <c r="C248" i="12" s="1"/>
  <c r="E248" i="12" l="1"/>
  <c r="G248" i="12"/>
  <c r="F248" i="12"/>
</calcChain>
</file>

<file path=xl/comments1.xml><?xml version="1.0" encoding="utf-8"?>
<comments xmlns="http://schemas.openxmlformats.org/spreadsheetml/2006/main">
  <authors>
    <author>Author</author>
  </authors>
  <commentList>
    <comment ref="D3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Stiching
job and labour charges
</t>
        </r>
      </text>
    </comment>
  </commentList>
</comments>
</file>

<file path=xl/sharedStrings.xml><?xml version="1.0" encoding="utf-8"?>
<sst xmlns="http://schemas.openxmlformats.org/spreadsheetml/2006/main" count="588" uniqueCount="322">
  <si>
    <t>Sr. No.</t>
  </si>
  <si>
    <t>Repayment Frequency</t>
  </si>
  <si>
    <t>Total</t>
  </si>
  <si>
    <t>Monthly</t>
  </si>
  <si>
    <t>Repayment Term</t>
  </si>
  <si>
    <t>Total EMI</t>
  </si>
  <si>
    <t>Opening Principal</t>
  </si>
  <si>
    <t>Principal</t>
  </si>
  <si>
    <t>Closing</t>
  </si>
  <si>
    <t>Period</t>
  </si>
  <si>
    <t>Interest (8.60)</t>
  </si>
  <si>
    <t>Fixed Principal Repayment</t>
  </si>
  <si>
    <t>Closing Principal</t>
  </si>
  <si>
    <t>Summary of Secured Loan VFIPL</t>
  </si>
  <si>
    <t>Total Payment</t>
  </si>
  <si>
    <t>Rate of Interest (p.a.)</t>
  </si>
  <si>
    <t>Repayment Schedule is given in the next working sheets as per sequense</t>
  </si>
  <si>
    <t>Fixed Principal Rs. 4,86,112/- plus interest as applicable</t>
  </si>
  <si>
    <t>Fixed Principal Rs. 5,00,000/- plus interest as applicable</t>
  </si>
  <si>
    <t>Fixed Principal Rs. 8,12,821/- plus interest as applicable</t>
  </si>
  <si>
    <t>Fixed Principal Rs. 2,30,769/- plus interest as applicable</t>
  </si>
  <si>
    <t>Fixed EMI inclusive Interest Rs. 1,08,993/-.</t>
  </si>
  <si>
    <t>Original Sanction</t>
  </si>
  <si>
    <t>Fixed Principal Rs. 2,77,778/- plus interest as applicable</t>
  </si>
  <si>
    <t>A/c No.</t>
  </si>
  <si>
    <t>LBNOD00005138764</t>
  </si>
  <si>
    <t>Fixed Principal Rs. 9,74,359/- plus interest as applicable</t>
  </si>
  <si>
    <t>Interest (7.50)</t>
  </si>
  <si>
    <t>Principal Repayment</t>
  </si>
  <si>
    <t>Fixed EMI inclusive Interest Rs. 1,20,890/-.</t>
  </si>
  <si>
    <t>Repayment Starts from</t>
  </si>
  <si>
    <t>June-21 to May-24</t>
  </si>
  <si>
    <t>Jan-24 to Dec-26</t>
  </si>
  <si>
    <t>Till Oct-23</t>
  </si>
  <si>
    <t>Duration of the Loan</t>
  </si>
  <si>
    <t>Till April-33</t>
  </si>
  <si>
    <t>Feb-23 to July-29</t>
  </si>
  <si>
    <t>Till Jan-26</t>
  </si>
  <si>
    <t>Till May-24</t>
  </si>
  <si>
    <t>Loan from SBI (Second COVID)</t>
  </si>
  <si>
    <t>Loan from SBI- (First COVID)</t>
  </si>
  <si>
    <t>Loan from SBI For Coimbtore Project (First)</t>
  </si>
  <si>
    <t>Loan from SBI For Coimbtore Project (Second)</t>
  </si>
  <si>
    <t>Loan from SBI For Haridwar Project (First)</t>
  </si>
  <si>
    <t>Loan from SBI For Halol Project (New)</t>
  </si>
  <si>
    <t>Loan from HDFC Bank-For BMW Car</t>
  </si>
  <si>
    <t>Loan from ICICI Bank For Property at K.M. Trade Tower</t>
  </si>
  <si>
    <t>Loan from HDFC For ATS Flat Noida</t>
  </si>
  <si>
    <t>Term Loan Description</t>
  </si>
  <si>
    <t>Nov-21 to Feb-28</t>
  </si>
  <si>
    <t>Interest (7.60)</t>
  </si>
  <si>
    <t>July-22 to June-42</t>
  </si>
  <si>
    <t>Fixed EMI inclusive Interest Rs. 1,98,872/-.</t>
  </si>
  <si>
    <t>Juny-22</t>
  </si>
  <si>
    <t>SUMMARY OF REPAYMENT OF ALL TERM LOANS OBTAINED BY ENTITY</t>
  </si>
  <si>
    <t xml:space="preserve">Year </t>
  </si>
  <si>
    <t>Opening Balance</t>
  </si>
  <si>
    <t>Additions</t>
  </si>
  <si>
    <t>Repayment</t>
  </si>
  <si>
    <t>Closing Balance</t>
  </si>
  <si>
    <t>Interest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</si>
  <si>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</si>
  <si>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</si>
  <si>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</si>
  <si>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</si>
  <si>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</si>
  <si>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</si>
  <si>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</si>
  <si>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</si>
  <si>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31.03.2022 as per Repayment</t>
  </si>
  <si>
    <t xml:space="preserve">Diff due to March Month Int. </t>
  </si>
  <si>
    <t>Amount O/S as on 31.03.2022 (Books)</t>
  </si>
  <si>
    <t>HDFC Car Loan BMW- ROI-8.60%</t>
  </si>
  <si>
    <t>Loan from HDFC-(Secured against ATS Flat-6040)- ROI-7.60%</t>
  </si>
  <si>
    <t>Loan from ICICI Bank (Secured against Property at K.M. Tower-8764)-ROI-7.50%</t>
  </si>
  <si>
    <t>Addition</t>
  </si>
  <si>
    <t>2030-31</t>
  </si>
  <si>
    <t>DEBT SERVICE COVERAGE RATIO</t>
  </si>
  <si>
    <t>(Rs. in Crores)</t>
  </si>
  <si>
    <t>S.No.</t>
  </si>
  <si>
    <t>Year Ending 31st March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</si>
  <si>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</si>
  <si>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</si>
  <si>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</si>
  <si>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</si>
  <si>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</si>
  <si>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</si>
  <si>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</si>
  <si>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</si>
  <si>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TOTAL</t>
  </si>
  <si>
    <t>Net Profit after tax and dividend</t>
  </si>
  <si>
    <t>Depreciation</t>
  </si>
  <si>
    <t>Interest on term loan</t>
  </si>
  <si>
    <t>Total Debt</t>
  </si>
  <si>
    <t>D.S.C.R.</t>
  </si>
  <si>
    <t>Average D.S.C.R.</t>
  </si>
  <si>
    <t>Calculation of Depreciation</t>
  </si>
  <si>
    <t>(Rs. In lacs)</t>
  </si>
  <si>
    <t>Particulars</t>
  </si>
  <si>
    <t>Land &amp; Site Development</t>
  </si>
  <si>
    <t>Office/Factory Building</t>
  </si>
  <si>
    <t>Misc. Fixed Assets</t>
  </si>
  <si>
    <t>Furniture &amp; Fixtures etc.</t>
  </si>
  <si>
    <t>WDV as on  01.04.2022</t>
  </si>
  <si>
    <t>Addition- More than 180 days- Meerut</t>
  </si>
  <si>
    <t>Addition- Less than 180 days- Halol</t>
  </si>
  <si>
    <t>WDV as on 31.03.2023</t>
  </si>
  <si>
    <t>Rate of Depreciation</t>
  </si>
  <si>
    <t>WDV as on  01.04.2023</t>
  </si>
  <si>
    <t>Total Assets before depriciation</t>
  </si>
  <si>
    <t>Dep.</t>
  </si>
  <si>
    <t xml:space="preserve">WDV </t>
  </si>
  <si>
    <t>OPERATING STATEMENT</t>
  </si>
  <si>
    <t>(Amount in crores)</t>
  </si>
  <si>
    <t>S. No</t>
  </si>
  <si>
    <t>31ST</t>
  </si>
  <si>
    <t>MARCH 2021 AUD</t>
  </si>
  <si>
    <t>MARCH 2023 EST</t>
  </si>
  <si>
    <t>MARCH 2024 PROJ</t>
  </si>
  <si>
    <t xml:space="preserve"> 2025 PROJ</t>
  </si>
  <si>
    <t>2026 PROJ</t>
  </si>
  <si>
    <t>2027 PROJ</t>
  </si>
  <si>
    <t xml:space="preserve"> 2028 PROJ</t>
  </si>
  <si>
    <t>2029 PROJ</t>
  </si>
  <si>
    <t>2030 PROJ</t>
  </si>
  <si>
    <t>Gross Sales</t>
  </si>
  <si>
    <t>Less Excise duty</t>
  </si>
  <si>
    <t xml:space="preserve">   Less rebate and discount</t>
  </si>
  <si>
    <t>Net Sales (Item 1-Item-2)</t>
  </si>
  <si>
    <t>Percentage rise or fall in net sales as compared to last year</t>
  </si>
  <si>
    <t xml:space="preserve"> Cost of sales</t>
  </si>
  <si>
    <t>i) Raw materials Consumed (including stores and other items used in process of manufacture)</t>
  </si>
  <si>
    <t xml:space="preserve">  (a) Imported</t>
  </si>
  <si>
    <t xml:space="preserve">  (b) Indigenous</t>
  </si>
  <si>
    <t>ii) other spares</t>
  </si>
  <si>
    <t xml:space="preserve">   (a) Imported</t>
  </si>
  <si>
    <t xml:space="preserve">   (b) Indigenous</t>
  </si>
  <si>
    <t>iii) Power and fuel</t>
  </si>
  <si>
    <t>iv) Direct labour</t>
  </si>
  <si>
    <t xml:space="preserve">    (factory wages and salary)</t>
  </si>
  <si>
    <t>v) Other manufacturing expenses</t>
  </si>
  <si>
    <t xml:space="preserve">   (a) Repair &amp; maintenance</t>
  </si>
  <si>
    <t xml:space="preserve">   (b) Other factory overheads</t>
  </si>
  <si>
    <t>vi) Depreciation</t>
  </si>
  <si>
    <t>vii) SUB TOTAL (I to Vi)</t>
  </si>
  <si>
    <t>Viii) Add op. stocks-in process</t>
  </si>
  <si>
    <t>ix) Deduct cl. Stocks in process</t>
  </si>
  <si>
    <t>x) Cost of production</t>
  </si>
  <si>
    <t>xi) Add op. stock of finished goods</t>
  </si>
  <si>
    <t>xii) Ded. Cl. Stock of finished goods</t>
  </si>
  <si>
    <r>
      <t xml:space="preserve">xiii) </t>
    </r>
    <r>
      <rPr>
        <b/>
        <sz val="11"/>
        <color theme="1"/>
        <rFont val="Calibri"/>
        <family val="2"/>
        <scheme val="minor"/>
      </rPr>
      <t>S.TOTAL(</t>
    </r>
    <r>
      <rPr>
        <b/>
        <sz val="10"/>
        <color theme="1"/>
        <rFont val="Calibri"/>
        <family val="2"/>
        <scheme val="minor"/>
      </rPr>
      <t>Total cost of sales</t>
    </r>
    <r>
      <rPr>
        <b/>
        <sz val="11"/>
        <color theme="1"/>
        <rFont val="Calibri"/>
        <family val="2"/>
        <scheme val="minor"/>
      </rPr>
      <t>)</t>
    </r>
  </si>
  <si>
    <t>Selling, Gen.and Admn. Exp.</t>
  </si>
  <si>
    <t>SUB TOTAL (5+6)</t>
  </si>
  <si>
    <t>Oper. Profit before intt. (3-7)</t>
  </si>
  <si>
    <t>Oper. Profit after interest (8-9)</t>
  </si>
  <si>
    <t>Non-oper. Income/expenses</t>
  </si>
  <si>
    <t>i) Add other non-operating income</t>
  </si>
  <si>
    <t>(a) other income</t>
  </si>
  <si>
    <t>(b) PROFIT ON SALES OF ASSETS</t>
  </si>
  <si>
    <t>(c) amt w/off</t>
  </si>
  <si>
    <t>(d)</t>
  </si>
  <si>
    <t xml:space="preserve">    sub total (Income)</t>
  </si>
  <si>
    <t>ii) Deduct other non oper. Exp</t>
  </si>
  <si>
    <t>(a) Prel./Pre-op./Other exp. w/o</t>
  </si>
  <si>
    <t xml:space="preserve">(b) deferred exp written off </t>
  </si>
  <si>
    <t>(c) Loss on sales of car</t>
  </si>
  <si>
    <t>(d) INTANGIBLE ASSETS WRITTEN OFF</t>
  </si>
  <si>
    <t xml:space="preserve">      Sub total (expenses)</t>
  </si>
  <si>
    <t>iii) Net of other non-op. income/exp.</t>
  </si>
  <si>
    <t>Profit before tax/Loss(10+11(iii))</t>
  </si>
  <si>
    <t>Provision for taxes</t>
  </si>
  <si>
    <r>
      <t>N</t>
    </r>
    <r>
      <rPr>
        <b/>
        <sz val="11"/>
        <color theme="1"/>
        <rFont val="Calibri"/>
        <family val="2"/>
        <scheme val="minor"/>
      </rPr>
      <t>et Profit/loss(12-13)</t>
    </r>
  </si>
  <si>
    <t xml:space="preserve"> Prov. For Def. Tax Assets</t>
  </si>
  <si>
    <t>Prov. For Def. Tax Liabilities</t>
  </si>
  <si>
    <t>Profit/Loss after Def.Tax (14-15)</t>
  </si>
  <si>
    <t>VARAHAMURTI FLEXIRUB INDUSTRIES PRIVAT LIMITED</t>
  </si>
  <si>
    <t>As per balance sheet for year ending on</t>
  </si>
  <si>
    <t>(Amt in crores)</t>
  </si>
  <si>
    <t>MARCH 2025 PROJ</t>
  </si>
  <si>
    <t>MARCH 2026 PROJ</t>
  </si>
  <si>
    <t>MARCH 2027 PROJ</t>
  </si>
  <si>
    <t>MARCH 2028 PROJ</t>
  </si>
  <si>
    <t>MARCH 2029 PROJ</t>
  </si>
  <si>
    <t>MARCH 2030 PROJ</t>
  </si>
  <si>
    <t>CURRENT LIABILITIES</t>
  </si>
  <si>
    <t xml:space="preserve"> Short term borrowing form banks (Including bills purchases, discount and excess borrowing placed on repayment)</t>
  </si>
  <si>
    <t>i) From applicant bank</t>
  </si>
  <si>
    <t>Sub total (A)</t>
  </si>
  <si>
    <t>Short term borrowing from others</t>
  </si>
  <si>
    <t>Sundry Creditors (Trade)</t>
  </si>
  <si>
    <t>Adv. Payments from customers / deposits from dealers</t>
  </si>
  <si>
    <t>Provision for taxation</t>
  </si>
  <si>
    <t>Dividend payable</t>
  </si>
  <si>
    <t>Other statutiry Liabilities (due within one year)</t>
  </si>
  <si>
    <t>Deposite/instalment of Term Loan / DP Gs/Dep. Etc. (due within one year)</t>
  </si>
  <si>
    <t>Other current liabilities and provision (due within one year)(specify major items)</t>
  </si>
  <si>
    <t>i)provision for gratuity</t>
  </si>
  <si>
    <t>ii) Expenses payable</t>
  </si>
  <si>
    <t>Sub total (B)</t>
  </si>
  <si>
    <t xml:space="preserve"> TOTAL CURR. LIABILITIES</t>
  </si>
  <si>
    <t>(Total of 1 to 9 excld. 1(iii))</t>
  </si>
  <si>
    <t xml:space="preserve">    TERM LIABILITIES</t>
  </si>
  <si>
    <t>Debts (not maturing within 1yr.)</t>
  </si>
  <si>
    <t>Pref. shares (redeemable after 1 yr)</t>
  </si>
  <si>
    <t>Term Loan from Banks</t>
  </si>
  <si>
    <t xml:space="preserve">Term Loan- Others </t>
  </si>
  <si>
    <t>Deferred tax liabilities (Net)</t>
  </si>
  <si>
    <t>Other Long- term liabilities- Security from Customer</t>
  </si>
  <si>
    <t>Long-term provisions-Provision for gratuity</t>
  </si>
  <si>
    <t>Other term liabilities</t>
  </si>
  <si>
    <t>TOTAL TERM LIABILITIES</t>
  </si>
  <si>
    <t>TOTAL OUTSIDE LIABILITIES</t>
  </si>
  <si>
    <t xml:space="preserve">  (Item 10 + item 17)</t>
  </si>
  <si>
    <t xml:space="preserve">      NET WORTH</t>
  </si>
  <si>
    <t>Ordinary share capital</t>
  </si>
  <si>
    <t>General reserve</t>
  </si>
  <si>
    <t>Revaluation reserve</t>
  </si>
  <si>
    <t>Other reserves (excl. provisions)</t>
  </si>
  <si>
    <t xml:space="preserve">     SHARE PREMIUM</t>
  </si>
  <si>
    <t xml:space="preserve">    Capital reserve</t>
  </si>
  <si>
    <t xml:space="preserve">    revaluation reserve</t>
  </si>
  <si>
    <t>Surplus(+)/deficit(-) in P&amp;L a/c</t>
  </si>
  <si>
    <t>Income Tax Adj.</t>
  </si>
  <si>
    <t>Quasi Equity Loan</t>
  </si>
  <si>
    <t>Deffered tax liabilities</t>
  </si>
  <si>
    <t>NET WORTH</t>
  </si>
  <si>
    <t>TOTAL LIABILITIES</t>
  </si>
  <si>
    <t xml:space="preserve">     ASSETS</t>
  </si>
  <si>
    <t>CURRENT ASSETS</t>
  </si>
  <si>
    <t>Cash and bank balance</t>
  </si>
  <si>
    <t>Investment (other than long term investment)</t>
  </si>
  <si>
    <t>including Fixed deposits with banks</t>
  </si>
  <si>
    <t>Receivable (other than deferred and )</t>
  </si>
  <si>
    <t xml:space="preserve">exports(incl bill purchased and </t>
  </si>
  <si>
    <t>discounted by banks)</t>
  </si>
  <si>
    <t>Exp. Receivables (including bills</t>
  </si>
  <si>
    <t>purchased and disc. By banks)</t>
  </si>
  <si>
    <t>Instalment of deferred receivables</t>
  </si>
  <si>
    <t>(due within one year)</t>
  </si>
  <si>
    <t>Inventory</t>
  </si>
  <si>
    <t xml:space="preserve">R.M. (Incl. stores and other item </t>
  </si>
  <si>
    <t>used in process of manufacture</t>
  </si>
  <si>
    <t>Imported</t>
  </si>
  <si>
    <t>Indigenous</t>
  </si>
  <si>
    <t>Stocks in process</t>
  </si>
  <si>
    <t>Fineshed goods</t>
  </si>
  <si>
    <t>Other Consumable spares</t>
  </si>
  <si>
    <t>Total Inventories</t>
  </si>
  <si>
    <t>Adv. To supplier. of raw materials and</t>
  </si>
  <si>
    <t>stores &amp; spares.</t>
  </si>
  <si>
    <t>Advance payment of taxes</t>
  </si>
  <si>
    <t>Others Loan and advances</t>
  </si>
  <si>
    <t>Others Current assets</t>
  </si>
  <si>
    <t>Insurance claim receivable</t>
  </si>
  <si>
    <t>TOTAL CURRENT ASSETS(26 to 33)</t>
  </si>
  <si>
    <t xml:space="preserve">   FIXED ASSETS</t>
  </si>
  <si>
    <t>Net block (Land  &amp; Building, machinery etc.)</t>
  </si>
  <si>
    <t>CWIP</t>
  </si>
  <si>
    <t xml:space="preserve"> NET BLOCK (35+36)</t>
  </si>
  <si>
    <t>OTHER NON-CURR ASSETS</t>
  </si>
  <si>
    <t>Investment/book debts/advances/ deposit which are not current assets</t>
  </si>
  <si>
    <t xml:space="preserve">Investment in subsidiary Company/ Affiliates </t>
  </si>
  <si>
    <t>Other</t>
  </si>
  <si>
    <t>Adv. to supplier of capital goods and contractors</t>
  </si>
  <si>
    <t>Deffered domestic receivables</t>
  </si>
  <si>
    <t>Deffered export receivables</t>
  </si>
  <si>
    <t>Security deposits</t>
  </si>
  <si>
    <t>Staff advances</t>
  </si>
  <si>
    <t>Capital work in progress</t>
  </si>
  <si>
    <t>Loan and advance</t>
  </si>
  <si>
    <t>Expansion Fund</t>
  </si>
  <si>
    <t>deferred revenue exp.</t>
  </si>
  <si>
    <t>Non-cons. stores and spares</t>
  </si>
  <si>
    <t>Other NCA incl.dues from directors</t>
  </si>
  <si>
    <t>Deffered tax assets</t>
  </si>
  <si>
    <t>TOTAL OTHER NON-CURRENT ASSETS</t>
  </si>
  <si>
    <t>Intangible Assets (patents, goodwill, prel. Expenses, bad /doubtful expenses not provided for etc.)</t>
  </si>
  <si>
    <t xml:space="preserve">          TOTAL. ASSETS (34+37+53+54)</t>
  </si>
  <si>
    <t>i) Sales</t>
  </si>
  <si>
    <t>ii) Insurance claim excess</t>
  </si>
  <si>
    <t>iII) Other income</t>
  </si>
  <si>
    <t>Residential Building</t>
  </si>
  <si>
    <t>30-31</t>
  </si>
  <si>
    <t>Installment of Term Loan</t>
  </si>
  <si>
    <t>MARCH 2031 PROJ</t>
  </si>
  <si>
    <t>Addition- Less than 180 days- New Project</t>
  </si>
  <si>
    <t>2031 PROJ</t>
  </si>
  <si>
    <t>Int. on CC Limits (In Crore)</t>
  </si>
  <si>
    <t>Mattress</t>
  </si>
  <si>
    <t>Faom</t>
  </si>
  <si>
    <t>??</t>
  </si>
  <si>
    <t>Current Ratio</t>
  </si>
  <si>
    <t>Interest 8.40%</t>
  </si>
  <si>
    <t>Loan from State Bank of India For Halol Project-3679</t>
  </si>
  <si>
    <t>Loan from State Bank of India (Coimbtore Project- New-5610)</t>
  </si>
  <si>
    <t>Interest (8.40)</t>
  </si>
  <si>
    <t xml:space="preserve">Loan from State Bank of India (Coimbtore Project- Old-9157) </t>
  </si>
  <si>
    <t>Interest 8.4</t>
  </si>
  <si>
    <t>Interest 8.80%</t>
  </si>
  <si>
    <t>Loan from State Bank of India (Second COVID-1820)</t>
  </si>
  <si>
    <t>Loan from State Bank of India- (First COVID A/c No.-6343)-</t>
  </si>
  <si>
    <t>Loan from State Bank of India (Haridwar Project-1736)</t>
  </si>
  <si>
    <t>MARCH 2022 AUD</t>
  </si>
  <si>
    <t>ii) Current Maturities of long term debts</t>
  </si>
  <si>
    <t>iii) From other banks</t>
  </si>
  <si>
    <t>iv) (of which bills purchases / discount)</t>
  </si>
  <si>
    <t>Less:- Current Maturities of long term debts</t>
  </si>
  <si>
    <t>Plant &amp; Machinery and Others</t>
  </si>
  <si>
    <t>New Proposed Term Loan from State Bank of India For Puthri project-ROI-8.40%</t>
  </si>
  <si>
    <t>Interest on Term Loan (In Crore)</t>
  </si>
  <si>
    <t>Total Interest (In Crore)</t>
  </si>
  <si>
    <t>Rs.250.00/- per KG</t>
  </si>
  <si>
    <t>Fixed Assets</t>
  </si>
  <si>
    <t>Building</t>
  </si>
  <si>
    <t>Plant and machinery</t>
  </si>
  <si>
    <t>new proposed</t>
  </si>
  <si>
    <t>-</t>
  </si>
  <si>
    <t>same</t>
  </si>
  <si>
    <t>sales 25%</t>
  </si>
  <si>
    <t>new term loan</t>
  </si>
  <si>
    <t>this</t>
  </si>
  <si>
    <t>provision for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</si>
</sst>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[$-409]mmm\-yy;@"/>
    <numFmt numFmtId="166" formatCode="_ * #,##0.00_ ;_ * \-#,##0.00_ ;_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0" fillId="0" borderId="0" xfId="1" applyNumberFormat="1" applyFont="1" applyFill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5" fillId="0" borderId="0" xfId="1" applyNumberFormat="1" applyFont="1"/>
    <xf numFmtId="2" fontId="0" fillId="0" borderId="0" xfId="0" applyNumberForma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/>
    <xf numFmtId="164" fontId="0" fillId="0" borderId="1" xfId="1" applyNumberFormat="1" applyFont="1" applyBorder="1"/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17" fontId="0" fillId="0" borderId="1" xfId="0" applyNumberFormat="1" applyBorder="1"/>
    <xf numFmtId="2" fontId="0" fillId="0" borderId="0" xfId="0" applyNumberFormat="1" applyAlignment="1">
      <alignment horizontal="center"/>
    </xf>
    <xf numFmtId="164" fontId="0" fillId="0" borderId="1" xfId="1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5" fillId="0" borderId="0" xfId="0" applyFont="1" applyBorder="1"/>
    <xf numFmtId="0" fontId="6" fillId="0" borderId="0" xfId="0" applyFont="1" applyBorder="1"/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 wrapText="1"/>
    </xf>
    <xf numFmtId="0" fontId="6" fillId="0" borderId="2" xfId="0" applyFont="1" applyBorder="1"/>
    <xf numFmtId="0" fontId="2" fillId="0" borderId="1" xfId="0" applyFont="1" applyFill="1" applyBorder="1"/>
    <xf numFmtId="10" fontId="5" fillId="0" borderId="0" xfId="0" applyNumberFormat="1" applyFont="1"/>
    <xf numFmtId="164" fontId="5" fillId="0" borderId="0" xfId="0" applyNumberFormat="1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Fill="1" applyBorder="1" applyAlignment="1">
      <alignment horizontal="center" vertical="center"/>
    </xf>
    <xf numFmtId="164" fontId="8" fillId="0" borderId="1" xfId="1" applyNumberFormat="1" applyFont="1" applyFill="1" applyBorder="1"/>
    <xf numFmtId="10" fontId="8" fillId="0" borderId="1" xfId="3" applyNumberFormat="1" applyFont="1" applyFill="1" applyBorder="1"/>
    <xf numFmtId="164" fontId="8" fillId="0" borderId="1" xfId="1" applyNumberFormat="1" applyFont="1" applyBorder="1"/>
    <xf numFmtId="17" fontId="8" fillId="0" borderId="1" xfId="1" applyNumberFormat="1" applyFont="1" applyBorder="1"/>
    <xf numFmtId="164" fontId="8" fillId="0" borderId="3" xfId="1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1" applyNumberFormat="1" applyFont="1" applyBorder="1"/>
    <xf numFmtId="164" fontId="7" fillId="0" borderId="3" xfId="1" applyNumberFormat="1" applyFont="1" applyBorder="1"/>
    <xf numFmtId="0" fontId="9" fillId="0" borderId="0" xfId="0" applyFont="1"/>
    <xf numFmtId="164" fontId="8" fillId="0" borderId="0" xfId="0" applyNumberFormat="1" applyFont="1"/>
    <xf numFmtId="164" fontId="8" fillId="0" borderId="0" xfId="1" applyNumberFormat="1" applyFont="1"/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1" applyNumberFormat="1" applyFont="1" applyBorder="1"/>
    <xf numFmtId="164" fontId="8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/>
    <xf numFmtId="164" fontId="8" fillId="0" borderId="0" xfId="1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2" fillId="0" borderId="5" xfId="0" applyFont="1" applyBorder="1" applyAlignment="1">
      <alignment horizontal="right"/>
    </xf>
    <xf numFmtId="0" fontId="0" fillId="0" borderId="8" xfId="0" applyFont="1" applyFill="1" applyBorder="1"/>
    <xf numFmtId="0" fontId="0" fillId="0" borderId="0" xfId="0" applyAlignment="1">
      <alignment horizontal="left"/>
    </xf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0" fillId="0" borderId="7" xfId="0" applyFont="1" applyBorder="1"/>
    <xf numFmtId="166" fontId="2" fillId="0" borderId="10" xfId="4" applyFont="1" applyBorder="1" applyAlignment="1">
      <alignment horizontal="center" wrapText="1"/>
    </xf>
    <xf numFmtId="166" fontId="2" fillId="0" borderId="11" xfId="4" applyFont="1" applyBorder="1" applyAlignment="1">
      <alignment horizontal="center" wrapText="1"/>
    </xf>
    <xf numFmtId="166" fontId="2" fillId="0" borderId="0" xfId="4" applyFont="1" applyBorder="1" applyAlignment="1">
      <alignment horizontal="center" wrapText="1"/>
    </xf>
    <xf numFmtId="166" fontId="2" fillId="0" borderId="8" xfId="4" applyFont="1" applyBorder="1" applyAlignment="1">
      <alignment horizontal="center" wrapText="1"/>
    </xf>
    <xf numFmtId="166" fontId="0" fillId="0" borderId="11" xfId="4" applyFont="1" applyBorder="1"/>
    <xf numFmtId="166" fontId="0" fillId="0" borderId="0" xfId="4" applyFont="1" applyBorder="1"/>
    <xf numFmtId="166" fontId="0" fillId="0" borderId="8" xfId="4" applyFont="1" applyBorder="1"/>
    <xf numFmtId="166" fontId="1" fillId="0" borderId="7" xfId="4" applyFont="1" applyBorder="1" applyAlignment="1">
      <alignment horizontal="center" wrapText="1"/>
    </xf>
    <xf numFmtId="166" fontId="0" fillId="0" borderId="7" xfId="4" applyFont="1" applyBorder="1"/>
    <xf numFmtId="166" fontId="0" fillId="0" borderId="12" xfId="4" applyFont="1" applyBorder="1"/>
    <xf numFmtId="0" fontId="2" fillId="0" borderId="13" xfId="0" applyFont="1" applyBorder="1" applyAlignment="1">
      <alignment wrapText="1"/>
    </xf>
    <xf numFmtId="166" fontId="2" fillId="0" borderId="14" xfId="4" applyFont="1" applyBorder="1" applyAlignment="1">
      <alignment horizontal="center"/>
    </xf>
    <xf numFmtId="9" fontId="0" fillId="0" borderId="11" xfId="3" applyFont="1" applyBorder="1" applyAlignment="1">
      <alignment horizontal="center"/>
    </xf>
    <xf numFmtId="9" fontId="0" fillId="0" borderId="0" xfId="3" applyFont="1" applyBorder="1" applyAlignment="1">
      <alignment horizontal="center"/>
    </xf>
    <xf numFmtId="9" fontId="0" fillId="0" borderId="8" xfId="3" applyFont="1" applyBorder="1" applyAlignment="1">
      <alignment horizontal="center"/>
    </xf>
    <xf numFmtId="0" fontId="2" fillId="0" borderId="7" xfId="0" applyFont="1" applyBorder="1"/>
    <xf numFmtId="166" fontId="0" fillId="0" borderId="11" xfId="4" applyFont="1" applyBorder="1" applyAlignment="1">
      <alignment horizontal="center"/>
    </xf>
    <xf numFmtId="166" fontId="2" fillId="0" borderId="11" xfId="4" applyFont="1" applyBorder="1" applyAlignment="1">
      <alignment horizontal="center"/>
    </xf>
    <xf numFmtId="166" fontId="2" fillId="0" borderId="11" xfId="4" applyFont="1" applyBorder="1"/>
    <xf numFmtId="166" fontId="0" fillId="0" borderId="0" xfId="4" applyFont="1" applyBorder="1" applyAlignment="1">
      <alignment horizontal="center"/>
    </xf>
    <xf numFmtId="166" fontId="0" fillId="0" borderId="8" xfId="4" applyFont="1" applyBorder="1" applyAlignment="1">
      <alignment horizontal="center"/>
    </xf>
    <xf numFmtId="0" fontId="0" fillId="0" borderId="15" xfId="0" applyBorder="1"/>
    <xf numFmtId="166" fontId="0" fillId="0" borderId="12" xfId="4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17" fontId="2" fillId="0" borderId="1" xfId="0" applyNumberFormat="1" applyFont="1" applyBorder="1" applyAlignment="1">
      <alignment horizontal="center" vertical="center" wrapText="1"/>
    </xf>
    <xf numFmtId="0" fontId="0" fillId="0" borderId="1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166" fontId="0" fillId="0" borderId="1" xfId="4" applyFont="1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9" fontId="0" fillId="0" borderId="11" xfId="3" applyNumberFormat="1" applyFont="1" applyBorder="1"/>
    <xf numFmtId="0" fontId="2" fillId="0" borderId="7" xfId="0" applyFont="1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" xfId="0" applyBorder="1"/>
    <xf numFmtId="166" fontId="0" fillId="0" borderId="2" xfId="4" applyFont="1" applyBorder="1"/>
    <xf numFmtId="166" fontId="0" fillId="0" borderId="17" xfId="4" applyFont="1" applyBorder="1"/>
    <xf numFmtId="166" fontId="0" fillId="0" borderId="18" xfId="4" applyFont="1" applyBorder="1"/>
    <xf numFmtId="166" fontId="0" fillId="0" borderId="19" xfId="4" applyFont="1" applyBorder="1"/>
    <xf numFmtId="0" fontId="0" fillId="0" borderId="7" xfId="0" applyFill="1" applyBorder="1"/>
    <xf numFmtId="166" fontId="2" fillId="0" borderId="1" xfId="4" applyFont="1" applyBorder="1"/>
    <xf numFmtId="0" fontId="0" fillId="0" borderId="0" xfId="0" applyAlignment="1"/>
    <xf numFmtId="0" fontId="0" fillId="0" borderId="3" xfId="0" applyBorder="1"/>
    <xf numFmtId="0" fontId="2" fillId="0" borderId="2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17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0" fillId="0" borderId="17" xfId="0" applyBorder="1" applyAlignment="1">
      <alignment horizontal="center" wrapText="1"/>
    </xf>
    <xf numFmtId="17" fontId="0" fillId="0" borderId="17" xfId="0" applyNumberFormat="1" applyBorder="1" applyAlignment="1">
      <alignment horizontal="center" wrapText="1"/>
    </xf>
    <xf numFmtId="17" fontId="0" fillId="0" borderId="2" xfId="0" applyNumberFormat="1" applyBorder="1" applyAlignment="1">
      <alignment horizontal="center" wrapText="1"/>
    </xf>
    <xf numFmtId="17" fontId="0" fillId="0" borderId="19" xfId="0" applyNumberFormat="1" applyBorder="1" applyAlignment="1">
      <alignment horizontal="center" wrapText="1"/>
    </xf>
    <xf numFmtId="1" fontId="0" fillId="0" borderId="2" xfId="0" applyNumberFormat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166" fontId="0" fillId="0" borderId="7" xfId="4" applyFont="1" applyBorder="1" applyAlignment="1">
      <alignment horizontal="center" wrapText="1"/>
    </xf>
    <xf numFmtId="166" fontId="0" fillId="0" borderId="11" xfId="4" applyFont="1" applyBorder="1" applyAlignment="1">
      <alignment horizontal="center" wrapText="1"/>
    </xf>
    <xf numFmtId="166" fontId="0" fillId="0" borderId="8" xfId="4" applyFont="1" applyBorder="1" applyAlignment="1">
      <alignment horizontal="center" wrapText="1"/>
    </xf>
    <xf numFmtId="0" fontId="0" fillId="0" borderId="0" xfId="0" applyBorder="1" applyAlignment="1">
      <alignment horizontal="left"/>
    </xf>
    <xf numFmtId="166" fontId="0" fillId="0" borderId="7" xfId="4" applyFont="1" applyFill="1" applyBorder="1" applyAlignment="1">
      <alignment horizontal="center" wrapText="1"/>
    </xf>
    <xf numFmtId="166" fontId="0" fillId="0" borderId="11" xfId="4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166" fontId="0" fillId="0" borderId="3" xfId="4" applyFont="1" applyFill="1" applyBorder="1" applyAlignment="1">
      <alignment horizontal="center" wrapText="1"/>
    </xf>
    <xf numFmtId="166" fontId="0" fillId="0" borderId="3" xfId="4" applyFont="1" applyBorder="1" applyAlignment="1">
      <alignment horizontal="center" wrapText="1"/>
    </xf>
    <xf numFmtId="166" fontId="0" fillId="0" borderId="1" xfId="4" applyFont="1" applyBorder="1" applyAlignment="1">
      <alignment horizontal="center" wrapText="1"/>
    </xf>
    <xf numFmtId="0" fontId="0" fillId="0" borderId="0" xfId="0" applyBorder="1" applyAlignment="1">
      <alignment horizontal="left" vertical="top" wrapText="1"/>
    </xf>
    <xf numFmtId="0" fontId="2" fillId="0" borderId="20" xfId="0" applyFont="1" applyBorder="1" applyAlignment="1">
      <alignment horizontal="left"/>
    </xf>
    <xf numFmtId="166" fontId="2" fillId="0" borderId="3" xfId="4" applyFont="1" applyFill="1" applyBorder="1" applyAlignment="1">
      <alignment horizontal="center" wrapText="1"/>
    </xf>
    <xf numFmtId="166" fontId="2" fillId="0" borderId="3" xfId="4" applyFont="1" applyBorder="1" applyAlignment="1">
      <alignment horizontal="center" wrapText="1"/>
    </xf>
    <xf numFmtId="166" fontId="2" fillId="0" borderId="1" xfId="4" applyFont="1" applyBorder="1" applyAlignment="1">
      <alignment horizontal="center" wrapText="1"/>
    </xf>
    <xf numFmtId="166" fontId="0" fillId="0" borderId="2" xfId="4" applyFont="1" applyBorder="1" applyAlignment="1">
      <alignment horizontal="center" wrapText="1"/>
    </xf>
    <xf numFmtId="166" fontId="0" fillId="0" borderId="12" xfId="4" applyFont="1" applyFill="1" applyBorder="1" applyAlignment="1">
      <alignment horizontal="center" wrapText="1"/>
    </xf>
    <xf numFmtId="0" fontId="14" fillId="0" borderId="0" xfId="0" applyFont="1" applyBorder="1" applyAlignment="1">
      <alignment horizontal="left"/>
    </xf>
    <xf numFmtId="166" fontId="0" fillId="0" borderId="7" xfId="4" applyFont="1" applyFill="1" applyBorder="1" applyAlignment="1">
      <alignment horizontal="center"/>
    </xf>
    <xf numFmtId="166" fontId="0" fillId="0" borderId="11" xfId="4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 wrapText="1"/>
    </xf>
    <xf numFmtId="166" fontId="2" fillId="0" borderId="11" xfId="4" applyFont="1" applyFill="1" applyBorder="1" applyAlignment="1">
      <alignment horizontal="center" wrapText="1"/>
    </xf>
    <xf numFmtId="166" fontId="2" fillId="0" borderId="1" xfId="4" applyFont="1" applyFill="1" applyBorder="1" applyAlignment="1">
      <alignment horizontal="center" wrapText="1"/>
    </xf>
    <xf numFmtId="0" fontId="2" fillId="0" borderId="19" xfId="0" applyFont="1" applyBorder="1"/>
    <xf numFmtId="166" fontId="0" fillId="0" borderId="0" xfId="4" applyFont="1" applyFill="1" applyBorder="1"/>
    <xf numFmtId="0" fontId="0" fillId="0" borderId="0" xfId="0" applyBorder="1" applyAlignment="1">
      <alignment wrapText="1"/>
    </xf>
    <xf numFmtId="166" fontId="0" fillId="0" borderId="7" xfId="4" applyFont="1" applyFill="1" applyBorder="1"/>
    <xf numFmtId="0" fontId="0" fillId="0" borderId="0" xfId="0" applyBorder="1"/>
    <xf numFmtId="0" fontId="2" fillId="0" borderId="20" xfId="0" applyFont="1" applyBorder="1"/>
    <xf numFmtId="166" fontId="2" fillId="0" borderId="3" xfId="4" applyFont="1" applyFill="1" applyBorder="1"/>
    <xf numFmtId="166" fontId="2" fillId="0" borderId="1" xfId="4" applyFont="1" applyFill="1" applyBorder="1"/>
    <xf numFmtId="166" fontId="2" fillId="0" borderId="3" xfId="4" applyFont="1" applyBorder="1"/>
    <xf numFmtId="0" fontId="0" fillId="0" borderId="7" xfId="0" applyBorder="1" applyAlignment="1">
      <alignment horizontal="center" vertical="top"/>
    </xf>
    <xf numFmtId="166" fontId="0" fillId="0" borderId="0" xfId="4" applyFont="1"/>
    <xf numFmtId="0" fontId="0" fillId="0" borderId="0" xfId="0" applyAlignment="1">
      <alignment horizontal="center"/>
    </xf>
    <xf numFmtId="166" fontId="1" fillId="0" borderId="0" xfId="4" applyFont="1" applyBorder="1" applyAlignment="1">
      <alignment horizontal="center" wrapText="1"/>
    </xf>
    <xf numFmtId="166" fontId="0" fillId="0" borderId="21" xfId="4" applyFont="1" applyBorder="1"/>
    <xf numFmtId="166" fontId="2" fillId="0" borderId="22" xfId="4" applyFont="1" applyBorder="1" applyAlignment="1">
      <alignment horizontal="center"/>
    </xf>
    <xf numFmtId="166" fontId="2" fillId="0" borderId="8" xfId="4" applyFont="1" applyBorder="1" applyAlignment="1">
      <alignment horizontal="center"/>
    </xf>
    <xf numFmtId="166" fontId="1" fillId="0" borderId="11" xfId="4" applyFont="1" applyBorder="1" applyAlignment="1">
      <alignment horizontal="center" wrapText="1"/>
    </xf>
    <xf numFmtId="166" fontId="0" fillId="0" borderId="21" xfId="4" applyFont="1" applyBorder="1" applyAlignment="1">
      <alignment horizontal="center"/>
    </xf>
    <xf numFmtId="9" fontId="0" fillId="0" borderId="23" xfId="3" applyFont="1" applyBorder="1" applyAlignment="1">
      <alignment horizontal="center"/>
    </xf>
    <xf numFmtId="43" fontId="0" fillId="0" borderId="11" xfId="0" applyNumberFormat="1" applyBorder="1"/>
    <xf numFmtId="0" fontId="7" fillId="0" borderId="0" xfId="0" applyFont="1" applyBorder="1" applyAlignment="1">
      <alignment horizontal="center" vertical="center" wrapText="1"/>
    </xf>
    <xf numFmtId="43" fontId="0" fillId="0" borderId="0" xfId="1" applyFont="1"/>
    <xf numFmtId="43" fontId="0" fillId="0" borderId="8" xfId="1" applyFont="1" applyBorder="1"/>
    <xf numFmtId="43" fontId="0" fillId="0" borderId="5" xfId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0" fillId="0" borderId="8" xfId="1" applyFont="1" applyFill="1" applyBorder="1"/>
    <xf numFmtId="2" fontId="0" fillId="0" borderId="11" xfId="0" applyNumberFormat="1" applyBorder="1"/>
    <xf numFmtId="10" fontId="0" fillId="0" borderId="0" xfId="3" applyNumberFormat="1" applyFont="1"/>
    <xf numFmtId="166" fontId="0" fillId="0" borderId="0" xfId="0" applyNumberFormat="1"/>
    <xf numFmtId="43" fontId="8" fillId="0" borderId="1" xfId="1" applyFont="1" applyBorder="1"/>
    <xf numFmtId="2" fontId="8" fillId="0" borderId="1" xfId="0" applyNumberFormat="1" applyFont="1" applyBorder="1"/>
    <xf numFmtId="43" fontId="8" fillId="0" borderId="1" xfId="0" applyNumberFormat="1" applyFont="1" applyBorder="1"/>
    <xf numFmtId="2" fontId="0" fillId="0" borderId="5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43" fontId="0" fillId="0" borderId="0" xfId="1" applyFont="1" applyFill="1" applyBorder="1"/>
    <xf numFmtId="0" fontId="17" fillId="0" borderId="0" xfId="0" applyFont="1"/>
    <xf numFmtId="166" fontId="2" fillId="0" borderId="12" xfId="4" applyFont="1" applyFill="1" applyBorder="1" applyAlignment="1">
      <alignment horizontal="center" wrapText="1"/>
    </xf>
    <xf numFmtId="2" fontId="0" fillId="0" borderId="11" xfId="0" applyNumberFormat="1" applyFont="1" applyBorder="1"/>
    <xf numFmtId="166" fontId="1" fillId="0" borderId="11" xfId="4" applyFont="1" applyBorder="1"/>
    <xf numFmtId="166" fontId="0" fillId="0" borderId="11" xfId="4" applyFont="1" applyFill="1" applyBorder="1"/>
    <xf numFmtId="9" fontId="0" fillId="0" borderId="11" xfId="3" applyFont="1" applyBorder="1"/>
    <xf numFmtId="43" fontId="0" fillId="0" borderId="0" xfId="0" applyNumberFormat="1"/>
    <xf numFmtId="0" fontId="0" fillId="3" borderId="0" xfId="0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0" fillId="0" borderId="16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10" fontId="2" fillId="0" borderId="0" xfId="3" applyNumberFormat="1" applyFont="1"/>
    <xf numFmtId="0" fontId="0" fillId="4" borderId="0" xfId="0" applyFill="1"/>
    <xf numFmtId="43" fontId="8" fillId="0" borderId="0" xfId="1" applyNumberFormat="1" applyFont="1" applyBorder="1"/>
  </cellXfs>
  <cellStyles count="5">
    <cellStyle name="Comma" xfId="1" builtinId="3"/>
    <cellStyle name="Comma 10" xfId="2"/>
    <cellStyle name="Comma 2" xfId="4"/>
    <cellStyle name="Normal" xfId="0" builtinId="0"/>
    <cellStyle name="Percent" xfId="3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1457325</xdr:colOff>
      <xdr:row>3</xdr:row>
      <xdr:rowOff>287653</xdr:rowOff>
    </xdr:from>
    <xdr:to>
      <xdr:col>1</xdr:col>
      <xdr:colOff>1749933</xdr:colOff>
      <xdr:row>3</xdr:row>
      <xdr:rowOff>333372</xdr:rowOff>
    </xdr:to>
    <xdr:sp macro="" textlink="">
      <xdr:nvSpPr>
        <xdr:cNvPr id="2" name="Right Arrow 1"/>
        <xdr:cNvSpPr/>
      </xdr:nvSpPr>
      <xdr:spPr>
        <a:xfrm flipV="1">
          <a:off x="1781175" y="859153"/>
          <a:ext cx="292608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1533525</xdr:colOff>
      <xdr:row>2</xdr:row>
      <xdr:rowOff>228599</xdr:rowOff>
    </xdr:from>
    <xdr:to>
      <xdr:col>1</xdr:col>
      <xdr:colOff>1826132</xdr:colOff>
      <xdr:row>2</xdr:row>
      <xdr:rowOff>304800</xdr:rowOff>
    </xdr:to>
    <xdr:sp macro="" textlink="">
      <xdr:nvSpPr>
        <xdr:cNvPr id="2" name="Right Arrow 1"/>
        <xdr:cNvSpPr/>
      </xdr:nvSpPr>
      <xdr:spPr>
        <a:xfrm>
          <a:off x="1895475" y="609599"/>
          <a:ext cx="292607" cy="7620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8" sqref="F8"/>
    </sheetView>
  </sheetViews>
  <sheetFormatPr defaultRowHeight="14.4" x14ac:dyDescent="0.3"/>
  <cols>
    <col min="1" max="1" width="4.88671875" customWidth="1"/>
    <col min="2" max="2" width="47.6640625" customWidth="1"/>
    <col min="3" max="3" width="8" customWidth="1"/>
    <col min="4" max="4" width="7.6640625" customWidth="1"/>
    <col min="5" max="5" width="7.5546875" customWidth="1"/>
    <col min="6" max="6" width="7.88671875" customWidth="1"/>
    <col min="7" max="7" width="8.88671875" bestFit="1" customWidth="1"/>
    <col min="8" max="8" width="7.6640625" customWidth="1"/>
    <col min="9" max="10" width="8.109375" customWidth="1"/>
    <col min="11" max="12" width="8.5546875" customWidth="1"/>
    <col min="13" max="13" width="7.88671875" customWidth="1"/>
    <col min="15" max="15" width="11.6640625" bestFit="1" customWidth="1"/>
  </cols>
  <sheetData>
    <row r="1" spans="1:22" x14ac:dyDescent="0.3">
      <c r="B1" s="201" t="s">
        <v>175</v>
      </c>
      <c r="C1" s="201"/>
      <c r="D1" s="201"/>
      <c r="E1" s="201"/>
      <c r="F1" s="201"/>
      <c r="G1" s="201"/>
      <c r="H1" s="201"/>
      <c r="I1" s="201"/>
      <c r="J1" s="201"/>
      <c r="K1" s="121"/>
      <c r="L1" s="121"/>
      <c r="M1" s="121"/>
    </row>
    <row r="2" spans="1:22" x14ac:dyDescent="0.3">
      <c r="B2" s="202" t="s">
        <v>176</v>
      </c>
      <c r="C2" s="202"/>
      <c r="D2" s="202"/>
      <c r="E2" s="202"/>
      <c r="F2" s="202"/>
      <c r="G2" s="202"/>
      <c r="H2" s="202"/>
      <c r="I2" s="202"/>
      <c r="J2" s="202"/>
      <c r="K2" s="203" t="s">
        <v>177</v>
      </c>
      <c r="L2" s="203"/>
      <c r="M2" s="203"/>
    </row>
    <row r="3" spans="1:22" x14ac:dyDescent="0.3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22" ht="43.2" x14ac:dyDescent="0.3">
      <c r="A4" s="122"/>
      <c r="B4" s="123" t="s">
        <v>115</v>
      </c>
      <c r="C4" s="124" t="s">
        <v>116</v>
      </c>
      <c r="D4" s="125" t="s">
        <v>302</v>
      </c>
      <c r="E4" s="125" t="s">
        <v>117</v>
      </c>
      <c r="F4" s="125" t="s">
        <v>118</v>
      </c>
      <c r="G4" s="125" t="s">
        <v>178</v>
      </c>
      <c r="H4" s="125" t="s">
        <v>179</v>
      </c>
      <c r="I4" s="125" t="s">
        <v>180</v>
      </c>
      <c r="J4" s="125" t="s">
        <v>181</v>
      </c>
      <c r="K4" s="125" t="s">
        <v>182</v>
      </c>
      <c r="L4" s="125" t="s">
        <v>183</v>
      </c>
      <c r="M4" s="125" t="s">
        <v>284</v>
      </c>
    </row>
    <row r="5" spans="1:22" x14ac:dyDescent="0.3">
      <c r="A5" s="66"/>
      <c r="B5" s="126" t="s">
        <v>184</v>
      </c>
      <c r="C5" s="127"/>
      <c r="D5" s="128"/>
      <c r="E5" s="128"/>
      <c r="F5" s="129"/>
      <c r="G5" s="130"/>
      <c r="H5" s="130"/>
      <c r="I5" s="130"/>
      <c r="J5" s="130"/>
      <c r="K5" s="129"/>
      <c r="L5" s="129"/>
      <c r="M5" s="131"/>
    </row>
    <row r="6" spans="1:22" ht="43.2" x14ac:dyDescent="0.3">
      <c r="A6" s="132">
        <v>1</v>
      </c>
      <c r="B6" s="133" t="s">
        <v>185</v>
      </c>
      <c r="C6" s="134"/>
      <c r="D6" s="134"/>
      <c r="E6" s="134"/>
      <c r="F6" s="135"/>
      <c r="G6" s="136"/>
      <c r="H6" s="136"/>
      <c r="I6" s="136"/>
      <c r="J6" s="136"/>
      <c r="K6" s="135"/>
      <c r="L6" s="135"/>
      <c r="M6" s="135"/>
    </row>
    <row r="7" spans="1:22" x14ac:dyDescent="0.3">
      <c r="A7" s="132"/>
      <c r="B7" s="137" t="s">
        <v>186</v>
      </c>
      <c r="C7" s="138">
        <v>1.07</v>
      </c>
      <c r="D7" s="138">
        <f>3.24+0.57</f>
        <v>3.81</v>
      </c>
      <c r="E7" s="138">
        <v>7.5</v>
      </c>
      <c r="F7" s="138">
        <v>10</v>
      </c>
      <c r="G7" s="138">
        <v>10</v>
      </c>
      <c r="H7" s="138">
        <v>10</v>
      </c>
      <c r="I7" s="138">
        <v>10</v>
      </c>
      <c r="J7" s="138">
        <v>10</v>
      </c>
      <c r="K7" s="138">
        <v>10</v>
      </c>
      <c r="L7" s="138">
        <v>10</v>
      </c>
      <c r="M7" s="139">
        <v>10</v>
      </c>
      <c r="O7" s="186">
        <v>4</v>
      </c>
      <c r="P7" s="186">
        <f t="shared" ref="P7:V7" si="0">G7</f>
        <v>10</v>
      </c>
      <c r="Q7" s="186">
        <f t="shared" si="0"/>
        <v>10</v>
      </c>
      <c r="R7" s="186">
        <f t="shared" si="0"/>
        <v>10</v>
      </c>
      <c r="S7" s="186">
        <f t="shared" si="0"/>
        <v>10</v>
      </c>
      <c r="T7" s="186">
        <f t="shared" si="0"/>
        <v>10</v>
      </c>
      <c r="U7" s="186">
        <f t="shared" si="0"/>
        <v>10</v>
      </c>
      <c r="V7" s="186">
        <f t="shared" si="0"/>
        <v>10</v>
      </c>
    </row>
    <row r="8" spans="1:22" x14ac:dyDescent="0.3">
      <c r="A8" s="132"/>
      <c r="B8" s="137" t="s">
        <v>303</v>
      </c>
      <c r="C8" s="138">
        <v>1.19</v>
      </c>
      <c r="D8" s="138">
        <f>2.62</f>
        <v>2.62</v>
      </c>
      <c r="E8" s="138">
        <f>E34</f>
        <v>3.8870717622338757</v>
      </c>
      <c r="F8" s="138">
        <f t="shared" ref="F8:M8" si="1">F34</f>
        <v>6.1673944817678121</v>
      </c>
      <c r="G8" s="138">
        <f t="shared" si="1"/>
        <v>5.9574918452343795</v>
      </c>
      <c r="H8" s="138">
        <f t="shared" si="1"/>
        <v>5.6623456616271763</v>
      </c>
      <c r="I8" s="138">
        <f t="shared" si="1"/>
        <v>5.4248903908972208</v>
      </c>
      <c r="J8" s="138">
        <f t="shared" si="1"/>
        <v>4.5443075382662226</v>
      </c>
      <c r="K8" s="138">
        <f t="shared" si="1"/>
        <v>3.6981223562166674</v>
      </c>
      <c r="L8" s="138">
        <f t="shared" si="1"/>
        <v>3.3240984778900753</v>
      </c>
      <c r="M8" s="139">
        <f t="shared" si="1"/>
        <v>0.24</v>
      </c>
      <c r="N8" s="211"/>
      <c r="O8" t="s">
        <v>315</v>
      </c>
    </row>
    <row r="9" spans="1:22" x14ac:dyDescent="0.3">
      <c r="A9" s="132"/>
      <c r="B9" s="137" t="s">
        <v>304</v>
      </c>
      <c r="C9" s="138"/>
      <c r="D9" s="134"/>
      <c r="E9" s="134"/>
      <c r="F9" s="135"/>
      <c r="G9" s="136"/>
      <c r="H9" s="136"/>
      <c r="I9" s="136"/>
      <c r="J9" s="136"/>
      <c r="K9" s="135"/>
      <c r="L9" s="135"/>
      <c r="M9" s="135"/>
    </row>
    <row r="10" spans="1:22" x14ac:dyDescent="0.3">
      <c r="A10" s="132"/>
      <c r="B10" s="133" t="s">
        <v>305</v>
      </c>
      <c r="C10" s="138"/>
      <c r="D10" s="134"/>
      <c r="E10" s="134"/>
      <c r="F10" s="135"/>
      <c r="G10" s="136"/>
      <c r="H10" s="136"/>
      <c r="I10" s="136"/>
      <c r="J10" s="136"/>
      <c r="K10" s="135"/>
      <c r="L10" s="135"/>
      <c r="M10" s="135"/>
    </row>
    <row r="11" spans="1:22" x14ac:dyDescent="0.3">
      <c r="A11" s="140"/>
      <c r="B11" s="141" t="s">
        <v>187</v>
      </c>
      <c r="C11" s="142">
        <f t="shared" ref="C11:L11" si="2">SUM(C7:C10)</f>
        <v>2.2599999999999998</v>
      </c>
      <c r="D11" s="143">
        <f>SUM(D7:D10)</f>
        <v>6.43</v>
      </c>
      <c r="E11" s="143">
        <f t="shared" si="2"/>
        <v>11.387071762233877</v>
      </c>
      <c r="F11" s="143">
        <f t="shared" si="2"/>
        <v>16.167394481767811</v>
      </c>
      <c r="G11" s="143">
        <f t="shared" si="2"/>
        <v>15.957491845234379</v>
      </c>
      <c r="H11" s="143">
        <f t="shared" si="2"/>
        <v>15.662345661627176</v>
      </c>
      <c r="I11" s="143">
        <f t="shared" si="2"/>
        <v>15.424890390897222</v>
      </c>
      <c r="J11" s="143">
        <f t="shared" si="2"/>
        <v>14.544307538266223</v>
      </c>
      <c r="K11" s="143">
        <f t="shared" si="2"/>
        <v>13.698122356216668</v>
      </c>
      <c r="L11" s="143">
        <f t="shared" si="2"/>
        <v>13.324098477890075</v>
      </c>
      <c r="M11" s="144">
        <f>SUM(M7:M10)</f>
        <v>10.24</v>
      </c>
    </row>
    <row r="12" spans="1:22" x14ac:dyDescent="0.3">
      <c r="A12" s="132"/>
      <c r="B12" s="137"/>
      <c r="C12" s="138"/>
      <c r="D12" s="134"/>
      <c r="E12" s="134"/>
      <c r="F12" s="135"/>
      <c r="G12" s="136"/>
      <c r="H12" s="136"/>
      <c r="I12" s="136"/>
      <c r="J12" s="136"/>
      <c r="K12" s="135"/>
      <c r="L12" s="135"/>
      <c r="M12" s="135"/>
    </row>
    <row r="13" spans="1:22" x14ac:dyDescent="0.3">
      <c r="A13" s="132">
        <v>2</v>
      </c>
      <c r="B13" s="137" t="s">
        <v>188</v>
      </c>
      <c r="C13" s="138">
        <v>0</v>
      </c>
      <c r="D13" s="138">
        <v>0</v>
      </c>
      <c r="E13" s="138"/>
      <c r="F13" s="138"/>
      <c r="G13" s="138"/>
      <c r="H13" s="138"/>
      <c r="I13" s="138"/>
      <c r="J13" s="138"/>
      <c r="K13" s="138"/>
      <c r="L13" s="138"/>
      <c r="M13" s="139"/>
    </row>
    <row r="14" spans="1:22" x14ac:dyDescent="0.3">
      <c r="A14" s="132"/>
      <c r="B14" s="137"/>
      <c r="C14" s="138"/>
      <c r="D14" s="134"/>
      <c r="E14" s="134"/>
      <c r="F14" s="135"/>
      <c r="G14" s="136"/>
      <c r="H14" s="136"/>
      <c r="I14" s="136"/>
      <c r="J14" s="136"/>
      <c r="K14" s="135"/>
      <c r="L14" s="135"/>
      <c r="M14" s="135"/>
    </row>
    <row r="15" spans="1:22" x14ac:dyDescent="0.3">
      <c r="A15" s="132">
        <v>3</v>
      </c>
      <c r="B15" s="137" t="s">
        <v>189</v>
      </c>
      <c r="C15" s="138">
        <v>11.68</v>
      </c>
      <c r="D15" s="138">
        <v>24.45</v>
      </c>
      <c r="E15" s="138">
        <f>('Operating Statement'!E21/365)*60</f>
        <v>16.601949561141449</v>
      </c>
      <c r="F15" s="138">
        <f>('Operating Statement'!F21/365)*60</f>
        <v>18.693651366570663</v>
      </c>
      <c r="G15" s="138">
        <f>('Operating Statement'!G21/365)*45</f>
        <v>19.826861216317397</v>
      </c>
      <c r="H15" s="138">
        <f>('Operating Statement'!H21/365)*45</f>
        <v>22.415902312207805</v>
      </c>
      <c r="I15" s="138">
        <f>('Operating Statement'!I21/365)*45</f>
        <v>23.710422860153013</v>
      </c>
      <c r="J15" s="138">
        <f>('Operating Statement'!J21/365)*40</f>
        <v>22.226616362753973</v>
      </c>
      <c r="K15" s="138">
        <f>('Operating Statement'!K21/365)*35</f>
        <v>19.448289317409724</v>
      </c>
      <c r="L15" s="138">
        <f>('Operating Statement'!L21/365)*30</f>
        <v>16.669962272065479</v>
      </c>
      <c r="M15" s="139">
        <f>('Operating Statement'!M21/365)*30</f>
        <v>16.669962272065479</v>
      </c>
    </row>
    <row r="16" spans="1:22" x14ac:dyDescent="0.3">
      <c r="A16" s="132"/>
      <c r="B16" s="137"/>
      <c r="C16" s="138"/>
      <c r="D16" s="134"/>
      <c r="E16" s="134"/>
      <c r="F16" s="135"/>
      <c r="G16" s="136"/>
      <c r="H16" s="136"/>
      <c r="I16" s="136"/>
      <c r="J16" s="136"/>
      <c r="K16" s="135"/>
      <c r="L16" s="135"/>
      <c r="M16" s="135"/>
    </row>
    <row r="17" spans="1:15" ht="30.75" customHeight="1" x14ac:dyDescent="0.3">
      <c r="A17" s="132">
        <v>4</v>
      </c>
      <c r="B17" s="133" t="s">
        <v>190</v>
      </c>
      <c r="C17" s="138">
        <v>7.72</v>
      </c>
      <c r="D17" s="138">
        <v>7.64</v>
      </c>
      <c r="E17" s="138">
        <v>5</v>
      </c>
      <c r="F17" s="138">
        <v>5</v>
      </c>
      <c r="G17" s="138">
        <v>5</v>
      </c>
      <c r="H17" s="138">
        <v>5</v>
      </c>
      <c r="I17" s="138">
        <v>5</v>
      </c>
      <c r="J17" s="138">
        <v>5</v>
      </c>
      <c r="K17" s="138">
        <v>5</v>
      </c>
      <c r="L17" s="138">
        <v>5</v>
      </c>
      <c r="M17" s="139">
        <v>5</v>
      </c>
      <c r="O17" t="s">
        <v>316</v>
      </c>
    </row>
    <row r="18" spans="1:15" x14ac:dyDescent="0.3">
      <c r="A18" s="132">
        <v>5</v>
      </c>
      <c r="B18" s="137" t="s">
        <v>191</v>
      </c>
      <c r="C18" s="138">
        <v>0.67</v>
      </c>
      <c r="D18" s="138">
        <v>1.72</v>
      </c>
      <c r="E18" s="138">
        <f>'Operating Statement'!E64</f>
        <v>1.6823845256190566</v>
      </c>
      <c r="F18" s="138">
        <f>'Operating Statement'!F64</f>
        <v>1.285043205771476</v>
      </c>
      <c r="G18" s="138">
        <f>'Operating Statement'!G64</f>
        <v>2.4895051548292386</v>
      </c>
      <c r="H18" s="138">
        <f>'Operating Statement'!H64</f>
        <v>3.483020984401759</v>
      </c>
      <c r="I18" s="138">
        <f>'Operating Statement'!I64</f>
        <v>4.0187079932405299</v>
      </c>
      <c r="J18" s="138">
        <f>'Operating Statement'!J64</f>
        <v>4.1395994638813836</v>
      </c>
      <c r="K18" s="138">
        <f>'Operating Statement'!K64</f>
        <v>3.8255867083299404</v>
      </c>
      <c r="L18" s="138">
        <f>'Operating Statement'!L64</f>
        <v>3.5177905178796722</v>
      </c>
      <c r="M18" s="139">
        <f>'Operating Statement'!M64</f>
        <v>2.8919478398343159</v>
      </c>
      <c r="O18" t="s">
        <v>317</v>
      </c>
    </row>
    <row r="19" spans="1:15" x14ac:dyDescent="0.3">
      <c r="A19" s="132"/>
      <c r="B19" s="137"/>
      <c r="C19" s="138"/>
      <c r="D19" s="134"/>
      <c r="E19" s="134"/>
      <c r="F19" s="135"/>
      <c r="G19" s="136"/>
      <c r="H19" s="136"/>
      <c r="I19" s="136"/>
      <c r="J19" s="136"/>
      <c r="K19" s="135"/>
      <c r="L19" s="135"/>
      <c r="M19" s="135"/>
    </row>
    <row r="20" spans="1:15" x14ac:dyDescent="0.3">
      <c r="A20" s="132">
        <v>6</v>
      </c>
      <c r="B20" s="137" t="s">
        <v>192</v>
      </c>
      <c r="C20" s="138"/>
      <c r="D20" s="134"/>
      <c r="E20" s="134"/>
      <c r="F20" s="135"/>
      <c r="G20" s="136"/>
      <c r="H20" s="136"/>
      <c r="I20" s="136"/>
      <c r="J20" s="136"/>
      <c r="K20" s="135"/>
      <c r="L20" s="135"/>
      <c r="M20" s="135"/>
    </row>
    <row r="21" spans="1:15" x14ac:dyDescent="0.3">
      <c r="A21" s="132"/>
      <c r="B21" s="137"/>
      <c r="C21" s="138"/>
      <c r="D21" s="134"/>
      <c r="E21" s="134"/>
      <c r="F21" s="135"/>
      <c r="G21" s="136"/>
      <c r="H21" s="136"/>
      <c r="I21" s="136"/>
      <c r="J21" s="136"/>
      <c r="K21" s="135"/>
      <c r="L21" s="135"/>
      <c r="M21" s="135"/>
    </row>
    <row r="22" spans="1:15" x14ac:dyDescent="0.3">
      <c r="A22" s="132">
        <v>7</v>
      </c>
      <c r="B22" s="133" t="s">
        <v>193</v>
      </c>
      <c r="C22" s="138">
        <v>1.72</v>
      </c>
      <c r="D22" s="138">
        <v>0.96</v>
      </c>
      <c r="E22" s="138">
        <v>0.5</v>
      </c>
      <c r="F22" s="138">
        <v>0.5</v>
      </c>
      <c r="G22" s="138">
        <v>0.5</v>
      </c>
      <c r="H22" s="138">
        <v>0.5</v>
      </c>
      <c r="I22" s="138">
        <v>0.5</v>
      </c>
      <c r="J22" s="138">
        <v>0.5</v>
      </c>
      <c r="K22" s="138">
        <v>0.5</v>
      </c>
      <c r="L22" s="138">
        <v>0.5</v>
      </c>
      <c r="M22" s="139">
        <v>0.5</v>
      </c>
      <c r="N22" t="s">
        <v>290</v>
      </c>
      <c r="O22" s="138">
        <v>0.3</v>
      </c>
    </row>
    <row r="23" spans="1:15" ht="28.8" x14ac:dyDescent="0.3">
      <c r="A23" s="132">
        <v>8</v>
      </c>
      <c r="B23" s="133" t="s">
        <v>194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9"/>
    </row>
    <row r="24" spans="1:15" ht="28.8" x14ac:dyDescent="0.3">
      <c r="A24" s="132">
        <v>9</v>
      </c>
      <c r="B24" s="145" t="s">
        <v>195</v>
      </c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9"/>
    </row>
    <row r="25" spans="1:15" x14ac:dyDescent="0.3">
      <c r="A25" s="132"/>
      <c r="B25" s="137" t="s">
        <v>196</v>
      </c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9"/>
    </row>
    <row r="26" spans="1:15" x14ac:dyDescent="0.3">
      <c r="A26" s="132"/>
      <c r="B26" s="137" t="s">
        <v>197</v>
      </c>
      <c r="C26" s="138">
        <v>1.54</v>
      </c>
      <c r="D26" s="138">
        <v>6.57</v>
      </c>
      <c r="E26" s="138">
        <v>5</v>
      </c>
      <c r="F26" s="138">
        <v>5</v>
      </c>
      <c r="G26" s="138">
        <v>5</v>
      </c>
      <c r="H26" s="138">
        <v>5</v>
      </c>
      <c r="I26" s="138">
        <v>5</v>
      </c>
      <c r="J26" s="138">
        <v>5</v>
      </c>
      <c r="K26" s="138">
        <v>5</v>
      </c>
      <c r="L26" s="138">
        <v>5</v>
      </c>
      <c r="M26" s="151">
        <v>5</v>
      </c>
      <c r="O26" s="209" t="s">
        <v>318</v>
      </c>
    </row>
    <row r="27" spans="1:15" x14ac:dyDescent="0.3">
      <c r="A27" s="140"/>
      <c r="B27" s="141" t="s">
        <v>198</v>
      </c>
      <c r="C27" s="142">
        <f t="shared" ref="C27:M27" si="3">SUM(C13:C26)</f>
        <v>23.33</v>
      </c>
      <c r="D27" s="143">
        <f>SUM(D13:D26)</f>
        <v>41.339999999999996</v>
      </c>
      <c r="E27" s="143">
        <f t="shared" si="3"/>
        <v>28.784334086760506</v>
      </c>
      <c r="F27" s="143">
        <f t="shared" si="3"/>
        <v>30.478694572342139</v>
      </c>
      <c r="G27" s="143">
        <f t="shared" si="3"/>
        <v>32.816366371146636</v>
      </c>
      <c r="H27" s="143">
        <f t="shared" si="3"/>
        <v>36.398923296609567</v>
      </c>
      <c r="I27" s="143">
        <f t="shared" si="3"/>
        <v>38.229130853393542</v>
      </c>
      <c r="J27" s="143">
        <f t="shared" si="3"/>
        <v>36.866215826635354</v>
      </c>
      <c r="K27" s="143">
        <f t="shared" si="3"/>
        <v>33.773876025739668</v>
      </c>
      <c r="L27" s="143">
        <f t="shared" ref="L27" si="4">SUM(L13:L26)</f>
        <v>30.687752789945151</v>
      </c>
      <c r="M27" s="144">
        <f t="shared" si="3"/>
        <v>30.061910111899795</v>
      </c>
    </row>
    <row r="28" spans="1:15" x14ac:dyDescent="0.3">
      <c r="A28" s="140">
        <v>10</v>
      </c>
      <c r="B28" s="146" t="s">
        <v>199</v>
      </c>
      <c r="C28" s="147">
        <f t="shared" ref="C28:M28" si="5">C11+C27</f>
        <v>25.589999999999996</v>
      </c>
      <c r="D28" s="148">
        <f t="shared" si="5"/>
        <v>47.769999999999996</v>
      </c>
      <c r="E28" s="148">
        <f t="shared" si="5"/>
        <v>40.171405848994382</v>
      </c>
      <c r="F28" s="148">
        <f t="shared" si="5"/>
        <v>46.64608905410995</v>
      </c>
      <c r="G28" s="148">
        <f t="shared" si="5"/>
        <v>48.773858216381015</v>
      </c>
      <c r="H28" s="148">
        <f t="shared" si="5"/>
        <v>52.061268958236745</v>
      </c>
      <c r="I28" s="148">
        <f t="shared" si="5"/>
        <v>53.65402124429076</v>
      </c>
      <c r="J28" s="148">
        <f t="shared" si="5"/>
        <v>51.410523364901579</v>
      </c>
      <c r="K28" s="148">
        <f t="shared" si="5"/>
        <v>47.47199838195634</v>
      </c>
      <c r="L28" s="148">
        <f t="shared" ref="L28" si="6">L11+L27</f>
        <v>44.011851267835226</v>
      </c>
      <c r="M28" s="149">
        <f t="shared" si="5"/>
        <v>40.301910111899794</v>
      </c>
    </row>
    <row r="29" spans="1:15" x14ac:dyDescent="0.3">
      <c r="A29" s="132"/>
      <c r="B29" s="137" t="s">
        <v>200</v>
      </c>
      <c r="C29" s="138"/>
      <c r="D29" s="134"/>
      <c r="E29" s="134"/>
      <c r="F29" s="135"/>
      <c r="G29" s="136"/>
      <c r="H29" s="136"/>
      <c r="I29" s="136"/>
      <c r="J29" s="136"/>
      <c r="K29" s="135"/>
      <c r="L29" s="135"/>
      <c r="M29" s="150"/>
    </row>
    <row r="30" spans="1:15" x14ac:dyDescent="0.3">
      <c r="A30" s="132"/>
      <c r="B30" s="126" t="s">
        <v>201</v>
      </c>
      <c r="C30" s="138"/>
      <c r="D30" s="134"/>
      <c r="E30" s="134"/>
      <c r="F30" s="135"/>
      <c r="G30" s="136"/>
      <c r="H30" s="136"/>
      <c r="I30" s="136"/>
      <c r="J30" s="136"/>
      <c r="K30" s="135"/>
      <c r="L30" s="135"/>
      <c r="M30" s="135"/>
    </row>
    <row r="31" spans="1:15" x14ac:dyDescent="0.3">
      <c r="A31" s="132">
        <v>11</v>
      </c>
      <c r="B31" s="137" t="s">
        <v>202</v>
      </c>
      <c r="C31" s="138">
        <v>0</v>
      </c>
      <c r="D31" s="138"/>
      <c r="E31" s="138"/>
      <c r="F31" s="138"/>
      <c r="G31" s="138"/>
      <c r="H31" s="138"/>
      <c r="I31" s="138"/>
      <c r="J31" s="138"/>
      <c r="K31" s="138"/>
      <c r="L31" s="138"/>
      <c r="M31" s="139"/>
    </row>
    <row r="32" spans="1:15" x14ac:dyDescent="0.3">
      <c r="A32" s="132">
        <v>12</v>
      </c>
      <c r="B32" s="137" t="s">
        <v>203</v>
      </c>
      <c r="C32" s="138">
        <v>0</v>
      </c>
      <c r="D32" s="138"/>
      <c r="E32" s="138"/>
      <c r="F32" s="138"/>
      <c r="G32" s="138"/>
      <c r="H32" s="138"/>
      <c r="I32" s="138"/>
      <c r="J32" s="138"/>
      <c r="K32" s="138"/>
      <c r="L32" s="138"/>
      <c r="M32" s="139"/>
    </row>
    <row r="33" spans="1:22" x14ac:dyDescent="0.3">
      <c r="A33" s="132">
        <v>13</v>
      </c>
      <c r="B33" s="133" t="s">
        <v>204</v>
      </c>
      <c r="C33" s="138">
        <v>11.51</v>
      </c>
      <c r="D33" s="138">
        <v>11.91</v>
      </c>
      <c r="E33" s="138">
        <f>'Term Loan Summary CMA'!E4/10000000</f>
        <v>23.995577465822095</v>
      </c>
      <c r="F33" s="138">
        <f>'Term Loan Summary CMA'!E5/10000000</f>
        <v>36.858505703588214</v>
      </c>
      <c r="G33" s="138">
        <f>'Term Loan Summary CMA'!E6/10000000</f>
        <v>30.691111215089268</v>
      </c>
      <c r="H33" s="138">
        <f>'Term Loan Summary CMA'!E7/10000000</f>
        <v>24.733619369854907</v>
      </c>
      <c r="I33" s="138">
        <f>'Term Loan Summary CMA'!E8/10000000</f>
        <v>19.071273708227743</v>
      </c>
      <c r="J33" s="138">
        <f>'Term Loan Summary CMA'!E9/10000000</f>
        <v>13.646383317330516</v>
      </c>
      <c r="K33" s="138">
        <f>'Term Loan Summary CMA'!E10/10000000</f>
        <v>9.1020757790642914</v>
      </c>
      <c r="L33" s="138">
        <f>'Term Loan Summary CMA'!E11/10000000</f>
        <v>5.4039534228476205</v>
      </c>
      <c r="M33" s="139">
        <f>'Term Loan Summary CMA'!E12/10000000</f>
        <v>2.0798549449575447</v>
      </c>
      <c r="N33" t="s">
        <v>319</v>
      </c>
      <c r="O33" s="186">
        <f>F33</f>
        <v>36.858505703588214</v>
      </c>
      <c r="P33" s="186">
        <f t="shared" ref="P33:V34" si="7">G33</f>
        <v>30.691111215089268</v>
      </c>
      <c r="Q33" s="186">
        <f t="shared" si="7"/>
        <v>24.733619369854907</v>
      </c>
      <c r="R33" s="186">
        <f t="shared" si="7"/>
        <v>19.071273708227743</v>
      </c>
      <c r="S33" s="186">
        <f t="shared" si="7"/>
        <v>13.646383317330516</v>
      </c>
      <c r="T33" s="186">
        <f t="shared" si="7"/>
        <v>9.1020757790642914</v>
      </c>
      <c r="U33" s="186">
        <f t="shared" si="7"/>
        <v>5.4039534228476205</v>
      </c>
      <c r="V33" s="186">
        <f t="shared" si="7"/>
        <v>2.0798549449575447</v>
      </c>
    </row>
    <row r="34" spans="1:22" x14ac:dyDescent="0.3">
      <c r="A34" s="132"/>
      <c r="B34" s="133" t="s">
        <v>306</v>
      </c>
      <c r="C34" s="138">
        <v>1.19</v>
      </c>
      <c r="D34" s="138">
        <v>2.62</v>
      </c>
      <c r="E34" s="138">
        <f>'Term Loan Summary CMA'!D5/10000000</f>
        <v>3.8870717622338757</v>
      </c>
      <c r="F34" s="138">
        <f>'Term Loan Summary CMA'!D6/10000000</f>
        <v>6.1673944817678121</v>
      </c>
      <c r="G34" s="138">
        <f>'Term Loan Summary CMA'!D7/10000000</f>
        <v>5.9574918452343795</v>
      </c>
      <c r="H34" s="138">
        <f>'Term Loan Summary CMA'!D8/10000000</f>
        <v>5.6623456616271763</v>
      </c>
      <c r="I34" s="138">
        <f>'Term Loan Summary CMA'!D9/10000000</f>
        <v>5.4248903908972208</v>
      </c>
      <c r="J34" s="138">
        <f>'Term Loan Summary CMA'!D10/10000000</f>
        <v>4.5443075382662226</v>
      </c>
      <c r="K34" s="138">
        <f>'Term Loan Summary CMA'!D11/10000000</f>
        <v>3.6981223562166674</v>
      </c>
      <c r="L34" s="138">
        <f>'Term Loan Summary CMA'!D12/10000000</f>
        <v>3.3240984778900753</v>
      </c>
      <c r="M34" s="139">
        <f>0.11+0.13</f>
        <v>0.24</v>
      </c>
      <c r="O34" s="186">
        <f>F34</f>
        <v>6.1673944817678121</v>
      </c>
      <c r="P34" s="186">
        <f t="shared" si="7"/>
        <v>5.9574918452343795</v>
      </c>
      <c r="Q34" s="186">
        <f t="shared" si="7"/>
        <v>5.6623456616271763</v>
      </c>
      <c r="R34" s="186">
        <f t="shared" si="7"/>
        <v>5.4248903908972208</v>
      </c>
      <c r="S34" s="186">
        <f t="shared" si="7"/>
        <v>4.5443075382662226</v>
      </c>
      <c r="T34" s="186">
        <f t="shared" si="7"/>
        <v>3.6981223562166674</v>
      </c>
      <c r="U34" s="186">
        <f t="shared" si="7"/>
        <v>3.3240984778900753</v>
      </c>
      <c r="V34" s="186">
        <f t="shared" si="7"/>
        <v>0.24</v>
      </c>
    </row>
    <row r="35" spans="1:22" x14ac:dyDescent="0.3">
      <c r="A35" s="132"/>
      <c r="B35" s="133"/>
      <c r="C35" s="138">
        <f>C33-C34</f>
        <v>10.32</v>
      </c>
      <c r="D35" s="138">
        <f t="shared" ref="D35:V35" si="8">D33-D34</f>
        <v>9.2899999999999991</v>
      </c>
      <c r="E35" s="138">
        <f t="shared" si="8"/>
        <v>20.108505703588218</v>
      </c>
      <c r="F35" s="138">
        <f t="shared" si="8"/>
        <v>30.691111221820403</v>
      </c>
      <c r="G35" s="138">
        <f t="shared" si="8"/>
        <v>24.733619369854889</v>
      </c>
      <c r="H35" s="138">
        <f t="shared" si="8"/>
        <v>19.071273708227729</v>
      </c>
      <c r="I35" s="138">
        <f t="shared" si="8"/>
        <v>13.646383317330521</v>
      </c>
      <c r="J35" s="138">
        <f t="shared" si="8"/>
        <v>9.1020757790642932</v>
      </c>
      <c r="K35" s="138">
        <f t="shared" si="8"/>
        <v>5.403953422847624</v>
      </c>
      <c r="L35" s="138">
        <f t="shared" si="8"/>
        <v>2.0798549449575452</v>
      </c>
      <c r="M35" s="139">
        <f t="shared" si="8"/>
        <v>1.8398549449575448</v>
      </c>
      <c r="O35" s="138">
        <f t="shared" si="8"/>
        <v>30.691111221820403</v>
      </c>
      <c r="P35" s="138">
        <f t="shared" si="8"/>
        <v>24.733619369854889</v>
      </c>
      <c r="Q35" s="138">
        <f t="shared" si="8"/>
        <v>19.071273708227729</v>
      </c>
      <c r="R35" s="138">
        <f t="shared" si="8"/>
        <v>13.646383317330521</v>
      </c>
      <c r="S35" s="138">
        <f t="shared" si="8"/>
        <v>9.1020757790642932</v>
      </c>
      <c r="T35" s="138">
        <f t="shared" si="8"/>
        <v>5.403953422847624</v>
      </c>
      <c r="U35" s="138">
        <f t="shared" si="8"/>
        <v>2.0798549449575452</v>
      </c>
      <c r="V35" s="139">
        <f t="shared" si="8"/>
        <v>1.8398549449575448</v>
      </c>
    </row>
    <row r="36" spans="1:22" x14ac:dyDescent="0.3">
      <c r="A36" s="132"/>
      <c r="B36" s="133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9"/>
    </row>
    <row r="37" spans="1:22" x14ac:dyDescent="0.3">
      <c r="A37" s="132"/>
      <c r="B37" s="133" t="s">
        <v>205</v>
      </c>
      <c r="C37" s="138">
        <v>8.09</v>
      </c>
      <c r="D37" s="138">
        <v>10.14</v>
      </c>
      <c r="E37" s="138">
        <v>10.14</v>
      </c>
      <c r="F37" s="138">
        <v>10.14</v>
      </c>
      <c r="G37" s="138">
        <v>10.14</v>
      </c>
      <c r="H37" s="138">
        <v>10.14</v>
      </c>
      <c r="I37" s="138">
        <v>10.14</v>
      </c>
      <c r="J37" s="138">
        <v>10.14</v>
      </c>
      <c r="K37" s="138">
        <v>10.14</v>
      </c>
      <c r="L37" s="138">
        <v>10.14</v>
      </c>
      <c r="M37" s="139">
        <v>10.14</v>
      </c>
      <c r="N37" t="s">
        <v>316</v>
      </c>
    </row>
    <row r="38" spans="1:22" x14ac:dyDescent="0.3">
      <c r="A38" s="132">
        <v>14</v>
      </c>
      <c r="B38" s="137" t="s">
        <v>206</v>
      </c>
      <c r="C38" s="138">
        <v>0.45</v>
      </c>
      <c r="D38" s="138">
        <v>0.81</v>
      </c>
      <c r="E38" s="138"/>
      <c r="F38" s="138"/>
      <c r="G38" s="138"/>
      <c r="H38" s="138"/>
      <c r="I38" s="138"/>
      <c r="J38" s="138"/>
      <c r="K38" s="138"/>
      <c r="L38" s="138"/>
      <c r="M38" s="139"/>
    </row>
    <row r="39" spans="1:22" x14ac:dyDescent="0.3">
      <c r="A39" s="132">
        <v>15</v>
      </c>
      <c r="B39" s="137" t="s">
        <v>207</v>
      </c>
      <c r="C39" s="138">
        <v>1.54</v>
      </c>
      <c r="D39" s="138">
        <v>1.65</v>
      </c>
      <c r="E39" s="138">
        <v>1.66</v>
      </c>
      <c r="F39" s="138">
        <v>1.66</v>
      </c>
      <c r="G39" s="138">
        <v>1.66</v>
      </c>
      <c r="H39" s="138">
        <v>1.66</v>
      </c>
      <c r="I39" s="138">
        <v>1.66</v>
      </c>
      <c r="J39" s="138">
        <v>1.66</v>
      </c>
      <c r="K39" s="138">
        <v>1.66</v>
      </c>
      <c r="L39" s="138">
        <v>1.66</v>
      </c>
      <c r="M39" s="139">
        <v>1.66</v>
      </c>
      <c r="N39" t="s">
        <v>316</v>
      </c>
      <c r="O39" s="199">
        <f>E39*40%</f>
        <v>0.66400000000000003</v>
      </c>
    </row>
    <row r="40" spans="1:22" x14ac:dyDescent="0.3">
      <c r="A40" s="132">
        <v>16</v>
      </c>
      <c r="B40" s="137" t="s">
        <v>208</v>
      </c>
      <c r="C40" s="138">
        <v>0.37</v>
      </c>
      <c r="D40" s="138">
        <v>0.51</v>
      </c>
      <c r="E40" s="138">
        <v>0.37</v>
      </c>
      <c r="F40" s="138">
        <v>0.37</v>
      </c>
      <c r="G40" s="138">
        <v>0.37</v>
      </c>
      <c r="H40" s="138">
        <v>0.37</v>
      </c>
      <c r="I40" s="138">
        <v>0.37</v>
      </c>
      <c r="J40" s="138">
        <v>0.37</v>
      </c>
      <c r="K40" s="138">
        <v>0.37</v>
      </c>
      <c r="L40" s="138">
        <v>0.37</v>
      </c>
      <c r="M40" s="139">
        <v>0.37</v>
      </c>
      <c r="N40" t="s">
        <v>316</v>
      </c>
      <c r="O40" s="199">
        <f>E40*40%</f>
        <v>0.14799999999999999</v>
      </c>
    </row>
    <row r="41" spans="1:22" x14ac:dyDescent="0.3">
      <c r="A41" s="132">
        <v>16.100000000000001</v>
      </c>
      <c r="B41" s="137" t="s">
        <v>209</v>
      </c>
      <c r="C41" s="138">
        <v>0</v>
      </c>
      <c r="D41" s="138">
        <v>0</v>
      </c>
      <c r="E41" s="138"/>
      <c r="F41" s="138"/>
      <c r="G41" s="138"/>
      <c r="H41" s="138"/>
      <c r="I41" s="138"/>
      <c r="J41" s="138"/>
      <c r="K41" s="138"/>
      <c r="L41" s="138"/>
      <c r="M41" s="151"/>
    </row>
    <row r="42" spans="1:22" x14ac:dyDescent="0.3">
      <c r="A42" s="140">
        <v>17</v>
      </c>
      <c r="B42" s="146" t="s">
        <v>210</v>
      </c>
      <c r="C42" s="147">
        <f>C35+SUM(C37:C40)</f>
        <v>20.769999999999996</v>
      </c>
      <c r="D42" s="147">
        <f t="shared" ref="D42:M42" si="9">D35+SUM(D37:D40)</f>
        <v>22.4</v>
      </c>
      <c r="E42" s="147">
        <f t="shared" si="9"/>
        <v>32.278505703588216</v>
      </c>
      <c r="F42" s="147">
        <f t="shared" si="9"/>
        <v>42.861111221820401</v>
      </c>
      <c r="G42" s="147">
        <f t="shared" si="9"/>
        <v>36.903619369854887</v>
      </c>
      <c r="H42" s="147">
        <f t="shared" si="9"/>
        <v>31.24127370822773</v>
      </c>
      <c r="I42" s="147">
        <f t="shared" si="9"/>
        <v>25.816383317330519</v>
      </c>
      <c r="J42" s="147">
        <f t="shared" si="9"/>
        <v>21.272075779064295</v>
      </c>
      <c r="K42" s="147">
        <f t="shared" si="9"/>
        <v>17.573953422847623</v>
      </c>
      <c r="L42" s="147">
        <f t="shared" si="9"/>
        <v>14.249854944957544</v>
      </c>
      <c r="M42" s="194">
        <f t="shared" si="9"/>
        <v>14.009854944957544</v>
      </c>
    </row>
    <row r="43" spans="1:22" x14ac:dyDescent="0.3">
      <c r="A43" s="140">
        <v>18</v>
      </c>
      <c r="B43" s="146" t="s">
        <v>211</v>
      </c>
      <c r="C43" s="147">
        <f t="shared" ref="C43:M43" si="10">C28+C42</f>
        <v>46.359999999999992</v>
      </c>
      <c r="D43" s="148">
        <f t="shared" si="10"/>
        <v>70.169999999999987</v>
      </c>
      <c r="E43" s="148">
        <f t="shared" si="10"/>
        <v>72.449911552582591</v>
      </c>
      <c r="F43" s="148">
        <f t="shared" si="10"/>
        <v>89.507200275930359</v>
      </c>
      <c r="G43" s="148">
        <f t="shared" si="10"/>
        <v>85.677477586235909</v>
      </c>
      <c r="H43" s="148">
        <f t="shared" si="10"/>
        <v>83.302542666464475</v>
      </c>
      <c r="I43" s="148">
        <f t="shared" si="10"/>
        <v>79.47040456162128</v>
      </c>
      <c r="J43" s="148">
        <f t="shared" si="10"/>
        <v>72.682599143965874</v>
      </c>
      <c r="K43" s="148">
        <f t="shared" si="10"/>
        <v>65.045951804803963</v>
      </c>
      <c r="L43" s="148">
        <f t="shared" ref="L43" si="11">L28+L42</f>
        <v>58.261706212792774</v>
      </c>
      <c r="M43" s="149">
        <f t="shared" si="10"/>
        <v>54.31176505685734</v>
      </c>
    </row>
    <row r="44" spans="1:22" x14ac:dyDescent="0.3">
      <c r="A44" s="132"/>
      <c r="B44" s="152" t="s">
        <v>212</v>
      </c>
      <c r="C44" s="153"/>
      <c r="D44" s="134"/>
      <c r="E44" s="134"/>
      <c r="F44" s="135"/>
      <c r="G44" s="136"/>
      <c r="H44" s="136"/>
      <c r="I44" s="136"/>
      <c r="J44" s="136"/>
      <c r="K44" s="135"/>
      <c r="L44" s="135"/>
      <c r="M44" s="135"/>
    </row>
    <row r="45" spans="1:22" x14ac:dyDescent="0.3">
      <c r="A45" s="132"/>
      <c r="B45" s="126" t="s">
        <v>213</v>
      </c>
      <c r="C45" s="153"/>
      <c r="D45" s="134"/>
      <c r="E45" s="134"/>
      <c r="F45" s="135"/>
      <c r="G45" s="136"/>
      <c r="H45" s="136"/>
      <c r="I45" s="136"/>
      <c r="J45" s="136"/>
      <c r="K45" s="135"/>
      <c r="L45" s="135"/>
      <c r="M45" s="135"/>
    </row>
    <row r="46" spans="1:22" x14ac:dyDescent="0.3">
      <c r="A46" s="132">
        <v>19</v>
      </c>
      <c r="B46" s="137" t="s">
        <v>214</v>
      </c>
      <c r="C46" s="153">
        <v>6.5</v>
      </c>
      <c r="D46" s="153">
        <v>6.5</v>
      </c>
      <c r="E46" s="153">
        <v>6.5</v>
      </c>
      <c r="F46" s="153">
        <v>6.5</v>
      </c>
      <c r="G46" s="153">
        <v>6.5</v>
      </c>
      <c r="H46" s="153">
        <v>6.5</v>
      </c>
      <c r="I46" s="153">
        <v>6.5</v>
      </c>
      <c r="J46" s="153">
        <v>6.5</v>
      </c>
      <c r="K46" s="153">
        <v>6.5</v>
      </c>
      <c r="L46" s="153">
        <v>6.5</v>
      </c>
      <c r="M46" s="154">
        <v>6.5</v>
      </c>
      <c r="N46" t="s">
        <v>316</v>
      </c>
      <c r="O46" s="186">
        <f>F46</f>
        <v>6.5</v>
      </c>
      <c r="P46" s="186">
        <f t="shared" ref="P46:V46" si="12">G46</f>
        <v>6.5</v>
      </c>
      <c r="Q46" s="186">
        <f t="shared" si="12"/>
        <v>6.5</v>
      </c>
      <c r="R46" s="186">
        <f t="shared" si="12"/>
        <v>6.5</v>
      </c>
      <c r="S46" s="186">
        <f t="shared" si="12"/>
        <v>6.5</v>
      </c>
      <c r="T46" s="186">
        <f t="shared" si="12"/>
        <v>6.5</v>
      </c>
      <c r="U46" s="186">
        <f t="shared" si="12"/>
        <v>6.5</v>
      </c>
      <c r="V46" s="186">
        <f t="shared" si="12"/>
        <v>6.5</v>
      </c>
    </row>
    <row r="47" spans="1:22" x14ac:dyDescent="0.3">
      <c r="A47" s="132">
        <v>20</v>
      </c>
      <c r="B47" s="137" t="s">
        <v>215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4"/>
    </row>
    <row r="48" spans="1:22" x14ac:dyDescent="0.3">
      <c r="A48" s="132">
        <v>21</v>
      </c>
      <c r="B48" s="137" t="s">
        <v>216</v>
      </c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/>
    </row>
    <row r="49" spans="1:22" x14ac:dyDescent="0.3">
      <c r="A49" s="132">
        <v>22</v>
      </c>
      <c r="B49" s="137" t="s">
        <v>217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4"/>
    </row>
    <row r="50" spans="1:22" x14ac:dyDescent="0.3">
      <c r="A50" s="132"/>
      <c r="B50" s="126" t="s">
        <v>218</v>
      </c>
      <c r="C50" s="153">
        <v>1</v>
      </c>
      <c r="D50" s="153">
        <v>1</v>
      </c>
      <c r="E50" s="153">
        <v>1</v>
      </c>
      <c r="F50" s="153">
        <v>1</v>
      </c>
      <c r="G50" s="153">
        <v>1</v>
      </c>
      <c r="H50" s="153">
        <v>1</v>
      </c>
      <c r="I50" s="153">
        <v>1</v>
      </c>
      <c r="J50" s="153">
        <v>1</v>
      </c>
      <c r="K50" s="153">
        <v>1</v>
      </c>
      <c r="L50" s="153">
        <v>1</v>
      </c>
      <c r="M50" s="154">
        <v>1</v>
      </c>
      <c r="N50" t="s">
        <v>316</v>
      </c>
      <c r="O50" s="186">
        <f>F50</f>
        <v>1</v>
      </c>
      <c r="P50" s="186">
        <f t="shared" ref="P50:V50" si="13">G50</f>
        <v>1</v>
      </c>
      <c r="Q50" s="186">
        <f t="shared" si="13"/>
        <v>1</v>
      </c>
      <c r="R50" s="186">
        <f t="shared" si="13"/>
        <v>1</v>
      </c>
      <c r="S50" s="186">
        <f t="shared" si="13"/>
        <v>1</v>
      </c>
      <c r="T50" s="186">
        <f t="shared" si="13"/>
        <v>1</v>
      </c>
      <c r="U50" s="186">
        <f t="shared" si="13"/>
        <v>1</v>
      </c>
      <c r="V50" s="186">
        <f t="shared" si="13"/>
        <v>1</v>
      </c>
    </row>
    <row r="51" spans="1:22" x14ac:dyDescent="0.3">
      <c r="A51" s="132"/>
      <c r="B51" s="137" t="s">
        <v>219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4"/>
    </row>
    <row r="52" spans="1:22" x14ac:dyDescent="0.3">
      <c r="A52" s="132"/>
      <c r="B52" s="137" t="s">
        <v>220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4"/>
    </row>
    <row r="53" spans="1:22" x14ac:dyDescent="0.3">
      <c r="A53" s="132">
        <v>23</v>
      </c>
      <c r="B53" s="137" t="s">
        <v>221</v>
      </c>
      <c r="C53" s="153">
        <v>7.38</v>
      </c>
      <c r="D53" s="153">
        <f>C53+'Operating Statement'!D69</f>
        <v>12.629999999999999</v>
      </c>
      <c r="E53" s="153">
        <f>D53+'Operating Statement'!E69</f>
        <v>16.995007730380426</v>
      </c>
      <c r="F53" s="153">
        <f>E53+'Operating Statement'!F69</f>
        <v>20.329098981012528</v>
      </c>
      <c r="G53" s="153">
        <f>F53+'Operating Statement'!G69</f>
        <v>26.788210486245255</v>
      </c>
      <c r="H53" s="153">
        <f>G53+'Operating Statement'!H69</f>
        <v>35.825034880713943</v>
      </c>
      <c r="I53" s="153">
        <f>H53+'Operating Statement'!I69</f>
        <v>46.251718667633476</v>
      </c>
      <c r="J53" s="153">
        <f>I53+'Operating Statement'!J69</f>
        <v>56.992059764073382</v>
      </c>
      <c r="K53" s="153">
        <f>J53+'Operating Statement'!K69</f>
        <v>66.917683366059549</v>
      </c>
      <c r="L53" s="153">
        <f>K53+'Operating Statement'!M69</f>
        <v>74.420947028145847</v>
      </c>
      <c r="M53" s="154">
        <f>K53+'Operating Statement'!M69</f>
        <v>74.420947028145847</v>
      </c>
    </row>
    <row r="54" spans="1:22" x14ac:dyDescent="0.3">
      <c r="A54" s="132"/>
      <c r="B54" s="137" t="s">
        <v>222</v>
      </c>
      <c r="C54" s="153">
        <v>0</v>
      </c>
      <c r="D54" s="153">
        <v>-0.02</v>
      </c>
      <c r="E54" s="153"/>
      <c r="F54" s="153"/>
      <c r="G54" s="153"/>
      <c r="H54" s="153"/>
      <c r="I54" s="153"/>
      <c r="J54" s="153"/>
      <c r="K54" s="153"/>
      <c r="L54" s="153"/>
      <c r="M54" s="154"/>
    </row>
    <row r="55" spans="1:22" x14ac:dyDescent="0.3">
      <c r="A55" s="132"/>
      <c r="B55" s="137" t="s">
        <v>223</v>
      </c>
      <c r="C55" s="153"/>
      <c r="D55" s="134"/>
      <c r="E55" s="134"/>
      <c r="F55" s="135"/>
      <c r="G55" s="136"/>
      <c r="H55" s="136"/>
      <c r="I55" s="136"/>
      <c r="J55" s="136"/>
      <c r="K55" s="135"/>
      <c r="L55" s="135"/>
      <c r="M55" s="135"/>
    </row>
    <row r="56" spans="1:22" hidden="1" x14ac:dyDescent="0.3">
      <c r="A56" s="132"/>
      <c r="B56" s="137" t="s">
        <v>224</v>
      </c>
      <c r="C56" s="153">
        <v>0</v>
      </c>
      <c r="D56" s="134"/>
      <c r="E56" s="134"/>
      <c r="F56" s="135"/>
      <c r="G56" s="136"/>
      <c r="H56" s="136"/>
      <c r="I56" s="136"/>
      <c r="J56" s="136"/>
      <c r="K56" s="135"/>
      <c r="L56" s="135"/>
      <c r="M56" s="135"/>
    </row>
    <row r="57" spans="1:22" x14ac:dyDescent="0.3">
      <c r="A57" s="140">
        <v>24</v>
      </c>
      <c r="B57" s="146" t="s">
        <v>225</v>
      </c>
      <c r="C57" s="147">
        <f t="shared" ref="C57:M57" si="14">SUM(C46:C56)</f>
        <v>14.879999999999999</v>
      </c>
      <c r="D57" s="148">
        <f>SUM(D46:D56)</f>
        <v>20.11</v>
      </c>
      <c r="E57" s="148">
        <f t="shared" si="14"/>
        <v>24.495007730380426</v>
      </c>
      <c r="F57" s="148">
        <f t="shared" si="14"/>
        <v>27.829098981012528</v>
      </c>
      <c r="G57" s="148">
        <f t="shared" si="14"/>
        <v>34.288210486245255</v>
      </c>
      <c r="H57" s="148">
        <f t="shared" si="14"/>
        <v>43.325034880713943</v>
      </c>
      <c r="I57" s="148">
        <f t="shared" si="14"/>
        <v>53.751718667633476</v>
      </c>
      <c r="J57" s="148">
        <f t="shared" si="14"/>
        <v>64.492059764073389</v>
      </c>
      <c r="K57" s="148">
        <f t="shared" si="14"/>
        <v>74.417683366059549</v>
      </c>
      <c r="L57" s="148">
        <f t="shared" ref="L57" si="15">SUM(L46:L56)</f>
        <v>81.920947028145847</v>
      </c>
      <c r="M57" s="149">
        <f t="shared" si="14"/>
        <v>81.920947028145847</v>
      </c>
    </row>
    <row r="58" spans="1:22" x14ac:dyDescent="0.3">
      <c r="A58" s="140">
        <v>25</v>
      </c>
      <c r="B58" s="146" t="s">
        <v>226</v>
      </c>
      <c r="C58" s="147">
        <f t="shared" ref="C58:M58" si="16">C43+C57</f>
        <v>61.239999999999995</v>
      </c>
      <c r="D58" s="148">
        <f t="shared" si="16"/>
        <v>90.279999999999987</v>
      </c>
      <c r="E58" s="148">
        <f t="shared" si="16"/>
        <v>96.944919282963014</v>
      </c>
      <c r="F58" s="148">
        <f t="shared" si="16"/>
        <v>117.33629925694288</v>
      </c>
      <c r="G58" s="148">
        <f t="shared" si="16"/>
        <v>119.96568807248116</v>
      </c>
      <c r="H58" s="148">
        <f t="shared" si="16"/>
        <v>126.62757754717842</v>
      </c>
      <c r="I58" s="148">
        <f t="shared" si="16"/>
        <v>133.22212322925475</v>
      </c>
      <c r="J58" s="148">
        <f t="shared" si="16"/>
        <v>137.17465890803925</v>
      </c>
      <c r="K58" s="148">
        <f t="shared" si="16"/>
        <v>139.46363517086351</v>
      </c>
      <c r="L58" s="148">
        <f t="shared" ref="L58" si="17">L43+L57</f>
        <v>140.18265324093863</v>
      </c>
      <c r="M58" s="149">
        <f t="shared" si="16"/>
        <v>136.23271208500319</v>
      </c>
    </row>
    <row r="59" spans="1:22" x14ac:dyDescent="0.3">
      <c r="A59" s="132"/>
      <c r="B59" s="137"/>
      <c r="C59" s="138"/>
      <c r="D59" s="134"/>
      <c r="E59" s="134"/>
      <c r="F59" s="135"/>
      <c r="G59" s="136"/>
      <c r="H59" s="136"/>
      <c r="I59" s="136"/>
      <c r="J59" s="136"/>
      <c r="K59" s="135"/>
      <c r="L59" s="135"/>
      <c r="M59" s="135"/>
    </row>
    <row r="60" spans="1:22" x14ac:dyDescent="0.3">
      <c r="A60" s="132"/>
      <c r="B60" s="126" t="s">
        <v>227</v>
      </c>
      <c r="C60" s="138"/>
      <c r="D60" s="134"/>
      <c r="E60" s="134"/>
      <c r="F60" s="135"/>
      <c r="G60" s="136"/>
      <c r="H60" s="136"/>
      <c r="I60" s="136"/>
      <c r="J60" s="136"/>
      <c r="K60" s="135"/>
      <c r="L60" s="135"/>
      <c r="M60" s="135"/>
    </row>
    <row r="61" spans="1:22" x14ac:dyDescent="0.3">
      <c r="A61" s="132"/>
      <c r="B61" s="126" t="s">
        <v>228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9"/>
    </row>
    <row r="62" spans="1:22" x14ac:dyDescent="0.3">
      <c r="A62" s="132">
        <v>26</v>
      </c>
      <c r="B62" s="137" t="s">
        <v>229</v>
      </c>
      <c r="C62" s="138">
        <v>5.64</v>
      </c>
      <c r="D62" s="138">
        <v>13.51</v>
      </c>
      <c r="E62" s="138">
        <f>E58-SUM(E71+E84+E86+E89+E91+E92+E98+E118)</f>
        <v>11.945555292230154</v>
      </c>
      <c r="F62" s="138">
        <f t="shared" ref="F62:M62" si="18">F58-SUM(F71+F84+F86+F89+F91+F92+F98+F118)</f>
        <v>10.611322361566423</v>
      </c>
      <c r="G62" s="138">
        <f t="shared" si="18"/>
        <v>4.4035971416245872</v>
      </c>
      <c r="H62" s="138">
        <f t="shared" si="18"/>
        <v>5.7691879907908117</v>
      </c>
      <c r="I62" s="138">
        <f t="shared" si="18"/>
        <v>10.161717152257026</v>
      </c>
      <c r="J62" s="138">
        <f t="shared" si="18"/>
        <v>11.156320979857739</v>
      </c>
      <c r="K62" s="138">
        <f t="shared" si="18"/>
        <v>13.592702403838587</v>
      </c>
      <c r="L62" s="138">
        <f t="shared" si="18"/>
        <v>13.915182713187463</v>
      </c>
      <c r="M62" s="139">
        <f t="shared" si="18"/>
        <v>13.785360165745075</v>
      </c>
    </row>
    <row r="63" spans="1:22" x14ac:dyDescent="0.3">
      <c r="A63" s="132"/>
      <c r="B63" s="133" t="s">
        <v>230</v>
      </c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9"/>
    </row>
    <row r="64" spans="1:22" x14ac:dyDescent="0.3">
      <c r="A64" s="132"/>
      <c r="B64" s="137" t="s">
        <v>231</v>
      </c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9"/>
    </row>
    <row r="65" spans="1:14" x14ac:dyDescent="0.3">
      <c r="A65" s="132"/>
      <c r="B65" s="137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9"/>
    </row>
    <row r="66" spans="1:14" x14ac:dyDescent="0.3">
      <c r="A66" s="132">
        <v>27</v>
      </c>
      <c r="B66" s="137" t="s">
        <v>232</v>
      </c>
      <c r="C66" s="138">
        <v>12.5</v>
      </c>
      <c r="D66" s="138">
        <v>14.58</v>
      </c>
      <c r="E66" s="138">
        <f>('Operating Statement'!E10/365)*30</f>
        <v>14.054794520547945</v>
      </c>
      <c r="F66" s="138">
        <f>('Operating Statement'!F10/365)*30</f>
        <v>15.760273972602741</v>
      </c>
      <c r="G66" s="138">
        <f>('Operating Statement'!G10/365)*35</f>
        <v>25.027397260273972</v>
      </c>
      <c r="H66" s="138">
        <f>('Operating Statement'!H10/365)*40</f>
        <v>31.890410958904106</v>
      </c>
      <c r="I66" s="138">
        <f>('Operating Statement'!I10/365)*45</f>
        <v>37.726027397260275</v>
      </c>
      <c r="J66" s="138">
        <f>('Operating Statement'!J10/365)*50</f>
        <v>43.972602739726028</v>
      </c>
      <c r="K66" s="138">
        <f>('Operating Statement'!K10/365)*55</f>
        <v>48.369863013698634</v>
      </c>
      <c r="L66" s="138">
        <f>('Operating Statement'!L10/365)*60</f>
        <v>52.767123287671239</v>
      </c>
      <c r="M66" s="139">
        <f>('Operating Statement'!M10/365)*60</f>
        <v>52.767123287671239</v>
      </c>
    </row>
    <row r="67" spans="1:14" x14ac:dyDescent="0.3">
      <c r="A67" s="132"/>
      <c r="B67" s="137" t="s">
        <v>233</v>
      </c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9"/>
    </row>
    <row r="68" spans="1:14" x14ac:dyDescent="0.3">
      <c r="A68" s="132"/>
      <c r="B68" s="137" t="s">
        <v>234</v>
      </c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9"/>
    </row>
    <row r="69" spans="1:14" x14ac:dyDescent="0.3">
      <c r="A69" s="132"/>
      <c r="B69" s="137" t="s">
        <v>235</v>
      </c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9"/>
    </row>
    <row r="70" spans="1:14" x14ac:dyDescent="0.3">
      <c r="A70" s="132"/>
      <c r="B70" s="137" t="s">
        <v>236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9"/>
    </row>
    <row r="71" spans="1:14" x14ac:dyDescent="0.3">
      <c r="A71" s="132"/>
      <c r="B71" s="137"/>
      <c r="C71" s="138">
        <f>SUM(C66:C70)</f>
        <v>12.5</v>
      </c>
      <c r="D71" s="134">
        <f t="shared" ref="D71:M71" si="19">SUM(D66:D70)</f>
        <v>14.58</v>
      </c>
      <c r="E71" s="134">
        <f t="shared" si="19"/>
        <v>14.054794520547945</v>
      </c>
      <c r="F71" s="134">
        <f t="shared" si="19"/>
        <v>15.760273972602741</v>
      </c>
      <c r="G71" s="134">
        <f t="shared" si="19"/>
        <v>25.027397260273972</v>
      </c>
      <c r="H71" s="134">
        <f t="shared" si="19"/>
        <v>31.890410958904106</v>
      </c>
      <c r="I71" s="134">
        <f t="shared" si="19"/>
        <v>37.726027397260275</v>
      </c>
      <c r="J71" s="134">
        <f t="shared" si="19"/>
        <v>43.972602739726028</v>
      </c>
      <c r="K71" s="134">
        <f t="shared" si="19"/>
        <v>48.369863013698634</v>
      </c>
      <c r="L71" s="134">
        <f t="shared" si="19"/>
        <v>52.767123287671239</v>
      </c>
      <c r="M71" s="135">
        <f t="shared" si="19"/>
        <v>52.767123287671239</v>
      </c>
    </row>
    <row r="72" spans="1:14" x14ac:dyDescent="0.3">
      <c r="A72" s="132"/>
      <c r="B72" s="137" t="s">
        <v>237</v>
      </c>
      <c r="C72" s="138"/>
      <c r="D72" s="134"/>
      <c r="E72" s="134"/>
      <c r="F72" s="135"/>
      <c r="G72" s="136"/>
      <c r="H72" s="136"/>
      <c r="I72" s="136"/>
      <c r="J72" s="136"/>
      <c r="K72" s="135"/>
      <c r="L72" s="135"/>
      <c r="M72" s="135"/>
    </row>
    <row r="73" spans="1:14" x14ac:dyDescent="0.3">
      <c r="A73" s="132"/>
      <c r="B73" s="137" t="s">
        <v>238</v>
      </c>
      <c r="C73" s="138"/>
      <c r="D73" s="134"/>
      <c r="E73" s="134"/>
      <c r="F73" s="135"/>
      <c r="G73" s="136"/>
      <c r="H73" s="136"/>
      <c r="I73" s="136"/>
      <c r="J73" s="136"/>
      <c r="K73" s="135"/>
      <c r="L73" s="135"/>
      <c r="M73" s="135"/>
    </row>
    <row r="74" spans="1:14" x14ac:dyDescent="0.3">
      <c r="A74" s="132">
        <v>28</v>
      </c>
      <c r="B74" s="137" t="s">
        <v>239</v>
      </c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9"/>
    </row>
    <row r="75" spans="1:14" x14ac:dyDescent="0.3">
      <c r="A75" s="132"/>
      <c r="B75" s="137" t="s">
        <v>240</v>
      </c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9"/>
    </row>
    <row r="76" spans="1:14" x14ac:dyDescent="0.3">
      <c r="A76" s="132"/>
      <c r="B76" s="137" t="s">
        <v>241</v>
      </c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9"/>
    </row>
    <row r="77" spans="1:14" x14ac:dyDescent="0.3">
      <c r="A77" s="132"/>
      <c r="B77" s="137" t="s">
        <v>242</v>
      </c>
      <c r="C77" s="138"/>
      <c r="D77" s="138"/>
      <c r="E77" s="138">
        <f>'Operating Statement'!E19</f>
        <v>0</v>
      </c>
      <c r="F77" s="138">
        <f>'Operating Statement'!F19/2</f>
        <v>1.3125</v>
      </c>
      <c r="G77" s="138">
        <f>'Operating Statement'!G19/12*1.5</f>
        <v>5.25</v>
      </c>
      <c r="H77" s="138">
        <f>'Operating Statement'!H19/12*1.5</f>
        <v>7.8749999999999982</v>
      </c>
      <c r="I77" s="138">
        <f>'Operating Statement'!I19/12*1.5</f>
        <v>9.1875</v>
      </c>
      <c r="J77" s="138">
        <f>'Operating Statement'!J19/12*1.5</f>
        <v>10.5</v>
      </c>
      <c r="K77" s="138">
        <f>'Operating Statement'!K19/12*1.5</f>
        <v>10.5</v>
      </c>
      <c r="L77" s="138">
        <f>'Operating Statement'!L19/12*1.5</f>
        <v>10.5</v>
      </c>
      <c r="M77" s="139">
        <f>'Operating Statement'!M19/12*1.5</f>
        <v>10.5</v>
      </c>
      <c r="N77" t="s">
        <v>320</v>
      </c>
    </row>
    <row r="78" spans="1:14" x14ac:dyDescent="0.3">
      <c r="A78" s="132"/>
      <c r="B78" s="137" t="s">
        <v>243</v>
      </c>
      <c r="C78" s="138">
        <v>6.31</v>
      </c>
      <c r="D78" s="138">
        <v>9.84</v>
      </c>
      <c r="E78" s="138">
        <f>'Operating Statement'!E20/12</f>
        <v>8.41626609696754</v>
      </c>
      <c r="F78" s="138">
        <f>'Operating Statement'!F20/12</f>
        <v>9.2578927066642951</v>
      </c>
      <c r="G78" s="138">
        <f>'Operating Statement'!G20/12</f>
        <v>9.9014895258441644</v>
      </c>
      <c r="H78" s="138">
        <f>'Operating Statement'!H20/12</f>
        <v>9.9014895258441644</v>
      </c>
      <c r="I78" s="138">
        <f>'Operating Statement'!I20/12</f>
        <v>9.9014895258441644</v>
      </c>
      <c r="J78" s="138">
        <f>'Operating Statement'!J20/12</f>
        <v>9.9014895258441644</v>
      </c>
      <c r="K78" s="138">
        <f>'Operating Statement'!K20/12</f>
        <v>9.9014895258441644</v>
      </c>
      <c r="L78" s="138">
        <f>'Operating Statement'!L20/12</f>
        <v>9.9014895258441644</v>
      </c>
      <c r="M78" s="139">
        <f>'Operating Statement'!M20/12</f>
        <v>9.9014895258441644</v>
      </c>
    </row>
    <row r="79" spans="1:14" x14ac:dyDescent="0.3">
      <c r="A79" s="132"/>
      <c r="B79" s="137" t="s">
        <v>244</v>
      </c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9"/>
    </row>
    <row r="80" spans="1:14" x14ac:dyDescent="0.3">
      <c r="A80" s="132"/>
      <c r="B80" s="137" t="s">
        <v>245</v>
      </c>
      <c r="C80" s="138">
        <v>1.52</v>
      </c>
      <c r="D80" s="138">
        <v>1.95</v>
      </c>
      <c r="E80" s="138">
        <f>'Operating Statement'!E39</f>
        <v>1.9672423001602279</v>
      </c>
      <c r="F80" s="138">
        <f>'Operating Statement'!F39</f>
        <v>2.2073615809150793</v>
      </c>
      <c r="G80" s="138">
        <f>'Operating Statement'!G39</f>
        <v>3.0087235178921135</v>
      </c>
      <c r="H80" s="138">
        <f>'Operating Statement'!H39</f>
        <v>3.3558839238027418</v>
      </c>
      <c r="I80" s="138">
        <f>'Operating Statement'!I39</f>
        <v>3.529464126758056</v>
      </c>
      <c r="J80" s="138">
        <f>'Operating Statement'!J39</f>
        <v>3.7030443297133702</v>
      </c>
      <c r="K80" s="138">
        <f>'Operating Statement'!K39</f>
        <v>3.7030443297133702</v>
      </c>
      <c r="L80" s="138">
        <f>'Operating Statement'!L39</f>
        <v>3.7030443297133702</v>
      </c>
      <c r="M80" s="139">
        <f>'Operating Statement'!M39</f>
        <v>3.7030443297133702</v>
      </c>
    </row>
    <row r="81" spans="1:15" x14ac:dyDescent="0.3">
      <c r="A81" s="132"/>
      <c r="B81" s="137" t="s">
        <v>246</v>
      </c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9"/>
    </row>
    <row r="82" spans="1:15" x14ac:dyDescent="0.3">
      <c r="A82" s="132"/>
      <c r="B82" s="137" t="s">
        <v>242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9"/>
    </row>
    <row r="83" spans="1:15" x14ac:dyDescent="0.3">
      <c r="A83" s="132"/>
      <c r="B83" s="137" t="s">
        <v>243</v>
      </c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9"/>
    </row>
    <row r="84" spans="1:15" x14ac:dyDescent="0.3">
      <c r="A84" s="132"/>
      <c r="B84" s="126" t="s">
        <v>247</v>
      </c>
      <c r="C84" s="155">
        <f t="shared" ref="C84:M84" si="20">SUM(C75:C83)</f>
        <v>7.83</v>
      </c>
      <c r="D84" s="155">
        <f t="shared" si="20"/>
        <v>11.79</v>
      </c>
      <c r="E84" s="155">
        <f t="shared" si="20"/>
        <v>10.383508397127768</v>
      </c>
      <c r="F84" s="155">
        <f t="shared" si="20"/>
        <v>12.777754287579373</v>
      </c>
      <c r="G84" s="155">
        <f t="shared" si="20"/>
        <v>18.160213043736277</v>
      </c>
      <c r="H84" s="155">
        <f t="shared" si="20"/>
        <v>21.132373449646906</v>
      </c>
      <c r="I84" s="155">
        <f t="shared" si="20"/>
        <v>22.61845365260222</v>
      </c>
      <c r="J84" s="155">
        <f t="shared" si="20"/>
        <v>24.104533855557534</v>
      </c>
      <c r="K84" s="155">
        <f t="shared" si="20"/>
        <v>24.104533855557534</v>
      </c>
      <c r="L84" s="155">
        <f t="shared" si="20"/>
        <v>24.104533855557534</v>
      </c>
      <c r="M84" s="156">
        <f t="shared" si="20"/>
        <v>24.104533855557534</v>
      </c>
    </row>
    <row r="85" spans="1:15" x14ac:dyDescent="0.3">
      <c r="A85" s="132"/>
      <c r="B85" s="137"/>
      <c r="C85" s="138"/>
      <c r="D85" s="134"/>
      <c r="E85" s="134"/>
      <c r="F85" s="135"/>
      <c r="G85" s="136"/>
      <c r="H85" s="136"/>
      <c r="I85" s="136"/>
      <c r="J85" s="136"/>
      <c r="K85" s="135"/>
      <c r="L85" s="135"/>
      <c r="M85" s="135"/>
    </row>
    <row r="86" spans="1:15" x14ac:dyDescent="0.3">
      <c r="A86" s="132">
        <v>29</v>
      </c>
      <c r="B86" s="137" t="s">
        <v>248</v>
      </c>
      <c r="C86" s="138">
        <v>4.43</v>
      </c>
      <c r="D86" s="138">
        <v>1.78</v>
      </c>
      <c r="E86" s="138">
        <v>2</v>
      </c>
      <c r="F86" s="138">
        <v>2.5</v>
      </c>
      <c r="G86" s="138">
        <v>3</v>
      </c>
      <c r="H86" s="138">
        <v>4</v>
      </c>
      <c r="I86" s="138">
        <v>4</v>
      </c>
      <c r="J86" s="138">
        <v>4</v>
      </c>
      <c r="K86" s="138">
        <v>4</v>
      </c>
      <c r="L86" s="138">
        <v>4</v>
      </c>
      <c r="M86" s="139">
        <v>4</v>
      </c>
      <c r="N86" t="s">
        <v>316</v>
      </c>
    </row>
    <row r="87" spans="1:15" x14ac:dyDescent="0.3">
      <c r="A87" s="132"/>
      <c r="B87" s="137" t="s">
        <v>249</v>
      </c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9"/>
      <c r="N87">
        <f>C89/C18</f>
        <v>1.0149253731343282</v>
      </c>
      <c r="O87">
        <f>D89/D18</f>
        <v>0.90116279069767447</v>
      </c>
    </row>
    <row r="88" spans="1:15" x14ac:dyDescent="0.3">
      <c r="A88" s="132"/>
      <c r="B88" s="137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9"/>
    </row>
    <row r="89" spans="1:15" x14ac:dyDescent="0.3">
      <c r="A89" s="132">
        <v>30</v>
      </c>
      <c r="B89" s="137" t="s">
        <v>250</v>
      </c>
      <c r="C89" s="138">
        <f>0.61+0.07</f>
        <v>0.67999999999999994</v>
      </c>
      <c r="D89" s="138">
        <f>1.44+0.11</f>
        <v>1.55</v>
      </c>
      <c r="E89" s="138">
        <f>'Operating Statement'!E64/10*9</f>
        <v>1.514146073057151</v>
      </c>
      <c r="F89" s="138">
        <f>'Operating Statement'!F64/10*9</f>
        <v>1.1565388851943286</v>
      </c>
      <c r="G89" s="138">
        <f>'Operating Statement'!G64/10*9</f>
        <v>2.2405546393463145</v>
      </c>
      <c r="H89" s="138">
        <f>'Operating Statement'!H64/10*9</f>
        <v>3.1347188859615831</v>
      </c>
      <c r="I89" s="138">
        <f>'Operating Statement'!I64/10*9</f>
        <v>3.616837193916477</v>
      </c>
      <c r="J89" s="138">
        <f>'Operating Statement'!J64/10*9</f>
        <v>3.7256395174932453</v>
      </c>
      <c r="K89" s="138">
        <f>'Operating Statement'!K64/10*9</f>
        <v>3.4430280374969464</v>
      </c>
      <c r="L89" s="138">
        <f>'Operating Statement'!L64/10*9</f>
        <v>3.1660114660917049</v>
      </c>
      <c r="M89" s="139">
        <f>'Operating Statement'!M64/10*9</f>
        <v>2.6027530558508842</v>
      </c>
      <c r="N89" t="s">
        <v>321</v>
      </c>
    </row>
    <row r="90" spans="1:15" x14ac:dyDescent="0.3">
      <c r="A90" s="132"/>
      <c r="B90" s="137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9"/>
    </row>
    <row r="91" spans="1:15" x14ac:dyDescent="0.3">
      <c r="A91" s="132">
        <v>31</v>
      </c>
      <c r="B91" s="137" t="s">
        <v>251</v>
      </c>
      <c r="C91" s="138">
        <f>0.31+0.11+0.01</f>
        <v>0.43</v>
      </c>
      <c r="D91" s="138">
        <f>0.03+0.02+1+0.005</f>
        <v>1.0549999999999999</v>
      </c>
      <c r="E91" s="138">
        <v>1</v>
      </c>
      <c r="F91" s="138">
        <v>1</v>
      </c>
      <c r="G91" s="138">
        <v>1</v>
      </c>
      <c r="H91" s="138">
        <v>1</v>
      </c>
      <c r="I91" s="138">
        <v>1</v>
      </c>
      <c r="J91" s="138">
        <v>1</v>
      </c>
      <c r="K91" s="138">
        <v>1</v>
      </c>
      <c r="L91" s="138">
        <v>1</v>
      </c>
      <c r="M91" s="139">
        <v>1</v>
      </c>
      <c r="N91" s="139">
        <v>0.3</v>
      </c>
    </row>
    <row r="92" spans="1:15" x14ac:dyDescent="0.3">
      <c r="A92" s="132">
        <v>32</v>
      </c>
      <c r="B92" s="137" t="s">
        <v>252</v>
      </c>
      <c r="C92" s="138">
        <v>2.0099999999999998</v>
      </c>
      <c r="D92" s="138">
        <v>3.55</v>
      </c>
      <c r="E92" s="138">
        <v>3</v>
      </c>
      <c r="F92" s="138">
        <v>3</v>
      </c>
      <c r="G92" s="138">
        <v>3</v>
      </c>
      <c r="H92" s="138">
        <v>3</v>
      </c>
      <c r="I92" s="138">
        <v>3</v>
      </c>
      <c r="J92" s="138">
        <v>3</v>
      </c>
      <c r="K92" s="138">
        <v>3</v>
      </c>
      <c r="L92" s="138">
        <v>3</v>
      </c>
      <c r="M92" s="139">
        <v>3</v>
      </c>
      <c r="N92" s="139">
        <v>1</v>
      </c>
    </row>
    <row r="93" spans="1:15" x14ac:dyDescent="0.3">
      <c r="A93" s="132">
        <v>33</v>
      </c>
      <c r="B93" s="137" t="s">
        <v>253</v>
      </c>
      <c r="C93" s="138">
        <v>0</v>
      </c>
      <c r="D93" s="138">
        <v>0</v>
      </c>
      <c r="E93" s="138"/>
      <c r="F93" s="138"/>
      <c r="G93" s="138"/>
      <c r="H93" s="138"/>
      <c r="I93" s="138"/>
      <c r="J93" s="138"/>
      <c r="K93" s="138"/>
      <c r="L93" s="138"/>
      <c r="M93" s="151"/>
    </row>
    <row r="94" spans="1:15" x14ac:dyDescent="0.3">
      <c r="A94" s="140">
        <v>34</v>
      </c>
      <c r="B94" s="146" t="s">
        <v>254</v>
      </c>
      <c r="C94" s="147">
        <f>C62+C71+C84+C86+C89+C91+C92+C93</f>
        <v>33.519999999999996</v>
      </c>
      <c r="D94" s="147">
        <f t="shared" ref="D94:M94" si="21">D62+D71+D84+D86+D89+D91+D92+D93</f>
        <v>47.814999999999991</v>
      </c>
      <c r="E94" s="147">
        <f t="shared" si="21"/>
        <v>43.898004282963015</v>
      </c>
      <c r="F94" s="147">
        <f t="shared" si="21"/>
        <v>46.805889506942869</v>
      </c>
      <c r="G94" s="147">
        <f t="shared" si="21"/>
        <v>56.83176208498115</v>
      </c>
      <c r="H94" s="147">
        <f t="shared" si="21"/>
        <v>69.926691285303406</v>
      </c>
      <c r="I94" s="147">
        <f t="shared" si="21"/>
        <v>82.123035396036002</v>
      </c>
      <c r="J94" s="147">
        <f t="shared" si="21"/>
        <v>90.959097092634551</v>
      </c>
      <c r="K94" s="147">
        <f t="shared" si="21"/>
        <v>97.510127310591699</v>
      </c>
      <c r="L94" s="147">
        <f t="shared" si="21"/>
        <v>101.95285132250794</v>
      </c>
      <c r="M94" s="157">
        <f t="shared" si="21"/>
        <v>101.25977036482473</v>
      </c>
    </row>
    <row r="95" spans="1:15" x14ac:dyDescent="0.3">
      <c r="A95" s="132"/>
      <c r="B95" s="158" t="s">
        <v>255</v>
      </c>
      <c r="C95" s="159"/>
      <c r="D95" s="84"/>
      <c r="E95" s="85"/>
      <c r="F95" s="88"/>
      <c r="G95" s="88"/>
      <c r="H95" s="88"/>
      <c r="I95" s="88"/>
      <c r="J95" s="88"/>
      <c r="K95" s="88"/>
      <c r="L95" s="88"/>
      <c r="M95" s="84"/>
    </row>
    <row r="96" spans="1:15" x14ac:dyDescent="0.3">
      <c r="A96" s="132">
        <v>35</v>
      </c>
      <c r="B96" s="160" t="s">
        <v>256</v>
      </c>
      <c r="C96" s="161">
        <f>27.4-8.15</f>
        <v>19.25</v>
      </c>
      <c r="D96" s="88">
        <f>42.1</f>
        <v>42.1</v>
      </c>
      <c r="E96" s="88">
        <f>'Calculation of Depreciation'!H9/100</f>
        <v>52.686914999999999</v>
      </c>
      <c r="F96" s="88">
        <f>'Calculation of Depreciation'!H16/100</f>
        <v>70.170409750000005</v>
      </c>
      <c r="G96" s="88">
        <f>'Calculation of Depreciation'!H19/100</f>
        <v>62.773925987500014</v>
      </c>
      <c r="H96" s="88">
        <f>'Calculation of Depreciation'!H22/100</f>
        <v>56.340886261875013</v>
      </c>
      <c r="I96" s="88">
        <f>'Calculation of Depreciation'!H25/100</f>
        <v>50.739087833218754</v>
      </c>
      <c r="J96" s="88">
        <f>'Calculation of Depreciation'!H28/100</f>
        <v>45.855561815404698</v>
      </c>
      <c r="K96" s="88">
        <f>'Calculation of Depreciation'!H31/100</f>
        <v>41.593507860271814</v>
      </c>
      <c r="L96" s="88">
        <f>'Calculation of Depreciation'!H34/100</f>
        <v>37.869801918430703</v>
      </c>
      <c r="M96" s="84">
        <f>'Calculation of Depreciation'!H37/100</f>
        <v>34.612941720178462</v>
      </c>
    </row>
    <row r="97" spans="1:14" x14ac:dyDescent="0.3">
      <c r="A97" s="132">
        <v>36</v>
      </c>
      <c r="B97" s="162" t="s">
        <v>257</v>
      </c>
      <c r="C97" s="161">
        <v>8.15</v>
      </c>
      <c r="D97" s="88">
        <v>0</v>
      </c>
      <c r="E97" s="88"/>
      <c r="F97" s="88"/>
      <c r="G97" s="84"/>
      <c r="H97" s="86"/>
      <c r="I97" s="86"/>
      <c r="J97" s="86"/>
      <c r="K97" s="86"/>
      <c r="L97" s="86"/>
      <c r="M97" s="84"/>
    </row>
    <row r="98" spans="1:14" x14ac:dyDescent="0.3">
      <c r="A98" s="140">
        <v>37</v>
      </c>
      <c r="B98" s="163" t="s">
        <v>258</v>
      </c>
      <c r="C98" s="164">
        <f>C96+C97</f>
        <v>27.4</v>
      </c>
      <c r="D98" s="164">
        <f t="shared" ref="D98:M98" si="22">D96+D97</f>
        <v>42.1</v>
      </c>
      <c r="E98" s="164">
        <f t="shared" si="22"/>
        <v>52.686914999999999</v>
      </c>
      <c r="F98" s="164">
        <f t="shared" si="22"/>
        <v>70.170409750000005</v>
      </c>
      <c r="G98" s="164">
        <f t="shared" si="22"/>
        <v>62.773925987500014</v>
      </c>
      <c r="H98" s="164">
        <f t="shared" si="22"/>
        <v>56.340886261875013</v>
      </c>
      <c r="I98" s="164">
        <f t="shared" si="22"/>
        <v>50.739087833218754</v>
      </c>
      <c r="J98" s="164">
        <f t="shared" si="22"/>
        <v>45.855561815404698</v>
      </c>
      <c r="K98" s="164">
        <f t="shared" si="22"/>
        <v>41.593507860271814</v>
      </c>
      <c r="L98" s="164">
        <f t="shared" si="22"/>
        <v>37.869801918430703</v>
      </c>
      <c r="M98" s="165">
        <f t="shared" si="22"/>
        <v>34.612941720178462</v>
      </c>
    </row>
    <row r="99" spans="1:14" x14ac:dyDescent="0.3">
      <c r="A99" s="132"/>
      <c r="B99" s="162"/>
      <c r="C99" s="88"/>
      <c r="D99" s="88"/>
      <c r="E99" s="88"/>
      <c r="F99" s="88"/>
      <c r="G99" s="84"/>
      <c r="H99" s="86"/>
      <c r="I99" s="86"/>
      <c r="J99" s="86"/>
      <c r="K99" s="86"/>
      <c r="L99" s="86"/>
      <c r="M99" s="84"/>
    </row>
    <row r="100" spans="1:14" x14ac:dyDescent="0.3">
      <c r="A100" s="132">
        <v>38</v>
      </c>
      <c r="B100" s="162" t="s">
        <v>259</v>
      </c>
      <c r="C100" s="88"/>
      <c r="D100" s="88"/>
      <c r="E100" s="88"/>
      <c r="F100" s="88"/>
      <c r="G100" s="84"/>
      <c r="H100" s="86"/>
      <c r="I100" s="86"/>
      <c r="J100" s="86"/>
      <c r="K100" s="86"/>
      <c r="L100" s="86"/>
      <c r="M100" s="84"/>
    </row>
    <row r="101" spans="1:14" ht="28.5" customHeight="1" x14ac:dyDescent="0.3">
      <c r="A101" s="132"/>
      <c r="B101" s="160" t="s">
        <v>260</v>
      </c>
      <c r="C101" s="88"/>
      <c r="D101" s="88"/>
      <c r="E101" s="88"/>
      <c r="F101" s="88"/>
      <c r="G101" s="84"/>
      <c r="H101" s="86"/>
      <c r="I101" s="86"/>
      <c r="J101" s="86"/>
      <c r="K101" s="86"/>
      <c r="L101" s="86"/>
      <c r="M101" s="84"/>
    </row>
    <row r="102" spans="1:14" x14ac:dyDescent="0.3">
      <c r="A102" s="132"/>
      <c r="B102" s="162"/>
      <c r="C102" s="88"/>
      <c r="D102" s="88"/>
      <c r="E102" s="88"/>
      <c r="F102" s="88"/>
      <c r="G102" s="84"/>
      <c r="H102" s="86"/>
      <c r="I102" s="86"/>
      <c r="J102" s="86"/>
      <c r="K102" s="86"/>
      <c r="L102" s="86"/>
      <c r="M102" s="84"/>
    </row>
    <row r="103" spans="1:14" x14ac:dyDescent="0.3">
      <c r="A103" s="132">
        <v>39</v>
      </c>
      <c r="B103" s="160" t="s">
        <v>261</v>
      </c>
      <c r="C103" s="88"/>
      <c r="D103" s="88"/>
      <c r="E103" s="88"/>
      <c r="F103" s="88"/>
      <c r="G103" s="84"/>
      <c r="H103" s="86"/>
      <c r="I103" s="86"/>
      <c r="J103" s="86"/>
      <c r="K103" s="86"/>
      <c r="L103" s="86"/>
      <c r="M103" s="84"/>
    </row>
    <row r="104" spans="1:14" x14ac:dyDescent="0.3">
      <c r="A104" s="132"/>
      <c r="B104" s="162" t="s">
        <v>262</v>
      </c>
      <c r="C104" s="88"/>
      <c r="D104" s="88"/>
      <c r="E104" s="88"/>
      <c r="F104" s="88"/>
      <c r="G104" s="84"/>
      <c r="H104" s="86"/>
      <c r="I104" s="86"/>
      <c r="J104" s="86"/>
      <c r="K104" s="86"/>
      <c r="L104" s="86"/>
      <c r="M104" s="84"/>
    </row>
    <row r="105" spans="1:14" x14ac:dyDescent="0.3">
      <c r="A105" s="132"/>
      <c r="B105" s="162"/>
      <c r="C105" s="88"/>
      <c r="D105" s="88"/>
      <c r="E105" s="88"/>
      <c r="F105" s="88"/>
      <c r="G105" s="84"/>
      <c r="H105" s="86"/>
      <c r="I105" s="86"/>
      <c r="J105" s="86"/>
      <c r="K105" s="86"/>
      <c r="L105" s="86"/>
      <c r="M105" s="84"/>
    </row>
    <row r="106" spans="1:14" x14ac:dyDescent="0.3">
      <c r="A106" s="132">
        <v>40</v>
      </c>
      <c r="B106" s="160" t="s">
        <v>263</v>
      </c>
      <c r="C106" s="88"/>
      <c r="D106" s="88"/>
      <c r="E106" s="88"/>
      <c r="F106" s="88"/>
      <c r="G106" s="84"/>
      <c r="H106" s="86"/>
      <c r="I106" s="86"/>
      <c r="J106" s="86"/>
      <c r="K106" s="86"/>
      <c r="L106" s="86"/>
      <c r="M106" s="84"/>
    </row>
    <row r="107" spans="1:14" x14ac:dyDescent="0.3">
      <c r="A107" s="132">
        <v>42</v>
      </c>
      <c r="B107" s="160" t="s">
        <v>264</v>
      </c>
      <c r="C107" s="88"/>
      <c r="D107" s="88"/>
      <c r="E107" s="88"/>
      <c r="F107" s="88"/>
      <c r="G107" s="84"/>
      <c r="H107" s="86"/>
      <c r="I107" s="86"/>
      <c r="J107" s="86"/>
      <c r="K107" s="86"/>
      <c r="L107" s="86"/>
      <c r="M107" s="84"/>
    </row>
    <row r="108" spans="1:14" x14ac:dyDescent="0.3">
      <c r="A108" s="132">
        <v>43</v>
      </c>
      <c r="B108" s="162" t="s">
        <v>265</v>
      </c>
      <c r="C108" s="88"/>
      <c r="D108" s="88"/>
      <c r="E108" s="88"/>
      <c r="F108" s="88"/>
      <c r="G108" s="84"/>
      <c r="H108" s="86"/>
      <c r="I108" s="86"/>
      <c r="J108" s="86"/>
      <c r="K108" s="86"/>
      <c r="L108" s="86"/>
      <c r="M108" s="84"/>
    </row>
    <row r="109" spans="1:14" x14ac:dyDescent="0.3">
      <c r="A109" s="132">
        <v>44</v>
      </c>
      <c r="B109" s="162" t="s">
        <v>266</v>
      </c>
      <c r="C109" s="88">
        <v>0.31</v>
      </c>
      <c r="D109" s="88">
        <v>0.35</v>
      </c>
      <c r="E109" s="88">
        <v>0.36</v>
      </c>
      <c r="F109" s="88">
        <v>0.36</v>
      </c>
      <c r="G109" s="88">
        <v>0.36</v>
      </c>
      <c r="H109" s="88">
        <v>0.36</v>
      </c>
      <c r="I109" s="88">
        <v>0.36</v>
      </c>
      <c r="J109" s="88">
        <v>0.36</v>
      </c>
      <c r="K109" s="88">
        <v>0.36</v>
      </c>
      <c r="L109" s="88">
        <v>0.36</v>
      </c>
      <c r="M109" s="84">
        <v>0.36</v>
      </c>
      <c r="N109" t="s">
        <v>316</v>
      </c>
    </row>
    <row r="110" spans="1:14" x14ac:dyDescent="0.3">
      <c r="A110" s="132">
        <v>45</v>
      </c>
      <c r="B110" s="162" t="s">
        <v>267</v>
      </c>
      <c r="C110" s="88"/>
      <c r="D110" s="88"/>
      <c r="E110" s="88"/>
      <c r="F110" s="88"/>
      <c r="G110" s="84"/>
      <c r="H110" s="86"/>
      <c r="I110" s="86"/>
      <c r="J110" s="86"/>
      <c r="K110" s="86"/>
      <c r="L110" s="86"/>
      <c r="M110" s="84"/>
    </row>
    <row r="111" spans="1:14" x14ac:dyDescent="0.3">
      <c r="A111" s="132">
        <v>46</v>
      </c>
      <c r="B111" s="162" t="s">
        <v>268</v>
      </c>
      <c r="C111" s="88">
        <v>0</v>
      </c>
      <c r="D111" s="88"/>
      <c r="E111" s="88"/>
      <c r="F111" s="88"/>
      <c r="G111" s="84"/>
      <c r="H111" s="86"/>
      <c r="I111" s="86"/>
      <c r="J111" s="86"/>
      <c r="K111" s="86"/>
      <c r="L111" s="86"/>
      <c r="M111" s="84"/>
    </row>
    <row r="112" spans="1:14" x14ac:dyDescent="0.3">
      <c r="A112" s="132">
        <v>47</v>
      </c>
      <c r="B112" s="162" t="s">
        <v>269</v>
      </c>
      <c r="C112" s="88">
        <v>0.01</v>
      </c>
      <c r="D112" s="88">
        <v>0.01</v>
      </c>
      <c r="E112" s="88"/>
      <c r="F112" s="88"/>
      <c r="G112" s="84"/>
      <c r="H112" s="86"/>
      <c r="I112" s="86"/>
      <c r="J112" s="86"/>
      <c r="K112" s="86"/>
      <c r="L112" s="86"/>
      <c r="M112" s="84"/>
    </row>
    <row r="113" spans="1:13" x14ac:dyDescent="0.3">
      <c r="A113" s="132">
        <v>48</v>
      </c>
      <c r="B113" s="162" t="s">
        <v>270</v>
      </c>
      <c r="C113" s="88"/>
      <c r="D113" s="88"/>
      <c r="E113" s="88"/>
      <c r="F113" s="88"/>
      <c r="G113" s="84"/>
      <c r="H113" s="86"/>
      <c r="I113" s="86"/>
      <c r="J113" s="86"/>
      <c r="K113" s="86"/>
      <c r="L113" s="86"/>
      <c r="M113" s="84"/>
    </row>
    <row r="114" spans="1:13" x14ac:dyDescent="0.3">
      <c r="A114" s="132">
        <v>49</v>
      </c>
      <c r="B114" s="162" t="s">
        <v>271</v>
      </c>
      <c r="C114" s="88"/>
      <c r="D114" s="88"/>
      <c r="E114" s="88"/>
      <c r="F114" s="88"/>
      <c r="G114" s="84"/>
      <c r="H114" s="86"/>
      <c r="I114" s="86"/>
      <c r="J114" s="86"/>
      <c r="K114" s="86"/>
      <c r="L114" s="86"/>
      <c r="M114" s="84"/>
    </row>
    <row r="115" spans="1:13" x14ac:dyDescent="0.3">
      <c r="A115" s="132">
        <v>50</v>
      </c>
      <c r="B115" s="162" t="s">
        <v>272</v>
      </c>
      <c r="C115" s="88"/>
      <c r="D115" s="88"/>
      <c r="E115" s="88"/>
      <c r="F115" s="88"/>
      <c r="G115" s="84"/>
      <c r="H115" s="86"/>
      <c r="I115" s="86"/>
      <c r="J115" s="86"/>
      <c r="K115" s="86"/>
      <c r="L115" s="86"/>
      <c r="M115" s="84"/>
    </row>
    <row r="116" spans="1:13" x14ac:dyDescent="0.3">
      <c r="A116" s="132">
        <v>51</v>
      </c>
      <c r="B116" s="162" t="s">
        <v>273</v>
      </c>
      <c r="C116" s="88"/>
      <c r="D116" s="88"/>
      <c r="E116" s="88"/>
      <c r="F116" s="88"/>
      <c r="G116" s="84"/>
      <c r="H116" s="86"/>
      <c r="I116" s="86"/>
      <c r="J116" s="86"/>
      <c r="K116" s="86"/>
      <c r="L116" s="86"/>
      <c r="M116" s="84"/>
    </row>
    <row r="117" spans="1:13" x14ac:dyDescent="0.3">
      <c r="A117" s="132">
        <v>52</v>
      </c>
      <c r="B117" s="162" t="s">
        <v>274</v>
      </c>
      <c r="C117" s="88"/>
      <c r="D117" s="88"/>
      <c r="E117" s="88"/>
      <c r="F117" s="88"/>
      <c r="G117" s="84"/>
      <c r="H117" s="86"/>
      <c r="I117" s="86"/>
      <c r="J117" s="86"/>
      <c r="K117" s="86"/>
      <c r="L117" s="86"/>
      <c r="M117" s="84"/>
    </row>
    <row r="118" spans="1:13" x14ac:dyDescent="0.3">
      <c r="A118" s="140">
        <v>53</v>
      </c>
      <c r="B118" s="163" t="s">
        <v>275</v>
      </c>
      <c r="C118" s="166">
        <f t="shared" ref="C118:M118" si="23">SUM(C100:C117)</f>
        <v>0.32</v>
      </c>
      <c r="D118" s="166">
        <f t="shared" si="23"/>
        <v>0.36</v>
      </c>
      <c r="E118" s="166">
        <f t="shared" si="23"/>
        <v>0.36</v>
      </c>
      <c r="F118" s="166">
        <f t="shared" si="23"/>
        <v>0.36</v>
      </c>
      <c r="G118" s="166">
        <f t="shared" si="23"/>
        <v>0.36</v>
      </c>
      <c r="H118" s="166">
        <f t="shared" si="23"/>
        <v>0.36</v>
      </c>
      <c r="I118" s="166">
        <f t="shared" si="23"/>
        <v>0.36</v>
      </c>
      <c r="J118" s="166">
        <f t="shared" si="23"/>
        <v>0.36</v>
      </c>
      <c r="K118" s="166">
        <f t="shared" si="23"/>
        <v>0.36</v>
      </c>
      <c r="L118" s="166">
        <f t="shared" si="23"/>
        <v>0.36</v>
      </c>
      <c r="M118" s="120">
        <f t="shared" si="23"/>
        <v>0.36</v>
      </c>
    </row>
    <row r="119" spans="1:13" x14ac:dyDescent="0.3">
      <c r="A119" s="132"/>
      <c r="B119" s="162"/>
      <c r="C119" s="88"/>
      <c r="D119" s="88"/>
      <c r="E119" s="88"/>
      <c r="F119" s="88"/>
      <c r="G119" s="84"/>
      <c r="H119" s="86"/>
      <c r="I119" s="86"/>
      <c r="J119" s="86"/>
      <c r="K119" s="86"/>
      <c r="L119" s="86"/>
      <c r="M119" s="84"/>
    </row>
    <row r="120" spans="1:13" ht="45" customHeight="1" x14ac:dyDescent="0.3">
      <c r="A120" s="167">
        <v>54</v>
      </c>
      <c r="B120" s="145" t="s">
        <v>276</v>
      </c>
      <c r="C120" s="88"/>
      <c r="D120" s="88"/>
      <c r="E120" s="88"/>
      <c r="F120" s="88"/>
      <c r="G120" s="84"/>
      <c r="H120" s="86"/>
      <c r="I120" s="86"/>
      <c r="J120" s="86"/>
      <c r="K120" s="86"/>
      <c r="L120" s="86"/>
      <c r="M120" s="84"/>
    </row>
    <row r="121" spans="1:13" x14ac:dyDescent="0.3">
      <c r="A121" s="140"/>
      <c r="B121" s="163" t="s">
        <v>277</v>
      </c>
      <c r="C121" s="164">
        <f>C94+C98+C118</f>
        <v>61.239999999999995</v>
      </c>
      <c r="D121" s="166">
        <f t="shared" ref="D121:M121" si="24">D94+D98+D118</f>
        <v>90.274999999999991</v>
      </c>
      <c r="E121" s="166">
        <f t="shared" si="24"/>
        <v>96.944919282963014</v>
      </c>
      <c r="F121" s="166">
        <f t="shared" si="24"/>
        <v>117.33629925694287</v>
      </c>
      <c r="G121" s="166">
        <f t="shared" si="24"/>
        <v>119.96568807248117</v>
      </c>
      <c r="H121" s="166">
        <f t="shared" si="24"/>
        <v>126.62757754717842</v>
      </c>
      <c r="I121" s="166">
        <f t="shared" si="24"/>
        <v>133.22212322925478</v>
      </c>
      <c r="J121" s="166">
        <f t="shared" si="24"/>
        <v>137.17465890803925</v>
      </c>
      <c r="K121" s="166">
        <f t="shared" si="24"/>
        <v>139.46363517086354</v>
      </c>
      <c r="L121" s="166">
        <f t="shared" si="24"/>
        <v>140.18265324093866</v>
      </c>
      <c r="M121" s="120">
        <f t="shared" si="24"/>
        <v>136.23271208500321</v>
      </c>
    </row>
    <row r="122" spans="1:13" x14ac:dyDescent="0.3">
      <c r="C122" s="168"/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</row>
    <row r="123" spans="1:13" x14ac:dyDescent="0.3">
      <c r="C123" s="168">
        <f t="shared" ref="C123:M123" si="25">C121-C58</f>
        <v>0</v>
      </c>
      <c r="D123" s="168">
        <f t="shared" si="25"/>
        <v>-4.9999999999954525E-3</v>
      </c>
      <c r="E123" s="168">
        <f t="shared" si="25"/>
        <v>0</v>
      </c>
      <c r="F123" s="168">
        <f t="shared" si="25"/>
        <v>0</v>
      </c>
      <c r="G123" s="168">
        <f t="shared" si="25"/>
        <v>0</v>
      </c>
      <c r="H123" s="168">
        <f t="shared" si="25"/>
        <v>0</v>
      </c>
      <c r="I123" s="168">
        <f t="shared" si="25"/>
        <v>0</v>
      </c>
      <c r="J123" s="168">
        <f t="shared" si="25"/>
        <v>0</v>
      </c>
      <c r="K123" s="168">
        <f t="shared" si="25"/>
        <v>0</v>
      </c>
      <c r="L123" s="168">
        <f t="shared" si="25"/>
        <v>0</v>
      </c>
      <c r="M123" s="168">
        <f t="shared" si="25"/>
        <v>0</v>
      </c>
    </row>
    <row r="125" spans="1:13" x14ac:dyDescent="0.3">
      <c r="B125" t="s">
        <v>291</v>
      </c>
      <c r="C125" s="186">
        <f t="shared" ref="C125:M125" si="26">C94/C28</f>
        <v>1.3098866744822197</v>
      </c>
      <c r="D125" s="186">
        <f t="shared" si="26"/>
        <v>1.0009420138162026</v>
      </c>
      <c r="E125" s="186">
        <f t="shared" si="26"/>
        <v>1.0927674388090134</v>
      </c>
      <c r="F125" s="186">
        <f t="shared" si="26"/>
        <v>1.0034258060230419</v>
      </c>
      <c r="G125" s="186">
        <f t="shared" si="26"/>
        <v>1.1652094823594217</v>
      </c>
      <c r="H125" s="186">
        <f t="shared" si="26"/>
        <v>1.3431614842388533</v>
      </c>
      <c r="I125" s="186">
        <f t="shared" si="26"/>
        <v>1.5306035501444282</v>
      </c>
      <c r="J125" s="186">
        <f t="shared" si="26"/>
        <v>1.7692700081464865</v>
      </c>
      <c r="K125" s="186">
        <f t="shared" si="26"/>
        <v>2.0540556672173795</v>
      </c>
      <c r="L125" s="186">
        <f t="shared" si="26"/>
        <v>2.3164863186979185</v>
      </c>
      <c r="M125" s="186">
        <f t="shared" si="26"/>
        <v>2.5125303015086162</v>
      </c>
    </row>
  </sheetData>
  <mergeCells count="4">
    <mergeCell ref="B1:J1"/>
    <mergeCell ref="B2:J2"/>
    <mergeCell ref="K2:M2"/>
    <mergeCell ref="A3:M3"/>
  </mergeCells>
  <pageMargins left="0.7" right="0.7" top="0.75" bottom="0.75" header="0.3" footer="0.3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170"/>
  <sheetViews>
    <sheetView topLeftCell="B1" workbookViewId="0">
      <selection activeCell="E115" sqref="E115"/>
    </sheetView>
  </sheetViews>
  <sheetFormatPr defaultRowHeight="14.4" x14ac:dyDescent="0.3"/>
  <cols>
    <col min="1" max="1" width="0" hidden="1" customWidth="1"/>
    <col min="3" max="3" width="17" bestFit="1" customWidth="1"/>
    <col min="4" max="4" width="12.109375" bestFit="1" customWidth="1"/>
    <col min="5" max="5" width="19.5546875" bestFit="1" customWidth="1"/>
    <col min="6" max="6" width="13.5546875" bestFit="1" customWidth="1"/>
    <col min="7" max="7" width="15.6640625" bestFit="1" customWidth="1"/>
    <col min="8" max="8" width="13.33203125" bestFit="1" customWidth="1"/>
    <col min="10" max="10" width="9.5546875" bestFit="1" customWidth="1"/>
  </cols>
  <sheetData>
    <row r="1" spans="2:7" x14ac:dyDescent="0.3">
      <c r="B1" s="26" t="s">
        <v>74</v>
      </c>
      <c r="C1" s="27"/>
    </row>
    <row r="2" spans="2:7" x14ac:dyDescent="0.3">
      <c r="B2" s="26" t="s">
        <v>24</v>
      </c>
      <c r="C2" s="26" t="s">
        <v>25</v>
      </c>
    </row>
    <row r="3" spans="2:7" x14ac:dyDescent="0.3">
      <c r="B3" s="25"/>
    </row>
    <row r="4" spans="2:7" x14ac:dyDescent="0.3">
      <c r="B4" s="25"/>
    </row>
    <row r="5" spans="2:7" x14ac:dyDescent="0.3">
      <c r="B5" s="18" t="s">
        <v>9</v>
      </c>
      <c r="C5" s="24" t="s">
        <v>6</v>
      </c>
      <c r="D5" s="18" t="s">
        <v>5</v>
      </c>
      <c r="E5" s="18" t="s">
        <v>28</v>
      </c>
      <c r="F5" s="18" t="s">
        <v>27</v>
      </c>
      <c r="G5" s="18" t="s">
        <v>12</v>
      </c>
    </row>
    <row r="6" spans="2:7" x14ac:dyDescent="0.3">
      <c r="B6" s="14">
        <v>44652</v>
      </c>
      <c r="C6" s="15">
        <v>10896009</v>
      </c>
      <c r="D6" s="15">
        <v>120890</v>
      </c>
      <c r="E6" s="15">
        <f t="shared" ref="E6:E25" si="0">D6-F6</f>
        <v>52789.943749999991</v>
      </c>
      <c r="F6" s="15">
        <f>C6*7.5/100/12</f>
        <v>68100.056250000009</v>
      </c>
      <c r="G6" s="15">
        <f t="shared" ref="G6:G25" si="1">C6-E6</f>
        <v>10843219.05625</v>
      </c>
    </row>
    <row r="7" spans="2:7" x14ac:dyDescent="0.3">
      <c r="B7" s="14">
        <v>44682</v>
      </c>
      <c r="C7" s="15">
        <f>G6</f>
        <v>10843219.05625</v>
      </c>
      <c r="D7" s="15">
        <v>120890</v>
      </c>
      <c r="E7" s="15">
        <f>D7-F7</f>
        <v>53119.880898437506</v>
      </c>
      <c r="F7" s="15">
        <f t="shared" ref="F7:F70" si="2">C7*7.5/100/12</f>
        <v>67770.119101562494</v>
      </c>
      <c r="G7" s="15">
        <f t="shared" si="1"/>
        <v>10790099.175351562</v>
      </c>
    </row>
    <row r="8" spans="2:7" x14ac:dyDescent="0.3">
      <c r="B8" s="14">
        <v>44713</v>
      </c>
      <c r="C8" s="15">
        <f>G7</f>
        <v>10790099.175351562</v>
      </c>
      <c r="D8" s="15">
        <v>120890</v>
      </c>
      <c r="E8" s="15">
        <f t="shared" si="0"/>
        <v>53451.880154052735</v>
      </c>
      <c r="F8" s="15">
        <f t="shared" si="2"/>
        <v>67438.119845947265</v>
      </c>
      <c r="G8" s="15">
        <f t="shared" si="1"/>
        <v>10736647.295197509</v>
      </c>
    </row>
    <row r="9" spans="2:7" x14ac:dyDescent="0.3">
      <c r="B9" s="14">
        <v>44743</v>
      </c>
      <c r="C9" s="15">
        <f t="shared" ref="C9:C26" si="3">G8</f>
        <v>10736647.295197509</v>
      </c>
      <c r="D9" s="15">
        <v>120890</v>
      </c>
      <c r="E9" s="15">
        <f t="shared" si="0"/>
        <v>53785.954405015567</v>
      </c>
      <c r="F9" s="15">
        <f t="shared" si="2"/>
        <v>67104.045594984433</v>
      </c>
      <c r="G9" s="15">
        <f t="shared" si="1"/>
        <v>10682861.340792494</v>
      </c>
    </row>
    <row r="10" spans="2:7" x14ac:dyDescent="0.3">
      <c r="B10" s="14">
        <v>44774</v>
      </c>
      <c r="C10" s="15">
        <f t="shared" si="3"/>
        <v>10682861.340792494</v>
      </c>
      <c r="D10" s="15">
        <v>120890</v>
      </c>
      <c r="E10" s="15">
        <f t="shared" si="0"/>
        <v>54122.116620046916</v>
      </c>
      <c r="F10" s="15">
        <f t="shared" si="2"/>
        <v>66767.883379953084</v>
      </c>
      <c r="G10" s="15">
        <f t="shared" si="1"/>
        <v>10628739.224172447</v>
      </c>
    </row>
    <row r="11" spans="2:7" x14ac:dyDescent="0.3">
      <c r="B11" s="14">
        <v>44805</v>
      </c>
      <c r="C11" s="15">
        <f t="shared" si="3"/>
        <v>10628739.224172447</v>
      </c>
      <c r="D11" s="15">
        <v>120890</v>
      </c>
      <c r="E11" s="15">
        <f t="shared" si="0"/>
        <v>54460.37984892221</v>
      </c>
      <c r="F11" s="15">
        <f t="shared" si="2"/>
        <v>66429.62015107779</v>
      </c>
      <c r="G11" s="15">
        <f t="shared" si="1"/>
        <v>10574278.844323525</v>
      </c>
    </row>
    <row r="12" spans="2:7" x14ac:dyDescent="0.3">
      <c r="B12" s="14">
        <v>44835</v>
      </c>
      <c r="C12" s="15">
        <f t="shared" si="3"/>
        <v>10574278.844323525</v>
      </c>
      <c r="D12" s="15">
        <v>120890</v>
      </c>
      <c r="E12" s="15">
        <f t="shared" si="0"/>
        <v>54800.757222977962</v>
      </c>
      <c r="F12" s="15">
        <f t="shared" si="2"/>
        <v>66089.242777022038</v>
      </c>
      <c r="G12" s="15">
        <f t="shared" si="1"/>
        <v>10519478.087100547</v>
      </c>
    </row>
    <row r="13" spans="2:7" x14ac:dyDescent="0.3">
      <c r="B13" s="14">
        <v>44866</v>
      </c>
      <c r="C13" s="15">
        <f t="shared" si="3"/>
        <v>10519478.087100547</v>
      </c>
      <c r="D13" s="15">
        <v>120890</v>
      </c>
      <c r="E13" s="15">
        <f t="shared" si="0"/>
        <v>55143.26195562158</v>
      </c>
      <c r="F13" s="15">
        <f t="shared" si="2"/>
        <v>65746.73804437842</v>
      </c>
      <c r="G13" s="15">
        <f t="shared" si="1"/>
        <v>10464334.825144926</v>
      </c>
    </row>
    <row r="14" spans="2:7" x14ac:dyDescent="0.3">
      <c r="B14" s="14">
        <v>44896</v>
      </c>
      <c r="C14" s="15">
        <f t="shared" si="3"/>
        <v>10464334.825144926</v>
      </c>
      <c r="D14" s="15">
        <v>120890</v>
      </c>
      <c r="E14" s="15">
        <f t="shared" si="0"/>
        <v>55487.907342844206</v>
      </c>
      <c r="F14" s="15">
        <f t="shared" si="2"/>
        <v>65402.092657155794</v>
      </c>
      <c r="G14" s="15">
        <f t="shared" si="1"/>
        <v>10408846.917802082</v>
      </c>
    </row>
    <row r="15" spans="2:7" x14ac:dyDescent="0.3">
      <c r="B15" s="14">
        <v>44927</v>
      </c>
      <c r="C15" s="15">
        <f t="shared" si="3"/>
        <v>10408846.917802082</v>
      </c>
      <c r="D15" s="15">
        <v>120890</v>
      </c>
      <c r="E15" s="15">
        <f t="shared" si="0"/>
        <v>55834.706763736991</v>
      </c>
      <c r="F15" s="15">
        <f t="shared" si="2"/>
        <v>65055.293236263009</v>
      </c>
      <c r="G15" s="15">
        <f t="shared" si="1"/>
        <v>10353012.211038345</v>
      </c>
    </row>
    <row r="16" spans="2:7" x14ac:dyDescent="0.3">
      <c r="B16" s="14">
        <v>44958</v>
      </c>
      <c r="C16" s="15">
        <f t="shared" si="3"/>
        <v>10353012.211038345</v>
      </c>
      <c r="D16" s="15">
        <v>120890</v>
      </c>
      <c r="E16" s="15">
        <f t="shared" si="0"/>
        <v>56183.673681010347</v>
      </c>
      <c r="F16" s="15">
        <f t="shared" si="2"/>
        <v>64706.326318989653</v>
      </c>
      <c r="G16" s="15">
        <f t="shared" si="1"/>
        <v>10296828.537357336</v>
      </c>
    </row>
    <row r="17" spans="2:7" x14ac:dyDescent="0.3">
      <c r="B17" s="14">
        <v>44986</v>
      </c>
      <c r="C17" s="15">
        <f t="shared" si="3"/>
        <v>10296828.537357336</v>
      </c>
      <c r="D17" s="15">
        <v>120890</v>
      </c>
      <c r="E17" s="15">
        <f t="shared" si="0"/>
        <v>56534.821641516646</v>
      </c>
      <c r="F17" s="15">
        <f t="shared" si="2"/>
        <v>64355.178358483354</v>
      </c>
      <c r="G17" s="15">
        <f t="shared" si="1"/>
        <v>10240293.71571582</v>
      </c>
    </row>
    <row r="18" spans="2:7" x14ac:dyDescent="0.3">
      <c r="B18" s="14">
        <v>45017</v>
      </c>
      <c r="C18" s="15">
        <f t="shared" si="3"/>
        <v>10240293.71571582</v>
      </c>
      <c r="D18" s="15">
        <v>120890</v>
      </c>
      <c r="E18" s="15">
        <f t="shared" si="0"/>
        <v>56888.16427677613</v>
      </c>
      <c r="F18" s="15">
        <f t="shared" si="2"/>
        <v>64001.83572322387</v>
      </c>
      <c r="G18" s="15">
        <f t="shared" si="1"/>
        <v>10183405.551439043</v>
      </c>
    </row>
    <row r="19" spans="2:7" x14ac:dyDescent="0.3">
      <c r="B19" s="14">
        <v>45047</v>
      </c>
      <c r="C19" s="15">
        <f t="shared" si="3"/>
        <v>10183405.551439043</v>
      </c>
      <c r="D19" s="15">
        <v>120890</v>
      </c>
      <c r="E19" s="15">
        <f t="shared" si="0"/>
        <v>57243.715303505982</v>
      </c>
      <c r="F19" s="15">
        <f t="shared" si="2"/>
        <v>63646.284696494018</v>
      </c>
      <c r="G19" s="15">
        <f t="shared" si="1"/>
        <v>10126161.836135536</v>
      </c>
    </row>
    <row r="20" spans="2:7" x14ac:dyDescent="0.3">
      <c r="B20" s="14">
        <v>45078</v>
      </c>
      <c r="C20" s="15">
        <f t="shared" si="3"/>
        <v>10126161.836135536</v>
      </c>
      <c r="D20" s="15">
        <v>120890</v>
      </c>
      <c r="E20" s="15">
        <f t="shared" si="0"/>
        <v>57601.488524152897</v>
      </c>
      <c r="F20" s="15">
        <f t="shared" si="2"/>
        <v>63288.511475847103</v>
      </c>
      <c r="G20" s="15">
        <f t="shared" si="1"/>
        <v>10068560.347611383</v>
      </c>
    </row>
    <row r="21" spans="2:7" x14ac:dyDescent="0.3">
      <c r="B21" s="14">
        <v>45108</v>
      </c>
      <c r="C21" s="15">
        <f t="shared" si="3"/>
        <v>10068560.347611383</v>
      </c>
      <c r="D21" s="15">
        <v>120890</v>
      </c>
      <c r="E21" s="15">
        <f t="shared" si="0"/>
        <v>57961.497827428851</v>
      </c>
      <c r="F21" s="15">
        <f t="shared" si="2"/>
        <v>62928.502172571149</v>
      </c>
      <c r="G21" s="15">
        <f t="shared" si="1"/>
        <v>10010598.849783953</v>
      </c>
    </row>
    <row r="22" spans="2:7" x14ac:dyDescent="0.3">
      <c r="B22" s="14">
        <v>45139</v>
      </c>
      <c r="C22" s="15">
        <f t="shared" si="3"/>
        <v>10010598.849783953</v>
      </c>
      <c r="D22" s="15">
        <v>120890</v>
      </c>
      <c r="E22" s="15">
        <f t="shared" si="0"/>
        <v>58323.757188850293</v>
      </c>
      <c r="F22" s="15">
        <f t="shared" si="2"/>
        <v>62566.242811149707</v>
      </c>
      <c r="G22" s="15">
        <f t="shared" si="1"/>
        <v>9952275.0925951023</v>
      </c>
    </row>
    <row r="23" spans="2:7" x14ac:dyDescent="0.3">
      <c r="B23" s="14">
        <v>45170</v>
      </c>
      <c r="C23" s="15">
        <f t="shared" si="3"/>
        <v>9952275.0925951023</v>
      </c>
      <c r="D23" s="15">
        <v>120890</v>
      </c>
      <c r="E23" s="15">
        <f t="shared" si="0"/>
        <v>58688.280671280612</v>
      </c>
      <c r="F23" s="15">
        <f t="shared" si="2"/>
        <v>62201.719328719388</v>
      </c>
      <c r="G23" s="15">
        <f t="shared" si="1"/>
        <v>9893586.8119238224</v>
      </c>
    </row>
    <row r="24" spans="2:7" x14ac:dyDescent="0.3">
      <c r="B24" s="14">
        <v>45200</v>
      </c>
      <c r="C24" s="15">
        <f t="shared" si="3"/>
        <v>9893586.8119238224</v>
      </c>
      <c r="D24" s="15">
        <v>120890</v>
      </c>
      <c r="E24" s="15">
        <f t="shared" si="0"/>
        <v>59055.08242547611</v>
      </c>
      <c r="F24" s="15">
        <f t="shared" si="2"/>
        <v>61834.91757452389</v>
      </c>
      <c r="G24" s="15">
        <f t="shared" si="1"/>
        <v>9834531.7294983454</v>
      </c>
    </row>
    <row r="25" spans="2:7" x14ac:dyDescent="0.3">
      <c r="B25" s="14">
        <v>45231</v>
      </c>
      <c r="C25" s="15">
        <f t="shared" si="3"/>
        <v>9834531.7294983454</v>
      </c>
      <c r="D25" s="15">
        <v>120890</v>
      </c>
      <c r="E25" s="15">
        <f t="shared" si="0"/>
        <v>59424.176690635351</v>
      </c>
      <c r="F25" s="15">
        <f t="shared" si="2"/>
        <v>61465.823309364649</v>
      </c>
      <c r="G25" s="15">
        <f t="shared" si="1"/>
        <v>9775107.5528077092</v>
      </c>
    </row>
    <row r="26" spans="2:7" x14ac:dyDescent="0.3">
      <c r="B26" s="14">
        <v>45261</v>
      </c>
      <c r="C26" s="15">
        <f t="shared" si="3"/>
        <v>9775107.5528077092</v>
      </c>
      <c r="D26" s="15">
        <v>120890</v>
      </c>
      <c r="E26" s="15">
        <f t="shared" ref="E26:E57" si="4">D26-F26</f>
        <v>59795.577794951823</v>
      </c>
      <c r="F26" s="15">
        <f t="shared" si="2"/>
        <v>61094.422205048177</v>
      </c>
      <c r="G26" s="15">
        <f t="shared" ref="G26:G57" si="5">C26-E26</f>
        <v>9715311.9750127569</v>
      </c>
    </row>
    <row r="27" spans="2:7" x14ac:dyDescent="0.3">
      <c r="B27" s="14">
        <v>45292</v>
      </c>
      <c r="C27" s="15">
        <f t="shared" ref="C27:C58" si="6">G26</f>
        <v>9715311.9750127569</v>
      </c>
      <c r="D27" s="15">
        <v>120890</v>
      </c>
      <c r="E27" s="15">
        <f t="shared" si="4"/>
        <v>60169.300156170269</v>
      </c>
      <c r="F27" s="15">
        <f t="shared" si="2"/>
        <v>60720.699843829731</v>
      </c>
      <c r="G27" s="15">
        <f t="shared" si="5"/>
        <v>9655142.6748565864</v>
      </c>
    </row>
    <row r="28" spans="2:7" x14ac:dyDescent="0.3">
      <c r="B28" s="14">
        <v>45323</v>
      </c>
      <c r="C28" s="15">
        <f t="shared" si="6"/>
        <v>9655142.6748565864</v>
      </c>
      <c r="D28" s="15">
        <v>120890</v>
      </c>
      <c r="E28" s="15">
        <f t="shared" si="4"/>
        <v>60545.358282146328</v>
      </c>
      <c r="F28" s="15">
        <f t="shared" si="2"/>
        <v>60344.641717853672</v>
      </c>
      <c r="G28" s="15">
        <f t="shared" si="5"/>
        <v>9594597.3165744394</v>
      </c>
    </row>
    <row r="29" spans="2:7" x14ac:dyDescent="0.3">
      <c r="B29" s="14">
        <v>45352</v>
      </c>
      <c r="C29" s="15">
        <f t="shared" si="6"/>
        <v>9594597.3165744394</v>
      </c>
      <c r="D29" s="15">
        <v>120890</v>
      </c>
      <c r="E29" s="15">
        <f t="shared" si="4"/>
        <v>60923.766771409755</v>
      </c>
      <c r="F29" s="15">
        <f t="shared" si="2"/>
        <v>59966.233228590245</v>
      </c>
      <c r="G29" s="15">
        <f t="shared" si="5"/>
        <v>9533673.5498030297</v>
      </c>
    </row>
    <row r="30" spans="2:7" x14ac:dyDescent="0.3">
      <c r="B30" s="14">
        <v>45383</v>
      </c>
      <c r="C30" s="15">
        <f t="shared" si="6"/>
        <v>9533673.5498030297</v>
      </c>
      <c r="D30" s="15">
        <v>120890</v>
      </c>
      <c r="E30" s="15">
        <f t="shared" si="4"/>
        <v>61304.540313731064</v>
      </c>
      <c r="F30" s="15">
        <f t="shared" si="2"/>
        <v>59585.459686268936</v>
      </c>
      <c r="G30" s="15">
        <f t="shared" si="5"/>
        <v>9472369.0094892979</v>
      </c>
    </row>
    <row r="31" spans="2:7" x14ac:dyDescent="0.3">
      <c r="B31" s="14">
        <v>45413</v>
      </c>
      <c r="C31" s="15">
        <f t="shared" si="6"/>
        <v>9472369.0094892979</v>
      </c>
      <c r="D31" s="15">
        <v>120890</v>
      </c>
      <c r="E31" s="15">
        <f t="shared" si="4"/>
        <v>61687.693690691893</v>
      </c>
      <c r="F31" s="15">
        <f t="shared" si="2"/>
        <v>59202.306309308107</v>
      </c>
      <c r="G31" s="15">
        <f t="shared" si="5"/>
        <v>9410681.3157986067</v>
      </c>
    </row>
    <row r="32" spans="2:7" x14ac:dyDescent="0.3">
      <c r="B32" s="14">
        <v>45444</v>
      </c>
      <c r="C32" s="15">
        <f t="shared" si="6"/>
        <v>9410681.3157986067</v>
      </c>
      <c r="D32" s="15">
        <v>120890</v>
      </c>
      <c r="E32" s="15">
        <f t="shared" si="4"/>
        <v>62073.241776258714</v>
      </c>
      <c r="F32" s="15">
        <f t="shared" si="2"/>
        <v>58816.758223741286</v>
      </c>
      <c r="G32" s="15">
        <f t="shared" si="5"/>
        <v>9348608.0740223471</v>
      </c>
    </row>
    <row r="33" spans="2:7" x14ac:dyDescent="0.3">
      <c r="B33" s="14">
        <v>45474</v>
      </c>
      <c r="C33" s="15">
        <f t="shared" si="6"/>
        <v>9348608.0740223471</v>
      </c>
      <c r="D33" s="15">
        <v>120890</v>
      </c>
      <c r="E33" s="15">
        <f t="shared" si="4"/>
        <v>62461.199537360335</v>
      </c>
      <c r="F33" s="15">
        <f t="shared" si="2"/>
        <v>58428.800462639665</v>
      </c>
      <c r="G33" s="15">
        <f t="shared" si="5"/>
        <v>9286146.8744849861</v>
      </c>
    </row>
    <row r="34" spans="2:7" x14ac:dyDescent="0.3">
      <c r="B34" s="14">
        <v>45505</v>
      </c>
      <c r="C34" s="15">
        <f t="shared" si="6"/>
        <v>9286146.8744849861</v>
      </c>
      <c r="D34" s="15">
        <v>120890</v>
      </c>
      <c r="E34" s="15">
        <f t="shared" si="4"/>
        <v>62851.582034468833</v>
      </c>
      <c r="F34" s="15">
        <f t="shared" si="2"/>
        <v>58038.417965531167</v>
      </c>
      <c r="G34" s="15">
        <f t="shared" si="5"/>
        <v>9223295.2924505174</v>
      </c>
    </row>
    <row r="35" spans="2:7" x14ac:dyDescent="0.3">
      <c r="B35" s="14">
        <v>45536</v>
      </c>
      <c r="C35" s="15">
        <f t="shared" si="6"/>
        <v>9223295.2924505174</v>
      </c>
      <c r="D35" s="15">
        <v>120890</v>
      </c>
      <c r="E35" s="15">
        <f t="shared" si="4"/>
        <v>63244.404422184271</v>
      </c>
      <c r="F35" s="15">
        <f t="shared" si="2"/>
        <v>57645.595577815729</v>
      </c>
      <c r="G35" s="15">
        <f t="shared" si="5"/>
        <v>9160050.888028333</v>
      </c>
    </row>
    <row r="36" spans="2:7" x14ac:dyDescent="0.3">
      <c r="B36" s="14">
        <v>45566</v>
      </c>
      <c r="C36" s="15">
        <f t="shared" si="6"/>
        <v>9160050.888028333</v>
      </c>
      <c r="D36" s="15">
        <v>120890</v>
      </c>
      <c r="E36" s="15">
        <f t="shared" si="4"/>
        <v>63639.681949822909</v>
      </c>
      <c r="F36" s="15">
        <f t="shared" si="2"/>
        <v>57250.318050177091</v>
      </c>
      <c r="G36" s="15">
        <f t="shared" si="5"/>
        <v>9096411.2060785107</v>
      </c>
    </row>
    <row r="37" spans="2:7" x14ac:dyDescent="0.3">
      <c r="B37" s="14">
        <v>45597</v>
      </c>
      <c r="C37" s="15">
        <f t="shared" si="6"/>
        <v>9096411.2060785107</v>
      </c>
      <c r="D37" s="15">
        <v>120890</v>
      </c>
      <c r="E37" s="15">
        <f t="shared" si="4"/>
        <v>64037.429962009308</v>
      </c>
      <c r="F37" s="15">
        <f t="shared" si="2"/>
        <v>56852.570037990692</v>
      </c>
      <c r="G37" s="15">
        <f t="shared" si="5"/>
        <v>9032373.7761165015</v>
      </c>
    </row>
    <row r="38" spans="2:7" x14ac:dyDescent="0.3">
      <c r="B38" s="14">
        <v>45627</v>
      </c>
      <c r="C38" s="15">
        <f t="shared" si="6"/>
        <v>9032373.7761165015</v>
      </c>
      <c r="D38" s="15">
        <v>120890</v>
      </c>
      <c r="E38" s="15">
        <f t="shared" si="4"/>
        <v>64437.663899271865</v>
      </c>
      <c r="F38" s="15">
        <f t="shared" si="2"/>
        <v>56452.336100728135</v>
      </c>
      <c r="G38" s="15">
        <f t="shared" si="5"/>
        <v>8967936.1122172289</v>
      </c>
    </row>
    <row r="39" spans="2:7" x14ac:dyDescent="0.3">
      <c r="B39" s="14">
        <v>45658</v>
      </c>
      <c r="C39" s="15">
        <f t="shared" si="6"/>
        <v>8967936.1122172289</v>
      </c>
      <c r="D39" s="15">
        <v>120890</v>
      </c>
      <c r="E39" s="15">
        <f t="shared" si="4"/>
        <v>64840.399298642318</v>
      </c>
      <c r="F39" s="15">
        <f t="shared" si="2"/>
        <v>56049.600701357682</v>
      </c>
      <c r="G39" s="15">
        <f t="shared" si="5"/>
        <v>8903095.712918587</v>
      </c>
    </row>
    <row r="40" spans="2:7" x14ac:dyDescent="0.3">
      <c r="B40" s="14">
        <v>45689</v>
      </c>
      <c r="C40" s="15">
        <f t="shared" si="6"/>
        <v>8903095.712918587</v>
      </c>
      <c r="D40" s="15">
        <v>120890</v>
      </c>
      <c r="E40" s="15">
        <f t="shared" si="4"/>
        <v>65245.651794258825</v>
      </c>
      <c r="F40" s="15">
        <f t="shared" si="2"/>
        <v>55644.348205741175</v>
      </c>
      <c r="G40" s="15">
        <f t="shared" si="5"/>
        <v>8837850.0611243285</v>
      </c>
    </row>
    <row r="41" spans="2:7" x14ac:dyDescent="0.3">
      <c r="B41" s="14">
        <v>45717</v>
      </c>
      <c r="C41" s="15">
        <f t="shared" si="6"/>
        <v>8837850.0611243285</v>
      </c>
      <c r="D41" s="15">
        <v>120890</v>
      </c>
      <c r="E41" s="15">
        <f t="shared" si="4"/>
        <v>65653.437117972935</v>
      </c>
      <c r="F41" s="15">
        <f t="shared" si="2"/>
        <v>55236.562882027058</v>
      </c>
      <c r="G41" s="15">
        <f t="shared" si="5"/>
        <v>8772196.6240063552</v>
      </c>
    </row>
    <row r="42" spans="2:7" x14ac:dyDescent="0.3">
      <c r="B42" s="14">
        <v>45748</v>
      </c>
      <c r="C42" s="15">
        <f t="shared" si="6"/>
        <v>8772196.6240063552</v>
      </c>
      <c r="D42" s="15">
        <v>120890</v>
      </c>
      <c r="E42" s="15">
        <f t="shared" si="4"/>
        <v>66063.771099960286</v>
      </c>
      <c r="F42" s="15">
        <f t="shared" si="2"/>
        <v>54826.228900039714</v>
      </c>
      <c r="G42" s="15">
        <f t="shared" si="5"/>
        <v>8706132.8529063947</v>
      </c>
    </row>
    <row r="43" spans="2:7" x14ac:dyDescent="0.3">
      <c r="B43" s="14">
        <v>45778</v>
      </c>
      <c r="C43" s="15">
        <f t="shared" si="6"/>
        <v>8706132.8529063947</v>
      </c>
      <c r="D43" s="15">
        <v>120890</v>
      </c>
      <c r="E43" s="15">
        <f t="shared" si="4"/>
        <v>66476.669669335039</v>
      </c>
      <c r="F43" s="15">
        <f t="shared" si="2"/>
        <v>54413.330330664969</v>
      </c>
      <c r="G43" s="15">
        <f t="shared" si="5"/>
        <v>8639656.183237059</v>
      </c>
    </row>
    <row r="44" spans="2:7" x14ac:dyDescent="0.3">
      <c r="B44" s="14">
        <v>45809</v>
      </c>
      <c r="C44" s="15">
        <f t="shared" si="6"/>
        <v>8639656.183237059</v>
      </c>
      <c r="D44" s="15">
        <v>120890</v>
      </c>
      <c r="E44" s="15">
        <f t="shared" si="4"/>
        <v>66892.148854768369</v>
      </c>
      <c r="F44" s="15">
        <f t="shared" si="2"/>
        <v>53997.851145231623</v>
      </c>
      <c r="G44" s="15">
        <f t="shared" si="5"/>
        <v>8572764.0343822911</v>
      </c>
    </row>
    <row r="45" spans="2:7" x14ac:dyDescent="0.3">
      <c r="B45" s="14">
        <v>45839</v>
      </c>
      <c r="C45" s="15">
        <f t="shared" si="6"/>
        <v>8572764.0343822911</v>
      </c>
      <c r="D45" s="15">
        <v>120890</v>
      </c>
      <c r="E45" s="15">
        <f t="shared" si="4"/>
        <v>67310.22478511068</v>
      </c>
      <c r="F45" s="15">
        <f t="shared" si="2"/>
        <v>53579.77521488932</v>
      </c>
      <c r="G45" s="15">
        <f t="shared" si="5"/>
        <v>8505453.8095971812</v>
      </c>
    </row>
    <row r="46" spans="2:7" x14ac:dyDescent="0.3">
      <c r="B46" s="14">
        <v>45870</v>
      </c>
      <c r="C46" s="15">
        <f t="shared" si="6"/>
        <v>8505453.8095971812</v>
      </c>
      <c r="D46" s="15">
        <v>120890</v>
      </c>
      <c r="E46" s="15">
        <f t="shared" si="4"/>
        <v>67730.913690017624</v>
      </c>
      <c r="F46" s="15">
        <f t="shared" si="2"/>
        <v>53159.086309982384</v>
      </c>
      <c r="G46" s="15">
        <f t="shared" si="5"/>
        <v>8437722.8959071636</v>
      </c>
    </row>
    <row r="47" spans="2:7" x14ac:dyDescent="0.3">
      <c r="B47" s="14">
        <v>45901</v>
      </c>
      <c r="C47" s="15">
        <f t="shared" si="6"/>
        <v>8437722.8959071636</v>
      </c>
      <c r="D47" s="15">
        <v>120890</v>
      </c>
      <c r="E47" s="15">
        <f t="shared" si="4"/>
        <v>68154.231900580227</v>
      </c>
      <c r="F47" s="15">
        <f t="shared" si="2"/>
        <v>52735.768099419773</v>
      </c>
      <c r="G47" s="15">
        <f t="shared" si="5"/>
        <v>8369568.6640065834</v>
      </c>
    </row>
    <row r="48" spans="2:7" x14ac:dyDescent="0.3">
      <c r="B48" s="14">
        <v>45931</v>
      </c>
      <c r="C48" s="15">
        <f t="shared" si="6"/>
        <v>8369568.6640065834</v>
      </c>
      <c r="D48" s="15">
        <v>120890</v>
      </c>
      <c r="E48" s="15">
        <f t="shared" si="4"/>
        <v>68580.195849958865</v>
      </c>
      <c r="F48" s="15">
        <f t="shared" si="2"/>
        <v>52309.804150041142</v>
      </c>
      <c r="G48" s="15">
        <f t="shared" si="5"/>
        <v>8300988.4681566246</v>
      </c>
    </row>
    <row r="49" spans="2:7" x14ac:dyDescent="0.3">
      <c r="B49" s="14">
        <v>45962</v>
      </c>
      <c r="C49" s="15">
        <f t="shared" si="6"/>
        <v>8300988.4681566246</v>
      </c>
      <c r="D49" s="15">
        <v>120890</v>
      </c>
      <c r="E49" s="15">
        <f t="shared" si="4"/>
        <v>69008.822074021096</v>
      </c>
      <c r="F49" s="15">
        <f t="shared" si="2"/>
        <v>51881.177925978904</v>
      </c>
      <c r="G49" s="15">
        <f t="shared" si="5"/>
        <v>8231979.6460826034</v>
      </c>
    </row>
    <row r="50" spans="2:7" x14ac:dyDescent="0.3">
      <c r="B50" s="14">
        <v>45992</v>
      </c>
      <c r="C50" s="15">
        <f t="shared" si="6"/>
        <v>8231979.6460826034</v>
      </c>
      <c r="D50" s="15">
        <v>120890</v>
      </c>
      <c r="E50" s="15">
        <f t="shared" si="4"/>
        <v>69440.127211983723</v>
      </c>
      <c r="F50" s="15">
        <f t="shared" si="2"/>
        <v>51449.87278801627</v>
      </c>
      <c r="G50" s="15">
        <f t="shared" si="5"/>
        <v>8162539.5188706201</v>
      </c>
    </row>
    <row r="51" spans="2:7" x14ac:dyDescent="0.3">
      <c r="B51" s="14">
        <v>46023</v>
      </c>
      <c r="C51" s="15">
        <f t="shared" si="6"/>
        <v>8162539.5188706201</v>
      </c>
      <c r="D51" s="15">
        <v>120890</v>
      </c>
      <c r="E51" s="15">
        <f t="shared" si="4"/>
        <v>69874.128007058636</v>
      </c>
      <c r="F51" s="15">
        <f t="shared" si="2"/>
        <v>51015.871992941371</v>
      </c>
      <c r="G51" s="15">
        <f t="shared" si="5"/>
        <v>8092665.3908635611</v>
      </c>
    </row>
    <row r="52" spans="2:7" x14ac:dyDescent="0.3">
      <c r="B52" s="14">
        <v>46054</v>
      </c>
      <c r="C52" s="15">
        <f t="shared" si="6"/>
        <v>8092665.3908635611</v>
      </c>
      <c r="D52" s="15">
        <v>120890</v>
      </c>
      <c r="E52" s="15">
        <f t="shared" si="4"/>
        <v>70310.841307102732</v>
      </c>
      <c r="F52" s="15">
        <f t="shared" si="2"/>
        <v>50579.158692897261</v>
      </c>
      <c r="G52" s="15">
        <f t="shared" si="5"/>
        <v>8022354.5495564584</v>
      </c>
    </row>
    <row r="53" spans="2:7" x14ac:dyDescent="0.3">
      <c r="B53" s="14">
        <v>46082</v>
      </c>
      <c r="C53" s="15">
        <f t="shared" si="6"/>
        <v>8022354.5495564584</v>
      </c>
      <c r="D53" s="15">
        <v>120890</v>
      </c>
      <c r="E53" s="15">
        <f t="shared" si="4"/>
        <v>70750.284065272135</v>
      </c>
      <c r="F53" s="15">
        <f t="shared" si="2"/>
        <v>50139.715934727865</v>
      </c>
      <c r="G53" s="15">
        <f t="shared" si="5"/>
        <v>7951604.2654911866</v>
      </c>
    </row>
    <row r="54" spans="2:7" x14ac:dyDescent="0.3">
      <c r="B54" s="14">
        <v>46113</v>
      </c>
      <c r="C54" s="15">
        <f t="shared" si="6"/>
        <v>7951604.2654911866</v>
      </c>
      <c r="D54" s="15">
        <v>120890</v>
      </c>
      <c r="E54" s="15">
        <f t="shared" si="4"/>
        <v>71192.473340680095</v>
      </c>
      <c r="F54" s="15">
        <f t="shared" si="2"/>
        <v>49697.526659319912</v>
      </c>
      <c r="G54" s="15">
        <f t="shared" si="5"/>
        <v>7880411.7921505067</v>
      </c>
    </row>
    <row r="55" spans="2:7" x14ac:dyDescent="0.3">
      <c r="B55" s="14">
        <v>46143</v>
      </c>
      <c r="C55" s="15">
        <f t="shared" si="6"/>
        <v>7880411.7921505067</v>
      </c>
      <c r="D55" s="15">
        <v>120890</v>
      </c>
      <c r="E55" s="15">
        <f t="shared" si="4"/>
        <v>71637.426299059327</v>
      </c>
      <c r="F55" s="15">
        <f t="shared" si="2"/>
        <v>49252.573700940666</v>
      </c>
      <c r="G55" s="15">
        <f t="shared" si="5"/>
        <v>7808774.365851447</v>
      </c>
    </row>
    <row r="56" spans="2:7" x14ac:dyDescent="0.3">
      <c r="B56" s="14">
        <v>46174</v>
      </c>
      <c r="C56" s="15">
        <f t="shared" si="6"/>
        <v>7808774.365851447</v>
      </c>
      <c r="D56" s="15">
        <v>120890</v>
      </c>
      <c r="E56" s="15">
        <f t="shared" si="4"/>
        <v>72085.160213428462</v>
      </c>
      <c r="F56" s="15">
        <f t="shared" si="2"/>
        <v>48804.839786571545</v>
      </c>
      <c r="G56" s="15">
        <f t="shared" si="5"/>
        <v>7736689.2056380184</v>
      </c>
    </row>
    <row r="57" spans="2:7" x14ac:dyDescent="0.3">
      <c r="B57" s="14">
        <v>46204</v>
      </c>
      <c r="C57" s="15">
        <f t="shared" si="6"/>
        <v>7736689.2056380184</v>
      </c>
      <c r="D57" s="15">
        <v>120890</v>
      </c>
      <c r="E57" s="15">
        <f t="shared" si="4"/>
        <v>72535.692464762396</v>
      </c>
      <c r="F57" s="15">
        <f t="shared" si="2"/>
        <v>48354.307535237611</v>
      </c>
      <c r="G57" s="15">
        <f t="shared" si="5"/>
        <v>7664153.5131732561</v>
      </c>
    </row>
    <row r="58" spans="2:7" x14ac:dyDescent="0.3">
      <c r="B58" s="14">
        <v>46235</v>
      </c>
      <c r="C58" s="15">
        <f t="shared" si="6"/>
        <v>7664153.5131732561</v>
      </c>
      <c r="D58" s="15">
        <v>120890</v>
      </c>
      <c r="E58" s="15">
        <f t="shared" ref="E58:E89" si="7">D58-F58</f>
        <v>72989.04054266715</v>
      </c>
      <c r="F58" s="15">
        <f t="shared" si="2"/>
        <v>47900.95945733285</v>
      </c>
      <c r="G58" s="15">
        <f t="shared" ref="G58:G89" si="8">C58-E58</f>
        <v>7591164.4726305893</v>
      </c>
    </row>
    <row r="59" spans="2:7" x14ac:dyDescent="0.3">
      <c r="B59" s="14">
        <v>46266</v>
      </c>
      <c r="C59" s="15">
        <f t="shared" ref="C59:C90" si="9">G58</f>
        <v>7591164.4726305893</v>
      </c>
      <c r="D59" s="15">
        <v>120890</v>
      </c>
      <c r="E59" s="15">
        <f t="shared" si="7"/>
        <v>73445.222046058829</v>
      </c>
      <c r="F59" s="15">
        <f t="shared" si="2"/>
        <v>47444.777953941179</v>
      </c>
      <c r="G59" s="15">
        <f t="shared" si="8"/>
        <v>7517719.2505845306</v>
      </c>
    </row>
    <row r="60" spans="2:7" x14ac:dyDescent="0.3">
      <c r="B60" s="14">
        <v>46296</v>
      </c>
      <c r="C60" s="15">
        <f t="shared" si="9"/>
        <v>7517719.2505845306</v>
      </c>
      <c r="D60" s="15">
        <v>120890</v>
      </c>
      <c r="E60" s="15">
        <f t="shared" si="7"/>
        <v>73904.254683846695</v>
      </c>
      <c r="F60" s="15">
        <f t="shared" si="2"/>
        <v>46985.745316153312</v>
      </c>
      <c r="G60" s="15">
        <f t="shared" si="8"/>
        <v>7443814.995900684</v>
      </c>
    </row>
    <row r="61" spans="2:7" x14ac:dyDescent="0.3">
      <c r="B61" s="14">
        <v>46327</v>
      </c>
      <c r="C61" s="15">
        <f t="shared" si="9"/>
        <v>7443814.995900684</v>
      </c>
      <c r="D61" s="15">
        <v>120890</v>
      </c>
      <c r="E61" s="15">
        <f t="shared" si="7"/>
        <v>74366.156275620713</v>
      </c>
      <c r="F61" s="15">
        <f t="shared" si="2"/>
        <v>46523.84372437928</v>
      </c>
      <c r="G61" s="15">
        <f t="shared" si="8"/>
        <v>7369448.8396250634</v>
      </c>
    </row>
    <row r="62" spans="2:7" x14ac:dyDescent="0.3">
      <c r="B62" s="14">
        <v>46357</v>
      </c>
      <c r="C62" s="15">
        <f t="shared" si="9"/>
        <v>7369448.8396250634</v>
      </c>
      <c r="D62" s="15">
        <v>120890</v>
      </c>
      <c r="E62" s="15">
        <f t="shared" si="7"/>
        <v>74830.944752343348</v>
      </c>
      <c r="F62" s="15">
        <f t="shared" si="2"/>
        <v>46059.055247656652</v>
      </c>
      <c r="G62" s="15">
        <f t="shared" si="8"/>
        <v>7294617.8948727204</v>
      </c>
    </row>
    <row r="63" spans="2:7" x14ac:dyDescent="0.3">
      <c r="B63" s="14">
        <v>46388</v>
      </c>
      <c r="C63" s="15">
        <f t="shared" si="9"/>
        <v>7294617.8948727204</v>
      </c>
      <c r="D63" s="15">
        <v>120890</v>
      </c>
      <c r="E63" s="15">
        <f t="shared" si="7"/>
        <v>75298.638157045498</v>
      </c>
      <c r="F63" s="15">
        <f t="shared" si="2"/>
        <v>45591.361842954502</v>
      </c>
      <c r="G63" s="15">
        <f t="shared" si="8"/>
        <v>7219319.2567156749</v>
      </c>
    </row>
    <row r="64" spans="2:7" x14ac:dyDescent="0.3">
      <c r="B64" s="14">
        <v>46419</v>
      </c>
      <c r="C64" s="15">
        <f t="shared" si="9"/>
        <v>7219319.2567156749</v>
      </c>
      <c r="D64" s="15">
        <v>120890</v>
      </c>
      <c r="E64" s="15">
        <f t="shared" si="7"/>
        <v>75769.25464552702</v>
      </c>
      <c r="F64" s="15">
        <f t="shared" si="2"/>
        <v>45120.745354472972</v>
      </c>
      <c r="G64" s="15">
        <f t="shared" si="8"/>
        <v>7143550.0020701475</v>
      </c>
    </row>
    <row r="65" spans="2:7" x14ac:dyDescent="0.3">
      <c r="B65" s="14">
        <v>46447</v>
      </c>
      <c r="C65" s="15">
        <f t="shared" si="9"/>
        <v>7143550.0020701475</v>
      </c>
      <c r="D65" s="15">
        <v>120890</v>
      </c>
      <c r="E65" s="15">
        <f t="shared" si="7"/>
        <v>76242.812487061572</v>
      </c>
      <c r="F65" s="15">
        <f t="shared" si="2"/>
        <v>44647.187512938428</v>
      </c>
      <c r="G65" s="15">
        <f t="shared" si="8"/>
        <v>7067307.1895830864</v>
      </c>
    </row>
    <row r="66" spans="2:7" x14ac:dyDescent="0.3">
      <c r="B66" s="14">
        <v>46478</v>
      </c>
      <c r="C66" s="15">
        <f t="shared" si="9"/>
        <v>7067307.1895830864</v>
      </c>
      <c r="D66" s="15">
        <v>120890</v>
      </c>
      <c r="E66" s="15">
        <f t="shared" si="7"/>
        <v>76719.330065105722</v>
      </c>
      <c r="F66" s="15">
        <f t="shared" si="2"/>
        <v>44170.669934894286</v>
      </c>
      <c r="G66" s="15">
        <f t="shared" si="8"/>
        <v>6990587.8595179804</v>
      </c>
    </row>
    <row r="67" spans="2:7" x14ac:dyDescent="0.3">
      <c r="B67" s="14">
        <v>46508</v>
      </c>
      <c r="C67" s="15">
        <f t="shared" si="9"/>
        <v>6990587.8595179804</v>
      </c>
      <c r="D67" s="15">
        <v>120890</v>
      </c>
      <c r="E67" s="15">
        <f t="shared" si="7"/>
        <v>77198.825878012634</v>
      </c>
      <c r="F67" s="15">
        <f t="shared" si="2"/>
        <v>43691.174121987373</v>
      </c>
      <c r="G67" s="15">
        <f t="shared" si="8"/>
        <v>6913389.0336399674</v>
      </c>
    </row>
    <row r="68" spans="2:7" x14ac:dyDescent="0.3">
      <c r="B68" s="14">
        <v>46539</v>
      </c>
      <c r="C68" s="15">
        <f t="shared" si="9"/>
        <v>6913389.0336399674</v>
      </c>
      <c r="D68" s="15">
        <v>120890</v>
      </c>
      <c r="E68" s="15">
        <f t="shared" si="7"/>
        <v>77681.318539750209</v>
      </c>
      <c r="F68" s="15">
        <f t="shared" si="2"/>
        <v>43208.681460249798</v>
      </c>
      <c r="G68" s="15">
        <f t="shared" si="8"/>
        <v>6835707.7151002176</v>
      </c>
    </row>
    <row r="69" spans="2:7" x14ac:dyDescent="0.3">
      <c r="B69" s="14">
        <v>46569</v>
      </c>
      <c r="C69" s="15">
        <f t="shared" si="9"/>
        <v>6835707.7151002176</v>
      </c>
      <c r="D69" s="15">
        <v>120890</v>
      </c>
      <c r="E69" s="15">
        <f t="shared" si="7"/>
        <v>78166.82678062364</v>
      </c>
      <c r="F69" s="15">
        <f t="shared" si="2"/>
        <v>42723.17321937636</v>
      </c>
      <c r="G69" s="15">
        <f t="shared" si="8"/>
        <v>6757540.8883195939</v>
      </c>
    </row>
    <row r="70" spans="2:7" x14ac:dyDescent="0.3">
      <c r="B70" s="14">
        <v>46600</v>
      </c>
      <c r="C70" s="15">
        <f t="shared" si="9"/>
        <v>6757540.8883195939</v>
      </c>
      <c r="D70" s="15">
        <v>120890</v>
      </c>
      <c r="E70" s="15">
        <f t="shared" si="7"/>
        <v>78655.369448002544</v>
      </c>
      <c r="F70" s="15">
        <f t="shared" si="2"/>
        <v>42234.630551997463</v>
      </c>
      <c r="G70" s="15">
        <f t="shared" si="8"/>
        <v>6678885.5188715914</v>
      </c>
    </row>
    <row r="71" spans="2:7" x14ac:dyDescent="0.3">
      <c r="B71" s="14">
        <v>46631</v>
      </c>
      <c r="C71" s="15">
        <f t="shared" si="9"/>
        <v>6678885.5188715914</v>
      </c>
      <c r="D71" s="15">
        <v>120890</v>
      </c>
      <c r="E71" s="15">
        <f t="shared" si="7"/>
        <v>79146.965507052548</v>
      </c>
      <c r="F71" s="15">
        <f t="shared" ref="F71:F134" si="10">C71*7.5/100/12</f>
        <v>41743.034492947445</v>
      </c>
      <c r="G71" s="15">
        <f t="shared" si="8"/>
        <v>6599738.5533645386</v>
      </c>
    </row>
    <row r="72" spans="2:7" x14ac:dyDescent="0.3">
      <c r="B72" s="14">
        <v>46661</v>
      </c>
      <c r="C72" s="15">
        <f t="shared" si="9"/>
        <v>6599738.5533645386</v>
      </c>
      <c r="D72" s="15">
        <v>120890</v>
      </c>
      <c r="E72" s="15">
        <f t="shared" si="7"/>
        <v>79641.63404147164</v>
      </c>
      <c r="F72" s="15">
        <f t="shared" si="10"/>
        <v>41248.365958528368</v>
      </c>
      <c r="G72" s="15">
        <f t="shared" si="8"/>
        <v>6520096.9193230672</v>
      </c>
    </row>
    <row r="73" spans="2:7" x14ac:dyDescent="0.3">
      <c r="B73" s="14">
        <v>46692</v>
      </c>
      <c r="C73" s="15">
        <f t="shared" si="9"/>
        <v>6520096.9193230672</v>
      </c>
      <c r="D73" s="15">
        <v>120890</v>
      </c>
      <c r="E73" s="15">
        <f t="shared" si="7"/>
        <v>80139.394254230836</v>
      </c>
      <c r="F73" s="15">
        <f t="shared" si="10"/>
        <v>40750.605745769171</v>
      </c>
      <c r="G73" s="15">
        <f t="shared" si="8"/>
        <v>6439957.5250688363</v>
      </c>
    </row>
    <row r="74" spans="2:7" x14ac:dyDescent="0.3">
      <c r="B74" s="14">
        <v>46722</v>
      </c>
      <c r="C74" s="15">
        <f t="shared" si="9"/>
        <v>6439957.5250688363</v>
      </c>
      <c r="D74" s="15">
        <v>120890</v>
      </c>
      <c r="E74" s="15">
        <f t="shared" si="7"/>
        <v>80640.265468319762</v>
      </c>
      <c r="F74" s="15">
        <f t="shared" si="10"/>
        <v>40249.734531680231</v>
      </c>
      <c r="G74" s="15">
        <f t="shared" si="8"/>
        <v>6359317.2596005164</v>
      </c>
    </row>
    <row r="75" spans="2:7" x14ac:dyDescent="0.3">
      <c r="B75" s="14">
        <v>46753</v>
      </c>
      <c r="C75" s="15">
        <f t="shared" si="9"/>
        <v>6359317.2596005164</v>
      </c>
      <c r="D75" s="15">
        <v>120890</v>
      </c>
      <c r="E75" s="15">
        <f t="shared" si="7"/>
        <v>81144.267127496772</v>
      </c>
      <c r="F75" s="15">
        <f t="shared" si="10"/>
        <v>39745.732872503228</v>
      </c>
      <c r="G75" s="15">
        <f t="shared" si="8"/>
        <v>6278172.9924730193</v>
      </c>
    </row>
    <row r="76" spans="2:7" x14ac:dyDescent="0.3">
      <c r="B76" s="14">
        <v>46784</v>
      </c>
      <c r="C76" s="15">
        <f t="shared" si="9"/>
        <v>6278172.9924730193</v>
      </c>
      <c r="D76" s="15">
        <v>120890</v>
      </c>
      <c r="E76" s="15">
        <f t="shared" si="7"/>
        <v>81651.418797043632</v>
      </c>
      <c r="F76" s="15">
        <f t="shared" si="10"/>
        <v>39238.581202956368</v>
      </c>
      <c r="G76" s="15">
        <f t="shared" si="8"/>
        <v>6196521.5736759752</v>
      </c>
    </row>
    <row r="77" spans="2:7" x14ac:dyDescent="0.3">
      <c r="B77" s="14">
        <v>46813</v>
      </c>
      <c r="C77" s="15">
        <f t="shared" si="9"/>
        <v>6196521.5736759752</v>
      </c>
      <c r="D77" s="15">
        <v>120890</v>
      </c>
      <c r="E77" s="15">
        <f t="shared" si="7"/>
        <v>82161.740164525167</v>
      </c>
      <c r="F77" s="15">
        <f t="shared" si="10"/>
        <v>38728.259835474841</v>
      </c>
      <c r="G77" s="15">
        <f t="shared" si="8"/>
        <v>6114359.8335114503</v>
      </c>
    </row>
    <row r="78" spans="2:7" x14ac:dyDescent="0.3">
      <c r="B78" s="14">
        <v>46844</v>
      </c>
      <c r="C78" s="15">
        <f t="shared" si="9"/>
        <v>6114359.8335114503</v>
      </c>
      <c r="D78" s="15">
        <v>120890</v>
      </c>
      <c r="E78" s="15">
        <f t="shared" si="7"/>
        <v>82675.251040553441</v>
      </c>
      <c r="F78" s="15">
        <f t="shared" si="10"/>
        <v>38214.748959446566</v>
      </c>
      <c r="G78" s="15">
        <f t="shared" si="8"/>
        <v>6031684.5824708967</v>
      </c>
    </row>
    <row r="79" spans="2:7" x14ac:dyDescent="0.3">
      <c r="B79" s="14">
        <v>46874</v>
      </c>
      <c r="C79" s="15">
        <f t="shared" si="9"/>
        <v>6031684.5824708967</v>
      </c>
      <c r="D79" s="15">
        <v>120890</v>
      </c>
      <c r="E79" s="15">
        <f t="shared" si="7"/>
        <v>83191.97135955689</v>
      </c>
      <c r="F79" s="15">
        <f t="shared" si="10"/>
        <v>37698.028640443103</v>
      </c>
      <c r="G79" s="15">
        <f t="shared" si="8"/>
        <v>5948492.6111113401</v>
      </c>
    </row>
    <row r="80" spans="2:7" x14ac:dyDescent="0.3">
      <c r="B80" s="14">
        <v>46905</v>
      </c>
      <c r="C80" s="15">
        <f t="shared" si="9"/>
        <v>5948492.6111113401</v>
      </c>
      <c r="D80" s="15">
        <v>120890</v>
      </c>
      <c r="E80" s="15">
        <f t="shared" si="7"/>
        <v>83711.921180554127</v>
      </c>
      <c r="F80" s="15">
        <f t="shared" si="10"/>
        <v>37178.078819445873</v>
      </c>
      <c r="G80" s="15">
        <f t="shared" si="8"/>
        <v>5864780.6899307864</v>
      </c>
    </row>
    <row r="81" spans="2:7" x14ac:dyDescent="0.3">
      <c r="B81" s="14">
        <v>46935</v>
      </c>
      <c r="C81" s="15">
        <f t="shared" si="9"/>
        <v>5864780.6899307864</v>
      </c>
      <c r="D81" s="15">
        <v>120890</v>
      </c>
      <c r="E81" s="15">
        <f t="shared" si="7"/>
        <v>84235.120687932591</v>
      </c>
      <c r="F81" s="15">
        <f t="shared" si="10"/>
        <v>36654.879312067416</v>
      </c>
      <c r="G81" s="15">
        <f t="shared" si="8"/>
        <v>5780545.5692428537</v>
      </c>
    </row>
    <row r="82" spans="2:7" x14ac:dyDescent="0.3">
      <c r="B82" s="14">
        <v>46966</v>
      </c>
      <c r="C82" s="15">
        <f t="shared" si="9"/>
        <v>5780545.5692428537</v>
      </c>
      <c r="D82" s="15">
        <v>120890</v>
      </c>
      <c r="E82" s="15">
        <f t="shared" si="7"/>
        <v>84761.590192232165</v>
      </c>
      <c r="F82" s="15">
        <f t="shared" si="10"/>
        <v>36128.409807767835</v>
      </c>
      <c r="G82" s="15">
        <f t="shared" si="8"/>
        <v>5695783.9790506214</v>
      </c>
    </row>
    <row r="83" spans="2:7" x14ac:dyDescent="0.3">
      <c r="B83" s="14">
        <v>46997</v>
      </c>
      <c r="C83" s="15">
        <f t="shared" si="9"/>
        <v>5695783.9790506214</v>
      </c>
      <c r="D83" s="15">
        <v>120890</v>
      </c>
      <c r="E83" s="15">
        <f t="shared" si="7"/>
        <v>85291.350130933628</v>
      </c>
      <c r="F83" s="15">
        <f t="shared" si="10"/>
        <v>35598.649869066379</v>
      </c>
      <c r="G83" s="15">
        <f t="shared" si="8"/>
        <v>5610492.6289196881</v>
      </c>
    </row>
    <row r="84" spans="2:7" x14ac:dyDescent="0.3">
      <c r="B84" s="14">
        <v>47027</v>
      </c>
      <c r="C84" s="15">
        <f t="shared" si="9"/>
        <v>5610492.6289196881</v>
      </c>
      <c r="D84" s="15">
        <v>120890</v>
      </c>
      <c r="E84" s="15">
        <f t="shared" si="7"/>
        <v>85824.421069251955</v>
      </c>
      <c r="F84" s="15">
        <f t="shared" si="10"/>
        <v>35065.578930748052</v>
      </c>
      <c r="G84" s="15">
        <f t="shared" si="8"/>
        <v>5524668.2078504357</v>
      </c>
    </row>
    <row r="85" spans="2:7" x14ac:dyDescent="0.3">
      <c r="B85" s="14">
        <v>47058</v>
      </c>
      <c r="C85" s="15">
        <f t="shared" si="9"/>
        <v>5524668.2078504357</v>
      </c>
      <c r="D85" s="15">
        <v>120890</v>
      </c>
      <c r="E85" s="15">
        <f t="shared" si="7"/>
        <v>86360.823700934779</v>
      </c>
      <c r="F85" s="15">
        <f t="shared" si="10"/>
        <v>34529.176299065221</v>
      </c>
      <c r="G85" s="15">
        <f t="shared" si="8"/>
        <v>5438307.3841495011</v>
      </c>
    </row>
    <row r="86" spans="2:7" x14ac:dyDescent="0.3">
      <c r="B86" s="14">
        <v>47088</v>
      </c>
      <c r="C86" s="15">
        <f t="shared" si="9"/>
        <v>5438307.3841495011</v>
      </c>
      <c r="D86" s="15">
        <v>120890</v>
      </c>
      <c r="E86" s="15">
        <f t="shared" si="7"/>
        <v>86900.578849065612</v>
      </c>
      <c r="F86" s="15">
        <f t="shared" si="10"/>
        <v>33989.42115093438</v>
      </c>
      <c r="G86" s="15">
        <f t="shared" si="8"/>
        <v>5351406.8053004351</v>
      </c>
    </row>
    <row r="87" spans="2:7" x14ac:dyDescent="0.3">
      <c r="B87" s="14">
        <v>47119</v>
      </c>
      <c r="C87" s="15">
        <f t="shared" si="9"/>
        <v>5351406.8053004351</v>
      </c>
      <c r="D87" s="15">
        <v>120890</v>
      </c>
      <c r="E87" s="15">
        <f t="shared" si="7"/>
        <v>87443.707466872278</v>
      </c>
      <c r="F87" s="15">
        <f t="shared" si="10"/>
        <v>33446.292533127722</v>
      </c>
      <c r="G87" s="15">
        <f t="shared" si="8"/>
        <v>5263963.0978335626</v>
      </c>
    </row>
    <row r="88" spans="2:7" x14ac:dyDescent="0.3">
      <c r="B88" s="14">
        <v>47150</v>
      </c>
      <c r="C88" s="15">
        <f t="shared" si="9"/>
        <v>5263963.0978335626</v>
      </c>
      <c r="D88" s="15">
        <v>120890</v>
      </c>
      <c r="E88" s="15">
        <f t="shared" si="7"/>
        <v>87990.230638540233</v>
      </c>
      <c r="F88" s="15">
        <f t="shared" si="10"/>
        <v>32899.769361459767</v>
      </c>
      <c r="G88" s="15">
        <f t="shared" si="8"/>
        <v>5175972.8671950223</v>
      </c>
    </row>
    <row r="89" spans="2:7" x14ac:dyDescent="0.3">
      <c r="B89" s="14">
        <v>47178</v>
      </c>
      <c r="C89" s="15">
        <f t="shared" si="9"/>
        <v>5175972.8671950223</v>
      </c>
      <c r="D89" s="15">
        <v>120890</v>
      </c>
      <c r="E89" s="15">
        <f t="shared" si="7"/>
        <v>88540.169580031114</v>
      </c>
      <c r="F89" s="15">
        <f t="shared" si="10"/>
        <v>32349.830419968886</v>
      </c>
      <c r="G89" s="15">
        <f t="shared" si="8"/>
        <v>5087432.6976149911</v>
      </c>
    </row>
    <row r="90" spans="2:7" x14ac:dyDescent="0.3">
      <c r="B90" s="14">
        <v>47209</v>
      </c>
      <c r="C90" s="15">
        <f t="shared" si="9"/>
        <v>5087432.6976149911</v>
      </c>
      <c r="D90" s="15">
        <v>120890</v>
      </c>
      <c r="E90" s="15">
        <f t="shared" ref="E90:E121" si="11">D90-F90</f>
        <v>89093.545639906311</v>
      </c>
      <c r="F90" s="15">
        <f t="shared" si="10"/>
        <v>31796.454360093692</v>
      </c>
      <c r="G90" s="15">
        <f t="shared" ref="G90:G121" si="12">C90-E90</f>
        <v>4998339.151975085</v>
      </c>
    </row>
    <row r="91" spans="2:7" x14ac:dyDescent="0.3">
      <c r="B91" s="14">
        <v>47239</v>
      </c>
      <c r="C91" s="15">
        <f t="shared" ref="C91:C122" si="13">G90</f>
        <v>4998339.151975085</v>
      </c>
      <c r="D91" s="15">
        <v>120890</v>
      </c>
      <c r="E91" s="15">
        <f t="shared" si="11"/>
        <v>89650.38030015571</v>
      </c>
      <c r="F91" s="15">
        <f t="shared" si="10"/>
        <v>31239.619699844287</v>
      </c>
      <c r="G91" s="15">
        <f t="shared" si="12"/>
        <v>4908688.7716749292</v>
      </c>
    </row>
    <row r="92" spans="2:7" x14ac:dyDescent="0.3">
      <c r="B92" s="14">
        <v>47270</v>
      </c>
      <c r="C92" s="15">
        <f t="shared" si="13"/>
        <v>4908688.7716749292</v>
      </c>
      <c r="D92" s="15">
        <v>120890</v>
      </c>
      <c r="E92" s="15">
        <f t="shared" si="11"/>
        <v>90210.695177031695</v>
      </c>
      <c r="F92" s="15">
        <f t="shared" si="10"/>
        <v>30679.304822968305</v>
      </c>
      <c r="G92" s="15">
        <f t="shared" si="12"/>
        <v>4818478.0764978975</v>
      </c>
    </row>
    <row r="93" spans="2:7" x14ac:dyDescent="0.3">
      <c r="B93" s="14">
        <v>47300</v>
      </c>
      <c r="C93" s="15">
        <f t="shared" si="13"/>
        <v>4818478.0764978975</v>
      </c>
      <c r="D93" s="15">
        <v>120890</v>
      </c>
      <c r="E93" s="15">
        <f t="shared" si="11"/>
        <v>90774.512021888135</v>
      </c>
      <c r="F93" s="15">
        <f t="shared" si="10"/>
        <v>30115.487978111862</v>
      </c>
      <c r="G93" s="15">
        <f t="shared" si="12"/>
        <v>4727703.5644760095</v>
      </c>
    </row>
    <row r="94" spans="2:7" x14ac:dyDescent="0.3">
      <c r="B94" s="14">
        <v>47331</v>
      </c>
      <c r="C94" s="15">
        <f t="shared" si="13"/>
        <v>4727703.5644760095</v>
      </c>
      <c r="D94" s="15">
        <v>120890</v>
      </c>
      <c r="E94" s="15">
        <f t="shared" si="11"/>
        <v>91341.852722024938</v>
      </c>
      <c r="F94" s="15">
        <f t="shared" si="10"/>
        <v>29548.147277975058</v>
      </c>
      <c r="G94" s="15">
        <f t="shared" si="12"/>
        <v>4636361.7117539849</v>
      </c>
    </row>
    <row r="95" spans="2:7" x14ac:dyDescent="0.3">
      <c r="B95" s="14">
        <v>47362</v>
      </c>
      <c r="C95" s="15">
        <f t="shared" si="13"/>
        <v>4636361.7117539849</v>
      </c>
      <c r="D95" s="15">
        <v>120890</v>
      </c>
      <c r="E95" s="15">
        <f t="shared" si="11"/>
        <v>91912.739301537586</v>
      </c>
      <c r="F95" s="15">
        <f t="shared" si="10"/>
        <v>28977.260698462411</v>
      </c>
      <c r="G95" s="15">
        <f t="shared" si="12"/>
        <v>4544448.9724524477</v>
      </c>
    </row>
    <row r="96" spans="2:7" x14ac:dyDescent="0.3">
      <c r="B96" s="14">
        <v>47392</v>
      </c>
      <c r="C96" s="15">
        <f t="shared" si="13"/>
        <v>4544448.9724524477</v>
      </c>
      <c r="D96" s="15">
        <v>120890</v>
      </c>
      <c r="E96" s="15">
        <f t="shared" si="11"/>
        <v>92487.193922172199</v>
      </c>
      <c r="F96" s="15">
        <f t="shared" si="10"/>
        <v>28402.806077827798</v>
      </c>
      <c r="G96" s="15">
        <f t="shared" si="12"/>
        <v>4451961.7785302754</v>
      </c>
    </row>
    <row r="97" spans="2:7" x14ac:dyDescent="0.3">
      <c r="B97" s="14">
        <v>47423</v>
      </c>
      <c r="C97" s="15">
        <f t="shared" si="13"/>
        <v>4451961.7785302754</v>
      </c>
      <c r="D97" s="15">
        <v>120890</v>
      </c>
      <c r="E97" s="15">
        <f t="shared" si="11"/>
        <v>93065.238884185776</v>
      </c>
      <c r="F97" s="15">
        <f t="shared" si="10"/>
        <v>27824.761115814221</v>
      </c>
      <c r="G97" s="15">
        <f t="shared" si="12"/>
        <v>4358896.53964609</v>
      </c>
    </row>
    <row r="98" spans="2:7" x14ac:dyDescent="0.3">
      <c r="B98" s="14">
        <v>47453</v>
      </c>
      <c r="C98" s="15">
        <f t="shared" si="13"/>
        <v>4358896.53964609</v>
      </c>
      <c r="D98" s="15">
        <v>120890</v>
      </c>
      <c r="E98" s="15">
        <f t="shared" si="11"/>
        <v>93646.896627211943</v>
      </c>
      <c r="F98" s="15">
        <f t="shared" si="10"/>
        <v>27243.10337278806</v>
      </c>
      <c r="G98" s="15">
        <f t="shared" si="12"/>
        <v>4265249.6430188781</v>
      </c>
    </row>
    <row r="99" spans="2:7" x14ac:dyDescent="0.3">
      <c r="B99" s="14">
        <v>47484</v>
      </c>
      <c r="C99" s="15">
        <f t="shared" si="13"/>
        <v>4265249.6430188781</v>
      </c>
      <c r="D99" s="15">
        <v>120890</v>
      </c>
      <c r="E99" s="15">
        <f t="shared" si="11"/>
        <v>94232.189731132006</v>
      </c>
      <c r="F99" s="15">
        <f t="shared" si="10"/>
        <v>26657.81026886799</v>
      </c>
      <c r="G99" s="15">
        <f t="shared" si="12"/>
        <v>4171017.4532877458</v>
      </c>
    </row>
    <row r="100" spans="2:7" x14ac:dyDescent="0.3">
      <c r="B100" s="14">
        <v>47515</v>
      </c>
      <c r="C100" s="15">
        <f t="shared" si="13"/>
        <v>4171017.4532877458</v>
      </c>
      <c r="D100" s="15">
        <v>120890</v>
      </c>
      <c r="E100" s="15">
        <f t="shared" si="11"/>
        <v>94821.140916951583</v>
      </c>
      <c r="F100" s="15">
        <f t="shared" si="10"/>
        <v>26068.859083048414</v>
      </c>
      <c r="G100" s="15">
        <f t="shared" si="12"/>
        <v>4076196.3123707944</v>
      </c>
    </row>
    <row r="101" spans="2:7" x14ac:dyDescent="0.3">
      <c r="B101" s="14">
        <v>47543</v>
      </c>
      <c r="C101" s="15">
        <f t="shared" si="13"/>
        <v>4076196.3123707944</v>
      </c>
      <c r="D101" s="15">
        <v>120890</v>
      </c>
      <c r="E101" s="15">
        <f t="shared" si="11"/>
        <v>95413.773047682538</v>
      </c>
      <c r="F101" s="15">
        <f t="shared" si="10"/>
        <v>25476.226952317465</v>
      </c>
      <c r="G101" s="15">
        <f t="shared" si="12"/>
        <v>3980782.539323112</v>
      </c>
    </row>
    <row r="102" spans="2:7" x14ac:dyDescent="0.3">
      <c r="B102" s="14">
        <v>47574</v>
      </c>
      <c r="C102" s="15">
        <f t="shared" si="13"/>
        <v>3980782.539323112</v>
      </c>
      <c r="D102" s="15">
        <v>120890</v>
      </c>
      <c r="E102" s="15">
        <f t="shared" si="11"/>
        <v>96010.10912923055</v>
      </c>
      <c r="F102" s="15">
        <f t="shared" si="10"/>
        <v>24879.89087076945</v>
      </c>
      <c r="G102" s="15">
        <f t="shared" si="12"/>
        <v>3884772.4301938815</v>
      </c>
    </row>
    <row r="103" spans="2:7" x14ac:dyDescent="0.3">
      <c r="B103" s="14">
        <v>47604</v>
      </c>
      <c r="C103" s="15">
        <f t="shared" si="13"/>
        <v>3884772.4301938815</v>
      </c>
      <c r="D103" s="15">
        <v>120890</v>
      </c>
      <c r="E103" s="15">
        <f t="shared" si="11"/>
        <v>96610.172311288246</v>
      </c>
      <c r="F103" s="15">
        <f t="shared" si="10"/>
        <v>24279.827688711757</v>
      </c>
      <c r="G103" s="15">
        <f t="shared" si="12"/>
        <v>3788162.2578825932</v>
      </c>
    </row>
    <row r="104" spans="2:7" x14ac:dyDescent="0.3">
      <c r="B104" s="14">
        <v>47635</v>
      </c>
      <c r="C104" s="15">
        <f t="shared" si="13"/>
        <v>3788162.2578825932</v>
      </c>
      <c r="D104" s="15">
        <v>120890</v>
      </c>
      <c r="E104" s="15">
        <f t="shared" si="11"/>
        <v>97213.985888233787</v>
      </c>
      <c r="F104" s="15">
        <f t="shared" si="10"/>
        <v>23676.01411176621</v>
      </c>
      <c r="G104" s="15">
        <f t="shared" si="12"/>
        <v>3690948.2719943593</v>
      </c>
    </row>
    <row r="105" spans="2:7" x14ac:dyDescent="0.3">
      <c r="B105" s="14">
        <v>47665</v>
      </c>
      <c r="C105" s="15">
        <f t="shared" si="13"/>
        <v>3690948.2719943593</v>
      </c>
      <c r="D105" s="15">
        <v>120890</v>
      </c>
      <c r="E105" s="15">
        <f t="shared" si="11"/>
        <v>97821.573300035248</v>
      </c>
      <c r="F105" s="15">
        <f t="shared" si="10"/>
        <v>23068.426699964748</v>
      </c>
      <c r="G105" s="15">
        <f t="shared" si="12"/>
        <v>3593126.6986943241</v>
      </c>
    </row>
    <row r="106" spans="2:7" x14ac:dyDescent="0.3">
      <c r="B106" s="14">
        <v>47696</v>
      </c>
      <c r="C106" s="15">
        <f t="shared" si="13"/>
        <v>3593126.6986943241</v>
      </c>
      <c r="D106" s="15">
        <v>120890</v>
      </c>
      <c r="E106" s="15">
        <f t="shared" si="11"/>
        <v>98432.958133160471</v>
      </c>
      <c r="F106" s="15">
        <f t="shared" si="10"/>
        <v>22457.041866839525</v>
      </c>
      <c r="G106" s="15">
        <f t="shared" si="12"/>
        <v>3494693.7405611635</v>
      </c>
    </row>
    <row r="107" spans="2:7" x14ac:dyDescent="0.3">
      <c r="B107" s="14">
        <v>47727</v>
      </c>
      <c r="C107" s="15">
        <f t="shared" si="13"/>
        <v>3494693.7405611635</v>
      </c>
      <c r="D107" s="15">
        <v>120890</v>
      </c>
      <c r="E107" s="15">
        <f t="shared" si="11"/>
        <v>99048.164121492737</v>
      </c>
      <c r="F107" s="15">
        <f t="shared" si="10"/>
        <v>21841.835878507271</v>
      </c>
      <c r="G107" s="15">
        <f t="shared" si="12"/>
        <v>3395645.5764396708</v>
      </c>
    </row>
    <row r="108" spans="2:7" x14ac:dyDescent="0.3">
      <c r="B108" s="14">
        <v>47757</v>
      </c>
      <c r="C108" s="15">
        <f t="shared" si="13"/>
        <v>3395645.5764396708</v>
      </c>
      <c r="D108" s="15">
        <v>120890</v>
      </c>
      <c r="E108" s="15">
        <f t="shared" si="11"/>
        <v>99667.215147252064</v>
      </c>
      <c r="F108" s="15">
        <f t="shared" si="10"/>
        <v>21222.78485274794</v>
      </c>
      <c r="G108" s="15">
        <f t="shared" si="12"/>
        <v>3295978.3612924186</v>
      </c>
    </row>
    <row r="109" spans="2:7" x14ac:dyDescent="0.3">
      <c r="B109" s="14">
        <v>47788</v>
      </c>
      <c r="C109" s="15">
        <f t="shared" si="13"/>
        <v>3295978.3612924186</v>
      </c>
      <c r="D109" s="15">
        <v>120890</v>
      </c>
      <c r="E109" s="15">
        <f t="shared" si="11"/>
        <v>100290.13524192238</v>
      </c>
      <c r="F109" s="15">
        <f t="shared" si="10"/>
        <v>20599.864758077612</v>
      </c>
      <c r="G109" s="15">
        <f t="shared" si="12"/>
        <v>3195688.2260504961</v>
      </c>
    </row>
    <row r="110" spans="2:7" x14ac:dyDescent="0.3">
      <c r="B110" s="14">
        <v>47818</v>
      </c>
      <c r="C110" s="15">
        <f t="shared" si="13"/>
        <v>3195688.2260504961</v>
      </c>
      <c r="D110" s="15">
        <v>120890</v>
      </c>
      <c r="E110" s="15">
        <f t="shared" si="11"/>
        <v>100916.94858718439</v>
      </c>
      <c r="F110" s="15">
        <f t="shared" si="10"/>
        <v>19973.051412815603</v>
      </c>
      <c r="G110" s="15">
        <f t="shared" si="12"/>
        <v>3094771.2774633118</v>
      </c>
    </row>
    <row r="111" spans="2:7" x14ac:dyDescent="0.3">
      <c r="B111" s="14">
        <v>47849</v>
      </c>
      <c r="C111" s="15">
        <f t="shared" si="13"/>
        <v>3094771.2774633118</v>
      </c>
      <c r="D111" s="15">
        <v>120890</v>
      </c>
      <c r="E111" s="15">
        <f t="shared" si="11"/>
        <v>101547.6795158543</v>
      </c>
      <c r="F111" s="15">
        <f t="shared" si="10"/>
        <v>19342.320484145701</v>
      </c>
      <c r="G111" s="15">
        <f t="shared" si="12"/>
        <v>2993223.5979474573</v>
      </c>
    </row>
    <row r="112" spans="2:7" x14ac:dyDescent="0.3">
      <c r="B112" s="14">
        <v>47880</v>
      </c>
      <c r="C112" s="15">
        <f t="shared" si="13"/>
        <v>2993223.5979474573</v>
      </c>
      <c r="D112" s="15">
        <v>120890</v>
      </c>
      <c r="E112" s="15">
        <f t="shared" si="11"/>
        <v>102182.35251282839</v>
      </c>
      <c r="F112" s="15">
        <f t="shared" si="10"/>
        <v>18707.647487171609</v>
      </c>
      <c r="G112" s="15">
        <f t="shared" si="12"/>
        <v>2891041.2454346288</v>
      </c>
    </row>
    <row r="113" spans="2:7" x14ac:dyDescent="0.3">
      <c r="B113" s="14">
        <v>47908</v>
      </c>
      <c r="C113" s="15">
        <f t="shared" si="13"/>
        <v>2891041.2454346288</v>
      </c>
      <c r="D113" s="15">
        <v>120890</v>
      </c>
      <c r="E113" s="15">
        <f t="shared" si="11"/>
        <v>102820.99221603357</v>
      </c>
      <c r="F113" s="15">
        <f t="shared" si="10"/>
        <v>18069.00778396643</v>
      </c>
      <c r="G113" s="15">
        <f t="shared" si="12"/>
        <v>2788220.2532185954</v>
      </c>
    </row>
    <row r="114" spans="2:7" x14ac:dyDescent="0.3">
      <c r="B114" s="14">
        <v>47939</v>
      </c>
      <c r="C114" s="15">
        <f t="shared" si="13"/>
        <v>2788220.2532185954</v>
      </c>
      <c r="D114" s="15">
        <v>120890</v>
      </c>
      <c r="E114" s="15">
        <f t="shared" si="11"/>
        <v>103463.62341738379</v>
      </c>
      <c r="F114" s="15">
        <f t="shared" si="10"/>
        <v>17426.37658261622</v>
      </c>
      <c r="G114" s="15">
        <f t="shared" si="12"/>
        <v>2684756.6298012114</v>
      </c>
    </row>
    <row r="115" spans="2:7" x14ac:dyDescent="0.3">
      <c r="B115" s="14">
        <v>47969</v>
      </c>
      <c r="C115" s="15">
        <f t="shared" si="13"/>
        <v>2684756.6298012114</v>
      </c>
      <c r="D115" s="15">
        <v>120890</v>
      </c>
      <c r="E115" s="15">
        <f t="shared" si="11"/>
        <v>104110.27106374243</v>
      </c>
      <c r="F115" s="15">
        <f t="shared" si="10"/>
        <v>16779.728936257572</v>
      </c>
      <c r="G115" s="15">
        <f t="shared" si="12"/>
        <v>2580646.3587374692</v>
      </c>
    </row>
    <row r="116" spans="2:7" x14ac:dyDescent="0.3">
      <c r="B116" s="14">
        <v>48000</v>
      </c>
      <c r="C116" s="15">
        <f t="shared" si="13"/>
        <v>2580646.3587374692</v>
      </c>
      <c r="D116" s="15">
        <v>120890</v>
      </c>
      <c r="E116" s="15">
        <f t="shared" si="11"/>
        <v>104760.96025789082</v>
      </c>
      <c r="F116" s="15">
        <f t="shared" si="10"/>
        <v>16129.039742109182</v>
      </c>
      <c r="G116" s="15">
        <f t="shared" si="12"/>
        <v>2475885.3984795786</v>
      </c>
    </row>
    <row r="117" spans="2:7" x14ac:dyDescent="0.3">
      <c r="B117" s="14">
        <v>48030</v>
      </c>
      <c r="C117" s="15">
        <f t="shared" si="13"/>
        <v>2475885.3984795786</v>
      </c>
      <c r="D117" s="15">
        <v>120890</v>
      </c>
      <c r="E117" s="15">
        <f t="shared" si="11"/>
        <v>105415.71625950263</v>
      </c>
      <c r="F117" s="15">
        <f t="shared" si="10"/>
        <v>15474.283740497363</v>
      </c>
      <c r="G117" s="15">
        <f t="shared" si="12"/>
        <v>2370469.6822200757</v>
      </c>
    </row>
    <row r="118" spans="2:7" x14ac:dyDescent="0.3">
      <c r="B118" s="14">
        <v>48061</v>
      </c>
      <c r="C118" s="15">
        <f t="shared" si="13"/>
        <v>2370469.6822200757</v>
      </c>
      <c r="D118" s="15">
        <v>120890</v>
      </c>
      <c r="E118" s="15">
        <f t="shared" si="11"/>
        <v>106074.56448612452</v>
      </c>
      <c r="F118" s="15">
        <f t="shared" si="10"/>
        <v>14815.435513875471</v>
      </c>
      <c r="G118" s="15">
        <f t="shared" si="12"/>
        <v>2264395.1177339512</v>
      </c>
    </row>
    <row r="119" spans="2:7" x14ac:dyDescent="0.3">
      <c r="B119" s="14">
        <v>48092</v>
      </c>
      <c r="C119" s="15">
        <f t="shared" si="13"/>
        <v>2264395.1177339512</v>
      </c>
      <c r="D119" s="15">
        <v>120890</v>
      </c>
      <c r="E119" s="15">
        <f t="shared" si="11"/>
        <v>106737.53051416281</v>
      </c>
      <c r="F119" s="15">
        <f t="shared" si="10"/>
        <v>14152.469485837197</v>
      </c>
      <c r="G119" s="15">
        <f t="shared" si="12"/>
        <v>2157657.5872197882</v>
      </c>
    </row>
    <row r="120" spans="2:7" x14ac:dyDescent="0.3">
      <c r="B120" s="14">
        <v>48122</v>
      </c>
      <c r="C120" s="15">
        <f t="shared" si="13"/>
        <v>2157657.5872197882</v>
      </c>
      <c r="D120" s="15">
        <v>120890</v>
      </c>
      <c r="E120" s="15">
        <f t="shared" si="11"/>
        <v>107404.64007987632</v>
      </c>
      <c r="F120" s="15">
        <f t="shared" si="10"/>
        <v>13485.359920123678</v>
      </c>
      <c r="G120" s="15">
        <f t="shared" si="12"/>
        <v>2050252.9471399118</v>
      </c>
    </row>
    <row r="121" spans="2:7" x14ac:dyDescent="0.3">
      <c r="B121" s="14">
        <v>48153</v>
      </c>
      <c r="C121" s="15">
        <f t="shared" si="13"/>
        <v>2050252.9471399118</v>
      </c>
      <c r="D121" s="15">
        <v>120890</v>
      </c>
      <c r="E121" s="15">
        <f t="shared" si="11"/>
        <v>108075.91908037555</v>
      </c>
      <c r="F121" s="15">
        <f t="shared" si="10"/>
        <v>12814.08091962445</v>
      </c>
      <c r="G121" s="15">
        <f t="shared" si="12"/>
        <v>1942177.0280595364</v>
      </c>
    </row>
    <row r="122" spans="2:7" x14ac:dyDescent="0.3">
      <c r="B122" s="14">
        <v>48183</v>
      </c>
      <c r="C122" s="15">
        <f t="shared" si="13"/>
        <v>1942177.0280595364</v>
      </c>
      <c r="D122" s="15">
        <v>120890</v>
      </c>
      <c r="E122" s="15">
        <f t="shared" ref="E122:E135" si="14">D122-F122</f>
        <v>108751.3935746279</v>
      </c>
      <c r="F122" s="15">
        <f t="shared" si="10"/>
        <v>12138.606425372103</v>
      </c>
      <c r="G122" s="15">
        <f t="shared" ref="G122:G135" si="15">C122-E122</f>
        <v>1833425.6344849085</v>
      </c>
    </row>
    <row r="123" spans="2:7" x14ac:dyDescent="0.3">
      <c r="B123" s="14">
        <v>48214</v>
      </c>
      <c r="C123" s="15">
        <f t="shared" ref="C123:C135" si="16">G122</f>
        <v>1833425.6344849085</v>
      </c>
      <c r="D123" s="15">
        <v>120890</v>
      </c>
      <c r="E123" s="15">
        <f t="shared" si="14"/>
        <v>109431.08978446932</v>
      </c>
      <c r="F123" s="15">
        <f t="shared" si="10"/>
        <v>11458.910215530677</v>
      </c>
      <c r="G123" s="15">
        <f t="shared" si="15"/>
        <v>1723994.5447004393</v>
      </c>
    </row>
    <row r="124" spans="2:7" x14ac:dyDescent="0.3">
      <c r="B124" s="14">
        <v>48245</v>
      </c>
      <c r="C124" s="15">
        <f t="shared" si="16"/>
        <v>1723994.5447004393</v>
      </c>
      <c r="D124" s="15">
        <v>120890</v>
      </c>
      <c r="E124" s="15">
        <f t="shared" si="14"/>
        <v>110115.03409562225</v>
      </c>
      <c r="F124" s="15">
        <f t="shared" si="10"/>
        <v>10774.965904377745</v>
      </c>
      <c r="G124" s="15">
        <f t="shared" si="15"/>
        <v>1613879.510604817</v>
      </c>
    </row>
    <row r="125" spans="2:7" x14ac:dyDescent="0.3">
      <c r="B125" s="14">
        <v>48274</v>
      </c>
      <c r="C125" s="15">
        <f t="shared" si="16"/>
        <v>1613879.510604817</v>
      </c>
      <c r="D125" s="15">
        <v>120890</v>
      </c>
      <c r="E125" s="15">
        <f t="shared" si="14"/>
        <v>110803.2530587199</v>
      </c>
      <c r="F125" s="15">
        <f t="shared" si="10"/>
        <v>10086.746941280106</v>
      </c>
      <c r="G125" s="15">
        <f t="shared" si="15"/>
        <v>1503076.257546097</v>
      </c>
    </row>
    <row r="126" spans="2:7" x14ac:dyDescent="0.3">
      <c r="B126" s="14">
        <v>48305</v>
      </c>
      <c r="C126" s="15">
        <f t="shared" si="16"/>
        <v>1503076.257546097</v>
      </c>
      <c r="D126" s="15">
        <v>120890</v>
      </c>
      <c r="E126" s="15">
        <f t="shared" si="14"/>
        <v>111495.77339033689</v>
      </c>
      <c r="F126" s="15">
        <f t="shared" si="10"/>
        <v>9394.2266096631065</v>
      </c>
      <c r="G126" s="15">
        <f t="shared" si="15"/>
        <v>1391580.4841557601</v>
      </c>
    </row>
    <row r="127" spans="2:7" x14ac:dyDescent="0.3">
      <c r="B127" s="14">
        <v>48335</v>
      </c>
      <c r="C127" s="15">
        <f t="shared" si="16"/>
        <v>1391580.4841557601</v>
      </c>
      <c r="D127" s="15">
        <v>120890</v>
      </c>
      <c r="E127" s="15">
        <f t="shared" si="14"/>
        <v>112192.62197402649</v>
      </c>
      <c r="F127" s="15">
        <f t="shared" si="10"/>
        <v>8697.3780259735013</v>
      </c>
      <c r="G127" s="15">
        <f t="shared" si="15"/>
        <v>1279387.8621817336</v>
      </c>
    </row>
    <row r="128" spans="2:7" x14ac:dyDescent="0.3">
      <c r="B128" s="14">
        <v>48366</v>
      </c>
      <c r="C128" s="15">
        <f t="shared" si="16"/>
        <v>1279387.8621817336</v>
      </c>
      <c r="D128" s="15">
        <v>120890</v>
      </c>
      <c r="E128" s="15">
        <f t="shared" si="14"/>
        <v>112893.82586136417</v>
      </c>
      <c r="F128" s="15">
        <f t="shared" si="10"/>
        <v>7996.1741386358344</v>
      </c>
      <c r="G128" s="15">
        <f t="shared" si="15"/>
        <v>1166494.0363203695</v>
      </c>
    </row>
    <row r="129" spans="2:8" x14ac:dyDescent="0.3">
      <c r="B129" s="14">
        <v>48396</v>
      </c>
      <c r="C129" s="15">
        <f t="shared" si="16"/>
        <v>1166494.0363203695</v>
      </c>
      <c r="D129" s="15">
        <v>120890</v>
      </c>
      <c r="E129" s="15">
        <f t="shared" si="14"/>
        <v>113599.4122729977</v>
      </c>
      <c r="F129" s="15">
        <f t="shared" si="10"/>
        <v>7290.5877270023093</v>
      </c>
      <c r="G129" s="15">
        <f t="shared" si="15"/>
        <v>1052894.6240473718</v>
      </c>
    </row>
    <row r="130" spans="2:8" x14ac:dyDescent="0.3">
      <c r="B130" s="14">
        <v>48427</v>
      </c>
      <c r="C130" s="15">
        <f t="shared" si="16"/>
        <v>1052894.6240473718</v>
      </c>
      <c r="D130" s="15">
        <v>120890</v>
      </c>
      <c r="E130" s="15">
        <f t="shared" si="14"/>
        <v>114309.40859970392</v>
      </c>
      <c r="F130" s="15">
        <f t="shared" si="10"/>
        <v>6580.5914002960735</v>
      </c>
      <c r="G130" s="15">
        <f t="shared" si="15"/>
        <v>938585.21544766787</v>
      </c>
    </row>
    <row r="131" spans="2:8" x14ac:dyDescent="0.3">
      <c r="B131" s="14">
        <v>48458</v>
      </c>
      <c r="C131" s="15">
        <f t="shared" si="16"/>
        <v>938585.21544766787</v>
      </c>
      <c r="D131" s="15">
        <v>120890</v>
      </c>
      <c r="E131" s="15">
        <f t="shared" si="14"/>
        <v>115023.84240345207</v>
      </c>
      <c r="F131" s="15">
        <f t="shared" si="10"/>
        <v>5866.1575965479242</v>
      </c>
      <c r="G131" s="15">
        <f t="shared" si="15"/>
        <v>823561.37304421584</v>
      </c>
    </row>
    <row r="132" spans="2:8" x14ac:dyDescent="0.3">
      <c r="B132" s="14">
        <v>48488</v>
      </c>
      <c r="C132" s="15">
        <f t="shared" si="16"/>
        <v>823561.37304421584</v>
      </c>
      <c r="D132" s="15">
        <v>120890</v>
      </c>
      <c r="E132" s="15">
        <f t="shared" si="14"/>
        <v>115742.74141847366</v>
      </c>
      <c r="F132" s="15">
        <f t="shared" si="10"/>
        <v>5147.2585815263492</v>
      </c>
      <c r="G132" s="15">
        <f t="shared" si="15"/>
        <v>707818.63162574219</v>
      </c>
    </row>
    <row r="133" spans="2:8" x14ac:dyDescent="0.3">
      <c r="B133" s="14">
        <v>48519</v>
      </c>
      <c r="C133" s="15">
        <f t="shared" si="16"/>
        <v>707818.63162574219</v>
      </c>
      <c r="D133" s="15">
        <v>120890</v>
      </c>
      <c r="E133" s="15">
        <f t="shared" si="14"/>
        <v>116466.13355233912</v>
      </c>
      <c r="F133" s="15">
        <f t="shared" si="10"/>
        <v>4423.8664476608892</v>
      </c>
      <c r="G133" s="15">
        <f t="shared" si="15"/>
        <v>591352.49807340303</v>
      </c>
    </row>
    <row r="134" spans="2:8" x14ac:dyDescent="0.3">
      <c r="B134" s="14">
        <v>48549</v>
      </c>
      <c r="C134" s="15">
        <f t="shared" si="16"/>
        <v>591352.49807340303</v>
      </c>
      <c r="D134" s="15">
        <v>120890</v>
      </c>
      <c r="E134" s="15">
        <f t="shared" si="14"/>
        <v>117194.04688704123</v>
      </c>
      <c r="F134" s="15">
        <f t="shared" si="10"/>
        <v>3695.953112958769</v>
      </c>
      <c r="G134" s="15">
        <f t="shared" si="15"/>
        <v>474158.45118636178</v>
      </c>
    </row>
    <row r="135" spans="2:8" x14ac:dyDescent="0.3">
      <c r="B135" s="14">
        <v>48580</v>
      </c>
      <c r="C135" s="15">
        <f t="shared" si="16"/>
        <v>474158.45118636178</v>
      </c>
      <c r="D135" s="15">
        <v>120890</v>
      </c>
      <c r="E135" s="15">
        <f t="shared" si="14"/>
        <v>117926.50968008523</v>
      </c>
      <c r="F135" s="15">
        <f t="shared" ref="F135:F137" si="17">C135*7.5/100/12</f>
        <v>2963.4903199147611</v>
      </c>
      <c r="G135" s="15">
        <f t="shared" si="15"/>
        <v>356231.94150627655</v>
      </c>
    </row>
    <row r="136" spans="2:8" x14ac:dyDescent="0.3">
      <c r="B136" s="14">
        <v>48611</v>
      </c>
      <c r="C136" s="15">
        <f t="shared" ref="C136:C138" si="18">G135</f>
        <v>356231.94150627655</v>
      </c>
      <c r="D136" s="15">
        <v>120890</v>
      </c>
      <c r="E136" s="15">
        <f t="shared" ref="E136:E137" si="19">D136-F136</f>
        <v>118663.55036558578</v>
      </c>
      <c r="F136" s="15">
        <f t="shared" si="17"/>
        <v>2226.4496344142285</v>
      </c>
      <c r="G136" s="15">
        <f t="shared" ref="G136:G137" si="20">C136-E136</f>
        <v>237568.39114069077</v>
      </c>
      <c r="H136" s="2"/>
    </row>
    <row r="137" spans="2:8" x14ac:dyDescent="0.3">
      <c r="B137" s="14">
        <v>48639</v>
      </c>
      <c r="C137" s="15">
        <f t="shared" si="18"/>
        <v>237568.39114069077</v>
      </c>
      <c r="D137" s="15">
        <v>120890</v>
      </c>
      <c r="E137" s="15">
        <f t="shared" si="19"/>
        <v>119405.19755537069</v>
      </c>
      <c r="F137" s="15">
        <f t="shared" si="17"/>
        <v>1484.8024446293173</v>
      </c>
      <c r="G137" s="15">
        <f t="shared" si="20"/>
        <v>118163.19358532008</v>
      </c>
      <c r="H137" s="2"/>
    </row>
    <row r="138" spans="2:8" x14ac:dyDescent="0.3">
      <c r="B138" s="14">
        <v>48670</v>
      </c>
      <c r="C138" s="15">
        <f t="shared" si="18"/>
        <v>118163.19358532008</v>
      </c>
      <c r="D138" s="15">
        <v>120890</v>
      </c>
      <c r="E138" s="15">
        <f>C138</f>
        <v>118163.19358532008</v>
      </c>
      <c r="F138" s="15">
        <f>D138-C138</f>
        <v>2726.8064146799152</v>
      </c>
      <c r="G138" s="15">
        <f>C138-E138</f>
        <v>0</v>
      </c>
      <c r="H138" s="2"/>
    </row>
    <row r="139" spans="2:8" x14ac:dyDescent="0.3">
      <c r="C139" s="2"/>
      <c r="D139" s="2"/>
      <c r="E139" s="2"/>
      <c r="F139" s="2"/>
      <c r="G139" s="2"/>
      <c r="H139" s="2"/>
    </row>
    <row r="140" spans="2:8" x14ac:dyDescent="0.3">
      <c r="C140" s="2"/>
      <c r="D140" s="2"/>
      <c r="E140" s="2"/>
      <c r="F140" s="2"/>
      <c r="G140" s="2"/>
      <c r="H140" s="2"/>
    </row>
    <row r="141" spans="2:8" x14ac:dyDescent="0.3">
      <c r="C141" s="2"/>
      <c r="D141" s="2"/>
      <c r="E141" s="2"/>
      <c r="F141" s="2"/>
      <c r="G141" s="2"/>
      <c r="H141" s="2"/>
    </row>
    <row r="142" spans="2:8" x14ac:dyDescent="0.3">
      <c r="C142" s="2"/>
      <c r="D142" s="2"/>
      <c r="E142" s="2"/>
      <c r="F142" s="2"/>
      <c r="G142" s="2"/>
      <c r="H142" s="2"/>
    </row>
    <row r="143" spans="2:8" x14ac:dyDescent="0.3">
      <c r="C143" s="2"/>
      <c r="D143" s="2"/>
      <c r="E143" s="2"/>
      <c r="F143" s="2"/>
      <c r="G143" s="2"/>
      <c r="H143" s="2"/>
    </row>
    <row r="144" spans="2:8" x14ac:dyDescent="0.3">
      <c r="C144" s="2"/>
      <c r="D144" s="2"/>
      <c r="E144" s="2"/>
      <c r="F144" s="2"/>
      <c r="G144" s="2"/>
      <c r="H144" s="2"/>
    </row>
    <row r="145" spans="3:8" x14ac:dyDescent="0.3">
      <c r="C145" s="2"/>
      <c r="D145" s="2"/>
      <c r="E145" s="2"/>
      <c r="F145" s="2"/>
      <c r="G145" s="2"/>
      <c r="H145" s="2"/>
    </row>
    <row r="146" spans="3:8" x14ac:dyDescent="0.3">
      <c r="C146" s="2"/>
      <c r="D146" s="2"/>
      <c r="E146" s="2"/>
      <c r="F146" s="2"/>
      <c r="G146" s="2"/>
      <c r="H146" s="2"/>
    </row>
    <row r="147" spans="3:8" x14ac:dyDescent="0.3">
      <c r="C147" s="2"/>
      <c r="D147" s="2"/>
      <c r="E147" s="2"/>
      <c r="F147" s="2"/>
      <c r="H147" s="2"/>
    </row>
    <row r="148" spans="3:8" x14ac:dyDescent="0.3">
      <c r="C148" s="2"/>
      <c r="D148" s="2"/>
      <c r="E148" s="2"/>
      <c r="F148" s="2"/>
      <c r="H148" s="2"/>
    </row>
    <row r="149" spans="3:8" x14ac:dyDescent="0.3">
      <c r="C149" s="2"/>
      <c r="D149" s="2"/>
      <c r="E149" s="2"/>
      <c r="F149" s="2"/>
      <c r="H149" s="2"/>
    </row>
    <row r="150" spans="3:8" x14ac:dyDescent="0.3">
      <c r="C150" s="2"/>
      <c r="D150" s="2"/>
      <c r="E150" s="2"/>
      <c r="F150" s="2"/>
      <c r="H150" s="2"/>
    </row>
    <row r="151" spans="3:8" x14ac:dyDescent="0.3">
      <c r="C151" s="2"/>
      <c r="D151" s="2"/>
      <c r="E151" s="2"/>
      <c r="F151" s="2"/>
      <c r="H151" s="2"/>
    </row>
    <row r="152" spans="3:8" x14ac:dyDescent="0.3">
      <c r="C152" s="2"/>
      <c r="D152" s="2"/>
      <c r="E152" s="2"/>
      <c r="F152" s="2"/>
      <c r="H152" s="2"/>
    </row>
    <row r="153" spans="3:8" x14ac:dyDescent="0.3">
      <c r="C153" s="2"/>
      <c r="D153" s="2"/>
      <c r="E153" s="2"/>
      <c r="F153" s="2"/>
      <c r="H153" s="2"/>
    </row>
    <row r="154" spans="3:8" x14ac:dyDescent="0.3">
      <c r="C154" s="2"/>
      <c r="D154" s="2"/>
      <c r="E154" s="2"/>
      <c r="F154" s="2"/>
      <c r="H154" s="2"/>
    </row>
    <row r="155" spans="3:8" x14ac:dyDescent="0.3">
      <c r="C155" s="2"/>
      <c r="D155" s="2"/>
      <c r="E155" s="2"/>
      <c r="F155" s="2"/>
      <c r="H155" s="2"/>
    </row>
    <row r="156" spans="3:8" x14ac:dyDescent="0.3">
      <c r="C156" s="2"/>
      <c r="D156" s="2"/>
      <c r="E156" s="2"/>
      <c r="F156" s="2"/>
      <c r="H156" s="2"/>
    </row>
    <row r="157" spans="3:8" x14ac:dyDescent="0.3">
      <c r="C157" s="2"/>
      <c r="D157" s="2"/>
      <c r="E157" s="2"/>
      <c r="F157" s="2"/>
      <c r="H157" s="2"/>
    </row>
    <row r="158" spans="3:8" x14ac:dyDescent="0.3">
      <c r="C158" s="2"/>
      <c r="D158" s="2"/>
      <c r="E158" s="2"/>
      <c r="F158" s="2"/>
      <c r="H158" s="2"/>
    </row>
    <row r="159" spans="3:8" x14ac:dyDescent="0.3">
      <c r="C159" s="2"/>
      <c r="D159" s="2"/>
      <c r="E159" s="2"/>
      <c r="F159" s="2"/>
      <c r="H159" s="2"/>
    </row>
    <row r="160" spans="3:8" x14ac:dyDescent="0.3">
      <c r="C160" s="2"/>
      <c r="D160" s="2"/>
      <c r="E160" s="2"/>
      <c r="F160" s="2"/>
      <c r="H160" s="2"/>
    </row>
    <row r="161" spans="3:8" x14ac:dyDescent="0.3">
      <c r="C161" s="2"/>
      <c r="D161" s="2"/>
      <c r="E161" s="2"/>
      <c r="F161" s="2"/>
      <c r="H161" s="2"/>
    </row>
    <row r="162" spans="3:8" x14ac:dyDescent="0.3">
      <c r="C162" s="2"/>
      <c r="D162" s="2"/>
      <c r="E162" s="2"/>
      <c r="F162" s="2"/>
      <c r="H162" s="2"/>
    </row>
    <row r="163" spans="3:8" x14ac:dyDescent="0.3">
      <c r="C163" s="2"/>
      <c r="D163" s="2"/>
      <c r="E163" s="2"/>
      <c r="F163" s="2"/>
      <c r="H163" s="2"/>
    </row>
    <row r="164" spans="3:8" x14ac:dyDescent="0.3">
      <c r="C164" s="2"/>
      <c r="D164" s="2"/>
      <c r="E164" s="2"/>
      <c r="F164" s="2"/>
      <c r="H164" s="2"/>
    </row>
    <row r="165" spans="3:8" x14ac:dyDescent="0.3">
      <c r="C165" s="2"/>
      <c r="D165" s="2"/>
      <c r="E165" s="2"/>
      <c r="F165" s="2"/>
      <c r="H165" s="2"/>
    </row>
    <row r="166" spans="3:8" x14ac:dyDescent="0.3">
      <c r="C166" s="2"/>
      <c r="D166" s="2"/>
      <c r="E166" s="2"/>
      <c r="F166" s="2"/>
      <c r="H166" s="2"/>
    </row>
    <row r="167" spans="3:8" x14ac:dyDescent="0.3">
      <c r="C167" s="2"/>
      <c r="D167" s="2"/>
      <c r="E167" s="2"/>
      <c r="F167" s="2"/>
      <c r="H167" s="2"/>
    </row>
    <row r="168" spans="3:8" x14ac:dyDescent="0.3">
      <c r="C168" s="2"/>
      <c r="D168" s="2"/>
      <c r="E168" s="2"/>
      <c r="F168" s="2"/>
      <c r="H168" s="2"/>
    </row>
    <row r="169" spans="3:8" x14ac:dyDescent="0.3">
      <c r="C169" s="2"/>
      <c r="D169" s="2"/>
      <c r="E169" s="2"/>
      <c r="F169" s="2"/>
      <c r="H169" s="2"/>
    </row>
    <row r="170" spans="3:8" x14ac:dyDescent="0.3">
      <c r="C170" s="2"/>
      <c r="D170" s="2"/>
      <c r="E170" s="2"/>
      <c r="F170" s="2"/>
      <c r="H170" s="2"/>
    </row>
  </sheetData>
  <pageMargins left="0.7" right="0.7" top="0.75" bottom="0.75" header="0.3" footer="0.3"/>
  <pageSetup paperSize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03"/>
  <sheetViews>
    <sheetView topLeftCell="B1" workbookViewId="0">
      <selection activeCell="N17" sqref="N17"/>
    </sheetView>
  </sheetViews>
  <sheetFormatPr defaultRowHeight="14.4" x14ac:dyDescent="0.3"/>
  <cols>
    <col min="1" max="1" width="0" style="9" hidden="1" customWidth="1"/>
    <col min="2" max="2" width="15.44140625" customWidth="1"/>
    <col min="3" max="3" width="16.88671875" bestFit="1" customWidth="1"/>
    <col min="4" max="4" width="14.109375" bestFit="1" customWidth="1"/>
    <col min="5" max="6" width="14.109375" customWidth="1"/>
    <col min="7" max="7" width="15.6640625" bestFit="1" customWidth="1"/>
    <col min="10" max="10" width="11.5546875" customWidth="1"/>
  </cols>
  <sheetData>
    <row r="1" spans="1:7" x14ac:dyDescent="0.3">
      <c r="B1" s="26" t="s">
        <v>293</v>
      </c>
      <c r="C1" s="27"/>
    </row>
    <row r="2" spans="1:7" x14ac:dyDescent="0.3">
      <c r="B2" s="26" t="s">
        <v>24</v>
      </c>
      <c r="C2" s="26">
        <v>40852133679</v>
      </c>
    </row>
    <row r="3" spans="1:7" x14ac:dyDescent="0.3">
      <c r="B3" s="26"/>
    </row>
    <row r="4" spans="1:7" x14ac:dyDescent="0.3">
      <c r="B4" s="1"/>
      <c r="E4">
        <v>8.4</v>
      </c>
    </row>
    <row r="5" spans="1:7" ht="35.25" customHeight="1" x14ac:dyDescent="0.3">
      <c r="A5" s="10" t="s">
        <v>0</v>
      </c>
      <c r="B5" s="11" t="s">
        <v>9</v>
      </c>
      <c r="C5" s="28" t="s">
        <v>6</v>
      </c>
      <c r="D5" s="12" t="s">
        <v>11</v>
      </c>
      <c r="E5" s="12" t="s">
        <v>292</v>
      </c>
      <c r="F5" s="12" t="s">
        <v>14</v>
      </c>
      <c r="G5" s="11" t="s">
        <v>12</v>
      </c>
    </row>
    <row r="6" spans="1:7" x14ac:dyDescent="0.3">
      <c r="A6" s="10"/>
      <c r="B6" s="14">
        <v>44652</v>
      </c>
      <c r="C6" s="29">
        <v>0</v>
      </c>
      <c r="D6" s="30">
        <v>0</v>
      </c>
      <c r="E6" s="15">
        <f>C6*$E$4/100/12</f>
        <v>0</v>
      </c>
      <c r="F6" s="15">
        <f>D6+E6</f>
        <v>0</v>
      </c>
      <c r="G6" s="15">
        <f>C6-D6</f>
        <v>0</v>
      </c>
    </row>
    <row r="7" spans="1:7" x14ac:dyDescent="0.3">
      <c r="A7" s="10"/>
      <c r="B7" s="14">
        <v>44682</v>
      </c>
      <c r="C7" s="29">
        <f>G6</f>
        <v>0</v>
      </c>
      <c r="D7" s="30">
        <v>0</v>
      </c>
      <c r="E7" s="15">
        <f t="shared" ref="E7:E70" si="0">C7*$E$4/100/12</f>
        <v>0</v>
      </c>
      <c r="F7" s="15">
        <f t="shared" ref="F7:F62" si="1">D7+E7</f>
        <v>0</v>
      </c>
      <c r="G7" s="15">
        <f t="shared" ref="G7:G62" si="2">C7-D7</f>
        <v>0</v>
      </c>
    </row>
    <row r="8" spans="1:7" x14ac:dyDescent="0.3">
      <c r="A8" s="10"/>
      <c r="B8" s="14">
        <v>44713</v>
      </c>
      <c r="C8" s="29">
        <f t="shared" ref="C8:C62" si="3">G7</f>
        <v>0</v>
      </c>
      <c r="D8" s="30">
        <v>0</v>
      </c>
      <c r="E8" s="15">
        <f t="shared" si="0"/>
        <v>0</v>
      </c>
      <c r="F8" s="15">
        <f t="shared" si="1"/>
        <v>0</v>
      </c>
      <c r="G8" s="15">
        <f t="shared" si="2"/>
        <v>0</v>
      </c>
    </row>
    <row r="9" spans="1:7" x14ac:dyDescent="0.3">
      <c r="A9" s="10"/>
      <c r="B9" s="14">
        <v>44743</v>
      </c>
      <c r="C9" s="29">
        <f t="shared" si="3"/>
        <v>0</v>
      </c>
      <c r="D9" s="30">
        <v>0</v>
      </c>
      <c r="E9" s="15">
        <f t="shared" si="0"/>
        <v>0</v>
      </c>
      <c r="F9" s="15">
        <f t="shared" si="1"/>
        <v>0</v>
      </c>
      <c r="G9" s="15">
        <f t="shared" si="2"/>
        <v>0</v>
      </c>
    </row>
    <row r="10" spans="1:7" x14ac:dyDescent="0.3">
      <c r="A10" s="10"/>
      <c r="B10" s="14">
        <v>44774</v>
      </c>
      <c r="C10" s="29">
        <f t="shared" si="3"/>
        <v>0</v>
      </c>
      <c r="D10" s="30">
        <v>0</v>
      </c>
      <c r="E10" s="15">
        <f t="shared" si="0"/>
        <v>0</v>
      </c>
      <c r="F10" s="15">
        <f t="shared" si="1"/>
        <v>0</v>
      </c>
      <c r="G10" s="15">
        <f t="shared" si="2"/>
        <v>0</v>
      </c>
    </row>
    <row r="11" spans="1:7" x14ac:dyDescent="0.3">
      <c r="A11" s="10"/>
      <c r="B11" s="14">
        <v>44805</v>
      </c>
      <c r="C11" s="29">
        <v>6000000</v>
      </c>
      <c r="D11" s="30">
        <v>0</v>
      </c>
      <c r="E11" s="15">
        <f t="shared" si="0"/>
        <v>42000</v>
      </c>
      <c r="F11" s="15">
        <f t="shared" si="1"/>
        <v>42000</v>
      </c>
      <c r="G11" s="15">
        <f t="shared" si="2"/>
        <v>6000000</v>
      </c>
    </row>
    <row r="12" spans="1:7" x14ac:dyDescent="0.3">
      <c r="A12" s="10"/>
      <c r="B12" s="14">
        <v>44835</v>
      </c>
      <c r="C12" s="29">
        <v>16000000</v>
      </c>
      <c r="D12" s="30">
        <v>0</v>
      </c>
      <c r="E12" s="15">
        <f t="shared" si="0"/>
        <v>112000</v>
      </c>
      <c r="F12" s="15">
        <f t="shared" si="1"/>
        <v>112000</v>
      </c>
      <c r="G12" s="15">
        <f t="shared" si="2"/>
        <v>16000000</v>
      </c>
    </row>
    <row r="13" spans="1:7" x14ac:dyDescent="0.3">
      <c r="A13" s="10"/>
      <c r="B13" s="14">
        <v>44866</v>
      </c>
      <c r="C13" s="29">
        <v>26000000</v>
      </c>
      <c r="D13" s="30">
        <v>0</v>
      </c>
      <c r="E13" s="15">
        <f t="shared" si="0"/>
        <v>182000</v>
      </c>
      <c r="F13" s="15">
        <f t="shared" si="1"/>
        <v>182000</v>
      </c>
      <c r="G13" s="15">
        <f t="shared" si="2"/>
        <v>26000000</v>
      </c>
    </row>
    <row r="14" spans="1:7" x14ac:dyDescent="0.3">
      <c r="A14" s="10"/>
      <c r="B14" s="14">
        <v>44896</v>
      </c>
      <c r="C14" s="29">
        <v>36000000</v>
      </c>
      <c r="D14" s="30">
        <v>0</v>
      </c>
      <c r="E14" s="15">
        <f t="shared" si="0"/>
        <v>252000</v>
      </c>
      <c r="F14" s="15">
        <f t="shared" si="1"/>
        <v>252000</v>
      </c>
      <c r="G14" s="15">
        <f t="shared" si="2"/>
        <v>36000000</v>
      </c>
    </row>
    <row r="15" spans="1:7" x14ac:dyDescent="0.3">
      <c r="A15" s="10"/>
      <c r="B15" s="14">
        <v>44927</v>
      </c>
      <c r="C15" s="29">
        <v>56000000</v>
      </c>
      <c r="D15" s="30">
        <v>0</v>
      </c>
      <c r="E15" s="15">
        <f t="shared" si="0"/>
        <v>392000</v>
      </c>
      <c r="F15" s="15">
        <f t="shared" si="1"/>
        <v>392000</v>
      </c>
      <c r="G15" s="15">
        <f t="shared" si="2"/>
        <v>56000000</v>
      </c>
    </row>
    <row r="16" spans="1:7" x14ac:dyDescent="0.3">
      <c r="A16" s="10"/>
      <c r="B16" s="14">
        <v>44958</v>
      </c>
      <c r="C16" s="29">
        <v>66000000</v>
      </c>
      <c r="D16" s="30">
        <v>974359</v>
      </c>
      <c r="E16" s="15">
        <f t="shared" si="0"/>
        <v>462000</v>
      </c>
      <c r="F16" s="15">
        <f t="shared" ref="F16:F22" si="4">D16+E16</f>
        <v>1436359</v>
      </c>
      <c r="G16" s="15">
        <f>C16-D16</f>
        <v>65025641</v>
      </c>
    </row>
    <row r="17" spans="1:7" x14ac:dyDescent="0.3">
      <c r="A17" s="10"/>
      <c r="B17" s="14">
        <v>44986</v>
      </c>
      <c r="C17" s="29">
        <f>G16+10000000</f>
        <v>75025641</v>
      </c>
      <c r="D17" s="30">
        <v>974359</v>
      </c>
      <c r="E17" s="15">
        <f t="shared" si="0"/>
        <v>525179.48699999996</v>
      </c>
      <c r="F17" s="15">
        <f t="shared" si="4"/>
        <v>1499538.487</v>
      </c>
      <c r="G17" s="15">
        <f t="shared" si="2"/>
        <v>74051282</v>
      </c>
    </row>
    <row r="18" spans="1:7" x14ac:dyDescent="0.3">
      <c r="A18" s="10"/>
      <c r="B18" s="14">
        <v>45017</v>
      </c>
      <c r="C18" s="29">
        <f t="shared" si="3"/>
        <v>74051282</v>
      </c>
      <c r="D18" s="30">
        <v>974359</v>
      </c>
      <c r="E18" s="15">
        <f t="shared" si="0"/>
        <v>518358.9740000001</v>
      </c>
      <c r="F18" s="15">
        <f t="shared" si="4"/>
        <v>1492717.9740000002</v>
      </c>
      <c r="G18" s="15">
        <f t="shared" si="2"/>
        <v>73076923</v>
      </c>
    </row>
    <row r="19" spans="1:7" x14ac:dyDescent="0.3">
      <c r="A19" s="10"/>
      <c r="B19" s="14">
        <v>45047</v>
      </c>
      <c r="C19" s="29">
        <f t="shared" si="3"/>
        <v>73076923</v>
      </c>
      <c r="D19" s="30">
        <v>974359</v>
      </c>
      <c r="E19" s="15">
        <f t="shared" si="0"/>
        <v>511538.46100000007</v>
      </c>
      <c r="F19" s="15">
        <f t="shared" si="4"/>
        <v>1485897.4610000001</v>
      </c>
      <c r="G19" s="15">
        <f t="shared" si="2"/>
        <v>72102564</v>
      </c>
    </row>
    <row r="20" spans="1:7" x14ac:dyDescent="0.3">
      <c r="A20" s="10"/>
      <c r="B20" s="14">
        <v>45078</v>
      </c>
      <c r="C20" s="29">
        <f t="shared" si="3"/>
        <v>72102564</v>
      </c>
      <c r="D20" s="30">
        <v>974359</v>
      </c>
      <c r="E20" s="15">
        <f t="shared" si="0"/>
        <v>504717.94800000003</v>
      </c>
      <c r="F20" s="15">
        <f t="shared" si="4"/>
        <v>1479076.9480000001</v>
      </c>
      <c r="G20" s="15">
        <f t="shared" si="2"/>
        <v>71128205</v>
      </c>
    </row>
    <row r="21" spans="1:7" x14ac:dyDescent="0.3">
      <c r="A21" s="10"/>
      <c r="B21" s="14">
        <v>45108</v>
      </c>
      <c r="C21" s="29">
        <f t="shared" si="3"/>
        <v>71128205</v>
      </c>
      <c r="D21" s="30">
        <v>974359</v>
      </c>
      <c r="E21" s="15">
        <f t="shared" si="0"/>
        <v>497897.435</v>
      </c>
      <c r="F21" s="15">
        <f t="shared" si="4"/>
        <v>1472256.4350000001</v>
      </c>
      <c r="G21" s="15">
        <f t="shared" si="2"/>
        <v>70153846</v>
      </c>
    </row>
    <row r="22" spans="1:7" x14ac:dyDescent="0.3">
      <c r="A22" s="10"/>
      <c r="B22" s="14">
        <v>45139</v>
      </c>
      <c r="C22" s="29">
        <f t="shared" si="3"/>
        <v>70153846</v>
      </c>
      <c r="D22" s="30">
        <v>974359</v>
      </c>
      <c r="E22" s="15">
        <f t="shared" si="0"/>
        <v>491076.92199999996</v>
      </c>
      <c r="F22" s="15">
        <f t="shared" si="4"/>
        <v>1465435.922</v>
      </c>
      <c r="G22" s="15">
        <f t="shared" si="2"/>
        <v>69179487</v>
      </c>
    </row>
    <row r="23" spans="1:7" x14ac:dyDescent="0.3">
      <c r="A23" s="10"/>
      <c r="B23" s="14">
        <v>45170</v>
      </c>
      <c r="C23" s="29">
        <f t="shared" si="3"/>
        <v>69179487</v>
      </c>
      <c r="D23" s="30">
        <v>974359</v>
      </c>
      <c r="E23" s="15">
        <f t="shared" si="0"/>
        <v>484256.40900000004</v>
      </c>
      <c r="F23" s="15">
        <f t="shared" si="1"/>
        <v>1458615.409</v>
      </c>
      <c r="G23" s="15">
        <f t="shared" si="2"/>
        <v>68205128</v>
      </c>
    </row>
    <row r="24" spans="1:7" x14ac:dyDescent="0.3">
      <c r="A24" s="10"/>
      <c r="B24" s="14">
        <v>45200</v>
      </c>
      <c r="C24" s="29">
        <f t="shared" si="3"/>
        <v>68205128</v>
      </c>
      <c r="D24" s="30">
        <v>974359</v>
      </c>
      <c r="E24" s="15">
        <f t="shared" si="0"/>
        <v>477435.89600000001</v>
      </c>
      <c r="F24" s="15">
        <f t="shared" si="1"/>
        <v>1451794.8959999999</v>
      </c>
      <c r="G24" s="15">
        <f t="shared" si="2"/>
        <v>67230769</v>
      </c>
    </row>
    <row r="25" spans="1:7" x14ac:dyDescent="0.3">
      <c r="A25" s="10"/>
      <c r="B25" s="14">
        <v>45231</v>
      </c>
      <c r="C25" s="29">
        <f t="shared" si="3"/>
        <v>67230769</v>
      </c>
      <c r="D25" s="30">
        <v>974359</v>
      </c>
      <c r="E25" s="15">
        <f t="shared" si="0"/>
        <v>470615.38299999997</v>
      </c>
      <c r="F25" s="15">
        <f t="shared" si="1"/>
        <v>1444974.3829999999</v>
      </c>
      <c r="G25" s="15">
        <f t="shared" si="2"/>
        <v>66256410</v>
      </c>
    </row>
    <row r="26" spans="1:7" x14ac:dyDescent="0.3">
      <c r="A26" s="10"/>
      <c r="B26" s="14">
        <v>45261</v>
      </c>
      <c r="C26" s="29">
        <f t="shared" si="3"/>
        <v>66256410</v>
      </c>
      <c r="D26" s="30">
        <v>974359</v>
      </c>
      <c r="E26" s="15">
        <f t="shared" si="0"/>
        <v>463794.87000000005</v>
      </c>
      <c r="F26" s="15">
        <f t="shared" si="1"/>
        <v>1438153.87</v>
      </c>
      <c r="G26" s="15">
        <f t="shared" si="2"/>
        <v>65282051</v>
      </c>
    </row>
    <row r="27" spans="1:7" x14ac:dyDescent="0.3">
      <c r="A27" s="13">
        <v>1</v>
      </c>
      <c r="B27" s="14">
        <v>45292</v>
      </c>
      <c r="C27" s="29">
        <f t="shared" si="3"/>
        <v>65282051</v>
      </c>
      <c r="D27" s="30">
        <v>974359</v>
      </c>
      <c r="E27" s="15">
        <f t="shared" si="0"/>
        <v>456974.35700000002</v>
      </c>
      <c r="F27" s="15">
        <f t="shared" si="1"/>
        <v>1431333.3570000001</v>
      </c>
      <c r="G27" s="15">
        <f t="shared" si="2"/>
        <v>64307692</v>
      </c>
    </row>
    <row r="28" spans="1:7" x14ac:dyDescent="0.3">
      <c r="A28" s="13">
        <f>A27+1</f>
        <v>2</v>
      </c>
      <c r="B28" s="14">
        <v>45323</v>
      </c>
      <c r="C28" s="15">
        <f t="shared" si="3"/>
        <v>64307692</v>
      </c>
      <c r="D28" s="30">
        <v>974359</v>
      </c>
      <c r="E28" s="15">
        <f t="shared" si="0"/>
        <v>450153.84400000004</v>
      </c>
      <c r="F28" s="15">
        <f t="shared" si="1"/>
        <v>1424512.844</v>
      </c>
      <c r="G28" s="15">
        <f t="shared" si="2"/>
        <v>63333333</v>
      </c>
    </row>
    <row r="29" spans="1:7" x14ac:dyDescent="0.3">
      <c r="A29" s="13">
        <f t="shared" ref="A29:A62" si="5">A28+1</f>
        <v>3</v>
      </c>
      <c r="B29" s="14">
        <v>45352</v>
      </c>
      <c r="C29" s="15">
        <f t="shared" si="3"/>
        <v>63333333</v>
      </c>
      <c r="D29" s="30">
        <v>974359</v>
      </c>
      <c r="E29" s="15">
        <f t="shared" si="0"/>
        <v>443333.33100000001</v>
      </c>
      <c r="F29" s="15">
        <f t="shared" si="1"/>
        <v>1417692.331</v>
      </c>
      <c r="G29" s="15">
        <f t="shared" si="2"/>
        <v>62358974</v>
      </c>
    </row>
    <row r="30" spans="1:7" x14ac:dyDescent="0.3">
      <c r="A30" s="13">
        <f t="shared" si="5"/>
        <v>4</v>
      </c>
      <c r="B30" s="14">
        <v>45383</v>
      </c>
      <c r="C30" s="15">
        <f t="shared" si="3"/>
        <v>62358974</v>
      </c>
      <c r="D30" s="30">
        <v>974359</v>
      </c>
      <c r="E30" s="15">
        <f t="shared" si="0"/>
        <v>436512.81800000003</v>
      </c>
      <c r="F30" s="15">
        <f t="shared" si="1"/>
        <v>1410871.818</v>
      </c>
      <c r="G30" s="15">
        <f t="shared" si="2"/>
        <v>61384615</v>
      </c>
    </row>
    <row r="31" spans="1:7" x14ac:dyDescent="0.3">
      <c r="A31" s="13">
        <f t="shared" si="5"/>
        <v>5</v>
      </c>
      <c r="B31" s="14">
        <v>45413</v>
      </c>
      <c r="C31" s="15">
        <f t="shared" si="3"/>
        <v>61384615</v>
      </c>
      <c r="D31" s="30">
        <v>974359</v>
      </c>
      <c r="E31" s="15">
        <f t="shared" si="0"/>
        <v>429692.30499999999</v>
      </c>
      <c r="F31" s="15">
        <f t="shared" si="1"/>
        <v>1404051.3049999999</v>
      </c>
      <c r="G31" s="15">
        <f t="shared" si="2"/>
        <v>60410256</v>
      </c>
    </row>
    <row r="32" spans="1:7" x14ac:dyDescent="0.3">
      <c r="A32" s="13">
        <f t="shared" si="5"/>
        <v>6</v>
      </c>
      <c r="B32" s="14">
        <v>45444</v>
      </c>
      <c r="C32" s="15">
        <f t="shared" si="3"/>
        <v>60410256</v>
      </c>
      <c r="D32" s="30">
        <v>974359</v>
      </c>
      <c r="E32" s="15">
        <f t="shared" si="0"/>
        <v>422871.79200000007</v>
      </c>
      <c r="F32" s="15">
        <f t="shared" si="1"/>
        <v>1397230.7920000001</v>
      </c>
      <c r="G32" s="15">
        <f t="shared" si="2"/>
        <v>59435897</v>
      </c>
    </row>
    <row r="33" spans="1:7" x14ac:dyDescent="0.3">
      <c r="A33" s="13">
        <f t="shared" si="5"/>
        <v>7</v>
      </c>
      <c r="B33" s="14">
        <v>45474</v>
      </c>
      <c r="C33" s="15">
        <f t="shared" si="3"/>
        <v>59435897</v>
      </c>
      <c r="D33" s="30">
        <v>974359</v>
      </c>
      <c r="E33" s="15">
        <f t="shared" si="0"/>
        <v>416051.27900000004</v>
      </c>
      <c r="F33" s="15">
        <f t="shared" si="1"/>
        <v>1390410.2790000001</v>
      </c>
      <c r="G33" s="15">
        <f t="shared" si="2"/>
        <v>58461538</v>
      </c>
    </row>
    <row r="34" spans="1:7" x14ac:dyDescent="0.3">
      <c r="A34" s="13">
        <f t="shared" si="5"/>
        <v>8</v>
      </c>
      <c r="B34" s="14">
        <v>45505</v>
      </c>
      <c r="C34" s="15">
        <f t="shared" si="3"/>
        <v>58461538</v>
      </c>
      <c r="D34" s="30">
        <v>974359</v>
      </c>
      <c r="E34" s="15">
        <f t="shared" si="0"/>
        <v>409230.76600000006</v>
      </c>
      <c r="F34" s="15">
        <f t="shared" si="1"/>
        <v>1383589.7660000001</v>
      </c>
      <c r="G34" s="15">
        <f t="shared" si="2"/>
        <v>57487179</v>
      </c>
    </row>
    <row r="35" spans="1:7" x14ac:dyDescent="0.3">
      <c r="A35" s="13">
        <f t="shared" si="5"/>
        <v>9</v>
      </c>
      <c r="B35" s="14">
        <v>45536</v>
      </c>
      <c r="C35" s="15">
        <f t="shared" si="3"/>
        <v>57487179</v>
      </c>
      <c r="D35" s="30">
        <v>974359</v>
      </c>
      <c r="E35" s="15">
        <f t="shared" si="0"/>
        <v>402410.25300000003</v>
      </c>
      <c r="F35" s="15">
        <f t="shared" si="1"/>
        <v>1376769.253</v>
      </c>
      <c r="G35" s="15">
        <f t="shared" si="2"/>
        <v>56512820</v>
      </c>
    </row>
    <row r="36" spans="1:7" x14ac:dyDescent="0.3">
      <c r="A36" s="13">
        <f t="shared" si="5"/>
        <v>10</v>
      </c>
      <c r="B36" s="14">
        <v>45566</v>
      </c>
      <c r="C36" s="15">
        <f t="shared" si="3"/>
        <v>56512820</v>
      </c>
      <c r="D36" s="30">
        <v>974359</v>
      </c>
      <c r="E36" s="15">
        <f t="shared" si="0"/>
        <v>395589.74</v>
      </c>
      <c r="F36" s="15">
        <f t="shared" si="1"/>
        <v>1369948.74</v>
      </c>
      <c r="G36" s="15">
        <f t="shared" si="2"/>
        <v>55538461</v>
      </c>
    </row>
    <row r="37" spans="1:7" x14ac:dyDescent="0.3">
      <c r="A37" s="13">
        <f t="shared" si="5"/>
        <v>11</v>
      </c>
      <c r="B37" s="14">
        <v>45597</v>
      </c>
      <c r="C37" s="15">
        <f t="shared" si="3"/>
        <v>55538461</v>
      </c>
      <c r="D37" s="30">
        <v>974359</v>
      </c>
      <c r="E37" s="15">
        <f t="shared" si="0"/>
        <v>388769.22700000001</v>
      </c>
      <c r="F37" s="15">
        <f t="shared" si="1"/>
        <v>1363128.227</v>
      </c>
      <c r="G37" s="15">
        <f t="shared" si="2"/>
        <v>54564102</v>
      </c>
    </row>
    <row r="38" spans="1:7" x14ac:dyDescent="0.3">
      <c r="A38" s="13">
        <f t="shared" si="5"/>
        <v>12</v>
      </c>
      <c r="B38" s="14">
        <v>45627</v>
      </c>
      <c r="C38" s="15">
        <f t="shared" si="3"/>
        <v>54564102</v>
      </c>
      <c r="D38" s="30">
        <v>974359</v>
      </c>
      <c r="E38" s="15">
        <f t="shared" si="0"/>
        <v>381948.71399999998</v>
      </c>
      <c r="F38" s="15">
        <f t="shared" si="1"/>
        <v>1356307.7139999999</v>
      </c>
      <c r="G38" s="15">
        <f t="shared" si="2"/>
        <v>53589743</v>
      </c>
    </row>
    <row r="39" spans="1:7" x14ac:dyDescent="0.3">
      <c r="A39" s="13">
        <f t="shared" si="5"/>
        <v>13</v>
      </c>
      <c r="B39" s="14">
        <v>45658</v>
      </c>
      <c r="C39" s="15">
        <f t="shared" si="3"/>
        <v>53589743</v>
      </c>
      <c r="D39" s="30">
        <v>974359</v>
      </c>
      <c r="E39" s="15">
        <f t="shared" si="0"/>
        <v>375128.20100000006</v>
      </c>
      <c r="F39" s="15">
        <f t="shared" si="1"/>
        <v>1349487.2010000001</v>
      </c>
      <c r="G39" s="15">
        <f t="shared" si="2"/>
        <v>52615384</v>
      </c>
    </row>
    <row r="40" spans="1:7" x14ac:dyDescent="0.3">
      <c r="A40" s="13">
        <f t="shared" si="5"/>
        <v>14</v>
      </c>
      <c r="B40" s="14">
        <v>45689</v>
      </c>
      <c r="C40" s="15">
        <f t="shared" si="3"/>
        <v>52615384</v>
      </c>
      <c r="D40" s="30">
        <v>974359</v>
      </c>
      <c r="E40" s="15">
        <f t="shared" si="0"/>
        <v>368307.68800000002</v>
      </c>
      <c r="F40" s="15">
        <f t="shared" si="1"/>
        <v>1342666.6880000001</v>
      </c>
      <c r="G40" s="15">
        <f t="shared" si="2"/>
        <v>51641025</v>
      </c>
    </row>
    <row r="41" spans="1:7" x14ac:dyDescent="0.3">
      <c r="A41" s="13">
        <f t="shared" si="5"/>
        <v>15</v>
      </c>
      <c r="B41" s="14">
        <v>45717</v>
      </c>
      <c r="C41" s="15">
        <f t="shared" si="3"/>
        <v>51641025</v>
      </c>
      <c r="D41" s="30">
        <v>974359</v>
      </c>
      <c r="E41" s="15">
        <f t="shared" si="0"/>
        <v>361487.17499999999</v>
      </c>
      <c r="F41" s="15">
        <f t="shared" si="1"/>
        <v>1335846.175</v>
      </c>
      <c r="G41" s="15">
        <f t="shared" si="2"/>
        <v>50666666</v>
      </c>
    </row>
    <row r="42" spans="1:7" x14ac:dyDescent="0.3">
      <c r="A42" s="13">
        <f t="shared" si="5"/>
        <v>16</v>
      </c>
      <c r="B42" s="14">
        <v>45748</v>
      </c>
      <c r="C42" s="15">
        <f t="shared" si="3"/>
        <v>50666666</v>
      </c>
      <c r="D42" s="30">
        <v>974359</v>
      </c>
      <c r="E42" s="15">
        <f t="shared" si="0"/>
        <v>354666.66200000001</v>
      </c>
      <c r="F42" s="15">
        <f t="shared" si="1"/>
        <v>1329025.662</v>
      </c>
      <c r="G42" s="15">
        <f t="shared" si="2"/>
        <v>49692307</v>
      </c>
    </row>
    <row r="43" spans="1:7" x14ac:dyDescent="0.3">
      <c r="A43" s="13">
        <f t="shared" si="5"/>
        <v>17</v>
      </c>
      <c r="B43" s="14">
        <v>45778</v>
      </c>
      <c r="C43" s="15">
        <f t="shared" si="3"/>
        <v>49692307</v>
      </c>
      <c r="D43" s="30">
        <v>974359</v>
      </c>
      <c r="E43" s="15">
        <f t="shared" si="0"/>
        <v>347846.14900000003</v>
      </c>
      <c r="F43" s="15">
        <f t="shared" si="1"/>
        <v>1322205.149</v>
      </c>
      <c r="G43" s="15">
        <f t="shared" si="2"/>
        <v>48717948</v>
      </c>
    </row>
    <row r="44" spans="1:7" x14ac:dyDescent="0.3">
      <c r="A44" s="13">
        <f t="shared" si="5"/>
        <v>18</v>
      </c>
      <c r="B44" s="14">
        <v>45809</v>
      </c>
      <c r="C44" s="15">
        <f t="shared" si="3"/>
        <v>48717948</v>
      </c>
      <c r="D44" s="30">
        <v>974359</v>
      </c>
      <c r="E44" s="15">
        <f t="shared" si="0"/>
        <v>341025.636</v>
      </c>
      <c r="F44" s="15">
        <f t="shared" si="1"/>
        <v>1315384.6359999999</v>
      </c>
      <c r="G44" s="15">
        <f t="shared" si="2"/>
        <v>47743589</v>
      </c>
    </row>
    <row r="45" spans="1:7" x14ac:dyDescent="0.3">
      <c r="A45" s="13">
        <f t="shared" si="5"/>
        <v>19</v>
      </c>
      <c r="B45" s="14">
        <v>45839</v>
      </c>
      <c r="C45" s="15">
        <f t="shared" si="3"/>
        <v>47743589</v>
      </c>
      <c r="D45" s="30">
        <v>974359</v>
      </c>
      <c r="E45" s="15">
        <f t="shared" si="0"/>
        <v>334205.12300000002</v>
      </c>
      <c r="F45" s="15">
        <f t="shared" si="1"/>
        <v>1308564.1230000001</v>
      </c>
      <c r="G45" s="15">
        <f t="shared" si="2"/>
        <v>46769230</v>
      </c>
    </row>
    <row r="46" spans="1:7" x14ac:dyDescent="0.3">
      <c r="A46" s="13">
        <f t="shared" si="5"/>
        <v>20</v>
      </c>
      <c r="B46" s="14">
        <v>45870</v>
      </c>
      <c r="C46" s="15">
        <f t="shared" si="3"/>
        <v>46769230</v>
      </c>
      <c r="D46" s="30">
        <v>974359</v>
      </c>
      <c r="E46" s="15">
        <f t="shared" si="0"/>
        <v>327384.61</v>
      </c>
      <c r="F46" s="15">
        <f t="shared" si="1"/>
        <v>1301743.6099999999</v>
      </c>
      <c r="G46" s="15">
        <f t="shared" si="2"/>
        <v>45794871</v>
      </c>
    </row>
    <row r="47" spans="1:7" x14ac:dyDescent="0.3">
      <c r="A47" s="13">
        <f t="shared" si="5"/>
        <v>21</v>
      </c>
      <c r="B47" s="14">
        <v>45901</v>
      </c>
      <c r="C47" s="15">
        <f t="shared" si="3"/>
        <v>45794871</v>
      </c>
      <c r="D47" s="30">
        <v>974359</v>
      </c>
      <c r="E47" s="15">
        <f t="shared" si="0"/>
        <v>320564.09700000001</v>
      </c>
      <c r="F47" s="15">
        <f t="shared" si="1"/>
        <v>1294923.0970000001</v>
      </c>
      <c r="G47" s="15">
        <f t="shared" si="2"/>
        <v>44820512</v>
      </c>
    </row>
    <row r="48" spans="1:7" x14ac:dyDescent="0.3">
      <c r="A48" s="13">
        <f t="shared" si="5"/>
        <v>22</v>
      </c>
      <c r="B48" s="14">
        <v>45931</v>
      </c>
      <c r="C48" s="15">
        <f t="shared" si="3"/>
        <v>44820512</v>
      </c>
      <c r="D48" s="30">
        <v>974359</v>
      </c>
      <c r="E48" s="15">
        <f t="shared" si="0"/>
        <v>313743.58399999997</v>
      </c>
      <c r="F48" s="15">
        <f t="shared" si="1"/>
        <v>1288102.584</v>
      </c>
      <c r="G48" s="15">
        <f t="shared" si="2"/>
        <v>43846153</v>
      </c>
    </row>
    <row r="49" spans="1:7" x14ac:dyDescent="0.3">
      <c r="A49" s="13">
        <f t="shared" si="5"/>
        <v>23</v>
      </c>
      <c r="B49" s="14">
        <v>45962</v>
      </c>
      <c r="C49" s="15">
        <f t="shared" si="3"/>
        <v>43846153</v>
      </c>
      <c r="D49" s="30">
        <v>974359</v>
      </c>
      <c r="E49" s="15">
        <f t="shared" si="0"/>
        <v>306923.071</v>
      </c>
      <c r="F49" s="15">
        <f t="shared" si="1"/>
        <v>1281282.071</v>
      </c>
      <c r="G49" s="15">
        <f t="shared" si="2"/>
        <v>42871794</v>
      </c>
    </row>
    <row r="50" spans="1:7" x14ac:dyDescent="0.3">
      <c r="A50" s="13">
        <f t="shared" si="5"/>
        <v>24</v>
      </c>
      <c r="B50" s="14">
        <v>45992</v>
      </c>
      <c r="C50" s="15">
        <f t="shared" si="3"/>
        <v>42871794</v>
      </c>
      <c r="D50" s="30">
        <v>974359</v>
      </c>
      <c r="E50" s="15">
        <f t="shared" si="0"/>
        <v>300102.55800000002</v>
      </c>
      <c r="F50" s="15">
        <f t="shared" si="1"/>
        <v>1274461.558</v>
      </c>
      <c r="G50" s="15">
        <f t="shared" si="2"/>
        <v>41897435</v>
      </c>
    </row>
    <row r="51" spans="1:7" x14ac:dyDescent="0.3">
      <c r="A51" s="13">
        <f t="shared" si="5"/>
        <v>25</v>
      </c>
      <c r="B51" s="14">
        <v>46023</v>
      </c>
      <c r="C51" s="15">
        <f t="shared" si="3"/>
        <v>41897435</v>
      </c>
      <c r="D51" s="30">
        <v>974359</v>
      </c>
      <c r="E51" s="15">
        <f t="shared" si="0"/>
        <v>293282.04499999998</v>
      </c>
      <c r="F51" s="15">
        <f t="shared" si="1"/>
        <v>1267641.0449999999</v>
      </c>
      <c r="G51" s="15">
        <f t="shared" si="2"/>
        <v>40923076</v>
      </c>
    </row>
    <row r="52" spans="1:7" x14ac:dyDescent="0.3">
      <c r="A52" s="13">
        <f t="shared" si="5"/>
        <v>26</v>
      </c>
      <c r="B52" s="14">
        <v>46054</v>
      </c>
      <c r="C52" s="15">
        <f t="shared" si="3"/>
        <v>40923076</v>
      </c>
      <c r="D52" s="30">
        <v>974359</v>
      </c>
      <c r="E52" s="15">
        <f t="shared" si="0"/>
        <v>286461.53200000006</v>
      </c>
      <c r="F52" s="15">
        <f t="shared" si="1"/>
        <v>1260820.5320000001</v>
      </c>
      <c r="G52" s="15">
        <f t="shared" si="2"/>
        <v>39948717</v>
      </c>
    </row>
    <row r="53" spans="1:7" x14ac:dyDescent="0.3">
      <c r="A53" s="13">
        <f t="shared" si="5"/>
        <v>27</v>
      </c>
      <c r="B53" s="14">
        <v>46082</v>
      </c>
      <c r="C53" s="15">
        <f t="shared" si="3"/>
        <v>39948717</v>
      </c>
      <c r="D53" s="30">
        <v>974359</v>
      </c>
      <c r="E53" s="15">
        <f t="shared" si="0"/>
        <v>279641.01900000003</v>
      </c>
      <c r="F53" s="15">
        <f t="shared" si="1"/>
        <v>1254000.0190000001</v>
      </c>
      <c r="G53" s="15">
        <f t="shared" si="2"/>
        <v>38974358</v>
      </c>
    </row>
    <row r="54" spans="1:7" x14ac:dyDescent="0.3">
      <c r="A54" s="13">
        <f t="shared" si="5"/>
        <v>28</v>
      </c>
      <c r="B54" s="14">
        <v>46113</v>
      </c>
      <c r="C54" s="15">
        <f t="shared" si="3"/>
        <v>38974358</v>
      </c>
      <c r="D54" s="30">
        <v>974359</v>
      </c>
      <c r="E54" s="15">
        <f t="shared" si="0"/>
        <v>272820.50599999999</v>
      </c>
      <c r="F54" s="15">
        <f t="shared" si="1"/>
        <v>1247179.5060000001</v>
      </c>
      <c r="G54" s="15">
        <f t="shared" si="2"/>
        <v>37999999</v>
      </c>
    </row>
    <row r="55" spans="1:7" x14ac:dyDescent="0.3">
      <c r="A55" s="13">
        <f t="shared" si="5"/>
        <v>29</v>
      </c>
      <c r="B55" s="14">
        <v>46143</v>
      </c>
      <c r="C55" s="15">
        <f t="shared" si="3"/>
        <v>37999999</v>
      </c>
      <c r="D55" s="30">
        <v>974359</v>
      </c>
      <c r="E55" s="15">
        <f t="shared" si="0"/>
        <v>265999.99300000002</v>
      </c>
      <c r="F55" s="15">
        <f t="shared" si="1"/>
        <v>1240358.993</v>
      </c>
      <c r="G55" s="15">
        <f t="shared" si="2"/>
        <v>37025640</v>
      </c>
    </row>
    <row r="56" spans="1:7" x14ac:dyDescent="0.3">
      <c r="A56" s="13">
        <f t="shared" si="5"/>
        <v>30</v>
      </c>
      <c r="B56" s="14">
        <v>46174</v>
      </c>
      <c r="C56" s="15">
        <f t="shared" si="3"/>
        <v>37025640</v>
      </c>
      <c r="D56" s="30">
        <v>974359</v>
      </c>
      <c r="E56" s="15">
        <f t="shared" si="0"/>
        <v>259179.47999999998</v>
      </c>
      <c r="F56" s="15">
        <f t="shared" si="1"/>
        <v>1233538.48</v>
      </c>
      <c r="G56" s="15">
        <f t="shared" si="2"/>
        <v>36051281</v>
      </c>
    </row>
    <row r="57" spans="1:7" x14ac:dyDescent="0.3">
      <c r="A57" s="13">
        <f t="shared" si="5"/>
        <v>31</v>
      </c>
      <c r="B57" s="14">
        <v>46204</v>
      </c>
      <c r="C57" s="15">
        <f t="shared" si="3"/>
        <v>36051281</v>
      </c>
      <c r="D57" s="30">
        <v>974359</v>
      </c>
      <c r="E57" s="15">
        <f t="shared" si="0"/>
        <v>252358.96700000003</v>
      </c>
      <c r="F57" s="15">
        <f t="shared" si="1"/>
        <v>1226717.9669999999</v>
      </c>
      <c r="G57" s="15">
        <f t="shared" si="2"/>
        <v>35076922</v>
      </c>
    </row>
    <row r="58" spans="1:7" x14ac:dyDescent="0.3">
      <c r="A58" s="13">
        <f t="shared" si="5"/>
        <v>32</v>
      </c>
      <c r="B58" s="14">
        <v>46235</v>
      </c>
      <c r="C58" s="15">
        <f t="shared" si="3"/>
        <v>35076922</v>
      </c>
      <c r="D58" s="30">
        <v>974359</v>
      </c>
      <c r="E58" s="15">
        <f t="shared" si="0"/>
        <v>245538.45400000003</v>
      </c>
      <c r="F58" s="15">
        <f t="shared" si="1"/>
        <v>1219897.4539999999</v>
      </c>
      <c r="G58" s="15">
        <f t="shared" si="2"/>
        <v>34102563</v>
      </c>
    </row>
    <row r="59" spans="1:7" x14ac:dyDescent="0.3">
      <c r="A59" s="13">
        <f t="shared" si="5"/>
        <v>33</v>
      </c>
      <c r="B59" s="14">
        <v>46266</v>
      </c>
      <c r="C59" s="15">
        <f t="shared" si="3"/>
        <v>34102563</v>
      </c>
      <c r="D59" s="30">
        <v>974359</v>
      </c>
      <c r="E59" s="15">
        <f t="shared" si="0"/>
        <v>238717.94099999999</v>
      </c>
      <c r="F59" s="15">
        <f t="shared" si="1"/>
        <v>1213076.9410000001</v>
      </c>
      <c r="G59" s="15">
        <f t="shared" si="2"/>
        <v>33128204</v>
      </c>
    </row>
    <row r="60" spans="1:7" x14ac:dyDescent="0.3">
      <c r="A60" s="13">
        <f t="shared" si="5"/>
        <v>34</v>
      </c>
      <c r="B60" s="14">
        <v>46296</v>
      </c>
      <c r="C60" s="15">
        <f t="shared" si="3"/>
        <v>33128204</v>
      </c>
      <c r="D60" s="30">
        <v>974359</v>
      </c>
      <c r="E60" s="15">
        <f t="shared" si="0"/>
        <v>231897.42800000004</v>
      </c>
      <c r="F60" s="15">
        <f t="shared" si="1"/>
        <v>1206256.4280000001</v>
      </c>
      <c r="G60" s="15">
        <f t="shared" si="2"/>
        <v>32153845</v>
      </c>
    </row>
    <row r="61" spans="1:7" x14ac:dyDescent="0.3">
      <c r="A61" s="13">
        <f t="shared" si="5"/>
        <v>35</v>
      </c>
      <c r="B61" s="14">
        <v>46327</v>
      </c>
      <c r="C61" s="15">
        <f t="shared" si="3"/>
        <v>32153845</v>
      </c>
      <c r="D61" s="30">
        <v>974359</v>
      </c>
      <c r="E61" s="15">
        <f t="shared" si="0"/>
        <v>225076.91500000001</v>
      </c>
      <c r="F61" s="15">
        <f t="shared" si="1"/>
        <v>1199435.915</v>
      </c>
      <c r="G61" s="15">
        <f t="shared" si="2"/>
        <v>31179486</v>
      </c>
    </row>
    <row r="62" spans="1:7" x14ac:dyDescent="0.3">
      <c r="A62" s="13">
        <f t="shared" si="5"/>
        <v>36</v>
      </c>
      <c r="B62" s="14">
        <v>46357</v>
      </c>
      <c r="C62" s="15">
        <f t="shared" si="3"/>
        <v>31179486</v>
      </c>
      <c r="D62" s="30">
        <v>974359</v>
      </c>
      <c r="E62" s="15">
        <f t="shared" si="0"/>
        <v>218256.402</v>
      </c>
      <c r="F62" s="15">
        <f t="shared" si="1"/>
        <v>1192615.402</v>
      </c>
      <c r="G62" s="15">
        <f t="shared" si="2"/>
        <v>30205127</v>
      </c>
    </row>
    <row r="63" spans="1:7" x14ac:dyDescent="0.3">
      <c r="B63" s="14">
        <v>46388</v>
      </c>
      <c r="C63" s="15">
        <f t="shared" ref="C63:C93" si="6">G62</f>
        <v>30205127</v>
      </c>
      <c r="D63" s="30">
        <v>974359</v>
      </c>
      <c r="E63" s="15">
        <f t="shared" si="0"/>
        <v>211435.889</v>
      </c>
      <c r="F63" s="15">
        <f t="shared" ref="F63:F93" si="7">D63+E63</f>
        <v>1185794.889</v>
      </c>
      <c r="G63" s="15">
        <f t="shared" ref="G63:G93" si="8">C63-D63</f>
        <v>29230768</v>
      </c>
    </row>
    <row r="64" spans="1:7" x14ac:dyDescent="0.3">
      <c r="B64" s="14">
        <v>46419</v>
      </c>
      <c r="C64" s="15">
        <f t="shared" si="6"/>
        <v>29230768</v>
      </c>
      <c r="D64" s="30">
        <v>974359</v>
      </c>
      <c r="E64" s="15">
        <f t="shared" si="0"/>
        <v>204615.37600000002</v>
      </c>
      <c r="F64" s="15">
        <f t="shared" si="7"/>
        <v>1178974.3759999999</v>
      </c>
      <c r="G64" s="15">
        <f t="shared" si="8"/>
        <v>28256409</v>
      </c>
    </row>
    <row r="65" spans="2:7" x14ac:dyDescent="0.3">
      <c r="B65" s="14">
        <v>46447</v>
      </c>
      <c r="C65" s="15">
        <f t="shared" si="6"/>
        <v>28256409</v>
      </c>
      <c r="D65" s="30">
        <v>974359</v>
      </c>
      <c r="E65" s="15">
        <f t="shared" si="0"/>
        <v>197794.86300000001</v>
      </c>
      <c r="F65" s="15">
        <f t="shared" si="7"/>
        <v>1172153.8629999999</v>
      </c>
      <c r="G65" s="15">
        <f t="shared" si="8"/>
        <v>27282050</v>
      </c>
    </row>
    <row r="66" spans="2:7" x14ac:dyDescent="0.3">
      <c r="B66" s="14">
        <v>46478</v>
      </c>
      <c r="C66" s="15">
        <f t="shared" si="6"/>
        <v>27282050</v>
      </c>
      <c r="D66" s="30">
        <v>974359</v>
      </c>
      <c r="E66" s="15">
        <f t="shared" si="0"/>
        <v>190974.35</v>
      </c>
      <c r="F66" s="15">
        <f t="shared" si="7"/>
        <v>1165333.3500000001</v>
      </c>
      <c r="G66" s="15">
        <f t="shared" si="8"/>
        <v>26307691</v>
      </c>
    </row>
    <row r="67" spans="2:7" x14ac:dyDescent="0.3">
      <c r="B67" s="14">
        <v>46508</v>
      </c>
      <c r="C67" s="15">
        <f t="shared" si="6"/>
        <v>26307691</v>
      </c>
      <c r="D67" s="30">
        <v>974359</v>
      </c>
      <c r="E67" s="15">
        <f t="shared" si="0"/>
        <v>184153.83700000003</v>
      </c>
      <c r="F67" s="15">
        <f t="shared" si="7"/>
        <v>1158512.8370000001</v>
      </c>
      <c r="G67" s="15">
        <f t="shared" si="8"/>
        <v>25333332</v>
      </c>
    </row>
    <row r="68" spans="2:7" x14ac:dyDescent="0.3">
      <c r="B68" s="14">
        <v>46539</v>
      </c>
      <c r="C68" s="15">
        <f t="shared" si="6"/>
        <v>25333332</v>
      </c>
      <c r="D68" s="30">
        <v>974359</v>
      </c>
      <c r="E68" s="15">
        <f t="shared" si="0"/>
        <v>177333.32400000002</v>
      </c>
      <c r="F68" s="15">
        <f t="shared" si="7"/>
        <v>1151692.324</v>
      </c>
      <c r="G68" s="15">
        <f t="shared" si="8"/>
        <v>24358973</v>
      </c>
    </row>
    <row r="69" spans="2:7" x14ac:dyDescent="0.3">
      <c r="B69" s="14">
        <v>46569</v>
      </c>
      <c r="C69" s="15">
        <f t="shared" si="6"/>
        <v>24358973</v>
      </c>
      <c r="D69" s="30">
        <v>974359</v>
      </c>
      <c r="E69" s="15">
        <f t="shared" si="0"/>
        <v>170512.81100000002</v>
      </c>
      <c r="F69" s="15">
        <f t="shared" si="7"/>
        <v>1144871.811</v>
      </c>
      <c r="G69" s="15">
        <f t="shared" si="8"/>
        <v>23384614</v>
      </c>
    </row>
    <row r="70" spans="2:7" x14ac:dyDescent="0.3">
      <c r="B70" s="14">
        <v>46600</v>
      </c>
      <c r="C70" s="15">
        <f t="shared" si="6"/>
        <v>23384614</v>
      </c>
      <c r="D70" s="30">
        <v>974359</v>
      </c>
      <c r="E70" s="15">
        <f t="shared" si="0"/>
        <v>163692.29799999998</v>
      </c>
      <c r="F70" s="15">
        <f t="shared" si="7"/>
        <v>1138051.298</v>
      </c>
      <c r="G70" s="15">
        <f t="shared" si="8"/>
        <v>22410255</v>
      </c>
    </row>
    <row r="71" spans="2:7" x14ac:dyDescent="0.3">
      <c r="B71" s="14">
        <v>46631</v>
      </c>
      <c r="C71" s="15">
        <f t="shared" si="6"/>
        <v>22410255</v>
      </c>
      <c r="D71" s="30">
        <v>974359</v>
      </c>
      <c r="E71" s="15">
        <f t="shared" ref="E71:E93" si="9">C71*$E$4/100/12</f>
        <v>156871.785</v>
      </c>
      <c r="F71" s="15">
        <f t="shared" si="7"/>
        <v>1131230.7849999999</v>
      </c>
      <c r="G71" s="15">
        <f t="shared" si="8"/>
        <v>21435896</v>
      </c>
    </row>
    <row r="72" spans="2:7" x14ac:dyDescent="0.3">
      <c r="B72" s="14">
        <v>46661</v>
      </c>
      <c r="C72" s="15">
        <f t="shared" si="6"/>
        <v>21435896</v>
      </c>
      <c r="D72" s="30">
        <v>974359</v>
      </c>
      <c r="E72" s="15">
        <f t="shared" si="9"/>
        <v>150051.272</v>
      </c>
      <c r="F72" s="15">
        <f t="shared" si="7"/>
        <v>1124410.2719999999</v>
      </c>
      <c r="G72" s="15">
        <f t="shared" si="8"/>
        <v>20461537</v>
      </c>
    </row>
    <row r="73" spans="2:7" x14ac:dyDescent="0.3">
      <c r="B73" s="14">
        <v>46692</v>
      </c>
      <c r="C73" s="15">
        <f t="shared" si="6"/>
        <v>20461537</v>
      </c>
      <c r="D73" s="30">
        <v>974359</v>
      </c>
      <c r="E73" s="15">
        <f t="shared" si="9"/>
        <v>143230.75899999999</v>
      </c>
      <c r="F73" s="15">
        <f t="shared" si="7"/>
        <v>1117589.7590000001</v>
      </c>
      <c r="G73" s="15">
        <f t="shared" si="8"/>
        <v>19487178</v>
      </c>
    </row>
    <row r="74" spans="2:7" x14ac:dyDescent="0.3">
      <c r="B74" s="14">
        <v>46722</v>
      </c>
      <c r="C74" s="15">
        <f t="shared" si="6"/>
        <v>19487178</v>
      </c>
      <c r="D74" s="30">
        <v>974359</v>
      </c>
      <c r="E74" s="15">
        <f t="shared" si="9"/>
        <v>136410.24600000001</v>
      </c>
      <c r="F74" s="15">
        <f t="shared" si="7"/>
        <v>1110769.246</v>
      </c>
      <c r="G74" s="15">
        <f t="shared" si="8"/>
        <v>18512819</v>
      </c>
    </row>
    <row r="75" spans="2:7" x14ac:dyDescent="0.3">
      <c r="B75" s="14">
        <v>46753</v>
      </c>
      <c r="C75" s="15">
        <f t="shared" si="6"/>
        <v>18512819</v>
      </c>
      <c r="D75" s="30">
        <v>974359</v>
      </c>
      <c r="E75" s="15">
        <f t="shared" si="9"/>
        <v>129589.73299999999</v>
      </c>
      <c r="F75" s="15">
        <f t="shared" si="7"/>
        <v>1103948.733</v>
      </c>
      <c r="G75" s="15">
        <f t="shared" si="8"/>
        <v>17538460</v>
      </c>
    </row>
    <row r="76" spans="2:7" x14ac:dyDescent="0.3">
      <c r="B76" s="14">
        <v>46784</v>
      </c>
      <c r="C76" s="15">
        <f t="shared" si="6"/>
        <v>17538460</v>
      </c>
      <c r="D76" s="30">
        <v>974359</v>
      </c>
      <c r="E76" s="15">
        <f t="shared" si="9"/>
        <v>122769.21999999999</v>
      </c>
      <c r="F76" s="15">
        <f t="shared" si="7"/>
        <v>1097128.22</v>
      </c>
      <c r="G76" s="15">
        <f t="shared" si="8"/>
        <v>16564101</v>
      </c>
    </row>
    <row r="77" spans="2:7" x14ac:dyDescent="0.3">
      <c r="B77" s="14">
        <v>46813</v>
      </c>
      <c r="C77" s="15">
        <f t="shared" si="6"/>
        <v>16564101</v>
      </c>
      <c r="D77" s="30">
        <v>974359</v>
      </c>
      <c r="E77" s="15">
        <f t="shared" si="9"/>
        <v>115948.70700000001</v>
      </c>
      <c r="F77" s="15">
        <f t="shared" si="7"/>
        <v>1090307.7069999999</v>
      </c>
      <c r="G77" s="15">
        <f t="shared" si="8"/>
        <v>15589742</v>
      </c>
    </row>
    <row r="78" spans="2:7" x14ac:dyDescent="0.3">
      <c r="B78" s="14">
        <v>46844</v>
      </c>
      <c r="C78" s="15">
        <f t="shared" si="6"/>
        <v>15589742</v>
      </c>
      <c r="D78" s="30">
        <v>974359</v>
      </c>
      <c r="E78" s="15">
        <f t="shared" si="9"/>
        <v>109128.19400000002</v>
      </c>
      <c r="F78" s="15">
        <f t="shared" si="7"/>
        <v>1083487.1940000001</v>
      </c>
      <c r="G78" s="15">
        <f t="shared" si="8"/>
        <v>14615383</v>
      </c>
    </row>
    <row r="79" spans="2:7" x14ac:dyDescent="0.3">
      <c r="B79" s="14">
        <v>46874</v>
      </c>
      <c r="C79" s="15">
        <f t="shared" si="6"/>
        <v>14615383</v>
      </c>
      <c r="D79" s="30">
        <v>974359</v>
      </c>
      <c r="E79" s="15">
        <f t="shared" si="9"/>
        <v>102307.681</v>
      </c>
      <c r="F79" s="15">
        <f t="shared" si="7"/>
        <v>1076666.6810000001</v>
      </c>
      <c r="G79" s="15">
        <f t="shared" si="8"/>
        <v>13641024</v>
      </c>
    </row>
    <row r="80" spans="2:7" x14ac:dyDescent="0.3">
      <c r="B80" s="14">
        <v>46905</v>
      </c>
      <c r="C80" s="15">
        <f t="shared" si="6"/>
        <v>13641024</v>
      </c>
      <c r="D80" s="30">
        <v>974359</v>
      </c>
      <c r="E80" s="15">
        <f t="shared" si="9"/>
        <v>95487.168000000005</v>
      </c>
      <c r="F80" s="15">
        <f t="shared" si="7"/>
        <v>1069846.1680000001</v>
      </c>
      <c r="G80" s="15">
        <f t="shared" si="8"/>
        <v>12666665</v>
      </c>
    </row>
    <row r="81" spans="2:7" x14ac:dyDescent="0.3">
      <c r="B81" s="14">
        <v>46935</v>
      </c>
      <c r="C81" s="15">
        <f t="shared" si="6"/>
        <v>12666665</v>
      </c>
      <c r="D81" s="30">
        <v>974359</v>
      </c>
      <c r="E81" s="15">
        <f t="shared" si="9"/>
        <v>88666.655000000013</v>
      </c>
      <c r="F81" s="15">
        <f t="shared" si="7"/>
        <v>1063025.655</v>
      </c>
      <c r="G81" s="15">
        <f t="shared" si="8"/>
        <v>11692306</v>
      </c>
    </row>
    <row r="82" spans="2:7" x14ac:dyDescent="0.3">
      <c r="B82" s="14">
        <v>46966</v>
      </c>
      <c r="C82" s="15">
        <f t="shared" si="6"/>
        <v>11692306</v>
      </c>
      <c r="D82" s="30">
        <v>974359</v>
      </c>
      <c r="E82" s="15">
        <f t="shared" si="9"/>
        <v>81846.142000000007</v>
      </c>
      <c r="F82" s="15">
        <f t="shared" si="7"/>
        <v>1056205.142</v>
      </c>
      <c r="G82" s="15">
        <f t="shared" si="8"/>
        <v>10717947</v>
      </c>
    </row>
    <row r="83" spans="2:7" x14ac:dyDescent="0.3">
      <c r="B83" s="14">
        <v>46997</v>
      </c>
      <c r="C83" s="15">
        <f t="shared" si="6"/>
        <v>10717947</v>
      </c>
      <c r="D83" s="30">
        <v>974359</v>
      </c>
      <c r="E83" s="15">
        <f t="shared" si="9"/>
        <v>75025.629000000001</v>
      </c>
      <c r="F83" s="15">
        <f t="shared" si="7"/>
        <v>1049384.629</v>
      </c>
      <c r="G83" s="15">
        <f t="shared" si="8"/>
        <v>9743588</v>
      </c>
    </row>
    <row r="84" spans="2:7" x14ac:dyDescent="0.3">
      <c r="B84" s="14">
        <v>47027</v>
      </c>
      <c r="C84" s="15">
        <f t="shared" si="6"/>
        <v>9743588</v>
      </c>
      <c r="D84" s="30">
        <v>974359</v>
      </c>
      <c r="E84" s="15">
        <f t="shared" si="9"/>
        <v>68205.115999999995</v>
      </c>
      <c r="F84" s="15">
        <f t="shared" si="7"/>
        <v>1042564.116</v>
      </c>
      <c r="G84" s="15">
        <f t="shared" si="8"/>
        <v>8769229</v>
      </c>
    </row>
    <row r="85" spans="2:7" x14ac:dyDescent="0.3">
      <c r="B85" s="14">
        <v>47058</v>
      </c>
      <c r="C85" s="15">
        <f t="shared" si="6"/>
        <v>8769229</v>
      </c>
      <c r="D85" s="30">
        <v>974359</v>
      </c>
      <c r="E85" s="15">
        <f t="shared" si="9"/>
        <v>61384.603000000003</v>
      </c>
      <c r="F85" s="15">
        <f t="shared" si="7"/>
        <v>1035743.603</v>
      </c>
      <c r="G85" s="15">
        <f t="shared" si="8"/>
        <v>7794870</v>
      </c>
    </row>
    <row r="86" spans="2:7" x14ac:dyDescent="0.3">
      <c r="B86" s="14">
        <v>47088</v>
      </c>
      <c r="C86" s="15">
        <f t="shared" si="6"/>
        <v>7794870</v>
      </c>
      <c r="D86" s="30">
        <v>974359</v>
      </c>
      <c r="E86" s="15">
        <f t="shared" si="9"/>
        <v>54564.09</v>
      </c>
      <c r="F86" s="15">
        <f t="shared" si="7"/>
        <v>1028923.09</v>
      </c>
      <c r="G86" s="15">
        <f t="shared" si="8"/>
        <v>6820511</v>
      </c>
    </row>
    <row r="87" spans="2:7" x14ac:dyDescent="0.3">
      <c r="B87" s="14">
        <v>47119</v>
      </c>
      <c r="C87" s="15">
        <f t="shared" si="6"/>
        <v>6820511</v>
      </c>
      <c r="D87" s="30">
        <v>974359</v>
      </c>
      <c r="E87" s="15">
        <f t="shared" si="9"/>
        <v>47743.577000000012</v>
      </c>
      <c r="F87" s="15">
        <f t="shared" si="7"/>
        <v>1022102.577</v>
      </c>
      <c r="G87" s="15">
        <f t="shared" si="8"/>
        <v>5846152</v>
      </c>
    </row>
    <row r="88" spans="2:7" x14ac:dyDescent="0.3">
      <c r="B88" s="14">
        <v>47150</v>
      </c>
      <c r="C88" s="15">
        <f t="shared" si="6"/>
        <v>5846152</v>
      </c>
      <c r="D88" s="30">
        <v>974359</v>
      </c>
      <c r="E88" s="15">
        <f t="shared" si="9"/>
        <v>40923.064000000006</v>
      </c>
      <c r="F88" s="15">
        <f t="shared" si="7"/>
        <v>1015282.064</v>
      </c>
      <c r="G88" s="15">
        <f t="shared" si="8"/>
        <v>4871793</v>
      </c>
    </row>
    <row r="89" spans="2:7" x14ac:dyDescent="0.3">
      <c r="B89" s="14">
        <v>47178</v>
      </c>
      <c r="C89" s="15">
        <f t="shared" si="6"/>
        <v>4871793</v>
      </c>
      <c r="D89" s="30">
        <v>974359</v>
      </c>
      <c r="E89" s="15">
        <f t="shared" si="9"/>
        <v>34102.550999999999</v>
      </c>
      <c r="F89" s="15">
        <f t="shared" si="7"/>
        <v>1008461.551</v>
      </c>
      <c r="G89" s="15">
        <f t="shared" si="8"/>
        <v>3897434</v>
      </c>
    </row>
    <row r="90" spans="2:7" x14ac:dyDescent="0.3">
      <c r="B90" s="14">
        <v>47209</v>
      </c>
      <c r="C90" s="15">
        <f t="shared" si="6"/>
        <v>3897434</v>
      </c>
      <c r="D90" s="30">
        <v>974359</v>
      </c>
      <c r="E90" s="15">
        <f t="shared" si="9"/>
        <v>27282.038</v>
      </c>
      <c r="F90" s="15">
        <f t="shared" si="7"/>
        <v>1001641.0379999999</v>
      </c>
      <c r="G90" s="15">
        <f t="shared" si="8"/>
        <v>2923075</v>
      </c>
    </row>
    <row r="91" spans="2:7" x14ac:dyDescent="0.3">
      <c r="B91" s="14">
        <v>47239</v>
      </c>
      <c r="C91" s="15">
        <f t="shared" si="6"/>
        <v>2923075</v>
      </c>
      <c r="D91" s="30">
        <v>974359</v>
      </c>
      <c r="E91" s="15">
        <f t="shared" si="9"/>
        <v>20461.524999999998</v>
      </c>
      <c r="F91" s="15">
        <f t="shared" si="7"/>
        <v>994820.52500000002</v>
      </c>
      <c r="G91" s="15">
        <f t="shared" si="8"/>
        <v>1948716</v>
      </c>
    </row>
    <row r="92" spans="2:7" x14ac:dyDescent="0.3">
      <c r="B92" s="14">
        <v>47270</v>
      </c>
      <c r="C92" s="15">
        <f t="shared" si="6"/>
        <v>1948716</v>
      </c>
      <c r="D92" s="30">
        <v>974359</v>
      </c>
      <c r="E92" s="15">
        <f t="shared" si="9"/>
        <v>13641.012000000001</v>
      </c>
      <c r="F92" s="15">
        <f t="shared" si="7"/>
        <v>988000.01199999999</v>
      </c>
      <c r="G92" s="15">
        <f t="shared" si="8"/>
        <v>974357</v>
      </c>
    </row>
    <row r="93" spans="2:7" x14ac:dyDescent="0.3">
      <c r="B93" s="14">
        <v>47300</v>
      </c>
      <c r="C93" s="15">
        <f t="shared" si="6"/>
        <v>974357</v>
      </c>
      <c r="D93" s="30">
        <f>C93</f>
        <v>974357</v>
      </c>
      <c r="E93" s="15">
        <f t="shared" si="9"/>
        <v>6820.4990000000007</v>
      </c>
      <c r="F93" s="15">
        <f t="shared" si="7"/>
        <v>981177.49899999995</v>
      </c>
      <c r="G93" s="15">
        <f t="shared" si="8"/>
        <v>0</v>
      </c>
    </row>
    <row r="94" spans="2:7" x14ac:dyDescent="0.3">
      <c r="C94" s="2"/>
      <c r="D94" s="2"/>
      <c r="E94" s="2"/>
      <c r="F94" s="2"/>
      <c r="G94" s="2"/>
    </row>
    <row r="95" spans="2:7" x14ac:dyDescent="0.3">
      <c r="C95" s="2"/>
      <c r="D95" s="2"/>
      <c r="E95" s="2"/>
      <c r="F95" s="2"/>
      <c r="G95" s="2"/>
    </row>
    <row r="96" spans="2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7" x14ac:dyDescent="0.3">
      <c r="C129" s="2"/>
      <c r="D129" s="2"/>
      <c r="E129" s="2"/>
      <c r="F129" s="2"/>
      <c r="G129" s="2"/>
    </row>
    <row r="130" spans="3:7" x14ac:dyDescent="0.3">
      <c r="C130" s="2"/>
      <c r="D130" s="2"/>
      <c r="E130" s="2"/>
      <c r="F130" s="2"/>
      <c r="G130" s="2"/>
    </row>
    <row r="131" spans="3:7" x14ac:dyDescent="0.3">
      <c r="C131" s="2"/>
      <c r="D131" s="2"/>
      <c r="E131" s="2"/>
      <c r="F131" s="2"/>
      <c r="G131" s="2"/>
    </row>
    <row r="132" spans="3:7" x14ac:dyDescent="0.3">
      <c r="C132" s="2"/>
      <c r="D132" s="2"/>
      <c r="E132" s="2"/>
      <c r="F132" s="2"/>
      <c r="G132" s="2"/>
    </row>
    <row r="133" spans="3:7" x14ac:dyDescent="0.3">
      <c r="C133" s="2"/>
      <c r="D133" s="2"/>
      <c r="E133" s="2"/>
      <c r="F133" s="2"/>
      <c r="G133" s="2"/>
    </row>
    <row r="134" spans="3:7" x14ac:dyDescent="0.3">
      <c r="C134" s="2"/>
      <c r="D134" s="2"/>
      <c r="E134" s="2"/>
      <c r="F134" s="2"/>
      <c r="G134" s="2"/>
    </row>
    <row r="135" spans="3:7" x14ac:dyDescent="0.3">
      <c r="C135" s="2"/>
      <c r="D135" s="2"/>
      <c r="E135" s="2"/>
      <c r="F135" s="2"/>
      <c r="G135" s="2"/>
    </row>
    <row r="136" spans="3:7" x14ac:dyDescent="0.3">
      <c r="C136" s="2"/>
      <c r="D136" s="2"/>
      <c r="E136" s="2"/>
      <c r="F136" s="2"/>
      <c r="G136" s="2"/>
    </row>
    <row r="137" spans="3:7" x14ac:dyDescent="0.3">
      <c r="C137" s="2"/>
      <c r="D137" s="2"/>
      <c r="E137" s="2"/>
      <c r="F137" s="2"/>
      <c r="G137" s="2"/>
    </row>
    <row r="138" spans="3:7" x14ac:dyDescent="0.3">
      <c r="C138" s="2"/>
      <c r="D138" s="2"/>
      <c r="E138" s="2"/>
      <c r="F138" s="2"/>
      <c r="G138" s="2"/>
    </row>
    <row r="139" spans="3:7" x14ac:dyDescent="0.3">
      <c r="C139" s="2"/>
      <c r="D139" s="2"/>
      <c r="E139" s="2"/>
      <c r="F139" s="2"/>
      <c r="G139" s="2"/>
    </row>
    <row r="140" spans="3:7" x14ac:dyDescent="0.3">
      <c r="C140" s="2"/>
      <c r="D140" s="2"/>
      <c r="E140" s="2"/>
      <c r="F140" s="2"/>
      <c r="G140" s="2"/>
    </row>
    <row r="141" spans="3:7" x14ac:dyDescent="0.3">
      <c r="C141" s="2"/>
      <c r="D141" s="2"/>
      <c r="E141" s="2"/>
      <c r="F141" s="2"/>
      <c r="G141" s="2"/>
    </row>
    <row r="142" spans="3:7" x14ac:dyDescent="0.3">
      <c r="C142" s="2"/>
      <c r="D142" s="2"/>
      <c r="E142" s="2"/>
      <c r="F142" s="2"/>
      <c r="G142" s="2"/>
    </row>
    <row r="143" spans="3:7" x14ac:dyDescent="0.3">
      <c r="C143" s="2"/>
      <c r="D143" s="2"/>
      <c r="E143" s="2"/>
      <c r="F143" s="2"/>
      <c r="G143" s="2"/>
    </row>
    <row r="144" spans="3:7" x14ac:dyDescent="0.3">
      <c r="C144" s="2"/>
      <c r="D144" s="2"/>
      <c r="E144" s="2"/>
      <c r="F144" s="2"/>
      <c r="G144" s="2"/>
    </row>
    <row r="145" spans="3:7" x14ac:dyDescent="0.3">
      <c r="C145" s="2"/>
      <c r="D145" s="2"/>
      <c r="E145" s="2"/>
      <c r="F145" s="2"/>
      <c r="G145" s="2"/>
    </row>
    <row r="146" spans="3:7" x14ac:dyDescent="0.3">
      <c r="C146" s="2"/>
      <c r="D146" s="2"/>
      <c r="E146" s="2"/>
      <c r="F146" s="2"/>
      <c r="G146" s="2"/>
    </row>
    <row r="147" spans="3:7" x14ac:dyDescent="0.3">
      <c r="C147" s="2"/>
      <c r="D147" s="2"/>
      <c r="E147" s="2"/>
      <c r="F147" s="2"/>
      <c r="G147" s="2"/>
    </row>
    <row r="148" spans="3:7" x14ac:dyDescent="0.3">
      <c r="C148" s="2"/>
      <c r="D148" s="2"/>
      <c r="E148" s="2"/>
      <c r="F148" s="2"/>
      <c r="G148" s="2"/>
    </row>
    <row r="149" spans="3:7" x14ac:dyDescent="0.3">
      <c r="C149" s="2"/>
      <c r="D149" s="2"/>
      <c r="E149" s="2"/>
      <c r="F149" s="2"/>
      <c r="G149" s="2"/>
    </row>
    <row r="150" spans="3:7" x14ac:dyDescent="0.3">
      <c r="C150" s="2"/>
      <c r="D150" s="2"/>
      <c r="E150" s="2"/>
      <c r="F150" s="2"/>
      <c r="G150" s="2"/>
    </row>
    <row r="151" spans="3:7" x14ac:dyDescent="0.3">
      <c r="C151" s="2"/>
      <c r="D151" s="2"/>
      <c r="E151" s="2"/>
      <c r="F151" s="2"/>
      <c r="G151" s="2"/>
    </row>
    <row r="152" spans="3:7" x14ac:dyDescent="0.3">
      <c r="C152" s="2"/>
      <c r="D152" s="2"/>
      <c r="E152" s="2"/>
      <c r="F152" s="2"/>
      <c r="G152" s="2"/>
    </row>
    <row r="153" spans="3:7" x14ac:dyDescent="0.3">
      <c r="C153" s="2"/>
      <c r="D153" s="2"/>
      <c r="E153" s="2"/>
      <c r="F153" s="2"/>
      <c r="G153" s="2"/>
    </row>
    <row r="154" spans="3:7" x14ac:dyDescent="0.3">
      <c r="C154" s="2"/>
      <c r="D154" s="2"/>
      <c r="E154" s="2"/>
      <c r="F154" s="2"/>
      <c r="G154" s="2"/>
    </row>
    <row r="155" spans="3:7" x14ac:dyDescent="0.3">
      <c r="C155" s="2"/>
      <c r="D155" s="2"/>
      <c r="E155" s="2"/>
      <c r="F155" s="2"/>
      <c r="G155" s="2"/>
    </row>
    <row r="156" spans="3:7" x14ac:dyDescent="0.3">
      <c r="C156" s="2"/>
      <c r="D156" s="2"/>
      <c r="E156" s="2"/>
      <c r="F156" s="2"/>
      <c r="G156" s="2"/>
    </row>
    <row r="157" spans="3:7" x14ac:dyDescent="0.3">
      <c r="C157" s="2"/>
      <c r="D157" s="2"/>
      <c r="E157" s="2"/>
      <c r="F157" s="2"/>
      <c r="G157" s="2"/>
    </row>
    <row r="158" spans="3:7" x14ac:dyDescent="0.3">
      <c r="C158" s="2"/>
      <c r="D158" s="2"/>
      <c r="E158" s="2"/>
      <c r="F158" s="2"/>
      <c r="G158" s="2"/>
    </row>
    <row r="159" spans="3:7" x14ac:dyDescent="0.3">
      <c r="C159" s="2"/>
      <c r="D159" s="2"/>
      <c r="E159" s="2"/>
      <c r="F159" s="2"/>
      <c r="G159" s="2"/>
    </row>
    <row r="160" spans="3:7" x14ac:dyDescent="0.3">
      <c r="C160" s="2"/>
      <c r="D160" s="2"/>
      <c r="E160" s="2"/>
      <c r="F160" s="2"/>
      <c r="G160" s="2"/>
    </row>
    <row r="161" spans="3:7" x14ac:dyDescent="0.3">
      <c r="C161" s="2"/>
      <c r="D161" s="2"/>
      <c r="E161" s="2"/>
      <c r="F161" s="2"/>
      <c r="G161" s="2"/>
    </row>
    <row r="162" spans="3:7" x14ac:dyDescent="0.3">
      <c r="C162" s="2"/>
      <c r="D162" s="2"/>
      <c r="E162" s="2"/>
      <c r="F162" s="2"/>
      <c r="G162" s="2"/>
    </row>
    <row r="163" spans="3:7" x14ac:dyDescent="0.3">
      <c r="C163" s="2"/>
      <c r="D163" s="2"/>
      <c r="E163" s="2"/>
      <c r="F163" s="2"/>
      <c r="G163" s="2"/>
    </row>
    <row r="164" spans="3:7" x14ac:dyDescent="0.3">
      <c r="C164" s="2"/>
      <c r="D164" s="2"/>
      <c r="E164" s="2"/>
      <c r="F164" s="2"/>
      <c r="G164" s="2"/>
    </row>
    <row r="165" spans="3:7" x14ac:dyDescent="0.3">
      <c r="C165" s="2"/>
      <c r="D165" s="2"/>
      <c r="E165" s="2"/>
      <c r="F165" s="2"/>
      <c r="G165" s="2"/>
    </row>
    <row r="166" spans="3:7" x14ac:dyDescent="0.3">
      <c r="C166" s="2"/>
      <c r="D166" s="2"/>
      <c r="E166" s="2"/>
      <c r="F166" s="2"/>
      <c r="G166" s="2"/>
    </row>
    <row r="167" spans="3:7" x14ac:dyDescent="0.3">
      <c r="C167" s="2"/>
      <c r="D167" s="2"/>
      <c r="E167" s="2"/>
      <c r="F167" s="2"/>
      <c r="G167" s="2"/>
    </row>
    <row r="168" spans="3:7" x14ac:dyDescent="0.3">
      <c r="C168" s="2"/>
      <c r="D168" s="2"/>
      <c r="E168" s="2"/>
      <c r="F168" s="2"/>
      <c r="G168" s="2"/>
    </row>
    <row r="169" spans="3:7" x14ac:dyDescent="0.3">
      <c r="C169" s="2"/>
      <c r="D169" s="2"/>
      <c r="E169" s="2"/>
      <c r="F169" s="2"/>
      <c r="G169" s="2"/>
    </row>
    <row r="170" spans="3:7" x14ac:dyDescent="0.3">
      <c r="C170" s="2"/>
      <c r="D170" s="2"/>
      <c r="E170" s="2"/>
      <c r="F170" s="2"/>
      <c r="G170" s="2"/>
    </row>
    <row r="171" spans="3:7" x14ac:dyDescent="0.3">
      <c r="C171" s="2"/>
      <c r="D171" s="2"/>
      <c r="E171" s="2"/>
      <c r="F171" s="2"/>
      <c r="G171" s="2"/>
    </row>
    <row r="172" spans="3:7" x14ac:dyDescent="0.3">
      <c r="C172" s="2"/>
      <c r="D172" s="2"/>
      <c r="E172" s="2"/>
      <c r="F172" s="2"/>
      <c r="G172" s="2"/>
    </row>
    <row r="173" spans="3:7" x14ac:dyDescent="0.3">
      <c r="C173" s="2"/>
      <c r="D173" s="2"/>
      <c r="E173" s="2"/>
      <c r="F173" s="2"/>
      <c r="G173" s="2"/>
    </row>
    <row r="174" spans="3:7" x14ac:dyDescent="0.3">
      <c r="C174" s="2"/>
      <c r="D174" s="2"/>
      <c r="E174" s="2"/>
      <c r="F174" s="2"/>
      <c r="G174" s="2"/>
    </row>
    <row r="175" spans="3:7" x14ac:dyDescent="0.3">
      <c r="C175" s="2"/>
      <c r="D175" s="2"/>
      <c r="E175" s="2"/>
      <c r="F175" s="2"/>
      <c r="G175" s="2"/>
    </row>
    <row r="176" spans="3:7" x14ac:dyDescent="0.3">
      <c r="C176" s="2"/>
      <c r="D176" s="2"/>
      <c r="E176" s="2"/>
      <c r="F176" s="2"/>
      <c r="G176" s="2"/>
    </row>
    <row r="177" spans="3:7" x14ac:dyDescent="0.3">
      <c r="C177" s="2"/>
      <c r="D177" s="2"/>
      <c r="E177" s="2"/>
      <c r="F177" s="2"/>
      <c r="G177" s="2"/>
    </row>
    <row r="178" spans="3:7" x14ac:dyDescent="0.3">
      <c r="C178" s="2"/>
      <c r="D178" s="2"/>
      <c r="E178" s="2"/>
      <c r="F178" s="2"/>
      <c r="G178" s="2"/>
    </row>
    <row r="179" spans="3:7" x14ac:dyDescent="0.3">
      <c r="C179" s="2"/>
      <c r="D179" s="2"/>
      <c r="E179" s="2"/>
      <c r="F179" s="2"/>
      <c r="G179" s="2"/>
    </row>
    <row r="180" spans="3:7" x14ac:dyDescent="0.3">
      <c r="C180" s="2"/>
      <c r="D180" s="2"/>
      <c r="E180" s="2"/>
      <c r="F180" s="2"/>
    </row>
    <row r="181" spans="3:7" x14ac:dyDescent="0.3">
      <c r="C181" s="2"/>
      <c r="D181" s="2"/>
      <c r="E181" s="2"/>
      <c r="F181" s="2"/>
    </row>
    <row r="182" spans="3:7" x14ac:dyDescent="0.3">
      <c r="C182" s="2"/>
      <c r="D182" s="2"/>
      <c r="E182" s="2"/>
      <c r="F182" s="2"/>
    </row>
    <row r="183" spans="3:7" x14ac:dyDescent="0.3">
      <c r="C183" s="2"/>
      <c r="D183" s="2"/>
      <c r="E183" s="2"/>
      <c r="F183" s="2"/>
    </row>
    <row r="184" spans="3:7" x14ac:dyDescent="0.3">
      <c r="C184" s="2"/>
      <c r="D184" s="2"/>
      <c r="E184" s="2"/>
      <c r="F184" s="2"/>
    </row>
    <row r="185" spans="3:7" x14ac:dyDescent="0.3">
      <c r="C185" s="2"/>
      <c r="D185" s="2"/>
      <c r="E185" s="2"/>
      <c r="F185" s="2"/>
    </row>
    <row r="186" spans="3:7" x14ac:dyDescent="0.3">
      <c r="C186" s="2"/>
      <c r="D186" s="2"/>
      <c r="E186" s="2"/>
      <c r="F186" s="2"/>
    </row>
    <row r="187" spans="3:7" x14ac:dyDescent="0.3">
      <c r="C187" s="2"/>
      <c r="D187" s="2"/>
      <c r="E187" s="2"/>
      <c r="F187" s="2"/>
    </row>
    <row r="188" spans="3:7" x14ac:dyDescent="0.3">
      <c r="C188" s="2"/>
      <c r="D188" s="2"/>
      <c r="E188" s="2"/>
      <c r="F188" s="2"/>
    </row>
    <row r="189" spans="3:7" x14ac:dyDescent="0.3">
      <c r="C189" s="2"/>
      <c r="D189" s="2"/>
      <c r="E189" s="2"/>
      <c r="F189" s="2"/>
    </row>
    <row r="190" spans="3:7" x14ac:dyDescent="0.3">
      <c r="C190" s="2"/>
      <c r="D190" s="2"/>
      <c r="E190" s="2"/>
      <c r="F190" s="2"/>
    </row>
    <row r="191" spans="3:7" x14ac:dyDescent="0.3">
      <c r="C191" s="2"/>
      <c r="D191" s="2"/>
      <c r="E191" s="2"/>
      <c r="F191" s="2"/>
    </row>
    <row r="192" spans="3:7" x14ac:dyDescent="0.3">
      <c r="C192" s="2"/>
      <c r="D192" s="2"/>
      <c r="E192" s="2"/>
      <c r="F192" s="2"/>
    </row>
    <row r="193" spans="3:6" x14ac:dyDescent="0.3">
      <c r="C193" s="2"/>
      <c r="D193" s="2"/>
      <c r="E193" s="2"/>
      <c r="F193" s="2"/>
    </row>
    <row r="194" spans="3:6" x14ac:dyDescent="0.3">
      <c r="C194" s="2"/>
      <c r="D194" s="2"/>
      <c r="E194" s="2"/>
      <c r="F194" s="2"/>
    </row>
    <row r="195" spans="3:6" x14ac:dyDescent="0.3">
      <c r="C195" s="2"/>
      <c r="D195" s="2"/>
      <c r="E195" s="2"/>
      <c r="F195" s="2"/>
    </row>
    <row r="196" spans="3:6" x14ac:dyDescent="0.3">
      <c r="C196" s="2"/>
      <c r="D196" s="2"/>
      <c r="E196" s="2"/>
      <c r="F196" s="2"/>
    </row>
    <row r="197" spans="3:6" x14ac:dyDescent="0.3">
      <c r="C197" s="2"/>
      <c r="D197" s="2"/>
      <c r="E197" s="2"/>
      <c r="F197" s="2"/>
    </row>
    <row r="198" spans="3:6" x14ac:dyDescent="0.3">
      <c r="C198" s="2"/>
      <c r="D198" s="2"/>
      <c r="E198" s="2"/>
      <c r="F198" s="2"/>
    </row>
    <row r="199" spans="3:6" x14ac:dyDescent="0.3">
      <c r="C199" s="2"/>
      <c r="D199" s="2"/>
      <c r="E199" s="2"/>
      <c r="F199" s="2"/>
    </row>
    <row r="200" spans="3:6" x14ac:dyDescent="0.3">
      <c r="C200" s="2"/>
      <c r="D200" s="2"/>
      <c r="E200" s="2"/>
      <c r="F200" s="2"/>
    </row>
    <row r="201" spans="3:6" x14ac:dyDescent="0.3">
      <c r="C201" s="2"/>
      <c r="D201" s="2"/>
      <c r="E201" s="2"/>
      <c r="F201" s="2"/>
    </row>
    <row r="202" spans="3:6" x14ac:dyDescent="0.3">
      <c r="C202" s="2"/>
      <c r="D202" s="2"/>
      <c r="E202" s="2"/>
      <c r="F202" s="2"/>
    </row>
    <row r="203" spans="3:6" x14ac:dyDescent="0.3">
      <c r="C203" s="2"/>
      <c r="D203" s="2"/>
      <c r="E203" s="2"/>
      <c r="F203" s="2"/>
    </row>
  </sheetData>
  <conditionalFormatting sqref="B61:B62">
    <cfRule type="timePeriod" dxfId="5" priority="6" timePeriod="lastMonth">
      <formula>AND(MONTH(B61)=MONTH(EDATE(TODAY(),0-1)),YEAR(B61)=YEAR(EDATE(TODAY(),0-1)))</formula>
    </cfRule>
  </conditionalFormatting>
  <conditionalFormatting sqref="B63">
    <cfRule type="timePeriod" dxfId="4" priority="5" timePeriod="lastMonth">
      <formula>AND(MONTH(B63)=MONTH(EDATE(TODAY(),0-1)),YEAR(B63)=YEAR(EDATE(TODAY(),0-1)))</formula>
    </cfRule>
  </conditionalFormatting>
  <conditionalFormatting sqref="B64:B74">
    <cfRule type="timePeriod" dxfId="3" priority="4" timePeriod="lastMonth">
      <formula>AND(MONTH(B64)=MONTH(EDATE(TODAY(),0-1)),YEAR(B64)=YEAR(EDATE(TODAY(),0-1)))</formula>
    </cfRule>
  </conditionalFormatting>
  <conditionalFormatting sqref="B75">
    <cfRule type="timePeriod" dxfId="2" priority="3" timePeriod="lastMonth">
      <formula>AND(MONTH(B75)=MONTH(EDATE(TODAY(),0-1)),YEAR(B75)=YEAR(EDATE(TODAY(),0-1)))</formula>
    </cfRule>
  </conditionalFormatting>
  <conditionalFormatting sqref="B76:B87">
    <cfRule type="timePeriod" dxfId="1" priority="2" timePeriod="lastMonth">
      <formula>AND(MONTH(B76)=MONTH(EDATE(TODAY(),0-1)),YEAR(B76)=YEAR(EDATE(TODAY(),0-1)))</formula>
    </cfRule>
  </conditionalFormatting>
  <conditionalFormatting sqref="B88:B93">
    <cfRule type="timePeriod" dxfId="0" priority="1" timePeriod="lastMonth">
      <formula>AND(MONTH(B88)=MONTH(EDATE(TODAY(),0-1)),YEAR(B88)=YEAR(EDATE(TODAY(),0-1)))</formula>
    </cfRule>
  </conditionalFormatting>
  <pageMargins left="0.7" right="0.7" top="0.75" bottom="0.75" header="0.3" footer="0.3"/>
  <pageSetup paperSize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76"/>
  <sheetViews>
    <sheetView topLeftCell="B7" workbookViewId="0">
      <selection activeCell="E8" sqref="E8"/>
    </sheetView>
  </sheetViews>
  <sheetFormatPr defaultRowHeight="14.4" x14ac:dyDescent="0.3"/>
  <cols>
    <col min="1" max="1" width="0" style="16" hidden="1" customWidth="1"/>
    <col min="2" max="2" width="15.5546875" bestFit="1" customWidth="1"/>
    <col min="3" max="3" width="16.88671875" bestFit="1" customWidth="1"/>
    <col min="4" max="4" width="14.109375" bestFit="1" customWidth="1"/>
    <col min="5" max="6" width="17" customWidth="1"/>
    <col min="7" max="7" width="15.6640625" bestFit="1" customWidth="1"/>
    <col min="9" max="9" width="9.5546875" bestFit="1" customWidth="1"/>
  </cols>
  <sheetData>
    <row r="1" spans="1:7" x14ac:dyDescent="0.3">
      <c r="B1" s="31" t="s">
        <v>294</v>
      </c>
    </row>
    <row r="2" spans="1:7" x14ac:dyDescent="0.3">
      <c r="B2" s="26" t="s">
        <v>24</v>
      </c>
      <c r="C2" s="26">
        <v>39822125610</v>
      </c>
    </row>
    <row r="3" spans="1:7" x14ac:dyDescent="0.3">
      <c r="A3"/>
      <c r="B3" s="1"/>
    </row>
    <row r="4" spans="1:7" x14ac:dyDescent="0.3">
      <c r="A4"/>
      <c r="B4" s="1"/>
      <c r="E4">
        <v>8.4</v>
      </c>
    </row>
    <row r="5" spans="1:7" ht="35.25" customHeight="1" x14ac:dyDescent="0.3">
      <c r="A5" s="11" t="s">
        <v>0</v>
      </c>
      <c r="B5" s="11" t="s">
        <v>9</v>
      </c>
      <c r="C5" s="28" t="s">
        <v>6</v>
      </c>
      <c r="D5" s="12" t="s">
        <v>11</v>
      </c>
      <c r="E5" s="12" t="s">
        <v>295</v>
      </c>
      <c r="F5" s="12" t="s">
        <v>14</v>
      </c>
      <c r="G5" s="11" t="s">
        <v>12</v>
      </c>
    </row>
    <row r="6" spans="1:7" x14ac:dyDescent="0.3">
      <c r="A6" s="17">
        <v>1</v>
      </c>
      <c r="B6" s="14">
        <v>44652</v>
      </c>
      <c r="C6" s="2">
        <v>59335895</v>
      </c>
      <c r="D6" s="15">
        <v>812821</v>
      </c>
      <c r="E6" s="15">
        <f>C6*7.9/100/12</f>
        <v>390627.97541666665</v>
      </c>
      <c r="F6" s="15">
        <f>D6+E6</f>
        <v>1203448.9754166666</v>
      </c>
      <c r="G6" s="15">
        <f t="shared" ref="G6:G16" si="0">C6-D6</f>
        <v>58523074</v>
      </c>
    </row>
    <row r="7" spans="1:7" x14ac:dyDescent="0.3">
      <c r="A7" s="17">
        <f t="shared" ref="A7:A64" si="1">A6+1</f>
        <v>2</v>
      </c>
      <c r="B7" s="14">
        <v>44682</v>
      </c>
      <c r="C7" s="15">
        <f t="shared" ref="C7:C16" si="2">G6</f>
        <v>58523074</v>
      </c>
      <c r="D7" s="15">
        <v>812821</v>
      </c>
      <c r="E7" s="15">
        <f t="shared" ref="E7:E9" si="3">C7*7.9/100/12</f>
        <v>385276.90383333334</v>
      </c>
      <c r="F7" s="15">
        <f>D7+E7</f>
        <v>1198097.9038333334</v>
      </c>
      <c r="G7" s="15">
        <f t="shared" si="0"/>
        <v>57710253</v>
      </c>
    </row>
    <row r="8" spans="1:7" x14ac:dyDescent="0.3">
      <c r="A8" s="17">
        <f t="shared" si="1"/>
        <v>3</v>
      </c>
      <c r="B8" s="14">
        <v>44713</v>
      </c>
      <c r="C8" s="15">
        <f t="shared" si="2"/>
        <v>57710253</v>
      </c>
      <c r="D8" s="15">
        <v>812821</v>
      </c>
      <c r="E8" s="15">
        <f t="shared" si="3"/>
        <v>379925.83225000004</v>
      </c>
      <c r="F8" s="15">
        <f t="shared" ref="F8:F16" si="4">D8+E8</f>
        <v>1192746.83225</v>
      </c>
      <c r="G8" s="15">
        <f t="shared" si="0"/>
        <v>56897432</v>
      </c>
    </row>
    <row r="9" spans="1:7" x14ac:dyDescent="0.3">
      <c r="A9" s="17">
        <f t="shared" si="1"/>
        <v>4</v>
      </c>
      <c r="B9" s="14">
        <v>44743</v>
      </c>
      <c r="C9" s="15">
        <f t="shared" si="2"/>
        <v>56897432</v>
      </c>
      <c r="D9" s="15">
        <v>812821</v>
      </c>
      <c r="E9" s="15">
        <f t="shared" si="3"/>
        <v>374574.76066666673</v>
      </c>
      <c r="F9" s="15">
        <f t="shared" si="4"/>
        <v>1187395.7606666668</v>
      </c>
      <c r="G9" s="15">
        <f t="shared" si="0"/>
        <v>56084611</v>
      </c>
    </row>
    <row r="10" spans="1:7" x14ac:dyDescent="0.3">
      <c r="A10" s="17">
        <f t="shared" si="1"/>
        <v>5</v>
      </c>
      <c r="B10" s="14">
        <v>44774</v>
      </c>
      <c r="C10" s="15">
        <f t="shared" si="2"/>
        <v>56084611</v>
      </c>
      <c r="D10" s="15">
        <v>812821</v>
      </c>
      <c r="E10" s="15">
        <f t="shared" ref="E10:E70" si="5">C10*$E$4/100/12</f>
        <v>392592.277</v>
      </c>
      <c r="F10" s="15">
        <f t="shared" si="4"/>
        <v>1205413.277</v>
      </c>
      <c r="G10" s="15">
        <f t="shared" si="0"/>
        <v>55271790</v>
      </c>
    </row>
    <row r="11" spans="1:7" x14ac:dyDescent="0.3">
      <c r="A11" s="17">
        <f t="shared" si="1"/>
        <v>6</v>
      </c>
      <c r="B11" s="14">
        <v>44805</v>
      </c>
      <c r="C11" s="15">
        <f t="shared" si="2"/>
        <v>55271790</v>
      </c>
      <c r="D11" s="15">
        <v>812821</v>
      </c>
      <c r="E11" s="15">
        <f t="shared" si="5"/>
        <v>386902.53</v>
      </c>
      <c r="F11" s="15">
        <f t="shared" si="4"/>
        <v>1199723.53</v>
      </c>
      <c r="G11" s="15">
        <f t="shared" si="0"/>
        <v>54458969</v>
      </c>
    </row>
    <row r="12" spans="1:7" x14ac:dyDescent="0.3">
      <c r="A12" s="17">
        <f t="shared" si="1"/>
        <v>7</v>
      </c>
      <c r="B12" s="14">
        <v>44835</v>
      </c>
      <c r="C12" s="15">
        <f t="shared" si="2"/>
        <v>54458969</v>
      </c>
      <c r="D12" s="15">
        <v>812821</v>
      </c>
      <c r="E12" s="15">
        <f t="shared" si="5"/>
        <v>381212.78300000005</v>
      </c>
      <c r="F12" s="15">
        <f t="shared" si="4"/>
        <v>1194033.7830000001</v>
      </c>
      <c r="G12" s="15">
        <f t="shared" si="0"/>
        <v>53646148</v>
      </c>
    </row>
    <row r="13" spans="1:7" x14ac:dyDescent="0.3">
      <c r="A13" s="17">
        <f t="shared" si="1"/>
        <v>8</v>
      </c>
      <c r="B13" s="14">
        <v>44866</v>
      </c>
      <c r="C13" s="15">
        <f t="shared" si="2"/>
        <v>53646148</v>
      </c>
      <c r="D13" s="15">
        <v>812821</v>
      </c>
      <c r="E13" s="15">
        <f t="shared" si="5"/>
        <v>375523.03600000002</v>
      </c>
      <c r="F13" s="15">
        <f t="shared" si="4"/>
        <v>1188344.0360000001</v>
      </c>
      <c r="G13" s="15">
        <f t="shared" si="0"/>
        <v>52833327</v>
      </c>
    </row>
    <row r="14" spans="1:7" x14ac:dyDescent="0.3">
      <c r="A14" s="17">
        <f t="shared" si="1"/>
        <v>9</v>
      </c>
      <c r="B14" s="14">
        <v>44896</v>
      </c>
      <c r="C14" s="15">
        <f t="shared" si="2"/>
        <v>52833327</v>
      </c>
      <c r="D14" s="15">
        <v>812821</v>
      </c>
      <c r="E14" s="15">
        <f t="shared" si="5"/>
        <v>369833.28900000005</v>
      </c>
      <c r="F14" s="15">
        <f t="shared" si="4"/>
        <v>1182654.2890000001</v>
      </c>
      <c r="G14" s="15">
        <f t="shared" si="0"/>
        <v>52020506</v>
      </c>
    </row>
    <row r="15" spans="1:7" x14ac:dyDescent="0.3">
      <c r="A15" s="17">
        <f t="shared" si="1"/>
        <v>10</v>
      </c>
      <c r="B15" s="14">
        <v>44927</v>
      </c>
      <c r="C15" s="15">
        <f t="shared" si="2"/>
        <v>52020506</v>
      </c>
      <c r="D15" s="15">
        <v>812821</v>
      </c>
      <c r="E15" s="15">
        <f t="shared" si="5"/>
        <v>364143.54200000007</v>
      </c>
      <c r="F15" s="15">
        <f t="shared" si="4"/>
        <v>1176964.5420000001</v>
      </c>
      <c r="G15" s="15">
        <f t="shared" si="0"/>
        <v>51207685</v>
      </c>
    </row>
    <row r="16" spans="1:7" x14ac:dyDescent="0.3">
      <c r="A16" s="17">
        <f t="shared" si="1"/>
        <v>11</v>
      </c>
      <c r="B16" s="14">
        <v>44958</v>
      </c>
      <c r="C16" s="15">
        <f t="shared" si="2"/>
        <v>51207685</v>
      </c>
      <c r="D16" s="15">
        <v>812821</v>
      </c>
      <c r="E16" s="15">
        <f t="shared" si="5"/>
        <v>358453.79499999998</v>
      </c>
      <c r="F16" s="15">
        <f t="shared" si="4"/>
        <v>1171274.7949999999</v>
      </c>
      <c r="G16" s="15">
        <f t="shared" si="0"/>
        <v>50394864</v>
      </c>
    </row>
    <row r="17" spans="1:7" x14ac:dyDescent="0.3">
      <c r="A17" s="17" t="e">
        <f>#REF!+1</f>
        <v>#REF!</v>
      </c>
      <c r="B17" s="14">
        <v>44986</v>
      </c>
      <c r="C17" s="15">
        <f t="shared" ref="C17:C76" si="6">G16</f>
        <v>50394864</v>
      </c>
      <c r="D17" s="15">
        <v>812821</v>
      </c>
      <c r="E17" s="15">
        <f t="shared" si="5"/>
        <v>352764.04800000001</v>
      </c>
      <c r="F17" s="15">
        <f t="shared" ref="F17:F76" si="7">D17+E17</f>
        <v>1165585.048</v>
      </c>
      <c r="G17" s="15">
        <f t="shared" ref="G17:G76" si="8">C17-D17</f>
        <v>49582043</v>
      </c>
    </row>
    <row r="18" spans="1:7" x14ac:dyDescent="0.3">
      <c r="A18" s="17" t="e">
        <f t="shared" si="1"/>
        <v>#REF!</v>
      </c>
      <c r="B18" s="14">
        <v>45017</v>
      </c>
      <c r="C18" s="15">
        <f t="shared" si="6"/>
        <v>49582043</v>
      </c>
      <c r="D18" s="15">
        <v>812821</v>
      </c>
      <c r="E18" s="15">
        <f t="shared" si="5"/>
        <v>347074.30099999998</v>
      </c>
      <c r="F18" s="15">
        <f t="shared" si="7"/>
        <v>1159895.301</v>
      </c>
      <c r="G18" s="15">
        <f t="shared" si="8"/>
        <v>48769222</v>
      </c>
    </row>
    <row r="19" spans="1:7" x14ac:dyDescent="0.3">
      <c r="A19" s="17" t="e">
        <f t="shared" si="1"/>
        <v>#REF!</v>
      </c>
      <c r="B19" s="14">
        <v>45047</v>
      </c>
      <c r="C19" s="15">
        <f t="shared" si="6"/>
        <v>48769222</v>
      </c>
      <c r="D19" s="15">
        <v>812821</v>
      </c>
      <c r="E19" s="15">
        <f t="shared" si="5"/>
        <v>341384.554</v>
      </c>
      <c r="F19" s="15">
        <f t="shared" si="7"/>
        <v>1154205.554</v>
      </c>
      <c r="G19" s="15">
        <f t="shared" si="8"/>
        <v>47956401</v>
      </c>
    </row>
    <row r="20" spans="1:7" x14ac:dyDescent="0.3">
      <c r="A20" s="17" t="e">
        <f t="shared" si="1"/>
        <v>#REF!</v>
      </c>
      <c r="B20" s="14">
        <v>45078</v>
      </c>
      <c r="C20" s="15">
        <f t="shared" si="6"/>
        <v>47956401</v>
      </c>
      <c r="D20" s="15">
        <v>812821</v>
      </c>
      <c r="E20" s="15">
        <f t="shared" si="5"/>
        <v>335694.80700000003</v>
      </c>
      <c r="F20" s="15">
        <f t="shared" si="7"/>
        <v>1148515.807</v>
      </c>
      <c r="G20" s="15">
        <f t="shared" si="8"/>
        <v>47143580</v>
      </c>
    </row>
    <row r="21" spans="1:7" x14ac:dyDescent="0.3">
      <c r="A21" s="17" t="e">
        <f t="shared" si="1"/>
        <v>#REF!</v>
      </c>
      <c r="B21" s="14">
        <v>45108</v>
      </c>
      <c r="C21" s="15">
        <f t="shared" si="6"/>
        <v>47143580</v>
      </c>
      <c r="D21" s="15">
        <v>812821</v>
      </c>
      <c r="E21" s="15">
        <f t="shared" si="5"/>
        <v>330005.06</v>
      </c>
      <c r="F21" s="15">
        <f t="shared" si="7"/>
        <v>1142826.06</v>
      </c>
      <c r="G21" s="15">
        <f t="shared" si="8"/>
        <v>46330759</v>
      </c>
    </row>
    <row r="22" spans="1:7" x14ac:dyDescent="0.3">
      <c r="A22" s="17" t="e">
        <f t="shared" si="1"/>
        <v>#REF!</v>
      </c>
      <c r="B22" s="14">
        <v>45139</v>
      </c>
      <c r="C22" s="15">
        <f t="shared" si="6"/>
        <v>46330759</v>
      </c>
      <c r="D22" s="15">
        <v>812821</v>
      </c>
      <c r="E22" s="15">
        <f t="shared" si="5"/>
        <v>324315.31300000002</v>
      </c>
      <c r="F22" s="15">
        <f t="shared" si="7"/>
        <v>1137136.3130000001</v>
      </c>
      <c r="G22" s="15">
        <f t="shared" si="8"/>
        <v>45517938</v>
      </c>
    </row>
    <row r="23" spans="1:7" x14ac:dyDescent="0.3">
      <c r="A23" s="17" t="e">
        <f t="shared" si="1"/>
        <v>#REF!</v>
      </c>
      <c r="B23" s="14">
        <v>45170</v>
      </c>
      <c r="C23" s="15">
        <f t="shared" si="6"/>
        <v>45517938</v>
      </c>
      <c r="D23" s="15">
        <v>812821</v>
      </c>
      <c r="E23" s="15">
        <f t="shared" si="5"/>
        <v>318625.56599999999</v>
      </c>
      <c r="F23" s="15">
        <f t="shared" si="7"/>
        <v>1131446.5660000001</v>
      </c>
      <c r="G23" s="15">
        <f t="shared" si="8"/>
        <v>44705117</v>
      </c>
    </row>
    <row r="24" spans="1:7" x14ac:dyDescent="0.3">
      <c r="A24" s="17" t="e">
        <f t="shared" si="1"/>
        <v>#REF!</v>
      </c>
      <c r="B24" s="14">
        <v>45200</v>
      </c>
      <c r="C24" s="15">
        <f t="shared" si="6"/>
        <v>44705117</v>
      </c>
      <c r="D24" s="15">
        <v>812821</v>
      </c>
      <c r="E24" s="15">
        <f t="shared" si="5"/>
        <v>312935.81900000002</v>
      </c>
      <c r="F24" s="15">
        <f t="shared" si="7"/>
        <v>1125756.8190000001</v>
      </c>
      <c r="G24" s="15">
        <f t="shared" si="8"/>
        <v>43892296</v>
      </c>
    </row>
    <row r="25" spans="1:7" x14ac:dyDescent="0.3">
      <c r="A25" s="17" t="e">
        <f t="shared" si="1"/>
        <v>#REF!</v>
      </c>
      <c r="B25" s="14">
        <v>45231</v>
      </c>
      <c r="C25" s="15">
        <f t="shared" si="6"/>
        <v>43892296</v>
      </c>
      <c r="D25" s="15">
        <v>812821</v>
      </c>
      <c r="E25" s="15">
        <f t="shared" si="5"/>
        <v>307246.07200000004</v>
      </c>
      <c r="F25" s="15">
        <f t="shared" si="7"/>
        <v>1120067.0720000002</v>
      </c>
      <c r="G25" s="15">
        <f t="shared" si="8"/>
        <v>43079475</v>
      </c>
    </row>
    <row r="26" spans="1:7" x14ac:dyDescent="0.3">
      <c r="A26" s="17" t="e">
        <f t="shared" si="1"/>
        <v>#REF!</v>
      </c>
      <c r="B26" s="14">
        <v>45261</v>
      </c>
      <c r="C26" s="15">
        <f t="shared" si="6"/>
        <v>43079475</v>
      </c>
      <c r="D26" s="15">
        <v>812821</v>
      </c>
      <c r="E26" s="15">
        <f t="shared" si="5"/>
        <v>301556.32500000001</v>
      </c>
      <c r="F26" s="15">
        <f t="shared" si="7"/>
        <v>1114377.325</v>
      </c>
      <c r="G26" s="15">
        <f t="shared" si="8"/>
        <v>42266654</v>
      </c>
    </row>
    <row r="27" spans="1:7" x14ac:dyDescent="0.3">
      <c r="A27" s="17" t="e">
        <f t="shared" si="1"/>
        <v>#REF!</v>
      </c>
      <c r="B27" s="14">
        <v>45292</v>
      </c>
      <c r="C27" s="15">
        <f t="shared" si="6"/>
        <v>42266654</v>
      </c>
      <c r="D27" s="15">
        <v>812821</v>
      </c>
      <c r="E27" s="15">
        <f t="shared" si="5"/>
        <v>295866.57800000004</v>
      </c>
      <c r="F27" s="15">
        <f t="shared" si="7"/>
        <v>1108687.578</v>
      </c>
      <c r="G27" s="15">
        <f t="shared" si="8"/>
        <v>41453833</v>
      </c>
    </row>
    <row r="28" spans="1:7" x14ac:dyDescent="0.3">
      <c r="A28" s="17" t="e">
        <f t="shared" si="1"/>
        <v>#REF!</v>
      </c>
      <c r="B28" s="14">
        <v>45323</v>
      </c>
      <c r="C28" s="15">
        <f t="shared" si="6"/>
        <v>41453833</v>
      </c>
      <c r="D28" s="15">
        <v>812821</v>
      </c>
      <c r="E28" s="15">
        <f t="shared" si="5"/>
        <v>290176.83100000001</v>
      </c>
      <c r="F28" s="15">
        <f t="shared" si="7"/>
        <v>1102997.831</v>
      </c>
      <c r="G28" s="15">
        <f t="shared" si="8"/>
        <v>40641012</v>
      </c>
    </row>
    <row r="29" spans="1:7" x14ac:dyDescent="0.3">
      <c r="A29" s="17" t="e">
        <f t="shared" si="1"/>
        <v>#REF!</v>
      </c>
      <c r="B29" s="14">
        <v>45352</v>
      </c>
      <c r="C29" s="15">
        <f t="shared" si="6"/>
        <v>40641012</v>
      </c>
      <c r="D29" s="15">
        <v>812821</v>
      </c>
      <c r="E29" s="15">
        <f t="shared" si="5"/>
        <v>284487.08399999997</v>
      </c>
      <c r="F29" s="15">
        <f t="shared" si="7"/>
        <v>1097308.084</v>
      </c>
      <c r="G29" s="15">
        <f t="shared" si="8"/>
        <v>39828191</v>
      </c>
    </row>
    <row r="30" spans="1:7" x14ac:dyDescent="0.3">
      <c r="A30" s="17" t="e">
        <f t="shared" si="1"/>
        <v>#REF!</v>
      </c>
      <c r="B30" s="14">
        <v>45383</v>
      </c>
      <c r="C30" s="15">
        <f t="shared" si="6"/>
        <v>39828191</v>
      </c>
      <c r="D30" s="15">
        <v>812821</v>
      </c>
      <c r="E30" s="15">
        <f t="shared" si="5"/>
        <v>278797.337</v>
      </c>
      <c r="F30" s="15">
        <f t="shared" si="7"/>
        <v>1091618.3370000001</v>
      </c>
      <c r="G30" s="15">
        <f t="shared" si="8"/>
        <v>39015370</v>
      </c>
    </row>
    <row r="31" spans="1:7" x14ac:dyDescent="0.3">
      <c r="A31" s="17" t="e">
        <f t="shared" si="1"/>
        <v>#REF!</v>
      </c>
      <c r="B31" s="14">
        <v>45413</v>
      </c>
      <c r="C31" s="15">
        <f t="shared" si="6"/>
        <v>39015370</v>
      </c>
      <c r="D31" s="15">
        <v>812821</v>
      </c>
      <c r="E31" s="15">
        <f t="shared" si="5"/>
        <v>273107.59000000003</v>
      </c>
      <c r="F31" s="15">
        <f t="shared" si="7"/>
        <v>1085928.5900000001</v>
      </c>
      <c r="G31" s="15">
        <f t="shared" si="8"/>
        <v>38202549</v>
      </c>
    </row>
    <row r="32" spans="1:7" x14ac:dyDescent="0.3">
      <c r="A32" s="17" t="e">
        <f t="shared" si="1"/>
        <v>#REF!</v>
      </c>
      <c r="B32" s="14">
        <v>45444</v>
      </c>
      <c r="C32" s="15">
        <f t="shared" si="6"/>
        <v>38202549</v>
      </c>
      <c r="D32" s="15">
        <v>812821</v>
      </c>
      <c r="E32" s="15">
        <f t="shared" si="5"/>
        <v>267417.84300000005</v>
      </c>
      <c r="F32" s="15">
        <f t="shared" si="7"/>
        <v>1080238.8430000001</v>
      </c>
      <c r="G32" s="15">
        <f t="shared" si="8"/>
        <v>37389728</v>
      </c>
    </row>
    <row r="33" spans="1:7" x14ac:dyDescent="0.3">
      <c r="A33" s="17" t="e">
        <f t="shared" si="1"/>
        <v>#REF!</v>
      </c>
      <c r="B33" s="14">
        <v>45474</v>
      </c>
      <c r="C33" s="15">
        <f t="shared" si="6"/>
        <v>37389728</v>
      </c>
      <c r="D33" s="15">
        <v>812821</v>
      </c>
      <c r="E33" s="15">
        <f t="shared" si="5"/>
        <v>261728.09599999999</v>
      </c>
      <c r="F33" s="15">
        <f t="shared" si="7"/>
        <v>1074549.0959999999</v>
      </c>
      <c r="G33" s="15">
        <f t="shared" si="8"/>
        <v>36576907</v>
      </c>
    </row>
    <row r="34" spans="1:7" x14ac:dyDescent="0.3">
      <c r="A34" s="17" t="e">
        <f t="shared" si="1"/>
        <v>#REF!</v>
      </c>
      <c r="B34" s="14">
        <v>45505</v>
      </c>
      <c r="C34" s="15">
        <f t="shared" si="6"/>
        <v>36576907</v>
      </c>
      <c r="D34" s="15">
        <v>812821</v>
      </c>
      <c r="E34" s="15">
        <f t="shared" si="5"/>
        <v>256038.34900000002</v>
      </c>
      <c r="F34" s="15">
        <f t="shared" si="7"/>
        <v>1068859.3489999999</v>
      </c>
      <c r="G34" s="15">
        <f t="shared" si="8"/>
        <v>35764086</v>
      </c>
    </row>
    <row r="35" spans="1:7" x14ac:dyDescent="0.3">
      <c r="A35" s="17" t="e">
        <f t="shared" si="1"/>
        <v>#REF!</v>
      </c>
      <c r="B35" s="14">
        <v>45536</v>
      </c>
      <c r="C35" s="15">
        <f t="shared" si="6"/>
        <v>35764086</v>
      </c>
      <c r="D35" s="15">
        <v>812821</v>
      </c>
      <c r="E35" s="15">
        <f t="shared" si="5"/>
        <v>250348.60200000004</v>
      </c>
      <c r="F35" s="15">
        <f t="shared" si="7"/>
        <v>1063169.602</v>
      </c>
      <c r="G35" s="15">
        <f t="shared" si="8"/>
        <v>34951265</v>
      </c>
    </row>
    <row r="36" spans="1:7" x14ac:dyDescent="0.3">
      <c r="A36" s="17" t="e">
        <f t="shared" si="1"/>
        <v>#REF!</v>
      </c>
      <c r="B36" s="14">
        <v>45566</v>
      </c>
      <c r="C36" s="15">
        <f t="shared" si="6"/>
        <v>34951265</v>
      </c>
      <c r="D36" s="15">
        <v>812821</v>
      </c>
      <c r="E36" s="15">
        <f t="shared" si="5"/>
        <v>244658.85499999998</v>
      </c>
      <c r="F36" s="15">
        <f t="shared" si="7"/>
        <v>1057479.855</v>
      </c>
      <c r="G36" s="15">
        <f t="shared" si="8"/>
        <v>34138444</v>
      </c>
    </row>
    <row r="37" spans="1:7" x14ac:dyDescent="0.3">
      <c r="A37" s="17" t="e">
        <f t="shared" si="1"/>
        <v>#REF!</v>
      </c>
      <c r="B37" s="14">
        <v>45597</v>
      </c>
      <c r="C37" s="15">
        <f t="shared" si="6"/>
        <v>34138444</v>
      </c>
      <c r="D37" s="15">
        <v>812821</v>
      </c>
      <c r="E37" s="15">
        <f t="shared" si="5"/>
        <v>238969.10800000001</v>
      </c>
      <c r="F37" s="15">
        <f t="shared" si="7"/>
        <v>1051790.108</v>
      </c>
      <c r="G37" s="15">
        <f t="shared" si="8"/>
        <v>33325623</v>
      </c>
    </row>
    <row r="38" spans="1:7" x14ac:dyDescent="0.3">
      <c r="A38" s="17" t="e">
        <f t="shared" si="1"/>
        <v>#REF!</v>
      </c>
      <c r="B38" s="14">
        <v>45627</v>
      </c>
      <c r="C38" s="15">
        <f t="shared" si="6"/>
        <v>33325623</v>
      </c>
      <c r="D38" s="15">
        <v>812821</v>
      </c>
      <c r="E38" s="15">
        <f t="shared" si="5"/>
        <v>233279.361</v>
      </c>
      <c r="F38" s="15">
        <f t="shared" si="7"/>
        <v>1046100.361</v>
      </c>
      <c r="G38" s="15">
        <f t="shared" si="8"/>
        <v>32512802</v>
      </c>
    </row>
    <row r="39" spans="1:7" x14ac:dyDescent="0.3">
      <c r="A39" s="17" t="e">
        <f t="shared" si="1"/>
        <v>#REF!</v>
      </c>
      <c r="B39" s="14">
        <v>45658</v>
      </c>
      <c r="C39" s="15">
        <f t="shared" si="6"/>
        <v>32512802</v>
      </c>
      <c r="D39" s="15">
        <v>812821</v>
      </c>
      <c r="E39" s="15">
        <f t="shared" si="5"/>
        <v>227589.61400000003</v>
      </c>
      <c r="F39" s="15">
        <f t="shared" si="7"/>
        <v>1040410.6140000001</v>
      </c>
      <c r="G39" s="15">
        <f t="shared" si="8"/>
        <v>31699981</v>
      </c>
    </row>
    <row r="40" spans="1:7" x14ac:dyDescent="0.3">
      <c r="A40" s="17" t="e">
        <f t="shared" si="1"/>
        <v>#REF!</v>
      </c>
      <c r="B40" s="14">
        <v>45689</v>
      </c>
      <c r="C40" s="15">
        <f t="shared" si="6"/>
        <v>31699981</v>
      </c>
      <c r="D40" s="15">
        <v>812821</v>
      </c>
      <c r="E40" s="15">
        <f t="shared" si="5"/>
        <v>221899.867</v>
      </c>
      <c r="F40" s="15">
        <f t="shared" si="7"/>
        <v>1034720.867</v>
      </c>
      <c r="G40" s="15">
        <f t="shared" si="8"/>
        <v>30887160</v>
      </c>
    </row>
    <row r="41" spans="1:7" x14ac:dyDescent="0.3">
      <c r="A41" s="17" t="e">
        <f t="shared" si="1"/>
        <v>#REF!</v>
      </c>
      <c r="B41" s="14">
        <v>45717</v>
      </c>
      <c r="C41" s="15">
        <f t="shared" si="6"/>
        <v>30887160</v>
      </c>
      <c r="D41" s="15">
        <v>812821</v>
      </c>
      <c r="E41" s="15">
        <f t="shared" si="5"/>
        <v>216210.12</v>
      </c>
      <c r="F41" s="15">
        <f t="shared" si="7"/>
        <v>1029031.12</v>
      </c>
      <c r="G41" s="15">
        <f t="shared" si="8"/>
        <v>30074339</v>
      </c>
    </row>
    <row r="42" spans="1:7" x14ac:dyDescent="0.3">
      <c r="A42" s="17" t="e">
        <f t="shared" si="1"/>
        <v>#REF!</v>
      </c>
      <c r="B42" s="14">
        <v>45748</v>
      </c>
      <c r="C42" s="15">
        <f t="shared" si="6"/>
        <v>30074339</v>
      </c>
      <c r="D42" s="15">
        <v>812821</v>
      </c>
      <c r="E42" s="15">
        <f t="shared" si="5"/>
        <v>210520.37300000002</v>
      </c>
      <c r="F42" s="15">
        <f t="shared" si="7"/>
        <v>1023341.373</v>
      </c>
      <c r="G42" s="15">
        <f t="shared" si="8"/>
        <v>29261518</v>
      </c>
    </row>
    <row r="43" spans="1:7" x14ac:dyDescent="0.3">
      <c r="A43" s="17" t="e">
        <f t="shared" si="1"/>
        <v>#REF!</v>
      </c>
      <c r="B43" s="14">
        <v>45778</v>
      </c>
      <c r="C43" s="15">
        <f t="shared" si="6"/>
        <v>29261518</v>
      </c>
      <c r="D43" s="15">
        <v>812821</v>
      </c>
      <c r="E43" s="15">
        <f t="shared" si="5"/>
        <v>204830.62600000002</v>
      </c>
      <c r="F43" s="15">
        <f t="shared" si="7"/>
        <v>1017651.626</v>
      </c>
      <c r="G43" s="15">
        <f t="shared" si="8"/>
        <v>28448697</v>
      </c>
    </row>
    <row r="44" spans="1:7" x14ac:dyDescent="0.3">
      <c r="A44" s="17" t="e">
        <f t="shared" si="1"/>
        <v>#REF!</v>
      </c>
      <c r="B44" s="14">
        <v>45809</v>
      </c>
      <c r="C44" s="15">
        <f t="shared" si="6"/>
        <v>28448697</v>
      </c>
      <c r="D44" s="15">
        <v>812821</v>
      </c>
      <c r="E44" s="15">
        <f t="shared" si="5"/>
        <v>199140.87899999999</v>
      </c>
      <c r="F44" s="15">
        <f t="shared" si="7"/>
        <v>1011961.879</v>
      </c>
      <c r="G44" s="15">
        <f t="shared" si="8"/>
        <v>27635876</v>
      </c>
    </row>
    <row r="45" spans="1:7" x14ac:dyDescent="0.3">
      <c r="A45" s="17" t="e">
        <f t="shared" si="1"/>
        <v>#REF!</v>
      </c>
      <c r="B45" s="14">
        <v>45839</v>
      </c>
      <c r="C45" s="15">
        <f t="shared" si="6"/>
        <v>27635876</v>
      </c>
      <c r="D45" s="15">
        <v>812821</v>
      </c>
      <c r="E45" s="15">
        <f t="shared" si="5"/>
        <v>193451.13200000001</v>
      </c>
      <c r="F45" s="15">
        <f t="shared" si="7"/>
        <v>1006272.132</v>
      </c>
      <c r="G45" s="15">
        <f t="shared" si="8"/>
        <v>26823055</v>
      </c>
    </row>
    <row r="46" spans="1:7" x14ac:dyDescent="0.3">
      <c r="A46" s="17" t="e">
        <f t="shared" si="1"/>
        <v>#REF!</v>
      </c>
      <c r="B46" s="14">
        <v>45870</v>
      </c>
      <c r="C46" s="15">
        <f t="shared" si="6"/>
        <v>26823055</v>
      </c>
      <c r="D46" s="15">
        <v>812821</v>
      </c>
      <c r="E46" s="15">
        <f t="shared" si="5"/>
        <v>187761.38500000001</v>
      </c>
      <c r="F46" s="15">
        <f t="shared" si="7"/>
        <v>1000582.385</v>
      </c>
      <c r="G46" s="15">
        <f t="shared" si="8"/>
        <v>26010234</v>
      </c>
    </row>
    <row r="47" spans="1:7" x14ac:dyDescent="0.3">
      <c r="A47" s="17" t="e">
        <f t="shared" si="1"/>
        <v>#REF!</v>
      </c>
      <c r="B47" s="14">
        <v>45901</v>
      </c>
      <c r="C47" s="15">
        <f t="shared" si="6"/>
        <v>26010234</v>
      </c>
      <c r="D47" s="15">
        <v>812821</v>
      </c>
      <c r="E47" s="15">
        <f t="shared" si="5"/>
        <v>182071.63800000004</v>
      </c>
      <c r="F47" s="15">
        <f t="shared" si="7"/>
        <v>994892.63800000004</v>
      </c>
      <c r="G47" s="15">
        <f t="shared" si="8"/>
        <v>25197413</v>
      </c>
    </row>
    <row r="48" spans="1:7" x14ac:dyDescent="0.3">
      <c r="A48" s="17" t="e">
        <f t="shared" si="1"/>
        <v>#REF!</v>
      </c>
      <c r="B48" s="14">
        <v>45931</v>
      </c>
      <c r="C48" s="15">
        <f t="shared" si="6"/>
        <v>25197413</v>
      </c>
      <c r="D48" s="15">
        <v>812821</v>
      </c>
      <c r="E48" s="15">
        <f t="shared" si="5"/>
        <v>176381.89100000003</v>
      </c>
      <c r="F48" s="15">
        <f t="shared" si="7"/>
        <v>989202.89100000006</v>
      </c>
      <c r="G48" s="15">
        <f t="shared" si="8"/>
        <v>24384592</v>
      </c>
    </row>
    <row r="49" spans="1:7" x14ac:dyDescent="0.3">
      <c r="A49" s="17" t="e">
        <f t="shared" si="1"/>
        <v>#REF!</v>
      </c>
      <c r="B49" s="14">
        <v>45962</v>
      </c>
      <c r="C49" s="15">
        <f t="shared" si="6"/>
        <v>24384592</v>
      </c>
      <c r="D49" s="15">
        <v>812821</v>
      </c>
      <c r="E49" s="15">
        <f t="shared" si="5"/>
        <v>170692.144</v>
      </c>
      <c r="F49" s="15">
        <f t="shared" si="7"/>
        <v>983513.14399999997</v>
      </c>
      <c r="G49" s="15">
        <f t="shared" si="8"/>
        <v>23571771</v>
      </c>
    </row>
    <row r="50" spans="1:7" x14ac:dyDescent="0.3">
      <c r="A50" s="17" t="e">
        <f t="shared" si="1"/>
        <v>#REF!</v>
      </c>
      <c r="B50" s="14">
        <v>45992</v>
      </c>
      <c r="C50" s="15">
        <f t="shared" si="6"/>
        <v>23571771</v>
      </c>
      <c r="D50" s="15">
        <v>812821</v>
      </c>
      <c r="E50" s="15">
        <f t="shared" si="5"/>
        <v>165002.397</v>
      </c>
      <c r="F50" s="15">
        <f t="shared" si="7"/>
        <v>977823.397</v>
      </c>
      <c r="G50" s="15">
        <f t="shared" si="8"/>
        <v>22758950</v>
      </c>
    </row>
    <row r="51" spans="1:7" x14ac:dyDescent="0.3">
      <c r="A51" s="17" t="e">
        <f t="shared" si="1"/>
        <v>#REF!</v>
      </c>
      <c r="B51" s="14">
        <v>46023</v>
      </c>
      <c r="C51" s="15">
        <f t="shared" si="6"/>
        <v>22758950</v>
      </c>
      <c r="D51" s="15">
        <v>812821</v>
      </c>
      <c r="E51" s="15">
        <f t="shared" si="5"/>
        <v>159312.65</v>
      </c>
      <c r="F51" s="15">
        <f t="shared" si="7"/>
        <v>972133.65</v>
      </c>
      <c r="G51" s="15">
        <f t="shared" si="8"/>
        <v>21946129</v>
      </c>
    </row>
    <row r="52" spans="1:7" x14ac:dyDescent="0.3">
      <c r="A52" s="17" t="e">
        <f t="shared" si="1"/>
        <v>#REF!</v>
      </c>
      <c r="B52" s="14">
        <v>46054</v>
      </c>
      <c r="C52" s="15">
        <f t="shared" si="6"/>
        <v>21946129</v>
      </c>
      <c r="D52" s="15">
        <v>812821</v>
      </c>
      <c r="E52" s="15">
        <f t="shared" si="5"/>
        <v>153622.90299999999</v>
      </c>
      <c r="F52" s="15">
        <f t="shared" si="7"/>
        <v>966443.90299999993</v>
      </c>
      <c r="G52" s="15">
        <f t="shared" si="8"/>
        <v>21133308</v>
      </c>
    </row>
    <row r="53" spans="1:7" x14ac:dyDescent="0.3">
      <c r="A53" s="17" t="e">
        <f t="shared" si="1"/>
        <v>#REF!</v>
      </c>
      <c r="B53" s="14">
        <v>46082</v>
      </c>
      <c r="C53" s="15">
        <f t="shared" si="6"/>
        <v>21133308</v>
      </c>
      <c r="D53" s="15">
        <v>812821</v>
      </c>
      <c r="E53" s="15">
        <f t="shared" si="5"/>
        <v>147933.15600000002</v>
      </c>
      <c r="F53" s="15">
        <f t="shared" si="7"/>
        <v>960754.15599999996</v>
      </c>
      <c r="G53" s="15">
        <f t="shared" si="8"/>
        <v>20320487</v>
      </c>
    </row>
    <row r="54" spans="1:7" x14ac:dyDescent="0.3">
      <c r="A54" s="17" t="e">
        <f t="shared" si="1"/>
        <v>#REF!</v>
      </c>
      <c r="B54" s="14">
        <v>46113</v>
      </c>
      <c r="C54" s="15">
        <f t="shared" si="6"/>
        <v>20320487</v>
      </c>
      <c r="D54" s="15">
        <v>812821</v>
      </c>
      <c r="E54" s="15">
        <f t="shared" si="5"/>
        <v>142243.40900000001</v>
      </c>
      <c r="F54" s="15">
        <f t="shared" si="7"/>
        <v>955064.40899999999</v>
      </c>
      <c r="G54" s="15">
        <f t="shared" si="8"/>
        <v>19507666</v>
      </c>
    </row>
    <row r="55" spans="1:7" x14ac:dyDescent="0.3">
      <c r="A55" s="17" t="e">
        <f t="shared" si="1"/>
        <v>#REF!</v>
      </c>
      <c r="B55" s="14">
        <v>46143</v>
      </c>
      <c r="C55" s="15">
        <f t="shared" si="6"/>
        <v>19507666</v>
      </c>
      <c r="D55" s="15">
        <v>812821</v>
      </c>
      <c r="E55" s="15">
        <f t="shared" si="5"/>
        <v>136553.66200000001</v>
      </c>
      <c r="F55" s="15">
        <f t="shared" si="7"/>
        <v>949374.66200000001</v>
      </c>
      <c r="G55" s="15">
        <f t="shared" si="8"/>
        <v>18694845</v>
      </c>
    </row>
    <row r="56" spans="1:7" x14ac:dyDescent="0.3">
      <c r="A56" s="17" t="e">
        <f t="shared" si="1"/>
        <v>#REF!</v>
      </c>
      <c r="B56" s="14">
        <v>46174</v>
      </c>
      <c r="C56" s="15">
        <f t="shared" si="6"/>
        <v>18694845</v>
      </c>
      <c r="D56" s="15">
        <v>812821</v>
      </c>
      <c r="E56" s="15">
        <f t="shared" si="5"/>
        <v>130863.91499999999</v>
      </c>
      <c r="F56" s="15">
        <f t="shared" si="7"/>
        <v>943684.91500000004</v>
      </c>
      <c r="G56" s="15">
        <f t="shared" si="8"/>
        <v>17882024</v>
      </c>
    </row>
    <row r="57" spans="1:7" x14ac:dyDescent="0.3">
      <c r="A57" s="17" t="e">
        <f t="shared" si="1"/>
        <v>#REF!</v>
      </c>
      <c r="B57" s="14">
        <v>46204</v>
      </c>
      <c r="C57" s="15">
        <f t="shared" si="6"/>
        <v>17882024</v>
      </c>
      <c r="D57" s="15">
        <v>812821</v>
      </c>
      <c r="E57" s="15">
        <f t="shared" si="5"/>
        <v>125174.16799999999</v>
      </c>
      <c r="F57" s="15">
        <f t="shared" si="7"/>
        <v>937995.16799999995</v>
      </c>
      <c r="G57" s="15">
        <f t="shared" si="8"/>
        <v>17069203</v>
      </c>
    </row>
    <row r="58" spans="1:7" x14ac:dyDescent="0.3">
      <c r="A58" s="17" t="e">
        <f t="shared" si="1"/>
        <v>#REF!</v>
      </c>
      <c r="B58" s="14">
        <v>46235</v>
      </c>
      <c r="C58" s="15">
        <f t="shared" si="6"/>
        <v>17069203</v>
      </c>
      <c r="D58" s="15">
        <v>812821</v>
      </c>
      <c r="E58" s="15">
        <f t="shared" si="5"/>
        <v>119484.42100000002</v>
      </c>
      <c r="F58" s="15">
        <f t="shared" si="7"/>
        <v>932305.42099999997</v>
      </c>
      <c r="G58" s="15">
        <f t="shared" si="8"/>
        <v>16256382</v>
      </c>
    </row>
    <row r="59" spans="1:7" x14ac:dyDescent="0.3">
      <c r="A59" s="17" t="e">
        <f t="shared" si="1"/>
        <v>#REF!</v>
      </c>
      <c r="B59" s="14">
        <v>46266</v>
      </c>
      <c r="C59" s="15">
        <f t="shared" si="6"/>
        <v>16256382</v>
      </c>
      <c r="D59" s="15">
        <v>812821</v>
      </c>
      <c r="E59" s="15">
        <f t="shared" si="5"/>
        <v>113794.67400000001</v>
      </c>
      <c r="F59" s="15">
        <f t="shared" si="7"/>
        <v>926615.674</v>
      </c>
      <c r="G59" s="15">
        <f t="shared" si="8"/>
        <v>15443561</v>
      </c>
    </row>
    <row r="60" spans="1:7" x14ac:dyDescent="0.3">
      <c r="A60" s="17" t="e">
        <f t="shared" si="1"/>
        <v>#REF!</v>
      </c>
      <c r="B60" s="14">
        <v>46296</v>
      </c>
      <c r="C60" s="15">
        <f t="shared" si="6"/>
        <v>15443561</v>
      </c>
      <c r="D60" s="15">
        <v>812821</v>
      </c>
      <c r="E60" s="15">
        <f t="shared" si="5"/>
        <v>108104.92700000001</v>
      </c>
      <c r="F60" s="15">
        <f t="shared" si="7"/>
        <v>920925.92700000003</v>
      </c>
      <c r="G60" s="15">
        <f t="shared" si="8"/>
        <v>14630740</v>
      </c>
    </row>
    <row r="61" spans="1:7" x14ac:dyDescent="0.3">
      <c r="A61" s="17" t="e">
        <f t="shared" si="1"/>
        <v>#REF!</v>
      </c>
      <c r="B61" s="14">
        <v>46327</v>
      </c>
      <c r="C61" s="15">
        <f t="shared" si="6"/>
        <v>14630740</v>
      </c>
      <c r="D61" s="15">
        <v>812821</v>
      </c>
      <c r="E61" s="15">
        <f t="shared" si="5"/>
        <v>102415.18</v>
      </c>
      <c r="F61" s="15">
        <f t="shared" si="7"/>
        <v>915236.17999999993</v>
      </c>
      <c r="G61" s="15">
        <f t="shared" si="8"/>
        <v>13817919</v>
      </c>
    </row>
    <row r="62" spans="1:7" x14ac:dyDescent="0.3">
      <c r="A62" s="17" t="e">
        <f t="shared" si="1"/>
        <v>#REF!</v>
      </c>
      <c r="B62" s="14">
        <v>46357</v>
      </c>
      <c r="C62" s="15">
        <f t="shared" si="6"/>
        <v>13817919</v>
      </c>
      <c r="D62" s="15">
        <v>812821</v>
      </c>
      <c r="E62" s="15">
        <f t="shared" si="5"/>
        <v>96725.433000000005</v>
      </c>
      <c r="F62" s="15">
        <f t="shared" si="7"/>
        <v>909546.43299999996</v>
      </c>
      <c r="G62" s="15">
        <f t="shared" si="8"/>
        <v>13005098</v>
      </c>
    </row>
    <row r="63" spans="1:7" x14ac:dyDescent="0.3">
      <c r="A63" s="17" t="e">
        <f t="shared" si="1"/>
        <v>#REF!</v>
      </c>
      <c r="B63" s="14">
        <v>46388</v>
      </c>
      <c r="C63" s="15">
        <f t="shared" si="6"/>
        <v>13005098</v>
      </c>
      <c r="D63" s="15">
        <v>812821</v>
      </c>
      <c r="E63" s="15">
        <f t="shared" si="5"/>
        <v>91035.686000000002</v>
      </c>
      <c r="F63" s="15">
        <f t="shared" si="7"/>
        <v>903856.68599999999</v>
      </c>
      <c r="G63" s="15">
        <f t="shared" si="8"/>
        <v>12192277</v>
      </c>
    </row>
    <row r="64" spans="1:7" x14ac:dyDescent="0.3">
      <c r="A64" s="17" t="e">
        <f t="shared" si="1"/>
        <v>#REF!</v>
      </c>
      <c r="B64" s="14">
        <v>46419</v>
      </c>
      <c r="C64" s="15">
        <f t="shared" si="6"/>
        <v>12192277</v>
      </c>
      <c r="D64" s="15">
        <v>812821</v>
      </c>
      <c r="E64" s="15">
        <f t="shared" si="5"/>
        <v>85345.938999999998</v>
      </c>
      <c r="F64" s="15">
        <f t="shared" si="7"/>
        <v>898166.93900000001</v>
      </c>
      <c r="G64" s="15">
        <f t="shared" si="8"/>
        <v>11379456</v>
      </c>
    </row>
    <row r="65" spans="1:7" x14ac:dyDescent="0.3">
      <c r="A65" s="17" t="e">
        <f t="shared" ref="A65:A76" si="9">A64+1</f>
        <v>#REF!</v>
      </c>
      <c r="B65" s="14">
        <v>46447</v>
      </c>
      <c r="C65" s="15">
        <f t="shared" si="6"/>
        <v>11379456</v>
      </c>
      <c r="D65" s="15">
        <v>812821</v>
      </c>
      <c r="E65" s="15">
        <f t="shared" si="5"/>
        <v>79656.191999999995</v>
      </c>
      <c r="F65" s="15">
        <f t="shared" si="7"/>
        <v>892477.19200000004</v>
      </c>
      <c r="G65" s="15">
        <f t="shared" si="8"/>
        <v>10566635</v>
      </c>
    </row>
    <row r="66" spans="1:7" x14ac:dyDescent="0.3">
      <c r="A66" s="17" t="e">
        <f t="shared" si="9"/>
        <v>#REF!</v>
      </c>
      <c r="B66" s="14">
        <v>46478</v>
      </c>
      <c r="C66" s="15">
        <f t="shared" si="6"/>
        <v>10566635</v>
      </c>
      <c r="D66" s="15">
        <v>812821</v>
      </c>
      <c r="E66" s="15">
        <f t="shared" si="5"/>
        <v>73966.444999999992</v>
      </c>
      <c r="F66" s="15">
        <f t="shared" si="7"/>
        <v>886787.44499999995</v>
      </c>
      <c r="G66" s="15">
        <f t="shared" si="8"/>
        <v>9753814</v>
      </c>
    </row>
    <row r="67" spans="1:7" x14ac:dyDescent="0.3">
      <c r="A67" s="17" t="e">
        <f t="shared" si="9"/>
        <v>#REF!</v>
      </c>
      <c r="B67" s="14">
        <v>46508</v>
      </c>
      <c r="C67" s="15">
        <f t="shared" si="6"/>
        <v>9753814</v>
      </c>
      <c r="D67" s="15">
        <v>812821</v>
      </c>
      <c r="E67" s="15">
        <f t="shared" si="5"/>
        <v>68276.698000000004</v>
      </c>
      <c r="F67" s="15">
        <f t="shared" si="7"/>
        <v>881097.69799999997</v>
      </c>
      <c r="G67" s="15">
        <f t="shared" si="8"/>
        <v>8940993</v>
      </c>
    </row>
    <row r="68" spans="1:7" x14ac:dyDescent="0.3">
      <c r="A68" s="17" t="e">
        <f t="shared" si="9"/>
        <v>#REF!</v>
      </c>
      <c r="B68" s="14">
        <v>46539</v>
      </c>
      <c r="C68" s="15">
        <f t="shared" si="6"/>
        <v>8940993</v>
      </c>
      <c r="D68" s="15">
        <v>812821</v>
      </c>
      <c r="E68" s="15">
        <f t="shared" si="5"/>
        <v>62586.951000000001</v>
      </c>
      <c r="F68" s="15">
        <f t="shared" si="7"/>
        <v>875407.951</v>
      </c>
      <c r="G68" s="15">
        <f t="shared" si="8"/>
        <v>8128172</v>
      </c>
    </row>
    <row r="69" spans="1:7" x14ac:dyDescent="0.3">
      <c r="A69" s="17" t="e">
        <f t="shared" si="9"/>
        <v>#REF!</v>
      </c>
      <c r="B69" s="14">
        <v>46569</v>
      </c>
      <c r="C69" s="15">
        <f t="shared" si="6"/>
        <v>8128172</v>
      </c>
      <c r="D69" s="15">
        <v>812821</v>
      </c>
      <c r="E69" s="15">
        <f t="shared" si="5"/>
        <v>56897.203999999998</v>
      </c>
      <c r="F69" s="15">
        <f t="shared" si="7"/>
        <v>869718.20400000003</v>
      </c>
      <c r="G69" s="15">
        <f t="shared" si="8"/>
        <v>7315351</v>
      </c>
    </row>
    <row r="70" spans="1:7" x14ac:dyDescent="0.3">
      <c r="A70" s="17" t="e">
        <f t="shared" si="9"/>
        <v>#REF!</v>
      </c>
      <c r="B70" s="14">
        <v>46600</v>
      </c>
      <c r="C70" s="15">
        <f t="shared" si="6"/>
        <v>7315351</v>
      </c>
      <c r="D70" s="15">
        <v>812821</v>
      </c>
      <c r="E70" s="15">
        <f t="shared" si="5"/>
        <v>51207.457000000002</v>
      </c>
      <c r="F70" s="15">
        <f t="shared" si="7"/>
        <v>864028.45700000005</v>
      </c>
      <c r="G70" s="15">
        <f t="shared" si="8"/>
        <v>6502530</v>
      </c>
    </row>
    <row r="71" spans="1:7" x14ac:dyDescent="0.3">
      <c r="A71" s="17" t="e">
        <f t="shared" si="9"/>
        <v>#REF!</v>
      </c>
      <c r="B71" s="14">
        <v>46631</v>
      </c>
      <c r="C71" s="15">
        <f t="shared" si="6"/>
        <v>6502530</v>
      </c>
      <c r="D71" s="15">
        <v>812821</v>
      </c>
      <c r="E71" s="15">
        <f t="shared" ref="E71:E78" si="10">C71*$E$4/100/12</f>
        <v>45517.71</v>
      </c>
      <c r="F71" s="15">
        <f t="shared" si="7"/>
        <v>858338.71</v>
      </c>
      <c r="G71" s="15">
        <f t="shared" si="8"/>
        <v>5689709</v>
      </c>
    </row>
    <row r="72" spans="1:7" x14ac:dyDescent="0.3">
      <c r="A72" s="17" t="e">
        <f t="shared" si="9"/>
        <v>#REF!</v>
      </c>
      <c r="B72" s="14">
        <v>46661</v>
      </c>
      <c r="C72" s="15">
        <f t="shared" si="6"/>
        <v>5689709</v>
      </c>
      <c r="D72" s="15">
        <v>812821</v>
      </c>
      <c r="E72" s="15">
        <f t="shared" si="10"/>
        <v>39827.963000000003</v>
      </c>
      <c r="F72" s="15">
        <f t="shared" si="7"/>
        <v>852648.96299999999</v>
      </c>
      <c r="G72" s="15">
        <f t="shared" si="8"/>
        <v>4876888</v>
      </c>
    </row>
    <row r="73" spans="1:7" x14ac:dyDescent="0.3">
      <c r="A73" s="17" t="e">
        <f t="shared" si="9"/>
        <v>#REF!</v>
      </c>
      <c r="B73" s="14">
        <v>46692</v>
      </c>
      <c r="C73" s="15">
        <f t="shared" si="6"/>
        <v>4876888</v>
      </c>
      <c r="D73" s="15">
        <v>812821</v>
      </c>
      <c r="E73" s="15">
        <f t="shared" si="10"/>
        <v>34138.216</v>
      </c>
      <c r="F73" s="15">
        <f t="shared" si="7"/>
        <v>846959.21600000001</v>
      </c>
      <c r="G73" s="15">
        <f t="shared" si="8"/>
        <v>4064067</v>
      </c>
    </row>
    <row r="74" spans="1:7" x14ac:dyDescent="0.3">
      <c r="A74" s="17" t="e">
        <f t="shared" si="9"/>
        <v>#REF!</v>
      </c>
      <c r="B74" s="14">
        <v>46722</v>
      </c>
      <c r="C74" s="15">
        <f t="shared" si="6"/>
        <v>4064067</v>
      </c>
      <c r="D74" s="15">
        <v>812821</v>
      </c>
      <c r="E74" s="15">
        <f t="shared" si="10"/>
        <v>28448.469000000001</v>
      </c>
      <c r="F74" s="15">
        <f t="shared" si="7"/>
        <v>841269.46900000004</v>
      </c>
      <c r="G74" s="15">
        <f t="shared" si="8"/>
        <v>3251246</v>
      </c>
    </row>
    <row r="75" spans="1:7" x14ac:dyDescent="0.3">
      <c r="A75" s="17" t="e">
        <f t="shared" si="9"/>
        <v>#REF!</v>
      </c>
      <c r="B75" s="14">
        <v>46753</v>
      </c>
      <c r="C75" s="15">
        <f t="shared" si="6"/>
        <v>3251246</v>
      </c>
      <c r="D75" s="15">
        <v>812821</v>
      </c>
      <c r="E75" s="15">
        <f t="shared" si="10"/>
        <v>22758.722000000005</v>
      </c>
      <c r="F75" s="15">
        <f t="shared" si="7"/>
        <v>835579.72199999995</v>
      </c>
      <c r="G75" s="15">
        <f t="shared" si="8"/>
        <v>2438425</v>
      </c>
    </row>
    <row r="76" spans="1:7" x14ac:dyDescent="0.3">
      <c r="A76" s="17" t="e">
        <f t="shared" si="9"/>
        <v>#REF!</v>
      </c>
      <c r="B76" s="14">
        <v>46784</v>
      </c>
      <c r="C76" s="15">
        <f t="shared" si="6"/>
        <v>2438425</v>
      </c>
      <c r="D76" s="15">
        <v>812821</v>
      </c>
      <c r="E76" s="15">
        <f t="shared" si="10"/>
        <v>17068.975000000002</v>
      </c>
      <c r="F76" s="15">
        <f t="shared" si="7"/>
        <v>829889.97499999998</v>
      </c>
      <c r="G76" s="15">
        <f t="shared" si="8"/>
        <v>1625604</v>
      </c>
    </row>
    <row r="77" spans="1:7" x14ac:dyDescent="0.3">
      <c r="B77" s="14">
        <v>46813</v>
      </c>
      <c r="C77" s="15">
        <f t="shared" ref="C77:C78" si="11">G76</f>
        <v>1625604</v>
      </c>
      <c r="D77" s="15">
        <v>812821</v>
      </c>
      <c r="E77" s="15">
        <f t="shared" si="10"/>
        <v>11379.228000000001</v>
      </c>
      <c r="F77" s="15">
        <f t="shared" ref="F77:F78" si="12">D77+E77</f>
        <v>824200.228</v>
      </c>
      <c r="G77" s="15">
        <f t="shared" ref="G77:G78" si="13">C77-D77</f>
        <v>812783</v>
      </c>
    </row>
    <row r="78" spans="1:7" x14ac:dyDescent="0.3">
      <c r="B78" s="14">
        <v>47209</v>
      </c>
      <c r="C78" s="15">
        <f t="shared" si="11"/>
        <v>812783</v>
      </c>
      <c r="D78" s="15">
        <f>C78</f>
        <v>812783</v>
      </c>
      <c r="E78" s="15">
        <f t="shared" si="10"/>
        <v>5689.4809999999998</v>
      </c>
      <c r="F78" s="15">
        <f t="shared" si="12"/>
        <v>818472.48100000003</v>
      </c>
      <c r="G78" s="15">
        <f t="shared" si="13"/>
        <v>0</v>
      </c>
    </row>
    <row r="79" spans="1:7" x14ac:dyDescent="0.3">
      <c r="C79" s="2"/>
      <c r="D79" s="2"/>
      <c r="E79" s="2"/>
      <c r="F79" s="2"/>
      <c r="G79" s="2"/>
    </row>
    <row r="80" spans="1:7" x14ac:dyDescent="0.3">
      <c r="C80" s="2"/>
      <c r="D80" s="2"/>
      <c r="E80" s="2"/>
      <c r="F80" s="2"/>
      <c r="G80" s="2"/>
    </row>
    <row r="81" spans="3:7" x14ac:dyDescent="0.3">
      <c r="C81" s="2"/>
      <c r="D81" s="2"/>
      <c r="E81" s="2"/>
      <c r="F81" s="2"/>
      <c r="G81" s="2"/>
    </row>
    <row r="82" spans="3:7" x14ac:dyDescent="0.3">
      <c r="C82" s="2"/>
      <c r="D82" s="2"/>
      <c r="E82" s="2"/>
      <c r="F82" s="2"/>
      <c r="G82" s="2"/>
    </row>
    <row r="83" spans="3:7" x14ac:dyDescent="0.3">
      <c r="C83" s="2"/>
      <c r="D83" s="2"/>
      <c r="E83" s="2"/>
      <c r="F83" s="2"/>
      <c r="G83" s="2"/>
    </row>
    <row r="84" spans="3:7" x14ac:dyDescent="0.3">
      <c r="C84" s="2"/>
      <c r="D84" s="2"/>
      <c r="E84" s="2"/>
      <c r="F84" s="2"/>
      <c r="G84" s="2"/>
    </row>
    <row r="85" spans="3:7" x14ac:dyDescent="0.3">
      <c r="C85" s="2"/>
      <c r="D85" s="2"/>
      <c r="E85" s="2"/>
      <c r="F85" s="2"/>
      <c r="G85" s="2"/>
    </row>
    <row r="86" spans="3:7" x14ac:dyDescent="0.3">
      <c r="C86" s="2"/>
      <c r="D86" s="2"/>
      <c r="E86" s="2"/>
      <c r="F86" s="2"/>
      <c r="G86" s="2"/>
    </row>
    <row r="87" spans="3:7" x14ac:dyDescent="0.3">
      <c r="C87" s="2"/>
      <c r="D87" s="2"/>
      <c r="E87" s="2"/>
      <c r="F87" s="2"/>
      <c r="G87" s="2"/>
    </row>
    <row r="88" spans="3:7" x14ac:dyDescent="0.3">
      <c r="C88" s="2"/>
      <c r="D88" s="2"/>
      <c r="E88" s="2"/>
      <c r="F88" s="2"/>
      <c r="G88" s="2"/>
    </row>
    <row r="89" spans="3:7" x14ac:dyDescent="0.3">
      <c r="C89" s="2"/>
      <c r="D89" s="2"/>
      <c r="E89" s="2"/>
      <c r="F89" s="2"/>
      <c r="G89" s="2"/>
    </row>
    <row r="90" spans="3:7" x14ac:dyDescent="0.3">
      <c r="C90" s="2"/>
      <c r="D90" s="2"/>
      <c r="E90" s="2"/>
      <c r="F90" s="2"/>
      <c r="G90" s="2"/>
    </row>
    <row r="91" spans="3:7" x14ac:dyDescent="0.3">
      <c r="C91" s="2"/>
      <c r="D91" s="2"/>
      <c r="E91" s="2"/>
      <c r="F91" s="2"/>
      <c r="G91" s="2"/>
    </row>
    <row r="92" spans="3:7" x14ac:dyDescent="0.3">
      <c r="C92" s="2"/>
      <c r="D92" s="2"/>
      <c r="E92" s="2"/>
      <c r="F92" s="2"/>
      <c r="G92" s="2"/>
    </row>
    <row r="93" spans="3:7" x14ac:dyDescent="0.3">
      <c r="C93" s="2"/>
      <c r="D93" s="2"/>
      <c r="E93" s="2"/>
      <c r="F93" s="2"/>
      <c r="G93" s="2"/>
    </row>
    <row r="94" spans="3:7" x14ac:dyDescent="0.3">
      <c r="C94" s="2"/>
      <c r="D94" s="2"/>
      <c r="E94" s="2"/>
      <c r="F94" s="2"/>
      <c r="G94" s="2"/>
    </row>
    <row r="95" spans="3:7" x14ac:dyDescent="0.3">
      <c r="C95" s="2"/>
      <c r="D95" s="2"/>
      <c r="E95" s="2"/>
      <c r="F95" s="2"/>
      <c r="G95" s="2"/>
    </row>
    <row r="96" spans="3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7" x14ac:dyDescent="0.3">
      <c r="C129" s="2"/>
      <c r="D129" s="2"/>
      <c r="E129" s="2"/>
      <c r="F129" s="2"/>
      <c r="G129" s="2"/>
    </row>
    <row r="130" spans="3:7" x14ac:dyDescent="0.3">
      <c r="C130" s="2"/>
      <c r="D130" s="2"/>
      <c r="E130" s="2"/>
      <c r="F130" s="2"/>
      <c r="G130" s="2"/>
    </row>
    <row r="131" spans="3:7" x14ac:dyDescent="0.3">
      <c r="C131" s="2"/>
      <c r="D131" s="2"/>
      <c r="E131" s="2"/>
      <c r="F131" s="2"/>
      <c r="G131" s="2"/>
    </row>
    <row r="132" spans="3:7" x14ac:dyDescent="0.3">
      <c r="C132" s="2"/>
      <c r="D132" s="2"/>
      <c r="E132" s="2"/>
      <c r="F132" s="2"/>
      <c r="G132" s="2"/>
    </row>
    <row r="133" spans="3:7" x14ac:dyDescent="0.3">
      <c r="C133" s="2"/>
      <c r="D133" s="2"/>
      <c r="E133" s="2"/>
      <c r="F133" s="2"/>
      <c r="G133" s="2"/>
    </row>
    <row r="134" spans="3:7" x14ac:dyDescent="0.3">
      <c r="C134" s="2"/>
      <c r="D134" s="2"/>
      <c r="E134" s="2"/>
      <c r="F134" s="2"/>
      <c r="G134" s="2"/>
    </row>
    <row r="135" spans="3:7" x14ac:dyDescent="0.3">
      <c r="C135" s="2"/>
      <c r="D135" s="2"/>
      <c r="E135" s="2"/>
      <c r="F135" s="2"/>
      <c r="G135" s="2"/>
    </row>
    <row r="136" spans="3:7" x14ac:dyDescent="0.3">
      <c r="C136" s="2"/>
      <c r="D136" s="2"/>
      <c r="E136" s="2"/>
      <c r="F136" s="2"/>
      <c r="G136" s="2"/>
    </row>
    <row r="137" spans="3:7" x14ac:dyDescent="0.3">
      <c r="C137" s="2"/>
      <c r="D137" s="2"/>
      <c r="E137" s="2"/>
      <c r="F137" s="2"/>
      <c r="G137" s="2"/>
    </row>
    <row r="138" spans="3:7" x14ac:dyDescent="0.3">
      <c r="C138" s="2"/>
      <c r="D138" s="2"/>
      <c r="E138" s="2"/>
      <c r="F138" s="2"/>
      <c r="G138" s="2"/>
    </row>
    <row r="139" spans="3:7" x14ac:dyDescent="0.3">
      <c r="C139" s="2"/>
      <c r="D139" s="2"/>
      <c r="E139" s="2"/>
      <c r="F139" s="2"/>
      <c r="G139" s="2"/>
    </row>
    <row r="140" spans="3:7" x14ac:dyDescent="0.3">
      <c r="C140" s="2"/>
      <c r="D140" s="2"/>
      <c r="E140" s="2"/>
      <c r="F140" s="2"/>
      <c r="G140" s="2"/>
    </row>
    <row r="141" spans="3:7" x14ac:dyDescent="0.3">
      <c r="C141" s="2"/>
      <c r="D141" s="2"/>
      <c r="E141" s="2"/>
      <c r="F141" s="2"/>
      <c r="G141" s="2"/>
    </row>
    <row r="142" spans="3:7" x14ac:dyDescent="0.3">
      <c r="C142" s="2"/>
      <c r="D142" s="2"/>
      <c r="E142" s="2"/>
      <c r="F142" s="2"/>
      <c r="G142" s="2"/>
    </row>
    <row r="143" spans="3:7" x14ac:dyDescent="0.3">
      <c r="C143" s="2"/>
      <c r="D143" s="2"/>
      <c r="E143" s="2"/>
      <c r="F143" s="2"/>
      <c r="G143" s="2"/>
    </row>
    <row r="144" spans="3:7" x14ac:dyDescent="0.3">
      <c r="C144" s="2"/>
      <c r="D144" s="2"/>
      <c r="E144" s="2"/>
      <c r="F144" s="2"/>
      <c r="G144" s="2"/>
    </row>
    <row r="145" spans="3:7" x14ac:dyDescent="0.3">
      <c r="C145" s="2"/>
      <c r="D145" s="2"/>
      <c r="E145" s="2"/>
      <c r="F145" s="2"/>
      <c r="G145" s="2"/>
    </row>
    <row r="146" spans="3:7" x14ac:dyDescent="0.3">
      <c r="C146" s="2"/>
      <c r="D146" s="2"/>
      <c r="E146" s="2"/>
      <c r="F146" s="2"/>
      <c r="G146" s="2"/>
    </row>
    <row r="147" spans="3:7" x14ac:dyDescent="0.3">
      <c r="C147" s="2"/>
      <c r="D147" s="2"/>
      <c r="E147" s="2"/>
      <c r="F147" s="2"/>
      <c r="G147" s="2"/>
    </row>
    <row r="148" spans="3:7" x14ac:dyDescent="0.3">
      <c r="C148" s="2"/>
      <c r="D148" s="2"/>
      <c r="E148" s="2"/>
      <c r="F148" s="2"/>
      <c r="G148" s="2"/>
    </row>
    <row r="149" spans="3:7" x14ac:dyDescent="0.3">
      <c r="C149" s="2"/>
      <c r="D149" s="2"/>
      <c r="E149" s="2"/>
      <c r="F149" s="2"/>
      <c r="G149" s="2"/>
    </row>
    <row r="150" spans="3:7" x14ac:dyDescent="0.3">
      <c r="C150" s="2"/>
      <c r="D150" s="2"/>
      <c r="E150" s="2"/>
      <c r="F150" s="2"/>
      <c r="G150" s="2"/>
    </row>
    <row r="151" spans="3:7" x14ac:dyDescent="0.3">
      <c r="C151" s="2"/>
      <c r="D151" s="2"/>
      <c r="E151" s="2"/>
      <c r="F151" s="2"/>
      <c r="G151" s="2"/>
    </row>
    <row r="152" spans="3:7" x14ac:dyDescent="0.3">
      <c r="C152" s="2"/>
      <c r="D152" s="2"/>
      <c r="E152" s="2"/>
      <c r="F152" s="2"/>
      <c r="G152" s="2"/>
    </row>
    <row r="153" spans="3:7" x14ac:dyDescent="0.3">
      <c r="C153" s="2"/>
      <c r="D153" s="2"/>
      <c r="E153" s="2"/>
      <c r="F153" s="2"/>
    </row>
    <row r="154" spans="3:7" x14ac:dyDescent="0.3">
      <c r="C154" s="2"/>
      <c r="D154" s="2"/>
      <c r="E154" s="2"/>
      <c r="F154" s="2"/>
    </row>
    <row r="155" spans="3:7" x14ac:dyDescent="0.3">
      <c r="C155" s="2"/>
      <c r="D155" s="2"/>
      <c r="E155" s="2"/>
      <c r="F155" s="2"/>
    </row>
    <row r="156" spans="3:7" x14ac:dyDescent="0.3">
      <c r="C156" s="2"/>
      <c r="D156" s="2"/>
      <c r="E156" s="2"/>
      <c r="F156" s="2"/>
    </row>
    <row r="157" spans="3:7" x14ac:dyDescent="0.3">
      <c r="C157" s="2"/>
      <c r="D157" s="2"/>
      <c r="E157" s="2"/>
      <c r="F157" s="2"/>
    </row>
    <row r="158" spans="3:7" x14ac:dyDescent="0.3">
      <c r="C158" s="2"/>
      <c r="D158" s="2"/>
      <c r="E158" s="2"/>
      <c r="F158" s="2"/>
    </row>
    <row r="159" spans="3:7" x14ac:dyDescent="0.3">
      <c r="C159" s="2"/>
      <c r="D159" s="2"/>
      <c r="E159" s="2"/>
      <c r="F159" s="2"/>
    </row>
    <row r="160" spans="3:7" x14ac:dyDescent="0.3">
      <c r="C160" s="2"/>
      <c r="D160" s="2"/>
      <c r="E160" s="2"/>
      <c r="F160" s="2"/>
    </row>
    <row r="161" spans="3:6" x14ac:dyDescent="0.3">
      <c r="C161" s="2"/>
      <c r="D161" s="2"/>
      <c r="E161" s="2"/>
      <c r="F161" s="2"/>
    </row>
    <row r="162" spans="3:6" x14ac:dyDescent="0.3">
      <c r="C162" s="2"/>
      <c r="D162" s="2"/>
      <c r="E162" s="2"/>
      <c r="F162" s="2"/>
    </row>
    <row r="163" spans="3:6" x14ac:dyDescent="0.3">
      <c r="C163" s="2"/>
      <c r="D163" s="2"/>
      <c r="E163" s="2"/>
      <c r="F163" s="2"/>
    </row>
    <row r="164" spans="3:6" x14ac:dyDescent="0.3">
      <c r="C164" s="2"/>
      <c r="D164" s="2"/>
      <c r="E164" s="2"/>
      <c r="F164" s="2"/>
    </row>
    <row r="165" spans="3:6" x14ac:dyDescent="0.3">
      <c r="C165" s="2"/>
      <c r="D165" s="2"/>
      <c r="E165" s="2"/>
      <c r="F165" s="2"/>
    </row>
    <row r="166" spans="3:6" x14ac:dyDescent="0.3">
      <c r="C166" s="2"/>
      <c r="D166" s="2"/>
      <c r="E166" s="2"/>
      <c r="F166" s="2"/>
    </row>
    <row r="167" spans="3:6" x14ac:dyDescent="0.3">
      <c r="C167" s="2"/>
      <c r="D167" s="2"/>
      <c r="E167" s="2"/>
      <c r="F167" s="2"/>
    </row>
    <row r="168" spans="3:6" x14ac:dyDescent="0.3">
      <c r="C168" s="2"/>
      <c r="D168" s="2"/>
      <c r="E168" s="2"/>
      <c r="F168" s="2"/>
    </row>
    <row r="169" spans="3:6" x14ac:dyDescent="0.3">
      <c r="C169" s="2"/>
      <c r="D169" s="2"/>
      <c r="E169" s="2"/>
      <c r="F169" s="2"/>
    </row>
    <row r="170" spans="3:6" x14ac:dyDescent="0.3">
      <c r="C170" s="2"/>
      <c r="D170" s="2"/>
      <c r="E170" s="2"/>
      <c r="F170" s="2"/>
    </row>
    <row r="171" spans="3:6" x14ac:dyDescent="0.3">
      <c r="C171" s="2"/>
      <c r="D171" s="2"/>
      <c r="E171" s="2"/>
      <c r="F171" s="2"/>
    </row>
    <row r="172" spans="3:6" x14ac:dyDescent="0.3">
      <c r="C172" s="2"/>
      <c r="D172" s="2"/>
      <c r="E172" s="2"/>
      <c r="F172" s="2"/>
    </row>
    <row r="173" spans="3:6" x14ac:dyDescent="0.3">
      <c r="C173" s="2"/>
      <c r="D173" s="2"/>
      <c r="E173" s="2"/>
      <c r="F173" s="2"/>
    </row>
    <row r="174" spans="3:6" x14ac:dyDescent="0.3">
      <c r="C174" s="2"/>
      <c r="D174" s="2"/>
      <c r="E174" s="2"/>
      <c r="F174" s="2"/>
    </row>
    <row r="175" spans="3:6" x14ac:dyDescent="0.3">
      <c r="C175" s="2"/>
      <c r="D175" s="2"/>
      <c r="E175" s="2"/>
      <c r="F175" s="2"/>
    </row>
    <row r="176" spans="3:6" x14ac:dyDescent="0.3">
      <c r="C176" s="2"/>
      <c r="D176" s="2"/>
      <c r="E176" s="2"/>
      <c r="F176" s="2"/>
    </row>
  </sheetData>
  <pageMargins left="0.7" right="0.7" top="0.75" bottom="0.75" header="0.3" footer="0.3"/>
  <pageSetup paperSize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71"/>
  <sheetViews>
    <sheetView topLeftCell="B1" workbookViewId="0">
      <selection activeCell="E16" sqref="E16"/>
    </sheetView>
  </sheetViews>
  <sheetFormatPr defaultRowHeight="14.4" x14ac:dyDescent="0.3"/>
  <cols>
    <col min="1" max="1" width="8.88671875" style="4" hidden="1" customWidth="1"/>
    <col min="2" max="2" width="15.5546875" bestFit="1" customWidth="1"/>
    <col min="3" max="3" width="16.88671875" bestFit="1" customWidth="1"/>
    <col min="4" max="4" width="14.109375" bestFit="1" customWidth="1"/>
    <col min="5" max="6" width="14.109375" customWidth="1"/>
    <col min="7" max="7" width="15.6640625" bestFit="1" customWidth="1"/>
    <col min="8" max="8" width="13.33203125" bestFit="1" customWidth="1"/>
    <col min="10" max="10" width="9.5546875" bestFit="1" customWidth="1"/>
  </cols>
  <sheetData>
    <row r="1" spans="1:7" x14ac:dyDescent="0.3">
      <c r="B1" s="31" t="s">
        <v>296</v>
      </c>
    </row>
    <row r="2" spans="1:7" x14ac:dyDescent="0.3">
      <c r="B2" s="26" t="s">
        <v>24</v>
      </c>
      <c r="C2" s="26">
        <v>35578629157</v>
      </c>
    </row>
    <row r="3" spans="1:7" x14ac:dyDescent="0.3">
      <c r="B3" s="1"/>
    </row>
    <row r="4" spans="1:7" x14ac:dyDescent="0.3">
      <c r="B4" s="1"/>
      <c r="E4">
        <v>8.4</v>
      </c>
    </row>
    <row r="5" spans="1:7" ht="35.25" customHeight="1" x14ac:dyDescent="0.3">
      <c r="A5" s="10" t="s">
        <v>0</v>
      </c>
      <c r="B5" s="11" t="s">
        <v>9</v>
      </c>
      <c r="C5" s="28" t="s">
        <v>6</v>
      </c>
      <c r="D5" s="12" t="s">
        <v>11</v>
      </c>
      <c r="E5" s="12" t="s">
        <v>297</v>
      </c>
      <c r="F5" s="12" t="s">
        <v>14</v>
      </c>
      <c r="G5" s="11" t="s">
        <v>12</v>
      </c>
    </row>
    <row r="6" spans="1:7" x14ac:dyDescent="0.3">
      <c r="A6" s="15">
        <v>1</v>
      </c>
      <c r="B6" s="14">
        <v>44652</v>
      </c>
      <c r="C6" s="15">
        <v>12700000</v>
      </c>
      <c r="D6" s="15">
        <v>500000</v>
      </c>
      <c r="E6" s="15">
        <f>C6*7.9/100/12</f>
        <v>83608.333333333328</v>
      </c>
      <c r="F6" s="15">
        <f>D6+E6</f>
        <v>583608.33333333337</v>
      </c>
      <c r="G6" s="15">
        <f t="shared" ref="G6:G31" si="0">C6-D6</f>
        <v>12200000</v>
      </c>
    </row>
    <row r="7" spans="1:7" x14ac:dyDescent="0.3">
      <c r="A7" s="15">
        <f t="shared" ref="A7:A31" si="1">A6+1</f>
        <v>2</v>
      </c>
      <c r="B7" s="14">
        <v>44682</v>
      </c>
      <c r="C7" s="15">
        <f t="shared" ref="C7:C31" si="2">G6</f>
        <v>12200000</v>
      </c>
      <c r="D7" s="15">
        <v>500000</v>
      </c>
      <c r="E7" s="15">
        <f t="shared" ref="E7:E9" si="3">C7*7.9/100/12</f>
        <v>80316.666666666672</v>
      </c>
      <c r="F7" s="15">
        <f t="shared" ref="F7:F31" si="4">D7+E7</f>
        <v>580316.66666666663</v>
      </c>
      <c r="G7" s="15">
        <f t="shared" si="0"/>
        <v>11700000</v>
      </c>
    </row>
    <row r="8" spans="1:7" x14ac:dyDescent="0.3">
      <c r="A8" s="15">
        <f t="shared" si="1"/>
        <v>3</v>
      </c>
      <c r="B8" s="14">
        <v>44713</v>
      </c>
      <c r="C8" s="15">
        <f t="shared" si="2"/>
        <v>11700000</v>
      </c>
      <c r="D8" s="15">
        <v>500000</v>
      </c>
      <c r="E8" s="15">
        <f t="shared" si="3"/>
        <v>77025</v>
      </c>
      <c r="F8" s="15">
        <f t="shared" si="4"/>
        <v>577025</v>
      </c>
      <c r="G8" s="15">
        <f t="shared" si="0"/>
        <v>11200000</v>
      </c>
    </row>
    <row r="9" spans="1:7" x14ac:dyDescent="0.3">
      <c r="A9" s="15">
        <f t="shared" si="1"/>
        <v>4</v>
      </c>
      <c r="B9" s="14">
        <v>44743</v>
      </c>
      <c r="C9" s="15">
        <f t="shared" si="2"/>
        <v>11200000</v>
      </c>
      <c r="D9" s="15">
        <v>500000</v>
      </c>
      <c r="E9" s="15">
        <f t="shared" si="3"/>
        <v>73733.333333333328</v>
      </c>
      <c r="F9" s="15">
        <f t="shared" si="4"/>
        <v>573733.33333333337</v>
      </c>
      <c r="G9" s="15">
        <f t="shared" si="0"/>
        <v>10700000</v>
      </c>
    </row>
    <row r="10" spans="1:7" x14ac:dyDescent="0.3">
      <c r="A10" s="15">
        <f t="shared" si="1"/>
        <v>5</v>
      </c>
      <c r="B10" s="14">
        <v>44774</v>
      </c>
      <c r="C10" s="15">
        <f t="shared" si="2"/>
        <v>10700000</v>
      </c>
      <c r="D10" s="15">
        <v>500000</v>
      </c>
      <c r="E10" s="15">
        <f t="shared" ref="E10:E31" si="5">C10*$E$4/100/12</f>
        <v>74900</v>
      </c>
      <c r="F10" s="15">
        <f t="shared" si="4"/>
        <v>574900</v>
      </c>
      <c r="G10" s="15">
        <f t="shared" si="0"/>
        <v>10200000</v>
      </c>
    </row>
    <row r="11" spans="1:7" x14ac:dyDescent="0.3">
      <c r="A11" s="15">
        <f t="shared" si="1"/>
        <v>6</v>
      </c>
      <c r="B11" s="14">
        <v>44805</v>
      </c>
      <c r="C11" s="15">
        <f t="shared" si="2"/>
        <v>10200000</v>
      </c>
      <c r="D11" s="15">
        <v>500000</v>
      </c>
      <c r="E11" s="15">
        <f t="shared" si="5"/>
        <v>71400</v>
      </c>
      <c r="F11" s="15">
        <f t="shared" si="4"/>
        <v>571400</v>
      </c>
      <c r="G11" s="15">
        <f t="shared" si="0"/>
        <v>9700000</v>
      </c>
    </row>
    <row r="12" spans="1:7" x14ac:dyDescent="0.3">
      <c r="A12" s="15">
        <f t="shared" si="1"/>
        <v>7</v>
      </c>
      <c r="B12" s="14">
        <v>44835</v>
      </c>
      <c r="C12" s="15">
        <f t="shared" si="2"/>
        <v>9700000</v>
      </c>
      <c r="D12" s="15">
        <v>500000</v>
      </c>
      <c r="E12" s="15">
        <f t="shared" si="5"/>
        <v>67900</v>
      </c>
      <c r="F12" s="15">
        <f t="shared" si="4"/>
        <v>567900</v>
      </c>
      <c r="G12" s="15">
        <f t="shared" si="0"/>
        <v>9200000</v>
      </c>
    </row>
    <row r="13" spans="1:7" x14ac:dyDescent="0.3">
      <c r="A13" s="15">
        <f t="shared" si="1"/>
        <v>8</v>
      </c>
      <c r="B13" s="14">
        <v>44866</v>
      </c>
      <c r="C13" s="15">
        <f t="shared" si="2"/>
        <v>9200000</v>
      </c>
      <c r="D13" s="15">
        <v>500000</v>
      </c>
      <c r="E13" s="15">
        <f t="shared" si="5"/>
        <v>64400</v>
      </c>
      <c r="F13" s="15">
        <f t="shared" si="4"/>
        <v>564400</v>
      </c>
      <c r="G13" s="15">
        <f t="shared" si="0"/>
        <v>8700000</v>
      </c>
    </row>
    <row r="14" spans="1:7" x14ac:dyDescent="0.3">
      <c r="A14" s="15">
        <f t="shared" si="1"/>
        <v>9</v>
      </c>
      <c r="B14" s="14">
        <v>44896</v>
      </c>
      <c r="C14" s="15">
        <f t="shared" si="2"/>
        <v>8700000</v>
      </c>
      <c r="D14" s="15">
        <v>500000</v>
      </c>
      <c r="E14" s="15">
        <f t="shared" si="5"/>
        <v>60900</v>
      </c>
      <c r="F14" s="15">
        <f t="shared" si="4"/>
        <v>560900</v>
      </c>
      <c r="G14" s="15">
        <f t="shared" si="0"/>
        <v>8200000</v>
      </c>
    </row>
    <row r="15" spans="1:7" x14ac:dyDescent="0.3">
      <c r="A15" s="15">
        <f t="shared" si="1"/>
        <v>10</v>
      </c>
      <c r="B15" s="14">
        <v>44927</v>
      </c>
      <c r="C15" s="15">
        <f t="shared" si="2"/>
        <v>8200000</v>
      </c>
      <c r="D15" s="15">
        <v>500000</v>
      </c>
      <c r="E15" s="15">
        <f t="shared" si="5"/>
        <v>57400</v>
      </c>
      <c r="F15" s="15">
        <f t="shared" si="4"/>
        <v>557400</v>
      </c>
      <c r="G15" s="15">
        <f t="shared" si="0"/>
        <v>7700000</v>
      </c>
    </row>
    <row r="16" spans="1:7" x14ac:dyDescent="0.3">
      <c r="A16" s="15">
        <f t="shared" si="1"/>
        <v>11</v>
      </c>
      <c r="B16" s="14">
        <v>44958</v>
      </c>
      <c r="C16" s="15">
        <f t="shared" si="2"/>
        <v>7700000</v>
      </c>
      <c r="D16" s="15">
        <v>500000</v>
      </c>
      <c r="E16" s="15">
        <f t="shared" si="5"/>
        <v>53900</v>
      </c>
      <c r="F16" s="15">
        <f t="shared" si="4"/>
        <v>553900</v>
      </c>
      <c r="G16" s="15">
        <f t="shared" si="0"/>
        <v>7200000</v>
      </c>
    </row>
    <row r="17" spans="1:7" x14ac:dyDescent="0.3">
      <c r="A17" s="15">
        <f t="shared" si="1"/>
        <v>12</v>
      </c>
      <c r="B17" s="14">
        <v>44986</v>
      </c>
      <c r="C17" s="15">
        <f t="shared" si="2"/>
        <v>7200000</v>
      </c>
      <c r="D17" s="15">
        <v>500000</v>
      </c>
      <c r="E17" s="15">
        <f t="shared" si="5"/>
        <v>50400</v>
      </c>
      <c r="F17" s="15">
        <f t="shared" si="4"/>
        <v>550400</v>
      </c>
      <c r="G17" s="15">
        <f t="shared" si="0"/>
        <v>6700000</v>
      </c>
    </row>
    <row r="18" spans="1:7" x14ac:dyDescent="0.3">
      <c r="A18" s="15">
        <f t="shared" si="1"/>
        <v>13</v>
      </c>
      <c r="B18" s="14">
        <v>45017</v>
      </c>
      <c r="C18" s="15">
        <f t="shared" si="2"/>
        <v>6700000</v>
      </c>
      <c r="D18" s="15">
        <v>500000</v>
      </c>
      <c r="E18" s="15">
        <f t="shared" si="5"/>
        <v>46900</v>
      </c>
      <c r="F18" s="15">
        <f t="shared" si="4"/>
        <v>546900</v>
      </c>
      <c r="G18" s="15">
        <f t="shared" si="0"/>
        <v>6200000</v>
      </c>
    </row>
    <row r="19" spans="1:7" x14ac:dyDescent="0.3">
      <c r="A19" s="15">
        <f t="shared" si="1"/>
        <v>14</v>
      </c>
      <c r="B19" s="14">
        <v>45047</v>
      </c>
      <c r="C19" s="15">
        <f t="shared" si="2"/>
        <v>6200000</v>
      </c>
      <c r="D19" s="15">
        <v>500000</v>
      </c>
      <c r="E19" s="15">
        <f t="shared" si="5"/>
        <v>43400</v>
      </c>
      <c r="F19" s="15">
        <f t="shared" si="4"/>
        <v>543400</v>
      </c>
      <c r="G19" s="15">
        <f t="shared" si="0"/>
        <v>5700000</v>
      </c>
    </row>
    <row r="20" spans="1:7" x14ac:dyDescent="0.3">
      <c r="A20" s="15">
        <f t="shared" si="1"/>
        <v>15</v>
      </c>
      <c r="B20" s="14">
        <v>45078</v>
      </c>
      <c r="C20" s="15">
        <f t="shared" si="2"/>
        <v>5700000</v>
      </c>
      <c r="D20" s="15">
        <v>500000</v>
      </c>
      <c r="E20" s="15">
        <f t="shared" si="5"/>
        <v>39900</v>
      </c>
      <c r="F20" s="15">
        <f t="shared" si="4"/>
        <v>539900</v>
      </c>
      <c r="G20" s="15">
        <f t="shared" si="0"/>
        <v>5200000</v>
      </c>
    </row>
    <row r="21" spans="1:7" x14ac:dyDescent="0.3">
      <c r="A21" s="15">
        <f t="shared" si="1"/>
        <v>16</v>
      </c>
      <c r="B21" s="14">
        <v>45108</v>
      </c>
      <c r="C21" s="15">
        <f t="shared" si="2"/>
        <v>5200000</v>
      </c>
      <c r="D21" s="15">
        <v>500000</v>
      </c>
      <c r="E21" s="15">
        <f t="shared" si="5"/>
        <v>36400</v>
      </c>
      <c r="F21" s="15">
        <f t="shared" si="4"/>
        <v>536400</v>
      </c>
      <c r="G21" s="15">
        <f t="shared" si="0"/>
        <v>4700000</v>
      </c>
    </row>
    <row r="22" spans="1:7" x14ac:dyDescent="0.3">
      <c r="A22" s="15">
        <f t="shared" si="1"/>
        <v>17</v>
      </c>
      <c r="B22" s="14">
        <v>45139</v>
      </c>
      <c r="C22" s="15">
        <f t="shared" si="2"/>
        <v>4700000</v>
      </c>
      <c r="D22" s="15">
        <v>500000</v>
      </c>
      <c r="E22" s="15">
        <f t="shared" si="5"/>
        <v>32900</v>
      </c>
      <c r="F22" s="15">
        <f t="shared" si="4"/>
        <v>532900</v>
      </c>
      <c r="G22" s="15">
        <f t="shared" si="0"/>
        <v>4200000</v>
      </c>
    </row>
    <row r="23" spans="1:7" x14ac:dyDescent="0.3">
      <c r="A23" s="15">
        <f t="shared" si="1"/>
        <v>18</v>
      </c>
      <c r="B23" s="14">
        <v>45170</v>
      </c>
      <c r="C23" s="15">
        <f t="shared" si="2"/>
        <v>4200000</v>
      </c>
      <c r="D23" s="15">
        <v>500000</v>
      </c>
      <c r="E23" s="15">
        <f t="shared" si="5"/>
        <v>29400</v>
      </c>
      <c r="F23" s="15">
        <f t="shared" si="4"/>
        <v>529400</v>
      </c>
      <c r="G23" s="15">
        <f t="shared" si="0"/>
        <v>3700000</v>
      </c>
    </row>
    <row r="24" spans="1:7" x14ac:dyDescent="0.3">
      <c r="A24" s="15">
        <f t="shared" si="1"/>
        <v>19</v>
      </c>
      <c r="B24" s="14">
        <v>45200</v>
      </c>
      <c r="C24" s="15">
        <f t="shared" si="2"/>
        <v>3700000</v>
      </c>
      <c r="D24" s="15">
        <v>500000</v>
      </c>
      <c r="E24" s="15">
        <f t="shared" si="5"/>
        <v>25900</v>
      </c>
      <c r="F24" s="15">
        <f t="shared" si="4"/>
        <v>525900</v>
      </c>
      <c r="G24" s="15">
        <f t="shared" si="0"/>
        <v>3200000</v>
      </c>
    </row>
    <row r="25" spans="1:7" x14ac:dyDescent="0.3">
      <c r="A25" s="15">
        <f t="shared" si="1"/>
        <v>20</v>
      </c>
      <c r="B25" s="14">
        <v>45231</v>
      </c>
      <c r="C25" s="15">
        <f t="shared" si="2"/>
        <v>3200000</v>
      </c>
      <c r="D25" s="15">
        <v>500000</v>
      </c>
      <c r="E25" s="15">
        <f t="shared" si="5"/>
        <v>22400</v>
      </c>
      <c r="F25" s="15">
        <f t="shared" si="4"/>
        <v>522400</v>
      </c>
      <c r="G25" s="15">
        <f t="shared" si="0"/>
        <v>2700000</v>
      </c>
    </row>
    <row r="26" spans="1:7" x14ac:dyDescent="0.3">
      <c r="A26" s="15">
        <f t="shared" si="1"/>
        <v>21</v>
      </c>
      <c r="B26" s="14">
        <v>45261</v>
      </c>
      <c r="C26" s="15">
        <f t="shared" si="2"/>
        <v>2700000</v>
      </c>
      <c r="D26" s="15">
        <v>500000</v>
      </c>
      <c r="E26" s="15">
        <f t="shared" si="5"/>
        <v>18900</v>
      </c>
      <c r="F26" s="15">
        <f t="shared" si="4"/>
        <v>518900</v>
      </c>
      <c r="G26" s="15">
        <f t="shared" si="0"/>
        <v>2200000</v>
      </c>
    </row>
    <row r="27" spans="1:7" x14ac:dyDescent="0.3">
      <c r="A27" s="15">
        <f t="shared" si="1"/>
        <v>22</v>
      </c>
      <c r="B27" s="14">
        <v>45292</v>
      </c>
      <c r="C27" s="15">
        <f t="shared" si="2"/>
        <v>2200000</v>
      </c>
      <c r="D27" s="15">
        <v>500000</v>
      </c>
      <c r="E27" s="15">
        <f t="shared" si="5"/>
        <v>15400</v>
      </c>
      <c r="F27" s="15">
        <f t="shared" si="4"/>
        <v>515400</v>
      </c>
      <c r="G27" s="15">
        <f t="shared" si="0"/>
        <v>1700000</v>
      </c>
    </row>
    <row r="28" spans="1:7" x14ac:dyDescent="0.3">
      <c r="A28" s="15">
        <f t="shared" si="1"/>
        <v>23</v>
      </c>
      <c r="B28" s="14">
        <v>45323</v>
      </c>
      <c r="C28" s="15">
        <f t="shared" si="2"/>
        <v>1700000</v>
      </c>
      <c r="D28" s="15">
        <v>500000</v>
      </c>
      <c r="E28" s="15">
        <f t="shared" si="5"/>
        <v>11900</v>
      </c>
      <c r="F28" s="15">
        <f t="shared" si="4"/>
        <v>511900</v>
      </c>
      <c r="G28" s="15">
        <f t="shared" si="0"/>
        <v>1200000</v>
      </c>
    </row>
    <row r="29" spans="1:7" x14ac:dyDescent="0.3">
      <c r="A29" s="15">
        <f t="shared" si="1"/>
        <v>24</v>
      </c>
      <c r="B29" s="14">
        <v>45352</v>
      </c>
      <c r="C29" s="15">
        <f t="shared" si="2"/>
        <v>1200000</v>
      </c>
      <c r="D29" s="15">
        <v>500000</v>
      </c>
      <c r="E29" s="15">
        <f t="shared" si="5"/>
        <v>8400</v>
      </c>
      <c r="F29" s="15">
        <f t="shared" si="4"/>
        <v>508400</v>
      </c>
      <c r="G29" s="15">
        <f t="shared" si="0"/>
        <v>700000</v>
      </c>
    </row>
    <row r="30" spans="1:7" x14ac:dyDescent="0.3">
      <c r="A30" s="15">
        <f t="shared" si="1"/>
        <v>25</v>
      </c>
      <c r="B30" s="14">
        <v>45383</v>
      </c>
      <c r="C30" s="15">
        <f t="shared" si="2"/>
        <v>700000</v>
      </c>
      <c r="D30" s="15">
        <v>500000</v>
      </c>
      <c r="E30" s="15">
        <f t="shared" si="5"/>
        <v>4900</v>
      </c>
      <c r="F30" s="15">
        <f t="shared" si="4"/>
        <v>504900</v>
      </c>
      <c r="G30" s="15">
        <f t="shared" si="0"/>
        <v>200000</v>
      </c>
    </row>
    <row r="31" spans="1:7" x14ac:dyDescent="0.3">
      <c r="A31" s="15">
        <f t="shared" si="1"/>
        <v>26</v>
      </c>
      <c r="B31" s="14">
        <v>45413</v>
      </c>
      <c r="C31" s="15">
        <f t="shared" si="2"/>
        <v>200000</v>
      </c>
      <c r="D31" s="15">
        <v>200000</v>
      </c>
      <c r="E31" s="15">
        <f t="shared" si="5"/>
        <v>1400</v>
      </c>
      <c r="F31" s="15">
        <f t="shared" si="4"/>
        <v>201400</v>
      </c>
      <c r="G31" s="15">
        <f t="shared" si="0"/>
        <v>0</v>
      </c>
    </row>
    <row r="32" spans="1:7" x14ac:dyDescent="0.3">
      <c r="A32" s="2"/>
      <c r="C32" s="2"/>
      <c r="D32" s="2"/>
      <c r="E32" s="2"/>
      <c r="F32" s="2"/>
      <c r="G32" s="2"/>
    </row>
    <row r="33" spans="1:7" x14ac:dyDescent="0.3">
      <c r="A33" s="2"/>
      <c r="C33" s="2"/>
      <c r="D33" s="2"/>
      <c r="E33" s="2"/>
      <c r="F33" s="2"/>
      <c r="G33" s="2"/>
    </row>
    <row r="34" spans="1:7" x14ac:dyDescent="0.3">
      <c r="A34" s="2"/>
      <c r="C34" s="2"/>
      <c r="D34" s="2"/>
      <c r="E34" s="2"/>
      <c r="F34" s="2"/>
      <c r="G34" s="2"/>
    </row>
    <row r="35" spans="1:7" x14ac:dyDescent="0.3">
      <c r="A35" s="2"/>
      <c r="C35" s="2"/>
      <c r="D35" s="2"/>
      <c r="E35" s="2"/>
      <c r="F35" s="2"/>
      <c r="G35" s="2"/>
    </row>
    <row r="36" spans="1:7" x14ac:dyDescent="0.3">
      <c r="A36" s="2"/>
      <c r="C36" s="2"/>
      <c r="D36" s="2"/>
      <c r="E36" s="2"/>
      <c r="F36" s="2"/>
      <c r="G36" s="2"/>
    </row>
    <row r="37" spans="1:7" x14ac:dyDescent="0.3">
      <c r="A37" s="2"/>
      <c r="C37" s="2"/>
      <c r="D37" s="2"/>
      <c r="E37" s="2"/>
      <c r="F37" s="2"/>
      <c r="G37" s="2"/>
    </row>
    <row r="38" spans="1:7" x14ac:dyDescent="0.3">
      <c r="A38" s="2"/>
      <c r="C38" s="2"/>
      <c r="D38" s="2"/>
      <c r="E38" s="2"/>
      <c r="F38" s="2"/>
      <c r="G38" s="2"/>
    </row>
    <row r="39" spans="1:7" x14ac:dyDescent="0.3">
      <c r="A39" s="2"/>
      <c r="C39" s="2"/>
      <c r="D39" s="2"/>
      <c r="E39" s="2"/>
      <c r="F39" s="2"/>
      <c r="G39" s="2"/>
    </row>
    <row r="40" spans="1:7" x14ac:dyDescent="0.3">
      <c r="A40" s="2"/>
      <c r="C40" s="2"/>
      <c r="D40" s="2"/>
      <c r="E40" s="2"/>
      <c r="F40" s="2"/>
      <c r="G40" s="2"/>
    </row>
    <row r="41" spans="1:7" x14ac:dyDescent="0.3">
      <c r="A41" s="2"/>
      <c r="C41" s="2"/>
      <c r="D41" s="2"/>
      <c r="E41" s="2"/>
      <c r="F41" s="2"/>
      <c r="G41" s="2"/>
    </row>
    <row r="42" spans="1:7" x14ac:dyDescent="0.3">
      <c r="A42" s="2"/>
      <c r="C42" s="2"/>
      <c r="D42" s="2"/>
      <c r="E42" s="2"/>
      <c r="F42" s="2"/>
      <c r="G42" s="2"/>
    </row>
    <row r="43" spans="1:7" x14ac:dyDescent="0.3">
      <c r="A43" s="2"/>
      <c r="C43" s="2"/>
      <c r="D43" s="2"/>
      <c r="E43" s="2"/>
      <c r="F43" s="2"/>
      <c r="G43" s="2"/>
    </row>
    <row r="44" spans="1:7" x14ac:dyDescent="0.3">
      <c r="A44" s="2"/>
      <c r="C44" s="2"/>
      <c r="D44" s="2"/>
      <c r="E44" s="2"/>
      <c r="F44" s="2"/>
      <c r="G44" s="2"/>
    </row>
    <row r="45" spans="1:7" x14ac:dyDescent="0.3">
      <c r="A45" s="2"/>
      <c r="C45" s="2"/>
      <c r="D45" s="2"/>
      <c r="E45" s="2"/>
      <c r="F45" s="2"/>
      <c r="G45" s="2"/>
    </row>
    <row r="46" spans="1:7" x14ac:dyDescent="0.3">
      <c r="A46" s="2"/>
      <c r="C46" s="2"/>
      <c r="D46" s="2"/>
      <c r="E46" s="2"/>
      <c r="F46" s="2"/>
      <c r="G46" s="2"/>
    </row>
    <row r="47" spans="1:7" x14ac:dyDescent="0.3">
      <c r="A47" s="2"/>
      <c r="C47" s="2"/>
      <c r="D47" s="2"/>
      <c r="E47" s="2"/>
      <c r="F47" s="2"/>
      <c r="G47" s="2"/>
    </row>
    <row r="48" spans="1:7" x14ac:dyDescent="0.3">
      <c r="A48" s="2"/>
      <c r="C48" s="2"/>
      <c r="D48" s="2"/>
      <c r="E48" s="2"/>
      <c r="F48" s="2"/>
      <c r="G48" s="2"/>
    </row>
    <row r="49" spans="1:7" x14ac:dyDescent="0.3">
      <c r="A49" s="2"/>
      <c r="C49" s="2"/>
      <c r="D49" s="2"/>
      <c r="E49" s="2"/>
      <c r="F49" s="2"/>
      <c r="G49" s="2"/>
    </row>
    <row r="50" spans="1:7" x14ac:dyDescent="0.3">
      <c r="A50" s="2"/>
      <c r="C50" s="2"/>
      <c r="D50" s="2"/>
      <c r="E50" s="2"/>
      <c r="F50" s="2"/>
      <c r="G50" s="2"/>
    </row>
    <row r="51" spans="1:7" x14ac:dyDescent="0.3">
      <c r="A51" s="2"/>
      <c r="C51" s="2"/>
      <c r="D51" s="2"/>
      <c r="E51" s="2"/>
      <c r="F51" s="2"/>
      <c r="G51" s="2"/>
    </row>
    <row r="52" spans="1:7" x14ac:dyDescent="0.3">
      <c r="C52" s="2"/>
      <c r="D52" s="2"/>
      <c r="E52" s="2"/>
      <c r="F52" s="2"/>
      <c r="G52" s="2"/>
    </row>
    <row r="53" spans="1:7" x14ac:dyDescent="0.3">
      <c r="C53" s="2"/>
      <c r="D53" s="2"/>
      <c r="E53" s="2"/>
      <c r="F53" s="2"/>
      <c r="G53" s="2"/>
    </row>
    <row r="54" spans="1:7" x14ac:dyDescent="0.3">
      <c r="C54" s="2"/>
      <c r="D54" s="2"/>
      <c r="E54" s="2"/>
      <c r="F54" s="2"/>
      <c r="G54" s="2"/>
    </row>
    <row r="55" spans="1:7" x14ac:dyDescent="0.3">
      <c r="C55" s="2"/>
      <c r="D55" s="2"/>
      <c r="E55" s="2"/>
      <c r="F55" s="2"/>
      <c r="G55" s="2"/>
    </row>
    <row r="56" spans="1:7" x14ac:dyDescent="0.3">
      <c r="C56" s="2"/>
      <c r="D56" s="2"/>
      <c r="E56" s="2"/>
      <c r="F56" s="2"/>
      <c r="G56" s="2"/>
    </row>
    <row r="57" spans="1:7" x14ac:dyDescent="0.3">
      <c r="C57" s="2"/>
      <c r="D57" s="2"/>
      <c r="E57" s="2"/>
      <c r="F57" s="2"/>
      <c r="G57" s="2"/>
    </row>
    <row r="58" spans="1:7" x14ac:dyDescent="0.3">
      <c r="C58" s="2"/>
      <c r="D58" s="2"/>
      <c r="E58" s="2"/>
      <c r="F58" s="2"/>
      <c r="G58" s="2"/>
    </row>
    <row r="59" spans="1:7" x14ac:dyDescent="0.3">
      <c r="C59" s="2"/>
      <c r="D59" s="2"/>
      <c r="E59" s="2"/>
      <c r="F59" s="2"/>
      <c r="G59" s="2"/>
    </row>
    <row r="60" spans="1:7" x14ac:dyDescent="0.3">
      <c r="C60" s="2"/>
      <c r="D60" s="2"/>
      <c r="E60" s="2"/>
      <c r="F60" s="2"/>
      <c r="G60" s="2"/>
    </row>
    <row r="61" spans="1:7" x14ac:dyDescent="0.3">
      <c r="C61" s="2"/>
      <c r="D61" s="2"/>
      <c r="E61" s="2"/>
      <c r="F61" s="2"/>
      <c r="G61" s="2"/>
    </row>
    <row r="62" spans="1:7" x14ac:dyDescent="0.3">
      <c r="C62" s="2"/>
      <c r="D62" s="2"/>
      <c r="E62" s="2"/>
      <c r="F62" s="2"/>
      <c r="G62" s="2"/>
    </row>
    <row r="63" spans="1:7" x14ac:dyDescent="0.3">
      <c r="C63" s="2"/>
      <c r="D63" s="2"/>
      <c r="E63" s="2"/>
      <c r="F63" s="2"/>
      <c r="G63" s="2"/>
    </row>
    <row r="64" spans="1:7" x14ac:dyDescent="0.3">
      <c r="C64" s="2"/>
      <c r="D64" s="2"/>
      <c r="E64" s="2"/>
      <c r="F64" s="2"/>
      <c r="G64" s="2"/>
    </row>
    <row r="65" spans="3:7" x14ac:dyDescent="0.3">
      <c r="C65" s="2"/>
      <c r="D65" s="2"/>
      <c r="E65" s="2"/>
      <c r="F65" s="2"/>
      <c r="G65" s="2"/>
    </row>
    <row r="66" spans="3:7" x14ac:dyDescent="0.3">
      <c r="C66" s="2"/>
      <c r="D66" s="2"/>
      <c r="E66" s="2"/>
      <c r="F66" s="2"/>
      <c r="G66" s="2"/>
    </row>
    <row r="67" spans="3:7" x14ac:dyDescent="0.3">
      <c r="C67" s="2"/>
      <c r="D67" s="2"/>
      <c r="E67" s="2"/>
      <c r="F67" s="2"/>
      <c r="G67" s="2"/>
    </row>
    <row r="68" spans="3:7" x14ac:dyDescent="0.3">
      <c r="C68" s="2"/>
      <c r="D68" s="2"/>
      <c r="E68" s="2"/>
      <c r="F68" s="2"/>
      <c r="G68" s="2"/>
    </row>
    <row r="69" spans="3:7" x14ac:dyDescent="0.3">
      <c r="C69" s="2"/>
      <c r="D69" s="2"/>
      <c r="E69" s="2"/>
      <c r="F69" s="2"/>
      <c r="G69" s="2"/>
    </row>
    <row r="70" spans="3:7" x14ac:dyDescent="0.3">
      <c r="C70" s="2"/>
      <c r="D70" s="2"/>
      <c r="E70" s="2"/>
      <c r="F70" s="2"/>
      <c r="G70" s="2"/>
    </row>
    <row r="71" spans="3:7" x14ac:dyDescent="0.3">
      <c r="C71" s="2"/>
      <c r="D71" s="2"/>
      <c r="E71" s="2"/>
      <c r="F71" s="2"/>
      <c r="G71" s="2"/>
    </row>
    <row r="72" spans="3:7" x14ac:dyDescent="0.3">
      <c r="C72" s="2"/>
      <c r="D72" s="2"/>
      <c r="E72" s="2"/>
      <c r="F72" s="2"/>
      <c r="G72" s="2"/>
    </row>
    <row r="73" spans="3:7" x14ac:dyDescent="0.3">
      <c r="C73" s="2"/>
      <c r="D73" s="2"/>
      <c r="E73" s="2"/>
      <c r="F73" s="2"/>
      <c r="G73" s="2"/>
    </row>
    <row r="74" spans="3:7" x14ac:dyDescent="0.3">
      <c r="C74" s="2"/>
      <c r="D74" s="2"/>
      <c r="E74" s="2"/>
      <c r="F74" s="2"/>
      <c r="G74" s="2"/>
    </row>
    <row r="75" spans="3:7" x14ac:dyDescent="0.3">
      <c r="C75" s="2"/>
      <c r="D75" s="2"/>
      <c r="E75" s="2"/>
      <c r="F75" s="2"/>
      <c r="G75" s="2"/>
    </row>
    <row r="76" spans="3:7" x14ac:dyDescent="0.3">
      <c r="C76" s="2"/>
      <c r="D76" s="2"/>
      <c r="E76" s="2"/>
      <c r="F76" s="2"/>
      <c r="G76" s="2"/>
    </row>
    <row r="77" spans="3:7" x14ac:dyDescent="0.3">
      <c r="C77" s="2"/>
      <c r="D77" s="2"/>
      <c r="E77" s="2"/>
      <c r="F77" s="2"/>
      <c r="G77" s="2"/>
    </row>
    <row r="78" spans="3:7" x14ac:dyDescent="0.3">
      <c r="C78" s="2"/>
      <c r="D78" s="2"/>
      <c r="E78" s="2"/>
      <c r="F78" s="2"/>
      <c r="G78" s="2"/>
    </row>
    <row r="79" spans="3:7" x14ac:dyDescent="0.3">
      <c r="C79" s="2"/>
      <c r="D79" s="2"/>
      <c r="E79" s="2"/>
      <c r="F79" s="2"/>
      <c r="G79" s="2"/>
    </row>
    <row r="80" spans="3:7" x14ac:dyDescent="0.3">
      <c r="C80" s="2"/>
      <c r="D80" s="2"/>
      <c r="E80" s="2"/>
      <c r="F80" s="2"/>
      <c r="G80" s="2"/>
    </row>
    <row r="81" spans="3:7" x14ac:dyDescent="0.3">
      <c r="C81" s="2"/>
      <c r="D81" s="2"/>
      <c r="E81" s="2"/>
      <c r="F81" s="2"/>
      <c r="G81" s="2"/>
    </row>
    <row r="82" spans="3:7" x14ac:dyDescent="0.3">
      <c r="C82" s="2"/>
      <c r="D82" s="2"/>
      <c r="E82" s="2"/>
      <c r="F82" s="2"/>
      <c r="G82" s="2"/>
    </row>
    <row r="83" spans="3:7" x14ac:dyDescent="0.3">
      <c r="C83" s="2"/>
      <c r="D83" s="2"/>
      <c r="E83" s="2"/>
      <c r="F83" s="2"/>
      <c r="G83" s="2"/>
    </row>
    <row r="84" spans="3:7" x14ac:dyDescent="0.3">
      <c r="C84" s="2"/>
      <c r="D84" s="2"/>
      <c r="E84" s="2"/>
      <c r="F84" s="2"/>
      <c r="G84" s="2"/>
    </row>
    <row r="85" spans="3:7" x14ac:dyDescent="0.3">
      <c r="C85" s="2"/>
      <c r="D85" s="2"/>
      <c r="E85" s="2"/>
      <c r="F85" s="2"/>
      <c r="G85" s="2"/>
    </row>
    <row r="86" spans="3:7" x14ac:dyDescent="0.3">
      <c r="C86" s="2"/>
      <c r="D86" s="2"/>
      <c r="E86" s="2"/>
      <c r="F86" s="2"/>
      <c r="G86" s="2"/>
    </row>
    <row r="87" spans="3:7" x14ac:dyDescent="0.3">
      <c r="C87" s="2"/>
      <c r="D87" s="2"/>
      <c r="E87" s="2"/>
      <c r="F87" s="2"/>
      <c r="G87" s="2"/>
    </row>
    <row r="88" spans="3:7" x14ac:dyDescent="0.3">
      <c r="C88" s="2"/>
      <c r="D88" s="2"/>
      <c r="E88" s="2"/>
      <c r="F88" s="2"/>
      <c r="G88" s="2"/>
    </row>
    <row r="89" spans="3:7" x14ac:dyDescent="0.3">
      <c r="C89" s="2"/>
      <c r="D89" s="2"/>
      <c r="E89" s="2"/>
      <c r="F89" s="2"/>
      <c r="G89" s="2"/>
    </row>
    <row r="90" spans="3:7" x14ac:dyDescent="0.3">
      <c r="C90" s="2"/>
      <c r="D90" s="2"/>
      <c r="E90" s="2"/>
      <c r="F90" s="2"/>
      <c r="G90" s="2"/>
    </row>
    <row r="91" spans="3:7" x14ac:dyDescent="0.3">
      <c r="C91" s="2"/>
      <c r="D91" s="2"/>
      <c r="E91" s="2"/>
      <c r="F91" s="2"/>
      <c r="G91" s="2"/>
    </row>
    <row r="92" spans="3:7" x14ac:dyDescent="0.3">
      <c r="C92" s="2"/>
      <c r="D92" s="2"/>
      <c r="E92" s="2"/>
      <c r="F92" s="2"/>
      <c r="G92" s="2"/>
    </row>
    <row r="93" spans="3:7" x14ac:dyDescent="0.3">
      <c r="C93" s="2"/>
      <c r="D93" s="2"/>
      <c r="E93" s="2"/>
      <c r="F93" s="2"/>
      <c r="G93" s="2"/>
    </row>
    <row r="94" spans="3:7" x14ac:dyDescent="0.3">
      <c r="C94" s="2"/>
      <c r="D94" s="2"/>
      <c r="E94" s="2"/>
      <c r="F94" s="2"/>
      <c r="G94" s="2"/>
    </row>
    <row r="95" spans="3:7" x14ac:dyDescent="0.3">
      <c r="C95" s="2"/>
      <c r="D95" s="2"/>
      <c r="E95" s="2"/>
      <c r="F95" s="2"/>
      <c r="G95" s="2"/>
    </row>
    <row r="96" spans="3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8" x14ac:dyDescent="0.3">
      <c r="C129" s="2"/>
      <c r="D129" s="2"/>
      <c r="E129" s="2"/>
      <c r="F129" s="2"/>
      <c r="G129" s="2"/>
    </row>
    <row r="130" spans="3:8" x14ac:dyDescent="0.3">
      <c r="C130" s="2"/>
      <c r="D130" s="2"/>
      <c r="E130" s="2"/>
      <c r="F130" s="2"/>
      <c r="G130" s="2"/>
    </row>
    <row r="131" spans="3:8" x14ac:dyDescent="0.3">
      <c r="C131" s="2"/>
      <c r="D131" s="2"/>
      <c r="E131" s="2"/>
      <c r="F131" s="2"/>
      <c r="G131" s="2"/>
    </row>
    <row r="132" spans="3:8" x14ac:dyDescent="0.3">
      <c r="C132" s="2"/>
      <c r="D132" s="2"/>
      <c r="E132" s="2"/>
      <c r="F132" s="2"/>
      <c r="G132" s="2"/>
    </row>
    <row r="133" spans="3:8" x14ac:dyDescent="0.3">
      <c r="C133" s="2"/>
      <c r="D133" s="2"/>
      <c r="E133" s="2"/>
      <c r="F133" s="2"/>
      <c r="G133" s="2"/>
    </row>
    <row r="134" spans="3:8" x14ac:dyDescent="0.3">
      <c r="C134" s="2"/>
      <c r="D134" s="2"/>
      <c r="E134" s="2"/>
      <c r="F134" s="2"/>
      <c r="G134" s="2"/>
    </row>
    <row r="135" spans="3:8" x14ac:dyDescent="0.3">
      <c r="C135" s="2"/>
      <c r="D135" s="2"/>
      <c r="E135" s="2"/>
      <c r="F135" s="2"/>
      <c r="G135" s="2"/>
    </row>
    <row r="136" spans="3:8" x14ac:dyDescent="0.3">
      <c r="C136" s="2"/>
      <c r="D136" s="2"/>
      <c r="E136" s="2"/>
      <c r="F136" s="2"/>
      <c r="G136" s="2"/>
      <c r="H136" s="2"/>
    </row>
    <row r="137" spans="3:8" x14ac:dyDescent="0.3">
      <c r="C137" s="2"/>
      <c r="D137" s="2"/>
      <c r="E137" s="2"/>
      <c r="F137" s="2"/>
      <c r="G137" s="2"/>
      <c r="H137" s="2"/>
    </row>
    <row r="138" spans="3:8" x14ac:dyDescent="0.3">
      <c r="C138" s="2"/>
      <c r="D138" s="2"/>
      <c r="E138" s="2"/>
      <c r="F138" s="2"/>
      <c r="G138" s="2"/>
      <c r="H138" s="2"/>
    </row>
    <row r="139" spans="3:8" x14ac:dyDescent="0.3">
      <c r="C139" s="2"/>
      <c r="D139" s="2"/>
      <c r="E139" s="2"/>
      <c r="F139" s="2"/>
      <c r="G139" s="2"/>
      <c r="H139" s="2"/>
    </row>
    <row r="140" spans="3:8" x14ac:dyDescent="0.3">
      <c r="C140" s="2"/>
      <c r="D140" s="2"/>
      <c r="E140" s="2"/>
      <c r="F140" s="2"/>
      <c r="G140" s="2"/>
      <c r="H140" s="2"/>
    </row>
    <row r="141" spans="3:8" x14ac:dyDescent="0.3">
      <c r="C141" s="2"/>
      <c r="D141" s="2"/>
      <c r="E141" s="2"/>
      <c r="F141" s="2"/>
      <c r="G141" s="2"/>
      <c r="H141" s="2"/>
    </row>
    <row r="142" spans="3:8" x14ac:dyDescent="0.3">
      <c r="C142" s="2"/>
      <c r="D142" s="2"/>
      <c r="E142" s="2"/>
      <c r="F142" s="2"/>
      <c r="G142" s="2"/>
      <c r="H142" s="2"/>
    </row>
    <row r="143" spans="3:8" x14ac:dyDescent="0.3">
      <c r="C143" s="2"/>
      <c r="D143" s="2"/>
      <c r="E143" s="2"/>
      <c r="F143" s="2"/>
      <c r="G143" s="2"/>
      <c r="H143" s="2"/>
    </row>
    <row r="144" spans="3:8" x14ac:dyDescent="0.3">
      <c r="C144" s="2"/>
      <c r="D144" s="2"/>
      <c r="E144" s="2"/>
      <c r="F144" s="2"/>
      <c r="G144" s="2"/>
      <c r="H144" s="2"/>
    </row>
    <row r="145" spans="3:8" x14ac:dyDescent="0.3">
      <c r="C145" s="2"/>
      <c r="D145" s="2"/>
      <c r="E145" s="2"/>
      <c r="F145" s="2"/>
      <c r="G145" s="2"/>
      <c r="H145" s="2"/>
    </row>
    <row r="146" spans="3:8" x14ac:dyDescent="0.3">
      <c r="C146" s="2"/>
      <c r="D146" s="2"/>
      <c r="E146" s="2"/>
      <c r="F146" s="2"/>
      <c r="G146" s="2"/>
      <c r="H146" s="2"/>
    </row>
    <row r="147" spans="3:8" x14ac:dyDescent="0.3">
      <c r="C147" s="2"/>
      <c r="D147" s="2"/>
      <c r="E147" s="2"/>
      <c r="F147" s="2"/>
      <c r="G147" s="2"/>
      <c r="H147" s="2"/>
    </row>
    <row r="148" spans="3:8" x14ac:dyDescent="0.3">
      <c r="C148" s="2"/>
      <c r="D148" s="2"/>
      <c r="E148" s="2"/>
      <c r="F148" s="2"/>
      <c r="H148" s="2"/>
    </row>
    <row r="149" spans="3:8" x14ac:dyDescent="0.3">
      <c r="C149" s="2"/>
      <c r="D149" s="2"/>
      <c r="E149" s="2"/>
      <c r="F149" s="2"/>
      <c r="H149" s="2"/>
    </row>
    <row r="150" spans="3:8" x14ac:dyDescent="0.3">
      <c r="C150" s="2"/>
      <c r="D150" s="2"/>
      <c r="E150" s="2"/>
      <c r="F150" s="2"/>
      <c r="H150" s="2"/>
    </row>
    <row r="151" spans="3:8" x14ac:dyDescent="0.3">
      <c r="C151" s="2"/>
      <c r="D151" s="2"/>
      <c r="E151" s="2"/>
      <c r="F151" s="2"/>
      <c r="H151" s="2"/>
    </row>
    <row r="152" spans="3:8" x14ac:dyDescent="0.3">
      <c r="C152" s="2"/>
      <c r="D152" s="2"/>
      <c r="E152" s="2"/>
      <c r="F152" s="2"/>
      <c r="H152" s="2"/>
    </row>
    <row r="153" spans="3:8" x14ac:dyDescent="0.3">
      <c r="C153" s="2"/>
      <c r="D153" s="2"/>
      <c r="E153" s="2"/>
      <c r="F153" s="2"/>
      <c r="H153" s="2"/>
    </row>
    <row r="154" spans="3:8" x14ac:dyDescent="0.3">
      <c r="C154" s="2"/>
      <c r="D154" s="2"/>
      <c r="E154" s="2"/>
      <c r="F154" s="2"/>
      <c r="H154" s="2"/>
    </row>
    <row r="155" spans="3:8" x14ac:dyDescent="0.3">
      <c r="C155" s="2"/>
      <c r="D155" s="2"/>
      <c r="E155" s="2"/>
      <c r="F155" s="2"/>
      <c r="H155" s="2"/>
    </row>
    <row r="156" spans="3:8" x14ac:dyDescent="0.3">
      <c r="C156" s="2"/>
      <c r="D156" s="2"/>
      <c r="E156" s="2"/>
      <c r="F156" s="2"/>
      <c r="H156" s="2"/>
    </row>
    <row r="157" spans="3:8" x14ac:dyDescent="0.3">
      <c r="C157" s="2"/>
      <c r="D157" s="2"/>
      <c r="E157" s="2"/>
      <c r="F157" s="2"/>
      <c r="H157" s="2"/>
    </row>
    <row r="158" spans="3:8" x14ac:dyDescent="0.3">
      <c r="C158" s="2"/>
      <c r="D158" s="2"/>
      <c r="E158" s="2"/>
      <c r="F158" s="2"/>
      <c r="H158" s="2"/>
    </row>
    <row r="159" spans="3:8" x14ac:dyDescent="0.3">
      <c r="C159" s="2"/>
      <c r="D159" s="2"/>
      <c r="E159" s="2"/>
      <c r="F159" s="2"/>
      <c r="H159" s="2"/>
    </row>
    <row r="160" spans="3:8" x14ac:dyDescent="0.3">
      <c r="C160" s="2"/>
      <c r="D160" s="2"/>
      <c r="E160" s="2"/>
      <c r="F160" s="2"/>
      <c r="H160" s="2"/>
    </row>
    <row r="161" spans="3:8" x14ac:dyDescent="0.3">
      <c r="C161" s="2"/>
      <c r="D161" s="2"/>
      <c r="E161" s="2"/>
      <c r="F161" s="2"/>
      <c r="H161" s="2"/>
    </row>
    <row r="162" spans="3:8" x14ac:dyDescent="0.3">
      <c r="C162" s="2"/>
      <c r="D162" s="2"/>
      <c r="E162" s="2"/>
      <c r="F162" s="2"/>
      <c r="H162" s="2"/>
    </row>
    <row r="163" spans="3:8" x14ac:dyDescent="0.3">
      <c r="C163" s="2"/>
      <c r="D163" s="2"/>
      <c r="E163" s="2"/>
      <c r="F163" s="2"/>
      <c r="H163" s="2"/>
    </row>
    <row r="164" spans="3:8" x14ac:dyDescent="0.3">
      <c r="C164" s="2"/>
      <c r="D164" s="2"/>
      <c r="E164" s="2"/>
      <c r="F164" s="2"/>
      <c r="H164" s="2"/>
    </row>
    <row r="165" spans="3:8" x14ac:dyDescent="0.3">
      <c r="C165" s="2"/>
      <c r="D165" s="2"/>
      <c r="E165" s="2"/>
      <c r="F165" s="2"/>
      <c r="H165" s="2"/>
    </row>
    <row r="166" spans="3:8" x14ac:dyDescent="0.3">
      <c r="C166" s="2"/>
      <c r="D166" s="2"/>
      <c r="E166" s="2"/>
      <c r="F166" s="2"/>
      <c r="H166" s="2"/>
    </row>
    <row r="167" spans="3:8" x14ac:dyDescent="0.3">
      <c r="C167" s="2"/>
      <c r="D167" s="2"/>
      <c r="E167" s="2"/>
      <c r="F167" s="2"/>
      <c r="H167" s="2"/>
    </row>
    <row r="168" spans="3:8" x14ac:dyDescent="0.3">
      <c r="C168" s="2"/>
      <c r="D168" s="2"/>
      <c r="E168" s="2"/>
      <c r="F168" s="2"/>
      <c r="H168" s="2"/>
    </row>
    <row r="169" spans="3:8" x14ac:dyDescent="0.3">
      <c r="C169" s="2"/>
      <c r="D169" s="2"/>
      <c r="E169" s="2"/>
      <c r="F169" s="2"/>
      <c r="H169" s="2"/>
    </row>
    <row r="170" spans="3:8" x14ac:dyDescent="0.3">
      <c r="C170" s="2"/>
      <c r="D170" s="2"/>
      <c r="E170" s="2"/>
      <c r="F170" s="2"/>
      <c r="H170" s="2"/>
    </row>
    <row r="171" spans="3:8" x14ac:dyDescent="0.3">
      <c r="C171" s="2"/>
      <c r="D171" s="2"/>
      <c r="E171" s="2"/>
      <c r="F171" s="2"/>
      <c r="H171" s="2"/>
    </row>
  </sheetData>
  <pageMargins left="0.7" right="0.7" top="0.75" bottom="0.75" header="0.3" footer="0.3"/>
  <pageSetup paperSize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71"/>
  <sheetViews>
    <sheetView topLeftCell="B1" workbookViewId="0">
      <selection activeCell="D11" sqref="D11"/>
    </sheetView>
  </sheetViews>
  <sheetFormatPr defaultRowHeight="14.4" x14ac:dyDescent="0.3"/>
  <cols>
    <col min="1" max="1" width="0" style="21" hidden="1" customWidth="1"/>
    <col min="2" max="2" width="15.5546875" bestFit="1" customWidth="1"/>
    <col min="3" max="3" width="17" bestFit="1" customWidth="1"/>
    <col min="4" max="6" width="17" customWidth="1"/>
    <col min="7" max="7" width="15.6640625" bestFit="1" customWidth="1"/>
    <col min="8" max="8" width="13.33203125" bestFit="1" customWidth="1"/>
    <col min="9" max="9" width="14.88671875" bestFit="1" customWidth="1"/>
    <col min="10" max="10" width="9.5546875" bestFit="1" customWidth="1"/>
  </cols>
  <sheetData>
    <row r="1" spans="1:7" x14ac:dyDescent="0.3">
      <c r="B1" s="31" t="s">
        <v>301</v>
      </c>
    </row>
    <row r="2" spans="1:7" x14ac:dyDescent="0.3">
      <c r="B2" s="26" t="s">
        <v>24</v>
      </c>
      <c r="C2" s="26">
        <v>38579531736</v>
      </c>
    </row>
    <row r="3" spans="1:7" x14ac:dyDescent="0.3">
      <c r="B3" s="1"/>
    </row>
    <row r="4" spans="1:7" x14ac:dyDescent="0.3">
      <c r="B4" s="1"/>
      <c r="E4">
        <v>8.4</v>
      </c>
    </row>
    <row r="5" spans="1:7" ht="35.25" customHeight="1" x14ac:dyDescent="0.3">
      <c r="A5" s="10" t="s">
        <v>0</v>
      </c>
      <c r="B5" s="11" t="s">
        <v>9</v>
      </c>
      <c r="C5" s="11" t="s">
        <v>6</v>
      </c>
      <c r="D5" s="12" t="s">
        <v>11</v>
      </c>
      <c r="E5" s="12" t="s">
        <v>292</v>
      </c>
      <c r="F5" s="12" t="s">
        <v>14</v>
      </c>
      <c r="G5" s="11" t="s">
        <v>12</v>
      </c>
    </row>
    <row r="6" spans="1:7" x14ac:dyDescent="0.3">
      <c r="A6" s="22">
        <v>1</v>
      </c>
      <c r="B6" s="14">
        <v>44652</v>
      </c>
      <c r="C6" s="15">
        <v>10542156</v>
      </c>
      <c r="D6" s="15">
        <v>230769</v>
      </c>
      <c r="E6" s="15">
        <f>C6*7.9/100/12</f>
        <v>69402.527000000002</v>
      </c>
      <c r="F6" s="15">
        <f>D6+E6</f>
        <v>300171.527</v>
      </c>
      <c r="G6" s="15">
        <f t="shared" ref="G6:G25" si="0">C6-D6</f>
        <v>10311387</v>
      </c>
    </row>
    <row r="7" spans="1:7" x14ac:dyDescent="0.3">
      <c r="A7" s="22">
        <f t="shared" ref="A7:A51" si="1">A6+1</f>
        <v>2</v>
      </c>
      <c r="B7" s="14">
        <v>44682</v>
      </c>
      <c r="C7" s="15">
        <f t="shared" ref="C7:C29" si="2">G6</f>
        <v>10311387</v>
      </c>
      <c r="D7" s="15">
        <v>230769</v>
      </c>
      <c r="E7" s="15">
        <f t="shared" ref="E7:E9" si="3">C7*7.9/100/12</f>
        <v>67883.297749999998</v>
      </c>
      <c r="F7" s="15">
        <f t="shared" ref="F7:F51" si="4">D7+E7</f>
        <v>298652.29775000003</v>
      </c>
      <c r="G7" s="15">
        <f t="shared" si="0"/>
        <v>10080618</v>
      </c>
    </row>
    <row r="8" spans="1:7" x14ac:dyDescent="0.3">
      <c r="A8" s="22">
        <f t="shared" si="1"/>
        <v>3</v>
      </c>
      <c r="B8" s="14">
        <v>44713</v>
      </c>
      <c r="C8" s="15">
        <f t="shared" si="2"/>
        <v>10080618</v>
      </c>
      <c r="D8" s="15">
        <v>230769</v>
      </c>
      <c r="E8" s="15">
        <f t="shared" si="3"/>
        <v>66364.068500000008</v>
      </c>
      <c r="F8" s="15">
        <f t="shared" si="4"/>
        <v>297133.06849999999</v>
      </c>
      <c r="G8" s="15">
        <f t="shared" si="0"/>
        <v>9849849</v>
      </c>
    </row>
    <row r="9" spans="1:7" x14ac:dyDescent="0.3">
      <c r="A9" s="22">
        <f t="shared" si="1"/>
        <v>4</v>
      </c>
      <c r="B9" s="14">
        <v>44743</v>
      </c>
      <c r="C9" s="15">
        <f t="shared" si="2"/>
        <v>9849849</v>
      </c>
      <c r="D9" s="15">
        <v>230769</v>
      </c>
      <c r="E9" s="15">
        <f t="shared" si="3"/>
        <v>64844.839250000012</v>
      </c>
      <c r="F9" s="15">
        <f t="shared" si="4"/>
        <v>295613.83925000002</v>
      </c>
      <c r="G9" s="15">
        <f t="shared" si="0"/>
        <v>9619080</v>
      </c>
    </row>
    <row r="10" spans="1:7" x14ac:dyDescent="0.3">
      <c r="A10" s="22">
        <f t="shared" si="1"/>
        <v>5</v>
      </c>
      <c r="B10" s="14">
        <v>44774</v>
      </c>
      <c r="C10" s="15">
        <f t="shared" si="2"/>
        <v>9619080</v>
      </c>
      <c r="D10" s="15">
        <v>230769</v>
      </c>
      <c r="E10" s="15">
        <f t="shared" ref="E10:E51" si="5">C10*$E$4/100/12</f>
        <v>67333.56</v>
      </c>
      <c r="F10" s="15">
        <f t="shared" si="4"/>
        <v>298102.56</v>
      </c>
      <c r="G10" s="15">
        <f t="shared" si="0"/>
        <v>9388311</v>
      </c>
    </row>
    <row r="11" spans="1:7" x14ac:dyDescent="0.3">
      <c r="A11" s="22">
        <f t="shared" si="1"/>
        <v>6</v>
      </c>
      <c r="B11" s="14">
        <v>44805</v>
      </c>
      <c r="C11" s="15">
        <f t="shared" si="2"/>
        <v>9388311</v>
      </c>
      <c r="D11" s="15">
        <v>230769</v>
      </c>
      <c r="E11" s="15">
        <f t="shared" si="5"/>
        <v>65718.177000000011</v>
      </c>
      <c r="F11" s="15">
        <f t="shared" si="4"/>
        <v>296487.17700000003</v>
      </c>
      <c r="G11" s="15">
        <f t="shared" si="0"/>
        <v>9157542</v>
      </c>
    </row>
    <row r="12" spans="1:7" x14ac:dyDescent="0.3">
      <c r="A12" s="22">
        <f t="shared" si="1"/>
        <v>7</v>
      </c>
      <c r="B12" s="14">
        <v>44835</v>
      </c>
      <c r="C12" s="15">
        <f t="shared" si="2"/>
        <v>9157542</v>
      </c>
      <c r="D12" s="15">
        <v>230769</v>
      </c>
      <c r="E12" s="15">
        <f t="shared" si="5"/>
        <v>64102.793999999994</v>
      </c>
      <c r="F12" s="15">
        <f t="shared" si="4"/>
        <v>294871.79399999999</v>
      </c>
      <c r="G12" s="15">
        <f t="shared" si="0"/>
        <v>8926773</v>
      </c>
    </row>
    <row r="13" spans="1:7" x14ac:dyDescent="0.3">
      <c r="A13" s="22">
        <f t="shared" si="1"/>
        <v>8</v>
      </c>
      <c r="B13" s="14">
        <v>44866</v>
      </c>
      <c r="C13" s="15">
        <f t="shared" si="2"/>
        <v>8926773</v>
      </c>
      <c r="D13" s="15">
        <v>230769</v>
      </c>
      <c r="E13" s="15">
        <f t="shared" si="5"/>
        <v>62487.411</v>
      </c>
      <c r="F13" s="15">
        <f t="shared" si="4"/>
        <v>293256.41100000002</v>
      </c>
      <c r="G13" s="15">
        <f t="shared" si="0"/>
        <v>8696004</v>
      </c>
    </row>
    <row r="14" spans="1:7" x14ac:dyDescent="0.3">
      <c r="A14" s="22">
        <f t="shared" si="1"/>
        <v>9</v>
      </c>
      <c r="B14" s="14">
        <v>44896</v>
      </c>
      <c r="C14" s="15">
        <f t="shared" si="2"/>
        <v>8696004</v>
      </c>
      <c r="D14" s="15">
        <v>230769</v>
      </c>
      <c r="E14" s="15">
        <f t="shared" si="5"/>
        <v>60872.028000000013</v>
      </c>
      <c r="F14" s="15">
        <f t="shared" si="4"/>
        <v>291641.02799999999</v>
      </c>
      <c r="G14" s="15">
        <f t="shared" si="0"/>
        <v>8465235</v>
      </c>
    </row>
    <row r="15" spans="1:7" x14ac:dyDescent="0.3">
      <c r="A15" s="22">
        <f t="shared" si="1"/>
        <v>10</v>
      </c>
      <c r="B15" s="14">
        <v>44927</v>
      </c>
      <c r="C15" s="15">
        <f t="shared" si="2"/>
        <v>8465235</v>
      </c>
      <c r="D15" s="15">
        <v>230769</v>
      </c>
      <c r="E15" s="15">
        <f t="shared" si="5"/>
        <v>59256.644999999997</v>
      </c>
      <c r="F15" s="15">
        <f t="shared" si="4"/>
        <v>290025.64500000002</v>
      </c>
      <c r="G15" s="15">
        <f t="shared" si="0"/>
        <v>8234466</v>
      </c>
    </row>
    <row r="16" spans="1:7" x14ac:dyDescent="0.3">
      <c r="A16" s="22">
        <f t="shared" si="1"/>
        <v>11</v>
      </c>
      <c r="B16" s="14">
        <v>44958</v>
      </c>
      <c r="C16" s="15">
        <f t="shared" si="2"/>
        <v>8234466</v>
      </c>
      <c r="D16" s="15">
        <v>230769</v>
      </c>
      <c r="E16" s="15">
        <f t="shared" si="5"/>
        <v>57641.26200000001</v>
      </c>
      <c r="F16" s="15">
        <f t="shared" si="4"/>
        <v>288410.26199999999</v>
      </c>
      <c r="G16" s="15">
        <f t="shared" si="0"/>
        <v>8003697</v>
      </c>
    </row>
    <row r="17" spans="1:7" x14ac:dyDescent="0.3">
      <c r="A17" s="22">
        <f t="shared" si="1"/>
        <v>12</v>
      </c>
      <c r="B17" s="14">
        <v>44986</v>
      </c>
      <c r="C17" s="15">
        <f t="shared" si="2"/>
        <v>8003697</v>
      </c>
      <c r="D17" s="15">
        <v>230769</v>
      </c>
      <c r="E17" s="15">
        <f t="shared" si="5"/>
        <v>56025.878999999994</v>
      </c>
      <c r="F17" s="15">
        <f t="shared" si="4"/>
        <v>286794.87900000002</v>
      </c>
      <c r="G17" s="15">
        <f t="shared" si="0"/>
        <v>7772928</v>
      </c>
    </row>
    <row r="18" spans="1:7" x14ac:dyDescent="0.3">
      <c r="A18" s="22">
        <f t="shared" si="1"/>
        <v>13</v>
      </c>
      <c r="B18" s="14">
        <v>45017</v>
      </c>
      <c r="C18" s="15">
        <f t="shared" si="2"/>
        <v>7772928</v>
      </c>
      <c r="D18" s="15">
        <v>230769</v>
      </c>
      <c r="E18" s="15">
        <f t="shared" si="5"/>
        <v>54410.496000000006</v>
      </c>
      <c r="F18" s="15">
        <f t="shared" si="4"/>
        <v>285179.49599999998</v>
      </c>
      <c r="G18" s="15">
        <f t="shared" si="0"/>
        <v>7542159</v>
      </c>
    </row>
    <row r="19" spans="1:7" x14ac:dyDescent="0.3">
      <c r="A19" s="22">
        <f t="shared" si="1"/>
        <v>14</v>
      </c>
      <c r="B19" s="14">
        <v>45047</v>
      </c>
      <c r="C19" s="15">
        <f t="shared" si="2"/>
        <v>7542159</v>
      </c>
      <c r="D19" s="15">
        <v>230769</v>
      </c>
      <c r="E19" s="15">
        <f t="shared" si="5"/>
        <v>52795.113000000005</v>
      </c>
      <c r="F19" s="15">
        <f t="shared" si="4"/>
        <v>283564.11300000001</v>
      </c>
      <c r="G19" s="15">
        <f t="shared" si="0"/>
        <v>7311390</v>
      </c>
    </row>
    <row r="20" spans="1:7" x14ac:dyDescent="0.3">
      <c r="A20" s="22">
        <f t="shared" si="1"/>
        <v>15</v>
      </c>
      <c r="B20" s="14">
        <v>45078</v>
      </c>
      <c r="C20" s="15">
        <f t="shared" si="2"/>
        <v>7311390</v>
      </c>
      <c r="D20" s="15">
        <v>230769</v>
      </c>
      <c r="E20" s="15">
        <f t="shared" si="5"/>
        <v>51179.73</v>
      </c>
      <c r="F20" s="15">
        <f t="shared" si="4"/>
        <v>281948.73</v>
      </c>
      <c r="G20" s="15">
        <f t="shared" si="0"/>
        <v>7080621</v>
      </c>
    </row>
    <row r="21" spans="1:7" x14ac:dyDescent="0.3">
      <c r="A21" s="22">
        <f t="shared" si="1"/>
        <v>16</v>
      </c>
      <c r="B21" s="14">
        <v>45108</v>
      </c>
      <c r="C21" s="15">
        <f t="shared" si="2"/>
        <v>7080621</v>
      </c>
      <c r="D21" s="15">
        <v>230769</v>
      </c>
      <c r="E21" s="15">
        <f t="shared" si="5"/>
        <v>49564.347000000009</v>
      </c>
      <c r="F21" s="15">
        <f t="shared" si="4"/>
        <v>280333.34700000001</v>
      </c>
      <c r="G21" s="15">
        <f t="shared" si="0"/>
        <v>6849852</v>
      </c>
    </row>
    <row r="22" spans="1:7" x14ac:dyDescent="0.3">
      <c r="A22" s="22">
        <f t="shared" si="1"/>
        <v>17</v>
      </c>
      <c r="B22" s="14">
        <v>45139</v>
      </c>
      <c r="C22" s="15">
        <f t="shared" si="2"/>
        <v>6849852</v>
      </c>
      <c r="D22" s="15">
        <v>230769</v>
      </c>
      <c r="E22" s="15">
        <f t="shared" si="5"/>
        <v>47948.964000000007</v>
      </c>
      <c r="F22" s="15">
        <f t="shared" si="4"/>
        <v>278717.96400000004</v>
      </c>
      <c r="G22" s="15">
        <f t="shared" si="0"/>
        <v>6619083</v>
      </c>
    </row>
    <row r="23" spans="1:7" x14ac:dyDescent="0.3">
      <c r="A23" s="22">
        <f t="shared" si="1"/>
        <v>18</v>
      </c>
      <c r="B23" s="14">
        <v>45170</v>
      </c>
      <c r="C23" s="15">
        <f t="shared" si="2"/>
        <v>6619083</v>
      </c>
      <c r="D23" s="15">
        <v>230769</v>
      </c>
      <c r="E23" s="15">
        <f t="shared" si="5"/>
        <v>46333.581000000006</v>
      </c>
      <c r="F23" s="15">
        <f t="shared" si="4"/>
        <v>277102.58100000001</v>
      </c>
      <c r="G23" s="15">
        <f t="shared" si="0"/>
        <v>6388314</v>
      </c>
    </row>
    <row r="24" spans="1:7" x14ac:dyDescent="0.3">
      <c r="A24" s="22">
        <f t="shared" si="1"/>
        <v>19</v>
      </c>
      <c r="B24" s="14">
        <v>45200</v>
      </c>
      <c r="C24" s="15">
        <f t="shared" si="2"/>
        <v>6388314</v>
      </c>
      <c r="D24" s="15">
        <v>230769</v>
      </c>
      <c r="E24" s="15">
        <f t="shared" si="5"/>
        <v>44718.198000000004</v>
      </c>
      <c r="F24" s="15">
        <f t="shared" si="4"/>
        <v>275487.19799999997</v>
      </c>
      <c r="G24" s="15">
        <f t="shared" si="0"/>
        <v>6157545</v>
      </c>
    </row>
    <row r="25" spans="1:7" x14ac:dyDescent="0.3">
      <c r="A25" s="22">
        <f t="shared" si="1"/>
        <v>20</v>
      </c>
      <c r="B25" s="14">
        <v>45231</v>
      </c>
      <c r="C25" s="15">
        <f t="shared" si="2"/>
        <v>6157545</v>
      </c>
      <c r="D25" s="15">
        <v>230769</v>
      </c>
      <c r="E25" s="15">
        <f t="shared" si="5"/>
        <v>43102.815000000002</v>
      </c>
      <c r="F25" s="15">
        <f t="shared" si="4"/>
        <v>273871.815</v>
      </c>
      <c r="G25" s="15">
        <f t="shared" si="0"/>
        <v>5926776</v>
      </c>
    </row>
    <row r="26" spans="1:7" x14ac:dyDescent="0.3">
      <c r="A26" s="22">
        <f t="shared" si="1"/>
        <v>21</v>
      </c>
      <c r="B26" s="14">
        <v>45261</v>
      </c>
      <c r="C26" s="15">
        <f t="shared" si="2"/>
        <v>5926776</v>
      </c>
      <c r="D26" s="15">
        <v>230769</v>
      </c>
      <c r="E26" s="15">
        <f t="shared" si="5"/>
        <v>41487.432000000001</v>
      </c>
      <c r="F26" s="15">
        <f t="shared" si="4"/>
        <v>272256.43200000003</v>
      </c>
      <c r="G26" s="15">
        <f t="shared" ref="G26:G49" si="6">C26-D26</f>
        <v>5696007</v>
      </c>
    </row>
    <row r="27" spans="1:7" x14ac:dyDescent="0.3">
      <c r="A27" s="22">
        <f t="shared" si="1"/>
        <v>22</v>
      </c>
      <c r="B27" s="14">
        <v>45292</v>
      </c>
      <c r="C27" s="15">
        <f t="shared" si="2"/>
        <v>5696007</v>
      </c>
      <c r="D27" s="15">
        <v>230769</v>
      </c>
      <c r="E27" s="15">
        <f t="shared" si="5"/>
        <v>39872.049000000006</v>
      </c>
      <c r="F27" s="15">
        <f t="shared" si="4"/>
        <v>270641.049</v>
      </c>
      <c r="G27" s="15">
        <f t="shared" si="6"/>
        <v>5465238</v>
      </c>
    </row>
    <row r="28" spans="1:7" x14ac:dyDescent="0.3">
      <c r="A28" s="22">
        <f t="shared" si="1"/>
        <v>23</v>
      </c>
      <c r="B28" s="14">
        <v>45323</v>
      </c>
      <c r="C28" s="15">
        <f t="shared" si="2"/>
        <v>5465238</v>
      </c>
      <c r="D28" s="15">
        <v>230769</v>
      </c>
      <c r="E28" s="15">
        <f t="shared" si="5"/>
        <v>38256.666000000005</v>
      </c>
      <c r="F28" s="15">
        <f t="shared" si="4"/>
        <v>269025.66600000003</v>
      </c>
      <c r="G28" s="15">
        <f t="shared" si="6"/>
        <v>5234469</v>
      </c>
    </row>
    <row r="29" spans="1:7" x14ac:dyDescent="0.3">
      <c r="A29" s="22">
        <f t="shared" si="1"/>
        <v>24</v>
      </c>
      <c r="B29" s="14">
        <v>45352</v>
      </c>
      <c r="C29" s="15">
        <f t="shared" si="2"/>
        <v>5234469</v>
      </c>
      <c r="D29" s="15">
        <v>230769</v>
      </c>
      <c r="E29" s="15">
        <f t="shared" si="5"/>
        <v>36641.283000000003</v>
      </c>
      <c r="F29" s="15">
        <f t="shared" si="4"/>
        <v>267410.283</v>
      </c>
      <c r="G29" s="15">
        <f t="shared" si="6"/>
        <v>5003700</v>
      </c>
    </row>
    <row r="30" spans="1:7" x14ac:dyDescent="0.3">
      <c r="A30" s="22">
        <f t="shared" si="1"/>
        <v>25</v>
      </c>
      <c r="B30" s="14">
        <v>45383</v>
      </c>
      <c r="C30" s="15">
        <f t="shared" ref="C30:C49" si="7">G29</f>
        <v>5003700</v>
      </c>
      <c r="D30" s="15">
        <v>230769</v>
      </c>
      <c r="E30" s="15">
        <f t="shared" si="5"/>
        <v>35025.9</v>
      </c>
      <c r="F30" s="15">
        <f t="shared" si="4"/>
        <v>265794.90000000002</v>
      </c>
      <c r="G30" s="15">
        <f t="shared" si="6"/>
        <v>4772931</v>
      </c>
    </row>
    <row r="31" spans="1:7" x14ac:dyDescent="0.3">
      <c r="A31" s="22">
        <f t="shared" si="1"/>
        <v>26</v>
      </c>
      <c r="B31" s="14">
        <v>45413</v>
      </c>
      <c r="C31" s="15">
        <f t="shared" si="7"/>
        <v>4772931</v>
      </c>
      <c r="D31" s="15">
        <v>230769</v>
      </c>
      <c r="E31" s="15">
        <f t="shared" si="5"/>
        <v>33410.517</v>
      </c>
      <c r="F31" s="15">
        <f t="shared" si="4"/>
        <v>264179.51699999999</v>
      </c>
      <c r="G31" s="15">
        <f t="shared" si="6"/>
        <v>4542162</v>
      </c>
    </row>
    <row r="32" spans="1:7" x14ac:dyDescent="0.3">
      <c r="A32" s="22">
        <f t="shared" si="1"/>
        <v>27</v>
      </c>
      <c r="B32" s="14">
        <v>45444</v>
      </c>
      <c r="C32" s="15">
        <f t="shared" si="7"/>
        <v>4542162</v>
      </c>
      <c r="D32" s="15">
        <v>230769</v>
      </c>
      <c r="E32" s="15">
        <f t="shared" si="5"/>
        <v>31795.134000000005</v>
      </c>
      <c r="F32" s="15">
        <f t="shared" si="4"/>
        <v>262564.13400000002</v>
      </c>
      <c r="G32" s="15">
        <f t="shared" si="6"/>
        <v>4311393</v>
      </c>
    </row>
    <row r="33" spans="1:7" x14ac:dyDescent="0.3">
      <c r="A33" s="22">
        <f t="shared" si="1"/>
        <v>28</v>
      </c>
      <c r="B33" s="14">
        <v>45474</v>
      </c>
      <c r="C33" s="15">
        <f t="shared" si="7"/>
        <v>4311393</v>
      </c>
      <c r="D33" s="15">
        <v>230769</v>
      </c>
      <c r="E33" s="15">
        <f t="shared" si="5"/>
        <v>30179.751000000004</v>
      </c>
      <c r="F33" s="15">
        <f t="shared" si="4"/>
        <v>260948.75099999999</v>
      </c>
      <c r="G33" s="15">
        <f t="shared" si="6"/>
        <v>4080624</v>
      </c>
    </row>
    <row r="34" spans="1:7" x14ac:dyDescent="0.3">
      <c r="A34" s="22">
        <f t="shared" si="1"/>
        <v>29</v>
      </c>
      <c r="B34" s="14">
        <v>45505</v>
      </c>
      <c r="C34" s="15">
        <f t="shared" si="7"/>
        <v>4080624</v>
      </c>
      <c r="D34" s="15">
        <v>230769</v>
      </c>
      <c r="E34" s="15">
        <f t="shared" si="5"/>
        <v>28564.368000000002</v>
      </c>
      <c r="F34" s="15">
        <f t="shared" si="4"/>
        <v>259333.36800000002</v>
      </c>
      <c r="G34" s="15">
        <f t="shared" si="6"/>
        <v>3849855</v>
      </c>
    </row>
    <row r="35" spans="1:7" x14ac:dyDescent="0.3">
      <c r="A35" s="22">
        <f t="shared" si="1"/>
        <v>30</v>
      </c>
      <c r="B35" s="14">
        <v>45536</v>
      </c>
      <c r="C35" s="15">
        <f t="shared" si="7"/>
        <v>3849855</v>
      </c>
      <c r="D35" s="15">
        <v>230769</v>
      </c>
      <c r="E35" s="15">
        <f t="shared" si="5"/>
        <v>26948.985000000001</v>
      </c>
      <c r="F35" s="15">
        <f t="shared" si="4"/>
        <v>257717.98499999999</v>
      </c>
      <c r="G35" s="15">
        <f t="shared" si="6"/>
        <v>3619086</v>
      </c>
    </row>
    <row r="36" spans="1:7" x14ac:dyDescent="0.3">
      <c r="A36" s="22">
        <f t="shared" si="1"/>
        <v>31</v>
      </c>
      <c r="B36" s="14">
        <v>45566</v>
      </c>
      <c r="C36" s="15">
        <f t="shared" si="7"/>
        <v>3619086</v>
      </c>
      <c r="D36" s="15">
        <v>230769</v>
      </c>
      <c r="E36" s="15">
        <f t="shared" si="5"/>
        <v>25333.602000000003</v>
      </c>
      <c r="F36" s="15">
        <f t="shared" si="4"/>
        <v>256102.60200000001</v>
      </c>
      <c r="G36" s="15">
        <f t="shared" si="6"/>
        <v>3388317</v>
      </c>
    </row>
    <row r="37" spans="1:7" x14ac:dyDescent="0.3">
      <c r="A37" s="22">
        <f t="shared" si="1"/>
        <v>32</v>
      </c>
      <c r="B37" s="14">
        <v>45597</v>
      </c>
      <c r="C37" s="15">
        <f t="shared" si="7"/>
        <v>3388317</v>
      </c>
      <c r="D37" s="15">
        <v>230769</v>
      </c>
      <c r="E37" s="15">
        <f t="shared" si="5"/>
        <v>23718.219000000001</v>
      </c>
      <c r="F37" s="15">
        <f t="shared" si="4"/>
        <v>254487.21900000001</v>
      </c>
      <c r="G37" s="15">
        <f t="shared" si="6"/>
        <v>3157548</v>
      </c>
    </row>
    <row r="38" spans="1:7" x14ac:dyDescent="0.3">
      <c r="A38" s="22">
        <f t="shared" si="1"/>
        <v>33</v>
      </c>
      <c r="B38" s="14">
        <v>45627</v>
      </c>
      <c r="C38" s="15">
        <f t="shared" si="7"/>
        <v>3157548</v>
      </c>
      <c r="D38" s="15">
        <v>230769</v>
      </c>
      <c r="E38" s="15">
        <f t="shared" si="5"/>
        <v>22102.835999999999</v>
      </c>
      <c r="F38" s="15">
        <f t="shared" si="4"/>
        <v>252871.83600000001</v>
      </c>
      <c r="G38" s="15">
        <f t="shared" si="6"/>
        <v>2926779</v>
      </c>
    </row>
    <row r="39" spans="1:7" x14ac:dyDescent="0.3">
      <c r="A39" s="22">
        <f t="shared" si="1"/>
        <v>34</v>
      </c>
      <c r="B39" s="14">
        <v>45658</v>
      </c>
      <c r="C39" s="15">
        <f t="shared" si="7"/>
        <v>2926779</v>
      </c>
      <c r="D39" s="15">
        <v>230769</v>
      </c>
      <c r="E39" s="15">
        <f t="shared" si="5"/>
        <v>20487.453000000001</v>
      </c>
      <c r="F39" s="15">
        <f t="shared" si="4"/>
        <v>251256.45300000001</v>
      </c>
      <c r="G39" s="15">
        <f t="shared" si="6"/>
        <v>2696010</v>
      </c>
    </row>
    <row r="40" spans="1:7" x14ac:dyDescent="0.3">
      <c r="A40" s="22">
        <f t="shared" si="1"/>
        <v>35</v>
      </c>
      <c r="B40" s="14">
        <v>45689</v>
      </c>
      <c r="C40" s="15">
        <f t="shared" si="7"/>
        <v>2696010</v>
      </c>
      <c r="D40" s="15">
        <v>230769</v>
      </c>
      <c r="E40" s="15">
        <f t="shared" si="5"/>
        <v>18872.07</v>
      </c>
      <c r="F40" s="15">
        <f t="shared" si="4"/>
        <v>249641.07</v>
      </c>
      <c r="G40" s="15">
        <f t="shared" si="6"/>
        <v>2465241</v>
      </c>
    </row>
    <row r="41" spans="1:7" x14ac:dyDescent="0.3">
      <c r="A41" s="22">
        <f t="shared" si="1"/>
        <v>36</v>
      </c>
      <c r="B41" s="14">
        <v>45717</v>
      </c>
      <c r="C41" s="15">
        <f t="shared" si="7"/>
        <v>2465241</v>
      </c>
      <c r="D41" s="15">
        <v>230769</v>
      </c>
      <c r="E41" s="15">
        <f t="shared" si="5"/>
        <v>17256.687000000002</v>
      </c>
      <c r="F41" s="15">
        <f t="shared" si="4"/>
        <v>248025.68700000001</v>
      </c>
      <c r="G41" s="15">
        <f t="shared" si="6"/>
        <v>2234472</v>
      </c>
    </row>
    <row r="42" spans="1:7" x14ac:dyDescent="0.3">
      <c r="A42" s="22">
        <f t="shared" si="1"/>
        <v>37</v>
      </c>
      <c r="B42" s="14">
        <v>45748</v>
      </c>
      <c r="C42" s="15">
        <f t="shared" si="7"/>
        <v>2234472</v>
      </c>
      <c r="D42" s="15">
        <v>230769</v>
      </c>
      <c r="E42" s="15">
        <f t="shared" si="5"/>
        <v>15641.304000000002</v>
      </c>
      <c r="F42" s="15">
        <f t="shared" si="4"/>
        <v>246410.304</v>
      </c>
      <c r="G42" s="15">
        <f t="shared" si="6"/>
        <v>2003703</v>
      </c>
    </row>
    <row r="43" spans="1:7" x14ac:dyDescent="0.3">
      <c r="A43" s="22">
        <f t="shared" si="1"/>
        <v>38</v>
      </c>
      <c r="B43" s="14">
        <v>45778</v>
      </c>
      <c r="C43" s="15">
        <f t="shared" si="7"/>
        <v>2003703</v>
      </c>
      <c r="D43" s="15">
        <v>230769</v>
      </c>
      <c r="E43" s="15">
        <f t="shared" si="5"/>
        <v>14025.921</v>
      </c>
      <c r="F43" s="15">
        <f t="shared" si="4"/>
        <v>244794.921</v>
      </c>
      <c r="G43" s="15">
        <f t="shared" si="6"/>
        <v>1772934</v>
      </c>
    </row>
    <row r="44" spans="1:7" x14ac:dyDescent="0.3">
      <c r="A44" s="22">
        <f t="shared" si="1"/>
        <v>39</v>
      </c>
      <c r="B44" s="14">
        <v>45809</v>
      </c>
      <c r="C44" s="15">
        <f t="shared" si="7"/>
        <v>1772934</v>
      </c>
      <c r="D44" s="15">
        <v>230769</v>
      </c>
      <c r="E44" s="15">
        <f t="shared" si="5"/>
        <v>12410.538</v>
      </c>
      <c r="F44" s="15">
        <f t="shared" si="4"/>
        <v>243179.538</v>
      </c>
      <c r="G44" s="15">
        <f t="shared" si="6"/>
        <v>1542165</v>
      </c>
    </row>
    <row r="45" spans="1:7" x14ac:dyDescent="0.3">
      <c r="A45" s="22">
        <f t="shared" si="1"/>
        <v>40</v>
      </c>
      <c r="B45" s="14">
        <v>45839</v>
      </c>
      <c r="C45" s="15">
        <f t="shared" si="7"/>
        <v>1542165</v>
      </c>
      <c r="D45" s="15">
        <v>230769</v>
      </c>
      <c r="E45" s="15">
        <f t="shared" si="5"/>
        <v>10795.155000000001</v>
      </c>
      <c r="F45" s="15">
        <f t="shared" si="4"/>
        <v>241564.155</v>
      </c>
      <c r="G45" s="15">
        <f t="shared" si="6"/>
        <v>1311396</v>
      </c>
    </row>
    <row r="46" spans="1:7" x14ac:dyDescent="0.3">
      <c r="A46" s="22">
        <f t="shared" si="1"/>
        <v>41</v>
      </c>
      <c r="B46" s="14">
        <v>45870</v>
      </c>
      <c r="C46" s="15">
        <f t="shared" si="7"/>
        <v>1311396</v>
      </c>
      <c r="D46" s="15">
        <v>230769</v>
      </c>
      <c r="E46" s="15">
        <f t="shared" si="5"/>
        <v>9179.7720000000008</v>
      </c>
      <c r="F46" s="15">
        <f t="shared" si="4"/>
        <v>239948.772</v>
      </c>
      <c r="G46" s="15">
        <f t="shared" si="6"/>
        <v>1080627</v>
      </c>
    </row>
    <row r="47" spans="1:7" x14ac:dyDescent="0.3">
      <c r="A47" s="22">
        <f t="shared" si="1"/>
        <v>42</v>
      </c>
      <c r="B47" s="14">
        <v>45901</v>
      </c>
      <c r="C47" s="15">
        <f t="shared" si="7"/>
        <v>1080627</v>
      </c>
      <c r="D47" s="15">
        <v>230769</v>
      </c>
      <c r="E47" s="15">
        <f t="shared" si="5"/>
        <v>7564.3890000000001</v>
      </c>
      <c r="F47" s="15">
        <f t="shared" si="4"/>
        <v>238333.389</v>
      </c>
      <c r="G47" s="15">
        <f t="shared" si="6"/>
        <v>849858</v>
      </c>
    </row>
    <row r="48" spans="1:7" x14ac:dyDescent="0.3">
      <c r="A48" s="22">
        <f t="shared" si="1"/>
        <v>43</v>
      </c>
      <c r="B48" s="14">
        <v>45931</v>
      </c>
      <c r="C48" s="15">
        <f t="shared" si="7"/>
        <v>849858</v>
      </c>
      <c r="D48" s="15">
        <v>230769</v>
      </c>
      <c r="E48" s="15">
        <f t="shared" si="5"/>
        <v>5949.0060000000003</v>
      </c>
      <c r="F48" s="15">
        <f t="shared" si="4"/>
        <v>236718.00599999999</v>
      </c>
      <c r="G48" s="15">
        <f t="shared" si="6"/>
        <v>619089</v>
      </c>
    </row>
    <row r="49" spans="1:7" x14ac:dyDescent="0.3">
      <c r="A49" s="22">
        <f t="shared" si="1"/>
        <v>44</v>
      </c>
      <c r="B49" s="14">
        <v>45962</v>
      </c>
      <c r="C49" s="15">
        <f t="shared" si="7"/>
        <v>619089</v>
      </c>
      <c r="D49" s="15">
        <v>230769</v>
      </c>
      <c r="E49" s="15">
        <f t="shared" si="5"/>
        <v>4333.6230000000005</v>
      </c>
      <c r="F49" s="15">
        <f t="shared" si="4"/>
        <v>235102.62299999999</v>
      </c>
      <c r="G49" s="15">
        <f t="shared" si="6"/>
        <v>388320</v>
      </c>
    </row>
    <row r="50" spans="1:7" x14ac:dyDescent="0.3">
      <c r="A50" s="22">
        <f t="shared" si="1"/>
        <v>45</v>
      </c>
      <c r="B50" s="14">
        <v>45992</v>
      </c>
      <c r="C50" s="15">
        <f t="shared" ref="C50:C51" si="8">G49</f>
        <v>388320</v>
      </c>
      <c r="D50" s="15">
        <v>230769</v>
      </c>
      <c r="E50" s="15">
        <f t="shared" si="5"/>
        <v>2718.2400000000002</v>
      </c>
      <c r="F50" s="15">
        <f t="shared" si="4"/>
        <v>233487.24</v>
      </c>
      <c r="G50" s="15">
        <f t="shared" ref="G50:G51" si="9">C50-D50</f>
        <v>157551</v>
      </c>
    </row>
    <row r="51" spans="1:7" x14ac:dyDescent="0.3">
      <c r="A51" s="22">
        <f t="shared" si="1"/>
        <v>46</v>
      </c>
      <c r="B51" s="14">
        <v>46023</v>
      </c>
      <c r="C51" s="15">
        <f t="shared" si="8"/>
        <v>157551</v>
      </c>
      <c r="D51" s="15">
        <f>C51</f>
        <v>157551</v>
      </c>
      <c r="E51" s="15">
        <f t="shared" si="5"/>
        <v>1102.8570000000002</v>
      </c>
      <c r="F51" s="15">
        <f t="shared" si="4"/>
        <v>158653.85699999999</v>
      </c>
      <c r="G51" s="15">
        <f t="shared" si="9"/>
        <v>0</v>
      </c>
    </row>
    <row r="52" spans="1:7" x14ac:dyDescent="0.3">
      <c r="C52" s="2"/>
      <c r="D52" s="2"/>
      <c r="E52" s="2"/>
      <c r="F52" s="2"/>
      <c r="G52" s="2"/>
    </row>
    <row r="53" spans="1:7" x14ac:dyDescent="0.3">
      <c r="C53" s="2"/>
      <c r="D53" s="2"/>
      <c r="E53" s="2"/>
      <c r="F53" s="2"/>
      <c r="G53" s="2"/>
    </row>
    <row r="54" spans="1:7" x14ac:dyDescent="0.3">
      <c r="C54" s="2"/>
      <c r="D54" s="2"/>
      <c r="E54" s="2"/>
      <c r="F54" s="2"/>
      <c r="G54" s="2"/>
    </row>
    <row r="55" spans="1:7" x14ac:dyDescent="0.3">
      <c r="C55" s="2"/>
      <c r="D55" s="2"/>
      <c r="E55" s="2"/>
      <c r="F55" s="2"/>
      <c r="G55" s="2"/>
    </row>
    <row r="56" spans="1:7" x14ac:dyDescent="0.3">
      <c r="C56" s="2"/>
      <c r="D56" s="2"/>
      <c r="E56" s="2"/>
      <c r="F56" s="2"/>
      <c r="G56" s="2"/>
    </row>
    <row r="57" spans="1:7" x14ac:dyDescent="0.3">
      <c r="C57" s="2"/>
      <c r="D57" s="2"/>
      <c r="E57" s="2"/>
      <c r="F57" s="2"/>
      <c r="G57" s="2"/>
    </row>
    <row r="58" spans="1:7" x14ac:dyDescent="0.3">
      <c r="C58" s="2"/>
      <c r="D58" s="2"/>
      <c r="E58" s="2"/>
      <c r="F58" s="2"/>
      <c r="G58" s="2"/>
    </row>
    <row r="59" spans="1:7" x14ac:dyDescent="0.3">
      <c r="C59" s="2"/>
      <c r="D59" s="2"/>
      <c r="E59" s="2"/>
      <c r="F59" s="2"/>
      <c r="G59" s="2"/>
    </row>
    <row r="60" spans="1:7" x14ac:dyDescent="0.3">
      <c r="C60" s="2"/>
      <c r="D60" s="2"/>
      <c r="E60" s="2"/>
      <c r="F60" s="2"/>
      <c r="G60" s="2"/>
    </row>
    <row r="61" spans="1:7" x14ac:dyDescent="0.3">
      <c r="C61" s="2"/>
      <c r="D61" s="2"/>
      <c r="E61" s="2"/>
      <c r="F61" s="2"/>
      <c r="G61" s="2"/>
    </row>
    <row r="62" spans="1:7" x14ac:dyDescent="0.3">
      <c r="C62" s="2"/>
      <c r="D62" s="2"/>
      <c r="E62" s="2"/>
      <c r="F62" s="2"/>
      <c r="G62" s="2"/>
    </row>
    <row r="63" spans="1:7" x14ac:dyDescent="0.3">
      <c r="C63" s="2"/>
      <c r="D63" s="2"/>
      <c r="E63" s="2"/>
      <c r="F63" s="2"/>
      <c r="G63" s="2"/>
    </row>
    <row r="64" spans="1:7" x14ac:dyDescent="0.3">
      <c r="C64" s="2"/>
      <c r="D64" s="2"/>
      <c r="E64" s="2"/>
      <c r="F64" s="2"/>
      <c r="G64" s="2"/>
    </row>
    <row r="65" spans="3:7" x14ac:dyDescent="0.3">
      <c r="C65" s="2"/>
      <c r="D65" s="2"/>
      <c r="E65" s="2"/>
      <c r="F65" s="2"/>
      <c r="G65" s="2"/>
    </row>
    <row r="66" spans="3:7" x14ac:dyDescent="0.3">
      <c r="C66" s="2"/>
      <c r="D66" s="2"/>
      <c r="E66" s="2"/>
      <c r="F66" s="2"/>
      <c r="G66" s="2"/>
    </row>
    <row r="67" spans="3:7" x14ac:dyDescent="0.3">
      <c r="C67" s="2"/>
      <c r="D67" s="2"/>
      <c r="E67" s="2"/>
      <c r="F67" s="2"/>
      <c r="G67" s="2"/>
    </row>
    <row r="68" spans="3:7" x14ac:dyDescent="0.3">
      <c r="C68" s="2"/>
      <c r="D68" s="2"/>
      <c r="E68" s="2"/>
      <c r="F68" s="2"/>
      <c r="G68" s="2"/>
    </row>
    <row r="69" spans="3:7" x14ac:dyDescent="0.3">
      <c r="C69" s="2"/>
      <c r="D69" s="2"/>
      <c r="E69" s="2"/>
      <c r="F69" s="2"/>
      <c r="G69" s="2"/>
    </row>
    <row r="70" spans="3:7" x14ac:dyDescent="0.3">
      <c r="C70" s="2"/>
      <c r="D70" s="2"/>
      <c r="E70" s="2"/>
      <c r="F70" s="2"/>
      <c r="G70" s="2"/>
    </row>
    <row r="71" spans="3:7" x14ac:dyDescent="0.3">
      <c r="C71" s="2"/>
      <c r="D71" s="2"/>
      <c r="E71" s="2"/>
      <c r="F71" s="2"/>
      <c r="G71" s="2"/>
    </row>
    <row r="72" spans="3:7" x14ac:dyDescent="0.3">
      <c r="C72" s="2"/>
      <c r="D72" s="2"/>
      <c r="E72" s="2"/>
      <c r="F72" s="2"/>
      <c r="G72" s="2"/>
    </row>
    <row r="73" spans="3:7" x14ac:dyDescent="0.3">
      <c r="C73" s="2"/>
      <c r="D73" s="2"/>
      <c r="E73" s="2"/>
      <c r="F73" s="2"/>
      <c r="G73" s="2"/>
    </row>
    <row r="74" spans="3:7" x14ac:dyDescent="0.3">
      <c r="C74" s="2"/>
      <c r="D74" s="2"/>
      <c r="E74" s="2"/>
      <c r="F74" s="2"/>
      <c r="G74" s="2"/>
    </row>
    <row r="75" spans="3:7" x14ac:dyDescent="0.3">
      <c r="C75" s="2"/>
      <c r="D75" s="2"/>
      <c r="E75" s="2"/>
      <c r="F75" s="2"/>
      <c r="G75" s="2"/>
    </row>
    <row r="76" spans="3:7" x14ac:dyDescent="0.3">
      <c r="C76" s="2"/>
      <c r="D76" s="2"/>
      <c r="E76" s="2"/>
      <c r="F76" s="2"/>
      <c r="G76" s="2"/>
    </row>
    <row r="77" spans="3:7" x14ac:dyDescent="0.3">
      <c r="C77" s="2"/>
      <c r="D77" s="2"/>
      <c r="E77" s="2"/>
      <c r="F77" s="2"/>
      <c r="G77" s="2"/>
    </row>
    <row r="78" spans="3:7" x14ac:dyDescent="0.3">
      <c r="C78" s="2"/>
      <c r="D78" s="2"/>
      <c r="E78" s="2"/>
      <c r="F78" s="2"/>
      <c r="G78" s="2"/>
    </row>
    <row r="79" spans="3:7" x14ac:dyDescent="0.3">
      <c r="C79" s="2"/>
      <c r="D79" s="2"/>
      <c r="E79" s="2"/>
      <c r="F79" s="2"/>
      <c r="G79" s="2"/>
    </row>
    <row r="80" spans="3:7" x14ac:dyDescent="0.3">
      <c r="C80" s="2"/>
      <c r="D80" s="2"/>
      <c r="E80" s="2"/>
      <c r="F80" s="2"/>
      <c r="G80" s="2"/>
    </row>
    <row r="81" spans="3:7" x14ac:dyDescent="0.3">
      <c r="C81" s="2"/>
      <c r="D81" s="2"/>
      <c r="E81" s="2"/>
      <c r="F81" s="2"/>
      <c r="G81" s="2"/>
    </row>
    <row r="82" spans="3:7" x14ac:dyDescent="0.3">
      <c r="C82" s="2"/>
      <c r="D82" s="2"/>
      <c r="E82" s="2"/>
      <c r="F82" s="2"/>
      <c r="G82" s="2"/>
    </row>
    <row r="83" spans="3:7" x14ac:dyDescent="0.3">
      <c r="C83" s="2"/>
      <c r="D83" s="2"/>
      <c r="E83" s="2"/>
      <c r="F83" s="2"/>
      <c r="G83" s="2"/>
    </row>
    <row r="84" spans="3:7" x14ac:dyDescent="0.3">
      <c r="C84" s="2"/>
      <c r="D84" s="2"/>
      <c r="E84" s="2"/>
      <c r="F84" s="2"/>
      <c r="G84" s="2"/>
    </row>
    <row r="85" spans="3:7" x14ac:dyDescent="0.3">
      <c r="C85" s="2"/>
      <c r="D85" s="2"/>
      <c r="E85" s="2"/>
      <c r="F85" s="2"/>
      <c r="G85" s="2"/>
    </row>
    <row r="86" spans="3:7" x14ac:dyDescent="0.3">
      <c r="C86" s="2"/>
      <c r="D86" s="2"/>
      <c r="E86" s="2"/>
      <c r="F86" s="2"/>
      <c r="G86" s="2"/>
    </row>
    <row r="87" spans="3:7" x14ac:dyDescent="0.3">
      <c r="C87" s="2"/>
      <c r="D87" s="2"/>
      <c r="E87" s="2"/>
      <c r="F87" s="2"/>
      <c r="G87" s="2"/>
    </row>
    <row r="88" spans="3:7" x14ac:dyDescent="0.3">
      <c r="C88" s="2"/>
      <c r="D88" s="2"/>
      <c r="E88" s="2"/>
      <c r="F88" s="2"/>
      <c r="G88" s="2"/>
    </row>
    <row r="89" spans="3:7" x14ac:dyDescent="0.3">
      <c r="C89" s="2"/>
      <c r="D89" s="2"/>
      <c r="E89" s="2"/>
      <c r="F89" s="2"/>
      <c r="G89" s="2"/>
    </row>
    <row r="90" spans="3:7" x14ac:dyDescent="0.3">
      <c r="C90" s="2"/>
      <c r="D90" s="2"/>
      <c r="E90" s="2"/>
      <c r="F90" s="2"/>
      <c r="G90" s="2"/>
    </row>
    <row r="91" spans="3:7" x14ac:dyDescent="0.3">
      <c r="C91" s="2"/>
      <c r="D91" s="2"/>
      <c r="E91" s="2"/>
      <c r="F91" s="2"/>
      <c r="G91" s="2"/>
    </row>
    <row r="92" spans="3:7" x14ac:dyDescent="0.3">
      <c r="C92" s="2"/>
      <c r="D92" s="2"/>
      <c r="E92" s="2"/>
      <c r="F92" s="2"/>
      <c r="G92" s="2"/>
    </row>
    <row r="93" spans="3:7" x14ac:dyDescent="0.3">
      <c r="C93" s="2"/>
      <c r="D93" s="2"/>
      <c r="E93" s="2"/>
      <c r="F93" s="2"/>
      <c r="G93" s="2"/>
    </row>
    <row r="94" spans="3:7" x14ac:dyDescent="0.3">
      <c r="C94" s="2"/>
      <c r="D94" s="2"/>
      <c r="E94" s="2"/>
      <c r="F94" s="2"/>
      <c r="G94" s="2"/>
    </row>
    <row r="95" spans="3:7" x14ac:dyDescent="0.3">
      <c r="C95" s="2"/>
      <c r="D95" s="2"/>
      <c r="E95" s="2"/>
      <c r="F95" s="2"/>
      <c r="G95" s="2"/>
    </row>
    <row r="96" spans="3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8" x14ac:dyDescent="0.3">
      <c r="C129" s="2"/>
      <c r="D129" s="2"/>
      <c r="E129" s="2"/>
      <c r="F129" s="2"/>
      <c r="G129" s="2"/>
    </row>
    <row r="130" spans="3:8" x14ac:dyDescent="0.3">
      <c r="C130" s="2"/>
      <c r="D130" s="2"/>
      <c r="E130" s="2"/>
      <c r="F130" s="2"/>
      <c r="G130" s="2"/>
    </row>
    <row r="131" spans="3:8" x14ac:dyDescent="0.3">
      <c r="C131" s="2"/>
      <c r="D131" s="2"/>
      <c r="E131" s="2"/>
      <c r="F131" s="2"/>
      <c r="G131" s="2"/>
    </row>
    <row r="132" spans="3:8" x14ac:dyDescent="0.3">
      <c r="C132" s="2"/>
      <c r="D132" s="2"/>
      <c r="E132" s="2"/>
      <c r="F132" s="2"/>
      <c r="G132" s="2"/>
    </row>
    <row r="133" spans="3:8" x14ac:dyDescent="0.3">
      <c r="C133" s="2"/>
      <c r="D133" s="2"/>
      <c r="E133" s="2"/>
      <c r="F133" s="2"/>
      <c r="G133" s="2"/>
    </row>
    <row r="134" spans="3:8" x14ac:dyDescent="0.3">
      <c r="C134" s="2"/>
      <c r="D134" s="2"/>
      <c r="E134" s="2"/>
      <c r="F134" s="2"/>
      <c r="G134" s="2"/>
    </row>
    <row r="135" spans="3:8" x14ac:dyDescent="0.3">
      <c r="C135" s="2"/>
      <c r="D135" s="2"/>
      <c r="E135" s="2"/>
      <c r="F135" s="2"/>
      <c r="G135" s="2"/>
    </row>
    <row r="136" spans="3:8" x14ac:dyDescent="0.3">
      <c r="C136" s="2"/>
      <c r="D136" s="2"/>
      <c r="E136" s="2"/>
      <c r="F136" s="2"/>
      <c r="G136" s="2"/>
      <c r="H136" s="2"/>
    </row>
    <row r="137" spans="3:8" x14ac:dyDescent="0.3">
      <c r="C137" s="2"/>
      <c r="D137" s="2"/>
      <c r="E137" s="2"/>
      <c r="F137" s="2"/>
      <c r="G137" s="2"/>
      <c r="H137" s="2"/>
    </row>
    <row r="138" spans="3:8" x14ac:dyDescent="0.3">
      <c r="C138" s="2"/>
      <c r="D138" s="2"/>
      <c r="E138" s="2"/>
      <c r="F138" s="2"/>
      <c r="G138" s="2"/>
      <c r="H138" s="2"/>
    </row>
    <row r="139" spans="3:8" x14ac:dyDescent="0.3">
      <c r="C139" s="2"/>
      <c r="D139" s="2"/>
      <c r="E139" s="2"/>
      <c r="F139" s="2"/>
      <c r="G139" s="2"/>
      <c r="H139" s="2"/>
    </row>
    <row r="140" spans="3:8" x14ac:dyDescent="0.3">
      <c r="C140" s="2"/>
      <c r="D140" s="2"/>
      <c r="E140" s="2"/>
      <c r="F140" s="2"/>
      <c r="G140" s="2"/>
      <c r="H140" s="2"/>
    </row>
    <row r="141" spans="3:8" x14ac:dyDescent="0.3">
      <c r="C141" s="2"/>
      <c r="D141" s="2"/>
      <c r="E141" s="2"/>
      <c r="F141" s="2"/>
      <c r="G141" s="2"/>
      <c r="H141" s="2"/>
    </row>
    <row r="142" spans="3:8" x14ac:dyDescent="0.3">
      <c r="C142" s="2"/>
      <c r="D142" s="2"/>
      <c r="E142" s="2"/>
      <c r="F142" s="2"/>
      <c r="G142" s="2"/>
      <c r="H142" s="2"/>
    </row>
    <row r="143" spans="3:8" x14ac:dyDescent="0.3">
      <c r="C143" s="2"/>
      <c r="D143" s="2"/>
      <c r="E143" s="2"/>
      <c r="F143" s="2"/>
      <c r="G143" s="2"/>
      <c r="H143" s="2"/>
    </row>
    <row r="144" spans="3:8" x14ac:dyDescent="0.3">
      <c r="C144" s="2"/>
      <c r="D144" s="2"/>
      <c r="E144" s="2"/>
      <c r="F144" s="2"/>
      <c r="G144" s="2"/>
      <c r="H144" s="2"/>
    </row>
    <row r="145" spans="3:8" x14ac:dyDescent="0.3">
      <c r="C145" s="2"/>
      <c r="D145" s="2"/>
      <c r="E145" s="2"/>
      <c r="F145" s="2"/>
      <c r="G145" s="2"/>
      <c r="H145" s="2"/>
    </row>
    <row r="146" spans="3:8" x14ac:dyDescent="0.3">
      <c r="C146" s="2"/>
      <c r="D146" s="2"/>
      <c r="E146" s="2"/>
      <c r="F146" s="2"/>
      <c r="G146" s="2"/>
      <c r="H146" s="2"/>
    </row>
    <row r="147" spans="3:8" x14ac:dyDescent="0.3">
      <c r="C147" s="2"/>
      <c r="D147" s="2"/>
      <c r="E147" s="2"/>
      <c r="F147" s="2"/>
      <c r="G147" s="2"/>
      <c r="H147" s="2"/>
    </row>
    <row r="148" spans="3:8" x14ac:dyDescent="0.3">
      <c r="C148" s="2"/>
      <c r="D148" s="2"/>
      <c r="E148" s="2"/>
      <c r="F148" s="2"/>
      <c r="H148" s="2"/>
    </row>
    <row r="149" spans="3:8" x14ac:dyDescent="0.3">
      <c r="C149" s="2"/>
      <c r="D149" s="2"/>
      <c r="E149" s="2"/>
      <c r="F149" s="2"/>
      <c r="H149" s="2"/>
    </row>
    <row r="150" spans="3:8" x14ac:dyDescent="0.3">
      <c r="C150" s="2"/>
      <c r="D150" s="2"/>
      <c r="E150" s="2"/>
      <c r="F150" s="2"/>
      <c r="H150" s="2"/>
    </row>
    <row r="151" spans="3:8" x14ac:dyDescent="0.3">
      <c r="C151" s="2"/>
      <c r="D151" s="2"/>
      <c r="E151" s="2"/>
      <c r="F151" s="2"/>
      <c r="H151" s="2"/>
    </row>
    <row r="152" spans="3:8" x14ac:dyDescent="0.3">
      <c r="C152" s="2"/>
      <c r="D152" s="2"/>
      <c r="E152" s="2"/>
      <c r="F152" s="2"/>
      <c r="H152" s="2"/>
    </row>
    <row r="153" spans="3:8" x14ac:dyDescent="0.3">
      <c r="C153" s="2"/>
      <c r="D153" s="2"/>
      <c r="E153" s="2"/>
      <c r="F153" s="2"/>
      <c r="H153" s="2"/>
    </row>
    <row r="154" spans="3:8" x14ac:dyDescent="0.3">
      <c r="C154" s="2"/>
      <c r="D154" s="2"/>
      <c r="E154" s="2"/>
      <c r="F154" s="2"/>
      <c r="H154" s="2"/>
    </row>
    <row r="155" spans="3:8" x14ac:dyDescent="0.3">
      <c r="C155" s="2"/>
      <c r="D155" s="2"/>
      <c r="E155" s="2"/>
      <c r="F155" s="2"/>
      <c r="H155" s="2"/>
    </row>
    <row r="156" spans="3:8" x14ac:dyDescent="0.3">
      <c r="C156" s="2"/>
      <c r="D156" s="2"/>
      <c r="E156" s="2"/>
      <c r="F156" s="2"/>
      <c r="H156" s="2"/>
    </row>
    <row r="157" spans="3:8" x14ac:dyDescent="0.3">
      <c r="C157" s="2"/>
      <c r="D157" s="2"/>
      <c r="E157" s="2"/>
      <c r="F157" s="2"/>
      <c r="H157" s="2"/>
    </row>
    <row r="158" spans="3:8" x14ac:dyDescent="0.3">
      <c r="C158" s="2"/>
      <c r="D158" s="2"/>
      <c r="E158" s="2"/>
      <c r="F158" s="2"/>
      <c r="H158" s="2"/>
    </row>
    <row r="159" spans="3:8" x14ac:dyDescent="0.3">
      <c r="C159" s="2"/>
      <c r="D159" s="2"/>
      <c r="E159" s="2"/>
      <c r="F159" s="2"/>
      <c r="H159" s="2"/>
    </row>
    <row r="160" spans="3:8" x14ac:dyDescent="0.3">
      <c r="C160" s="2"/>
      <c r="D160" s="2"/>
      <c r="E160" s="2"/>
      <c r="F160" s="2"/>
      <c r="H160" s="2"/>
    </row>
    <row r="161" spans="3:8" x14ac:dyDescent="0.3">
      <c r="C161" s="2"/>
      <c r="D161" s="2"/>
      <c r="E161" s="2"/>
      <c r="F161" s="2"/>
      <c r="H161" s="2"/>
    </row>
    <row r="162" spans="3:8" x14ac:dyDescent="0.3">
      <c r="C162" s="2"/>
      <c r="D162" s="2"/>
      <c r="E162" s="2"/>
      <c r="F162" s="2"/>
      <c r="H162" s="2"/>
    </row>
    <row r="163" spans="3:8" x14ac:dyDescent="0.3">
      <c r="C163" s="2"/>
      <c r="D163" s="2"/>
      <c r="E163" s="2"/>
      <c r="F163" s="2"/>
      <c r="H163" s="2"/>
    </row>
    <row r="164" spans="3:8" x14ac:dyDescent="0.3">
      <c r="C164" s="2"/>
      <c r="D164" s="2"/>
      <c r="E164" s="2"/>
      <c r="F164" s="2"/>
      <c r="H164" s="2"/>
    </row>
    <row r="165" spans="3:8" x14ac:dyDescent="0.3">
      <c r="C165" s="2"/>
      <c r="D165" s="2"/>
      <c r="E165" s="2"/>
      <c r="F165" s="2"/>
      <c r="H165" s="2"/>
    </row>
    <row r="166" spans="3:8" x14ac:dyDescent="0.3">
      <c r="C166" s="2"/>
      <c r="D166" s="2"/>
      <c r="E166" s="2"/>
      <c r="F166" s="2"/>
      <c r="H166" s="2"/>
    </row>
    <row r="167" spans="3:8" x14ac:dyDescent="0.3">
      <c r="C167" s="2"/>
      <c r="D167" s="2"/>
      <c r="E167" s="2"/>
      <c r="F167" s="2"/>
      <c r="H167" s="2"/>
    </row>
    <row r="168" spans="3:8" x14ac:dyDescent="0.3">
      <c r="C168" s="2"/>
      <c r="D168" s="2"/>
      <c r="E168" s="2"/>
      <c r="F168" s="2"/>
      <c r="H168" s="2"/>
    </row>
    <row r="169" spans="3:8" x14ac:dyDescent="0.3">
      <c r="C169" s="2"/>
      <c r="D169" s="2"/>
      <c r="E169" s="2"/>
      <c r="F169" s="2"/>
      <c r="H169" s="2"/>
    </row>
    <row r="170" spans="3:8" x14ac:dyDescent="0.3">
      <c r="C170" s="2"/>
      <c r="D170" s="2"/>
      <c r="E170" s="2"/>
      <c r="F170" s="2"/>
      <c r="H170" s="2"/>
    </row>
    <row r="171" spans="3:8" x14ac:dyDescent="0.3">
      <c r="C171" s="2"/>
      <c r="D171" s="2"/>
      <c r="E171" s="2"/>
      <c r="F171" s="2"/>
      <c r="H171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04"/>
  <sheetViews>
    <sheetView topLeftCell="B1" workbookViewId="0">
      <selection activeCell="E64" sqref="E64"/>
    </sheetView>
  </sheetViews>
  <sheetFormatPr defaultRowHeight="14.4" x14ac:dyDescent="0.3"/>
  <cols>
    <col min="1" max="1" width="0" style="9" hidden="1" customWidth="1"/>
    <col min="2" max="2" width="15.44140625" customWidth="1"/>
    <col min="3" max="3" width="16.88671875" bestFit="1" customWidth="1"/>
    <col min="4" max="4" width="14.109375" bestFit="1" customWidth="1"/>
    <col min="5" max="6" width="14.109375" customWidth="1"/>
    <col min="7" max="7" width="15.6640625" bestFit="1" customWidth="1"/>
  </cols>
  <sheetData>
    <row r="1" spans="1:7" x14ac:dyDescent="0.3">
      <c r="B1" s="31" t="s">
        <v>299</v>
      </c>
      <c r="C1" s="1"/>
    </row>
    <row r="2" spans="1:7" x14ac:dyDescent="0.3">
      <c r="B2" s="26" t="s">
        <v>24</v>
      </c>
      <c r="C2" s="26">
        <v>40628951820</v>
      </c>
    </row>
    <row r="3" spans="1:7" x14ac:dyDescent="0.3">
      <c r="B3" s="1"/>
    </row>
    <row r="4" spans="1:7" x14ac:dyDescent="0.3">
      <c r="B4" s="1"/>
      <c r="E4">
        <v>8.8000000000000007</v>
      </c>
    </row>
    <row r="5" spans="1:7" ht="35.25" customHeight="1" x14ac:dyDescent="0.3">
      <c r="A5" s="10" t="s">
        <v>0</v>
      </c>
      <c r="B5" s="11" t="s">
        <v>9</v>
      </c>
      <c r="C5" s="23" t="s">
        <v>6</v>
      </c>
      <c r="D5" s="12" t="s">
        <v>11</v>
      </c>
      <c r="E5" s="12" t="s">
        <v>298</v>
      </c>
      <c r="F5" s="12" t="s">
        <v>14</v>
      </c>
      <c r="G5" s="11" t="s">
        <v>12</v>
      </c>
    </row>
    <row r="6" spans="1:7" x14ac:dyDescent="0.3">
      <c r="A6" s="10"/>
      <c r="B6" s="14">
        <v>44652</v>
      </c>
      <c r="C6" s="29">
        <v>10000000</v>
      </c>
      <c r="D6" s="30">
        <v>0</v>
      </c>
      <c r="E6" s="15">
        <f>C6*8.3/100/12</f>
        <v>69166.666666666672</v>
      </c>
      <c r="F6" s="15">
        <f>D6+E6</f>
        <v>69166.666666666672</v>
      </c>
      <c r="G6" s="15">
        <f>C6-D6</f>
        <v>10000000</v>
      </c>
    </row>
    <row r="7" spans="1:7" x14ac:dyDescent="0.3">
      <c r="A7" s="10"/>
      <c r="B7" s="14">
        <v>44682</v>
      </c>
      <c r="C7" s="29">
        <f>G6</f>
        <v>10000000</v>
      </c>
      <c r="D7" s="30">
        <v>0</v>
      </c>
      <c r="E7" s="15">
        <f t="shared" ref="E7:E9" si="0">C7*8.3/100/12</f>
        <v>69166.666666666672</v>
      </c>
      <c r="F7" s="15">
        <f t="shared" ref="F7:F62" si="1">D7+E7</f>
        <v>69166.666666666672</v>
      </c>
      <c r="G7" s="15">
        <f t="shared" ref="G7:G26" si="2">C7-D7</f>
        <v>10000000</v>
      </c>
    </row>
    <row r="8" spans="1:7" x14ac:dyDescent="0.3">
      <c r="A8" s="10"/>
      <c r="B8" s="14">
        <v>44713</v>
      </c>
      <c r="C8" s="29">
        <f t="shared" ref="C8:C27" si="3">G7</f>
        <v>10000000</v>
      </c>
      <c r="D8" s="30">
        <v>0</v>
      </c>
      <c r="E8" s="15">
        <f t="shared" si="0"/>
        <v>69166.666666666672</v>
      </c>
      <c r="F8" s="15">
        <f t="shared" si="1"/>
        <v>69166.666666666672</v>
      </c>
      <c r="G8" s="15">
        <f t="shared" si="2"/>
        <v>10000000</v>
      </c>
    </row>
    <row r="9" spans="1:7" x14ac:dyDescent="0.3">
      <c r="A9" s="10"/>
      <c r="B9" s="14">
        <v>44743</v>
      </c>
      <c r="C9" s="29">
        <f t="shared" si="3"/>
        <v>10000000</v>
      </c>
      <c r="D9" s="30">
        <v>0</v>
      </c>
      <c r="E9" s="15">
        <f t="shared" si="0"/>
        <v>69166.666666666672</v>
      </c>
      <c r="F9" s="15">
        <f t="shared" si="1"/>
        <v>69166.666666666672</v>
      </c>
      <c r="G9" s="15">
        <f t="shared" si="2"/>
        <v>10000000</v>
      </c>
    </row>
    <row r="10" spans="1:7" x14ac:dyDescent="0.3">
      <c r="A10" s="10"/>
      <c r="B10" s="14">
        <v>44774</v>
      </c>
      <c r="C10" s="29">
        <f t="shared" si="3"/>
        <v>10000000</v>
      </c>
      <c r="D10" s="30">
        <v>0</v>
      </c>
      <c r="E10" s="15">
        <f>C10*$E$4/100/12</f>
        <v>73333.333333333328</v>
      </c>
      <c r="F10" s="15">
        <f t="shared" si="1"/>
        <v>73333.333333333328</v>
      </c>
      <c r="G10" s="15">
        <f t="shared" si="2"/>
        <v>10000000</v>
      </c>
    </row>
    <row r="11" spans="1:7" x14ac:dyDescent="0.3">
      <c r="A11" s="10"/>
      <c r="B11" s="14">
        <v>44805</v>
      </c>
      <c r="C11" s="29">
        <f t="shared" si="3"/>
        <v>10000000</v>
      </c>
      <c r="D11" s="30">
        <v>0</v>
      </c>
      <c r="E11" s="15">
        <f t="shared" ref="E11:E62" si="4">C11*$E$4/100/12</f>
        <v>73333.333333333328</v>
      </c>
      <c r="F11" s="15">
        <f t="shared" si="1"/>
        <v>73333.333333333328</v>
      </c>
      <c r="G11" s="15">
        <f t="shared" si="2"/>
        <v>10000000</v>
      </c>
    </row>
    <row r="12" spans="1:7" x14ac:dyDescent="0.3">
      <c r="A12" s="10"/>
      <c r="B12" s="14">
        <v>44835</v>
      </c>
      <c r="C12" s="29">
        <f t="shared" si="3"/>
        <v>10000000</v>
      </c>
      <c r="D12" s="30">
        <v>0</v>
      </c>
      <c r="E12" s="15">
        <f t="shared" si="4"/>
        <v>73333.333333333328</v>
      </c>
      <c r="F12" s="15">
        <f t="shared" si="1"/>
        <v>73333.333333333328</v>
      </c>
      <c r="G12" s="15">
        <f t="shared" si="2"/>
        <v>10000000</v>
      </c>
    </row>
    <row r="13" spans="1:7" x14ac:dyDescent="0.3">
      <c r="A13" s="10"/>
      <c r="B13" s="14">
        <v>44866</v>
      </c>
      <c r="C13" s="29">
        <f t="shared" si="3"/>
        <v>10000000</v>
      </c>
      <c r="D13" s="30">
        <v>0</v>
      </c>
      <c r="E13" s="15">
        <f t="shared" si="4"/>
        <v>73333.333333333328</v>
      </c>
      <c r="F13" s="15">
        <f t="shared" si="1"/>
        <v>73333.333333333328</v>
      </c>
      <c r="G13" s="15">
        <f t="shared" si="2"/>
        <v>10000000</v>
      </c>
    </row>
    <row r="14" spans="1:7" x14ac:dyDescent="0.3">
      <c r="A14" s="10"/>
      <c r="B14" s="14">
        <v>44896</v>
      </c>
      <c r="C14" s="29">
        <f t="shared" si="3"/>
        <v>10000000</v>
      </c>
      <c r="D14" s="30">
        <v>0</v>
      </c>
      <c r="E14" s="15">
        <f t="shared" si="4"/>
        <v>73333.333333333328</v>
      </c>
      <c r="F14" s="15">
        <f t="shared" si="1"/>
        <v>73333.333333333328</v>
      </c>
      <c r="G14" s="15">
        <f t="shared" si="2"/>
        <v>10000000</v>
      </c>
    </row>
    <row r="15" spans="1:7" x14ac:dyDescent="0.3">
      <c r="A15" s="10"/>
      <c r="B15" s="14">
        <v>44927</v>
      </c>
      <c r="C15" s="29">
        <f t="shared" si="3"/>
        <v>10000000</v>
      </c>
      <c r="D15" s="30">
        <v>0</v>
      </c>
      <c r="E15" s="15">
        <f t="shared" si="4"/>
        <v>73333.333333333328</v>
      </c>
      <c r="F15" s="15">
        <f t="shared" si="1"/>
        <v>73333.333333333328</v>
      </c>
      <c r="G15" s="15">
        <f t="shared" si="2"/>
        <v>10000000</v>
      </c>
    </row>
    <row r="16" spans="1:7" x14ac:dyDescent="0.3">
      <c r="A16" s="10"/>
      <c r="B16" s="14">
        <v>44958</v>
      </c>
      <c r="C16" s="29">
        <f t="shared" si="3"/>
        <v>10000000</v>
      </c>
      <c r="D16" s="30">
        <v>0</v>
      </c>
      <c r="E16" s="15">
        <f t="shared" si="4"/>
        <v>73333.333333333328</v>
      </c>
      <c r="F16" s="15">
        <f t="shared" si="1"/>
        <v>73333.333333333328</v>
      </c>
      <c r="G16" s="15">
        <f t="shared" si="2"/>
        <v>10000000</v>
      </c>
    </row>
    <row r="17" spans="1:7" x14ac:dyDescent="0.3">
      <c r="A17" s="10"/>
      <c r="B17" s="14">
        <v>44986</v>
      </c>
      <c r="C17" s="29">
        <f t="shared" si="3"/>
        <v>10000000</v>
      </c>
      <c r="D17" s="30">
        <v>0</v>
      </c>
      <c r="E17" s="15">
        <f t="shared" si="4"/>
        <v>73333.333333333328</v>
      </c>
      <c r="F17" s="15">
        <f t="shared" si="1"/>
        <v>73333.333333333328</v>
      </c>
      <c r="G17" s="15">
        <f t="shared" si="2"/>
        <v>10000000</v>
      </c>
    </row>
    <row r="18" spans="1:7" x14ac:dyDescent="0.3">
      <c r="A18" s="10"/>
      <c r="B18" s="14">
        <v>45017</v>
      </c>
      <c r="C18" s="29">
        <f t="shared" si="3"/>
        <v>10000000</v>
      </c>
      <c r="D18" s="30">
        <v>0</v>
      </c>
      <c r="E18" s="15">
        <f t="shared" si="4"/>
        <v>73333.333333333328</v>
      </c>
      <c r="F18" s="15">
        <f t="shared" si="1"/>
        <v>73333.333333333328</v>
      </c>
      <c r="G18" s="15">
        <f t="shared" si="2"/>
        <v>10000000</v>
      </c>
    </row>
    <row r="19" spans="1:7" x14ac:dyDescent="0.3">
      <c r="A19" s="10"/>
      <c r="B19" s="14">
        <v>45047</v>
      </c>
      <c r="C19" s="29">
        <f t="shared" si="3"/>
        <v>10000000</v>
      </c>
      <c r="D19" s="30">
        <v>0</v>
      </c>
      <c r="E19" s="15">
        <f t="shared" si="4"/>
        <v>73333.333333333328</v>
      </c>
      <c r="F19" s="15">
        <f t="shared" si="1"/>
        <v>73333.333333333328</v>
      </c>
      <c r="G19" s="15">
        <f t="shared" si="2"/>
        <v>10000000</v>
      </c>
    </row>
    <row r="20" spans="1:7" x14ac:dyDescent="0.3">
      <c r="A20" s="10"/>
      <c r="B20" s="14">
        <v>45078</v>
      </c>
      <c r="C20" s="29">
        <f t="shared" si="3"/>
        <v>10000000</v>
      </c>
      <c r="D20" s="30">
        <v>0</v>
      </c>
      <c r="E20" s="15">
        <f t="shared" si="4"/>
        <v>73333.333333333328</v>
      </c>
      <c r="F20" s="15">
        <f t="shared" si="1"/>
        <v>73333.333333333328</v>
      </c>
      <c r="G20" s="15">
        <f t="shared" si="2"/>
        <v>10000000</v>
      </c>
    </row>
    <row r="21" spans="1:7" x14ac:dyDescent="0.3">
      <c r="A21" s="10"/>
      <c r="B21" s="14">
        <v>45108</v>
      </c>
      <c r="C21" s="29">
        <f t="shared" si="3"/>
        <v>10000000</v>
      </c>
      <c r="D21" s="30">
        <v>0</v>
      </c>
      <c r="E21" s="15">
        <f t="shared" si="4"/>
        <v>73333.333333333328</v>
      </c>
      <c r="F21" s="15">
        <f t="shared" si="1"/>
        <v>73333.333333333328</v>
      </c>
      <c r="G21" s="15">
        <f t="shared" si="2"/>
        <v>10000000</v>
      </c>
    </row>
    <row r="22" spans="1:7" x14ac:dyDescent="0.3">
      <c r="A22" s="10"/>
      <c r="B22" s="14">
        <v>45139</v>
      </c>
      <c r="C22" s="29">
        <f t="shared" si="3"/>
        <v>10000000</v>
      </c>
      <c r="D22" s="30">
        <v>0</v>
      </c>
      <c r="E22" s="15">
        <f t="shared" si="4"/>
        <v>73333.333333333328</v>
      </c>
      <c r="F22" s="15">
        <f t="shared" si="1"/>
        <v>73333.333333333328</v>
      </c>
      <c r="G22" s="15">
        <f t="shared" si="2"/>
        <v>10000000</v>
      </c>
    </row>
    <row r="23" spans="1:7" x14ac:dyDescent="0.3">
      <c r="A23" s="10"/>
      <c r="B23" s="14">
        <v>45170</v>
      </c>
      <c r="C23" s="29">
        <f t="shared" si="3"/>
        <v>10000000</v>
      </c>
      <c r="D23" s="30">
        <v>0</v>
      </c>
      <c r="E23" s="15">
        <f t="shared" si="4"/>
        <v>73333.333333333328</v>
      </c>
      <c r="F23" s="15">
        <f t="shared" si="1"/>
        <v>73333.333333333328</v>
      </c>
      <c r="G23" s="15">
        <f t="shared" si="2"/>
        <v>10000000</v>
      </c>
    </row>
    <row r="24" spans="1:7" x14ac:dyDescent="0.3">
      <c r="A24" s="10"/>
      <c r="B24" s="14">
        <v>45200</v>
      </c>
      <c r="C24" s="29">
        <f t="shared" si="3"/>
        <v>10000000</v>
      </c>
      <c r="D24" s="30">
        <v>0</v>
      </c>
      <c r="E24" s="15">
        <f t="shared" si="4"/>
        <v>73333.333333333328</v>
      </c>
      <c r="F24" s="15">
        <f t="shared" si="1"/>
        <v>73333.333333333328</v>
      </c>
      <c r="G24" s="15">
        <f t="shared" si="2"/>
        <v>10000000</v>
      </c>
    </row>
    <row r="25" spans="1:7" x14ac:dyDescent="0.3">
      <c r="A25" s="10"/>
      <c r="B25" s="14">
        <v>45231</v>
      </c>
      <c r="C25" s="29">
        <f t="shared" si="3"/>
        <v>10000000</v>
      </c>
      <c r="D25" s="30">
        <v>0</v>
      </c>
      <c r="E25" s="15">
        <f t="shared" si="4"/>
        <v>73333.333333333328</v>
      </c>
      <c r="F25" s="15">
        <f t="shared" si="1"/>
        <v>73333.333333333328</v>
      </c>
      <c r="G25" s="15">
        <f t="shared" si="2"/>
        <v>10000000</v>
      </c>
    </row>
    <row r="26" spans="1:7" x14ac:dyDescent="0.3">
      <c r="A26" s="10"/>
      <c r="B26" s="14">
        <v>45261</v>
      </c>
      <c r="C26" s="29">
        <f t="shared" si="3"/>
        <v>10000000</v>
      </c>
      <c r="D26" s="30">
        <v>0</v>
      </c>
      <c r="E26" s="15">
        <f t="shared" si="4"/>
        <v>73333.333333333328</v>
      </c>
      <c r="F26" s="15">
        <f t="shared" si="1"/>
        <v>73333.333333333328</v>
      </c>
      <c r="G26" s="15">
        <f t="shared" si="2"/>
        <v>10000000</v>
      </c>
    </row>
    <row r="27" spans="1:7" x14ac:dyDescent="0.3">
      <c r="A27" s="13">
        <v>1</v>
      </c>
      <c r="B27" s="14">
        <v>45292</v>
      </c>
      <c r="C27" s="29">
        <f t="shared" si="3"/>
        <v>10000000</v>
      </c>
      <c r="D27" s="15">
        <v>277778</v>
      </c>
      <c r="E27" s="15">
        <f t="shared" si="4"/>
        <v>73333.333333333328</v>
      </c>
      <c r="F27" s="15">
        <f t="shared" si="1"/>
        <v>351111.33333333331</v>
      </c>
      <c r="G27" s="15">
        <f t="shared" ref="G27:G62" si="5">C27-D27</f>
        <v>9722222</v>
      </c>
    </row>
    <row r="28" spans="1:7" x14ac:dyDescent="0.3">
      <c r="A28" s="13">
        <f>A27+1</f>
        <v>2</v>
      </c>
      <c r="B28" s="14">
        <v>45323</v>
      </c>
      <c r="C28" s="15">
        <f t="shared" ref="C28:C62" si="6">G27</f>
        <v>9722222</v>
      </c>
      <c r="D28" s="15">
        <v>277778</v>
      </c>
      <c r="E28" s="15">
        <f t="shared" si="4"/>
        <v>71296.294666666668</v>
      </c>
      <c r="F28" s="15">
        <f t="shared" si="1"/>
        <v>349074.29466666665</v>
      </c>
      <c r="G28" s="15">
        <f t="shared" si="5"/>
        <v>9444444</v>
      </c>
    </row>
    <row r="29" spans="1:7" x14ac:dyDescent="0.3">
      <c r="A29" s="13">
        <f t="shared" ref="A29:A62" si="7">A28+1</f>
        <v>3</v>
      </c>
      <c r="B29" s="14">
        <v>45352</v>
      </c>
      <c r="C29" s="15">
        <f t="shared" si="6"/>
        <v>9444444</v>
      </c>
      <c r="D29" s="15">
        <v>277778</v>
      </c>
      <c r="E29" s="15">
        <f t="shared" si="4"/>
        <v>69259.256000000008</v>
      </c>
      <c r="F29" s="15">
        <f t="shared" si="1"/>
        <v>347037.25599999999</v>
      </c>
      <c r="G29" s="15">
        <f t="shared" si="5"/>
        <v>9166666</v>
      </c>
    </row>
    <row r="30" spans="1:7" x14ac:dyDescent="0.3">
      <c r="A30" s="13">
        <f t="shared" si="7"/>
        <v>4</v>
      </c>
      <c r="B30" s="14">
        <v>45383</v>
      </c>
      <c r="C30" s="15">
        <f t="shared" si="6"/>
        <v>9166666</v>
      </c>
      <c r="D30" s="15">
        <v>277778</v>
      </c>
      <c r="E30" s="15">
        <f t="shared" si="4"/>
        <v>67222.217333333349</v>
      </c>
      <c r="F30" s="15">
        <f t="shared" si="1"/>
        <v>345000.21733333333</v>
      </c>
      <c r="G30" s="15">
        <f t="shared" si="5"/>
        <v>8888888</v>
      </c>
    </row>
    <row r="31" spans="1:7" x14ac:dyDescent="0.3">
      <c r="A31" s="13">
        <f t="shared" si="7"/>
        <v>5</v>
      </c>
      <c r="B31" s="14">
        <v>45413</v>
      </c>
      <c r="C31" s="15">
        <f t="shared" si="6"/>
        <v>8888888</v>
      </c>
      <c r="D31" s="15">
        <v>277778</v>
      </c>
      <c r="E31" s="15">
        <f t="shared" si="4"/>
        <v>65185.178666666674</v>
      </c>
      <c r="F31" s="15">
        <f t="shared" si="1"/>
        <v>342963.17866666667</v>
      </c>
      <c r="G31" s="15">
        <f t="shared" si="5"/>
        <v>8611110</v>
      </c>
    </row>
    <row r="32" spans="1:7" x14ac:dyDescent="0.3">
      <c r="A32" s="13">
        <f t="shared" si="7"/>
        <v>6</v>
      </c>
      <c r="B32" s="14">
        <v>45444</v>
      </c>
      <c r="C32" s="15">
        <f t="shared" si="6"/>
        <v>8611110</v>
      </c>
      <c r="D32" s="15">
        <v>277778</v>
      </c>
      <c r="E32" s="15">
        <f t="shared" si="4"/>
        <v>63148.140000000007</v>
      </c>
      <c r="F32" s="15">
        <f t="shared" si="1"/>
        <v>340926.14</v>
      </c>
      <c r="G32" s="15">
        <f t="shared" si="5"/>
        <v>8333332</v>
      </c>
    </row>
    <row r="33" spans="1:7" x14ac:dyDescent="0.3">
      <c r="A33" s="13">
        <f t="shared" si="7"/>
        <v>7</v>
      </c>
      <c r="B33" s="14">
        <v>45474</v>
      </c>
      <c r="C33" s="15">
        <f t="shared" si="6"/>
        <v>8333332</v>
      </c>
      <c r="D33" s="15">
        <v>277778</v>
      </c>
      <c r="E33" s="15">
        <f t="shared" si="4"/>
        <v>61111.101333333347</v>
      </c>
      <c r="F33" s="15">
        <f t="shared" si="1"/>
        <v>338889.10133333335</v>
      </c>
      <c r="G33" s="15">
        <f t="shared" si="5"/>
        <v>8055554</v>
      </c>
    </row>
    <row r="34" spans="1:7" x14ac:dyDescent="0.3">
      <c r="A34" s="13">
        <f t="shared" si="7"/>
        <v>8</v>
      </c>
      <c r="B34" s="14">
        <v>45505</v>
      </c>
      <c r="C34" s="15">
        <f t="shared" si="6"/>
        <v>8055554</v>
      </c>
      <c r="D34" s="15">
        <v>277778</v>
      </c>
      <c r="E34" s="15">
        <f t="shared" si="4"/>
        <v>59074.062666666665</v>
      </c>
      <c r="F34" s="15">
        <f t="shared" si="1"/>
        <v>336852.06266666669</v>
      </c>
      <c r="G34" s="15">
        <f t="shared" si="5"/>
        <v>7777776</v>
      </c>
    </row>
    <row r="35" spans="1:7" x14ac:dyDescent="0.3">
      <c r="A35" s="13">
        <f t="shared" si="7"/>
        <v>9</v>
      </c>
      <c r="B35" s="14">
        <v>45536</v>
      </c>
      <c r="C35" s="15">
        <f t="shared" si="6"/>
        <v>7777776</v>
      </c>
      <c r="D35" s="15">
        <v>277778</v>
      </c>
      <c r="E35" s="15">
        <f t="shared" si="4"/>
        <v>57037.024000000012</v>
      </c>
      <c r="F35" s="15">
        <f t="shared" si="1"/>
        <v>334815.02400000003</v>
      </c>
      <c r="G35" s="15">
        <f t="shared" si="5"/>
        <v>7499998</v>
      </c>
    </row>
    <row r="36" spans="1:7" x14ac:dyDescent="0.3">
      <c r="A36" s="13">
        <f t="shared" si="7"/>
        <v>10</v>
      </c>
      <c r="B36" s="14">
        <v>45566</v>
      </c>
      <c r="C36" s="15">
        <f t="shared" si="6"/>
        <v>7499998</v>
      </c>
      <c r="D36" s="15">
        <v>277778</v>
      </c>
      <c r="E36" s="15">
        <f t="shared" si="4"/>
        <v>54999.985333333338</v>
      </c>
      <c r="F36" s="15">
        <f t="shared" si="1"/>
        <v>332777.98533333332</v>
      </c>
      <c r="G36" s="15">
        <f t="shared" si="5"/>
        <v>7222220</v>
      </c>
    </row>
    <row r="37" spans="1:7" x14ac:dyDescent="0.3">
      <c r="A37" s="13">
        <f t="shared" si="7"/>
        <v>11</v>
      </c>
      <c r="B37" s="14">
        <v>45597</v>
      </c>
      <c r="C37" s="15">
        <f t="shared" si="6"/>
        <v>7222220</v>
      </c>
      <c r="D37" s="15">
        <v>277778</v>
      </c>
      <c r="E37" s="15">
        <f t="shared" si="4"/>
        <v>52962.946666666678</v>
      </c>
      <c r="F37" s="15">
        <f t="shared" si="1"/>
        <v>330740.94666666666</v>
      </c>
      <c r="G37" s="15">
        <f t="shared" si="5"/>
        <v>6944442</v>
      </c>
    </row>
    <row r="38" spans="1:7" x14ac:dyDescent="0.3">
      <c r="A38" s="13">
        <f t="shared" si="7"/>
        <v>12</v>
      </c>
      <c r="B38" s="14">
        <v>45627</v>
      </c>
      <c r="C38" s="15">
        <f t="shared" si="6"/>
        <v>6944442</v>
      </c>
      <c r="D38" s="15">
        <v>277778</v>
      </c>
      <c r="E38" s="15">
        <f t="shared" si="4"/>
        <v>50925.908000000003</v>
      </c>
      <c r="F38" s="15">
        <f t="shared" si="1"/>
        <v>328703.908</v>
      </c>
      <c r="G38" s="15">
        <f t="shared" si="5"/>
        <v>6666664</v>
      </c>
    </row>
    <row r="39" spans="1:7" x14ac:dyDescent="0.3">
      <c r="A39" s="13">
        <f t="shared" si="7"/>
        <v>13</v>
      </c>
      <c r="B39" s="14">
        <v>45658</v>
      </c>
      <c r="C39" s="15">
        <f t="shared" si="6"/>
        <v>6666664</v>
      </c>
      <c r="D39" s="15">
        <v>277778</v>
      </c>
      <c r="E39" s="15">
        <f t="shared" si="4"/>
        <v>48888.869333333336</v>
      </c>
      <c r="F39" s="15">
        <f t="shared" si="1"/>
        <v>326666.86933333334</v>
      </c>
      <c r="G39" s="15">
        <f t="shared" si="5"/>
        <v>6388886</v>
      </c>
    </row>
    <row r="40" spans="1:7" x14ac:dyDescent="0.3">
      <c r="A40" s="13">
        <f t="shared" si="7"/>
        <v>14</v>
      </c>
      <c r="B40" s="14">
        <v>45689</v>
      </c>
      <c r="C40" s="15">
        <f t="shared" si="6"/>
        <v>6388886</v>
      </c>
      <c r="D40" s="15">
        <v>277778</v>
      </c>
      <c r="E40" s="15">
        <f t="shared" si="4"/>
        <v>46851.830666666669</v>
      </c>
      <c r="F40" s="15">
        <f t="shared" si="1"/>
        <v>324629.83066666668</v>
      </c>
      <c r="G40" s="15">
        <f t="shared" si="5"/>
        <v>6111108</v>
      </c>
    </row>
    <row r="41" spans="1:7" x14ac:dyDescent="0.3">
      <c r="A41" s="13">
        <f t="shared" si="7"/>
        <v>15</v>
      </c>
      <c r="B41" s="14">
        <v>45717</v>
      </c>
      <c r="C41" s="15">
        <f t="shared" si="6"/>
        <v>6111108</v>
      </c>
      <c r="D41" s="15">
        <v>277778</v>
      </c>
      <c r="E41" s="15">
        <f t="shared" si="4"/>
        <v>44814.792000000009</v>
      </c>
      <c r="F41" s="15">
        <f t="shared" si="1"/>
        <v>322592.79200000002</v>
      </c>
      <c r="G41" s="15">
        <f t="shared" si="5"/>
        <v>5833330</v>
      </c>
    </row>
    <row r="42" spans="1:7" x14ac:dyDescent="0.3">
      <c r="A42" s="13">
        <f t="shared" si="7"/>
        <v>16</v>
      </c>
      <c r="B42" s="14">
        <v>45748</v>
      </c>
      <c r="C42" s="15">
        <f t="shared" si="6"/>
        <v>5833330</v>
      </c>
      <c r="D42" s="15">
        <v>277778</v>
      </c>
      <c r="E42" s="15">
        <f t="shared" si="4"/>
        <v>42777.753333333341</v>
      </c>
      <c r="F42" s="15">
        <f t="shared" si="1"/>
        <v>320555.75333333336</v>
      </c>
      <c r="G42" s="15">
        <f t="shared" si="5"/>
        <v>5555552</v>
      </c>
    </row>
    <row r="43" spans="1:7" x14ac:dyDescent="0.3">
      <c r="A43" s="13">
        <f t="shared" si="7"/>
        <v>17</v>
      </c>
      <c r="B43" s="14">
        <v>45778</v>
      </c>
      <c r="C43" s="15">
        <f t="shared" si="6"/>
        <v>5555552</v>
      </c>
      <c r="D43" s="15">
        <v>277778</v>
      </c>
      <c r="E43" s="15">
        <f t="shared" si="4"/>
        <v>40740.714666666667</v>
      </c>
      <c r="F43" s="15">
        <f t="shared" si="1"/>
        <v>318518.7146666667</v>
      </c>
      <c r="G43" s="15">
        <f t="shared" si="5"/>
        <v>5277774</v>
      </c>
    </row>
    <row r="44" spans="1:7" x14ac:dyDescent="0.3">
      <c r="A44" s="13">
        <f t="shared" si="7"/>
        <v>18</v>
      </c>
      <c r="B44" s="14">
        <v>45809</v>
      </c>
      <c r="C44" s="15">
        <f t="shared" si="6"/>
        <v>5277774</v>
      </c>
      <c r="D44" s="15">
        <v>277778</v>
      </c>
      <c r="E44" s="15">
        <f t="shared" si="4"/>
        <v>38703.675999999999</v>
      </c>
      <c r="F44" s="15">
        <f t="shared" si="1"/>
        <v>316481.67599999998</v>
      </c>
      <c r="G44" s="15">
        <f t="shared" si="5"/>
        <v>4999996</v>
      </c>
    </row>
    <row r="45" spans="1:7" x14ac:dyDescent="0.3">
      <c r="A45" s="13">
        <f t="shared" si="7"/>
        <v>19</v>
      </c>
      <c r="B45" s="14">
        <v>45839</v>
      </c>
      <c r="C45" s="15">
        <f t="shared" si="6"/>
        <v>4999996</v>
      </c>
      <c r="D45" s="15">
        <v>277778</v>
      </c>
      <c r="E45" s="15">
        <f t="shared" si="4"/>
        <v>36666.637333333339</v>
      </c>
      <c r="F45" s="15">
        <f t="shared" si="1"/>
        <v>314444.63733333332</v>
      </c>
      <c r="G45" s="15">
        <f t="shared" si="5"/>
        <v>4722218</v>
      </c>
    </row>
    <row r="46" spans="1:7" x14ac:dyDescent="0.3">
      <c r="A46" s="13">
        <f t="shared" si="7"/>
        <v>20</v>
      </c>
      <c r="B46" s="14">
        <v>45870</v>
      </c>
      <c r="C46" s="15">
        <f t="shared" si="6"/>
        <v>4722218</v>
      </c>
      <c r="D46" s="15">
        <v>277778</v>
      </c>
      <c r="E46" s="15">
        <f t="shared" si="4"/>
        <v>34629.598666666672</v>
      </c>
      <c r="F46" s="15">
        <f t="shared" si="1"/>
        <v>312407.59866666666</v>
      </c>
      <c r="G46" s="15">
        <f t="shared" si="5"/>
        <v>4444440</v>
      </c>
    </row>
    <row r="47" spans="1:7" x14ac:dyDescent="0.3">
      <c r="A47" s="13">
        <f t="shared" si="7"/>
        <v>21</v>
      </c>
      <c r="B47" s="14">
        <v>45901</v>
      </c>
      <c r="C47" s="15">
        <f t="shared" si="6"/>
        <v>4444440</v>
      </c>
      <c r="D47" s="15">
        <v>277778</v>
      </c>
      <c r="E47" s="15">
        <f t="shared" si="4"/>
        <v>32592.559999999998</v>
      </c>
      <c r="F47" s="15">
        <f t="shared" si="1"/>
        <v>310370.56</v>
      </c>
      <c r="G47" s="15">
        <f t="shared" si="5"/>
        <v>4166662</v>
      </c>
    </row>
    <row r="48" spans="1:7" x14ac:dyDescent="0.3">
      <c r="A48" s="13">
        <f t="shared" si="7"/>
        <v>22</v>
      </c>
      <c r="B48" s="14">
        <v>45931</v>
      </c>
      <c r="C48" s="15">
        <f t="shared" si="6"/>
        <v>4166662</v>
      </c>
      <c r="D48" s="15">
        <v>277778</v>
      </c>
      <c r="E48" s="15">
        <f t="shared" si="4"/>
        <v>30555.521333333334</v>
      </c>
      <c r="F48" s="15">
        <f t="shared" si="1"/>
        <v>308333.52133333334</v>
      </c>
      <c r="G48" s="15">
        <f t="shared" si="5"/>
        <v>3888884</v>
      </c>
    </row>
    <row r="49" spans="1:7" x14ac:dyDescent="0.3">
      <c r="A49" s="13">
        <f t="shared" si="7"/>
        <v>23</v>
      </c>
      <c r="B49" s="14">
        <v>45962</v>
      </c>
      <c r="C49" s="15">
        <f t="shared" si="6"/>
        <v>3888884</v>
      </c>
      <c r="D49" s="15">
        <v>277778</v>
      </c>
      <c r="E49" s="15">
        <f t="shared" si="4"/>
        <v>28518.482666666667</v>
      </c>
      <c r="F49" s="15">
        <f t="shared" si="1"/>
        <v>306296.48266666668</v>
      </c>
      <c r="G49" s="15">
        <f t="shared" si="5"/>
        <v>3611106</v>
      </c>
    </row>
    <row r="50" spans="1:7" x14ac:dyDescent="0.3">
      <c r="A50" s="13">
        <f t="shared" si="7"/>
        <v>24</v>
      </c>
      <c r="B50" s="14">
        <v>45992</v>
      </c>
      <c r="C50" s="15">
        <f t="shared" si="6"/>
        <v>3611106</v>
      </c>
      <c r="D50" s="15">
        <v>277778</v>
      </c>
      <c r="E50" s="15">
        <f t="shared" si="4"/>
        <v>26481.444</v>
      </c>
      <c r="F50" s="15">
        <f t="shared" si="1"/>
        <v>304259.44400000002</v>
      </c>
      <c r="G50" s="15">
        <f t="shared" si="5"/>
        <v>3333328</v>
      </c>
    </row>
    <row r="51" spans="1:7" x14ac:dyDescent="0.3">
      <c r="A51" s="13">
        <f t="shared" si="7"/>
        <v>25</v>
      </c>
      <c r="B51" s="14">
        <v>46023</v>
      </c>
      <c r="C51" s="15">
        <f t="shared" si="6"/>
        <v>3333328</v>
      </c>
      <c r="D51" s="15">
        <v>277778</v>
      </c>
      <c r="E51" s="15">
        <f t="shared" si="4"/>
        <v>24444.405333333332</v>
      </c>
      <c r="F51" s="15">
        <f t="shared" si="1"/>
        <v>302222.40533333336</v>
      </c>
      <c r="G51" s="15">
        <f t="shared" si="5"/>
        <v>3055550</v>
      </c>
    </row>
    <row r="52" spans="1:7" x14ac:dyDescent="0.3">
      <c r="A52" s="13">
        <f t="shared" si="7"/>
        <v>26</v>
      </c>
      <c r="B52" s="14">
        <v>46054</v>
      </c>
      <c r="C52" s="15">
        <f t="shared" si="6"/>
        <v>3055550</v>
      </c>
      <c r="D52" s="15">
        <v>277778</v>
      </c>
      <c r="E52" s="15">
        <f t="shared" si="4"/>
        <v>22407.366666666669</v>
      </c>
      <c r="F52" s="15">
        <f t="shared" si="1"/>
        <v>300185.3666666667</v>
      </c>
      <c r="G52" s="15">
        <f t="shared" si="5"/>
        <v>2777772</v>
      </c>
    </row>
    <row r="53" spans="1:7" x14ac:dyDescent="0.3">
      <c r="A53" s="13">
        <f t="shared" si="7"/>
        <v>27</v>
      </c>
      <c r="B53" s="14">
        <v>46082</v>
      </c>
      <c r="C53" s="15">
        <f t="shared" si="6"/>
        <v>2777772</v>
      </c>
      <c r="D53" s="15">
        <v>277778</v>
      </c>
      <c r="E53" s="15">
        <f t="shared" si="4"/>
        <v>20370.328000000001</v>
      </c>
      <c r="F53" s="15">
        <f t="shared" si="1"/>
        <v>298148.32799999998</v>
      </c>
      <c r="G53" s="15">
        <f t="shared" si="5"/>
        <v>2499994</v>
      </c>
    </row>
    <row r="54" spans="1:7" x14ac:dyDescent="0.3">
      <c r="A54" s="13">
        <f t="shared" si="7"/>
        <v>28</v>
      </c>
      <c r="B54" s="14">
        <v>46113</v>
      </c>
      <c r="C54" s="15">
        <f t="shared" si="6"/>
        <v>2499994</v>
      </c>
      <c r="D54" s="15">
        <v>277778</v>
      </c>
      <c r="E54" s="15">
        <f t="shared" si="4"/>
        <v>18333.289333333338</v>
      </c>
      <c r="F54" s="15">
        <f t="shared" si="1"/>
        <v>296111.28933333332</v>
      </c>
      <c r="G54" s="15">
        <f t="shared" si="5"/>
        <v>2222216</v>
      </c>
    </row>
    <row r="55" spans="1:7" x14ac:dyDescent="0.3">
      <c r="A55" s="13">
        <f t="shared" si="7"/>
        <v>29</v>
      </c>
      <c r="B55" s="14">
        <v>46143</v>
      </c>
      <c r="C55" s="15">
        <f t="shared" si="6"/>
        <v>2222216</v>
      </c>
      <c r="D55" s="15">
        <v>277778</v>
      </c>
      <c r="E55" s="15">
        <f t="shared" si="4"/>
        <v>16296.250666666667</v>
      </c>
      <c r="F55" s="15">
        <f t="shared" si="1"/>
        <v>294074.25066666666</v>
      </c>
      <c r="G55" s="15">
        <f t="shared" si="5"/>
        <v>1944438</v>
      </c>
    </row>
    <row r="56" spans="1:7" x14ac:dyDescent="0.3">
      <c r="A56" s="13">
        <f t="shared" si="7"/>
        <v>30</v>
      </c>
      <c r="B56" s="14">
        <v>46174</v>
      </c>
      <c r="C56" s="15">
        <f t="shared" si="6"/>
        <v>1944438</v>
      </c>
      <c r="D56" s="15">
        <v>277778</v>
      </c>
      <c r="E56" s="15">
        <f t="shared" si="4"/>
        <v>14259.212000000001</v>
      </c>
      <c r="F56" s="15">
        <f t="shared" si="1"/>
        <v>292037.212</v>
      </c>
      <c r="G56" s="15">
        <f t="shared" si="5"/>
        <v>1666660</v>
      </c>
    </row>
    <row r="57" spans="1:7" x14ac:dyDescent="0.3">
      <c r="A57" s="13">
        <f t="shared" si="7"/>
        <v>31</v>
      </c>
      <c r="B57" s="14">
        <v>46204</v>
      </c>
      <c r="C57" s="15">
        <f t="shared" si="6"/>
        <v>1666660</v>
      </c>
      <c r="D57" s="15">
        <v>277778</v>
      </c>
      <c r="E57" s="15">
        <f t="shared" si="4"/>
        <v>12222.173333333334</v>
      </c>
      <c r="F57" s="15">
        <f t="shared" si="1"/>
        <v>290000.17333333334</v>
      </c>
      <c r="G57" s="15">
        <f t="shared" si="5"/>
        <v>1388882</v>
      </c>
    </row>
    <row r="58" spans="1:7" x14ac:dyDescent="0.3">
      <c r="A58" s="13">
        <f t="shared" si="7"/>
        <v>32</v>
      </c>
      <c r="B58" s="14">
        <v>46235</v>
      </c>
      <c r="C58" s="15">
        <f t="shared" si="6"/>
        <v>1388882</v>
      </c>
      <c r="D58" s="15">
        <v>277778</v>
      </c>
      <c r="E58" s="15">
        <f t="shared" si="4"/>
        <v>10185.134666666667</v>
      </c>
      <c r="F58" s="15">
        <f t="shared" si="1"/>
        <v>287963.13466666668</v>
      </c>
      <c r="G58" s="15">
        <f t="shared" si="5"/>
        <v>1111104</v>
      </c>
    </row>
    <row r="59" spans="1:7" x14ac:dyDescent="0.3">
      <c r="A59" s="13">
        <f t="shared" si="7"/>
        <v>33</v>
      </c>
      <c r="B59" s="14">
        <v>46266</v>
      </c>
      <c r="C59" s="15">
        <f t="shared" si="6"/>
        <v>1111104</v>
      </c>
      <c r="D59" s="15">
        <v>277778</v>
      </c>
      <c r="E59" s="15">
        <f t="shared" si="4"/>
        <v>8148.0960000000014</v>
      </c>
      <c r="F59" s="15">
        <f t="shared" si="1"/>
        <v>285926.09600000002</v>
      </c>
      <c r="G59" s="15">
        <f t="shared" si="5"/>
        <v>833326</v>
      </c>
    </row>
    <row r="60" spans="1:7" x14ac:dyDescent="0.3">
      <c r="A60" s="13">
        <f t="shared" si="7"/>
        <v>34</v>
      </c>
      <c r="B60" s="14">
        <v>46296</v>
      </c>
      <c r="C60" s="15">
        <f t="shared" si="6"/>
        <v>833326</v>
      </c>
      <c r="D60" s="15">
        <v>277778</v>
      </c>
      <c r="E60" s="15">
        <f t="shared" si="4"/>
        <v>6111.0573333333341</v>
      </c>
      <c r="F60" s="15">
        <f t="shared" si="1"/>
        <v>283889.05733333336</v>
      </c>
      <c r="G60" s="15">
        <f t="shared" si="5"/>
        <v>555548</v>
      </c>
    </row>
    <row r="61" spans="1:7" x14ac:dyDescent="0.3">
      <c r="A61" s="13">
        <f t="shared" si="7"/>
        <v>35</v>
      </c>
      <c r="B61" s="14">
        <v>46327</v>
      </c>
      <c r="C61" s="15">
        <f t="shared" si="6"/>
        <v>555548</v>
      </c>
      <c r="D61" s="15">
        <v>277778</v>
      </c>
      <c r="E61" s="15">
        <f t="shared" si="4"/>
        <v>4074.0186666666668</v>
      </c>
      <c r="F61" s="15">
        <f t="shared" si="1"/>
        <v>281852.01866666664</v>
      </c>
      <c r="G61" s="15">
        <f t="shared" si="5"/>
        <v>277770</v>
      </c>
    </row>
    <row r="62" spans="1:7" x14ac:dyDescent="0.3">
      <c r="A62" s="13">
        <f t="shared" si="7"/>
        <v>36</v>
      </c>
      <c r="B62" s="14">
        <v>46357</v>
      </c>
      <c r="C62" s="15">
        <f t="shared" si="6"/>
        <v>277770</v>
      </c>
      <c r="D62" s="15">
        <f>C62</f>
        <v>277770</v>
      </c>
      <c r="E62" s="15">
        <f t="shared" si="4"/>
        <v>2036.9799999999998</v>
      </c>
      <c r="F62" s="15">
        <f t="shared" si="1"/>
        <v>279806.98</v>
      </c>
      <c r="G62" s="15">
        <f t="shared" si="5"/>
        <v>0</v>
      </c>
    </row>
    <row r="63" spans="1:7" x14ac:dyDescent="0.3">
      <c r="C63" s="2"/>
      <c r="D63" s="2"/>
      <c r="E63" s="2"/>
      <c r="F63" s="2"/>
      <c r="G63" s="2"/>
    </row>
    <row r="64" spans="1:7" x14ac:dyDescent="0.3">
      <c r="C64" s="2"/>
      <c r="D64" s="2"/>
      <c r="E64" s="2"/>
      <c r="F64" s="2"/>
      <c r="G64" s="2"/>
    </row>
    <row r="65" spans="3:7" x14ac:dyDescent="0.3">
      <c r="C65" s="2"/>
      <c r="D65" s="2"/>
      <c r="E65" s="2"/>
      <c r="F65" s="2"/>
      <c r="G65" s="2"/>
    </row>
    <row r="66" spans="3:7" x14ac:dyDescent="0.3">
      <c r="C66" s="2"/>
      <c r="D66" s="2"/>
      <c r="E66" s="2"/>
      <c r="F66" s="2"/>
      <c r="G66" s="2"/>
    </row>
    <row r="67" spans="3:7" x14ac:dyDescent="0.3">
      <c r="C67" s="2"/>
      <c r="D67" s="2"/>
      <c r="E67" s="2"/>
      <c r="F67" s="2"/>
      <c r="G67" s="2"/>
    </row>
    <row r="68" spans="3:7" x14ac:dyDescent="0.3">
      <c r="C68" s="2"/>
      <c r="D68" s="2"/>
      <c r="E68" s="2"/>
      <c r="F68" s="2"/>
      <c r="G68" s="2"/>
    </row>
    <row r="69" spans="3:7" x14ac:dyDescent="0.3">
      <c r="C69" s="2"/>
      <c r="D69" s="2"/>
      <c r="E69" s="2"/>
      <c r="F69" s="2"/>
      <c r="G69" s="2"/>
    </row>
    <row r="70" spans="3:7" x14ac:dyDescent="0.3">
      <c r="C70" s="2"/>
      <c r="D70" s="2"/>
      <c r="E70" s="2"/>
      <c r="F70" s="2"/>
      <c r="G70" s="2"/>
    </row>
    <row r="71" spans="3:7" x14ac:dyDescent="0.3">
      <c r="C71" s="2"/>
      <c r="D71" s="2"/>
      <c r="E71" s="2"/>
      <c r="F71" s="2"/>
      <c r="G71" s="2"/>
    </row>
    <row r="72" spans="3:7" x14ac:dyDescent="0.3">
      <c r="C72" s="2"/>
      <c r="D72" s="2"/>
      <c r="E72" s="2"/>
      <c r="F72" s="2"/>
      <c r="G72" s="2"/>
    </row>
    <row r="73" spans="3:7" x14ac:dyDescent="0.3">
      <c r="C73" s="2"/>
      <c r="D73" s="2"/>
      <c r="E73" s="2"/>
      <c r="F73" s="2"/>
      <c r="G73" s="2"/>
    </row>
    <row r="74" spans="3:7" x14ac:dyDescent="0.3">
      <c r="C74" s="2"/>
      <c r="D74" s="2"/>
      <c r="E74" s="2"/>
      <c r="F74" s="2"/>
      <c r="G74" s="2"/>
    </row>
    <row r="75" spans="3:7" x14ac:dyDescent="0.3">
      <c r="C75" s="2"/>
      <c r="D75" s="2"/>
      <c r="E75" s="2"/>
      <c r="F75" s="2"/>
      <c r="G75" s="2"/>
    </row>
    <row r="76" spans="3:7" x14ac:dyDescent="0.3">
      <c r="C76" s="2"/>
      <c r="D76" s="2"/>
      <c r="E76" s="2"/>
      <c r="F76" s="2"/>
      <c r="G76" s="2"/>
    </row>
    <row r="77" spans="3:7" x14ac:dyDescent="0.3">
      <c r="C77" s="2"/>
      <c r="D77" s="2"/>
      <c r="E77" s="2"/>
      <c r="F77" s="2"/>
      <c r="G77" s="2"/>
    </row>
    <row r="78" spans="3:7" x14ac:dyDescent="0.3">
      <c r="C78" s="2"/>
      <c r="D78" s="2"/>
      <c r="E78" s="2"/>
      <c r="F78" s="2"/>
      <c r="G78" s="2"/>
    </row>
    <row r="79" spans="3:7" x14ac:dyDescent="0.3">
      <c r="C79" s="2"/>
      <c r="D79" s="2"/>
      <c r="E79" s="2"/>
      <c r="F79" s="2"/>
      <c r="G79" s="2"/>
    </row>
    <row r="80" spans="3:7" x14ac:dyDescent="0.3">
      <c r="C80" s="2"/>
      <c r="D80" s="2"/>
      <c r="E80" s="2"/>
      <c r="F80" s="2"/>
      <c r="G80" s="2"/>
    </row>
    <row r="81" spans="3:7" x14ac:dyDescent="0.3">
      <c r="C81" s="2"/>
      <c r="D81" s="2"/>
      <c r="E81" s="2"/>
      <c r="F81" s="2"/>
      <c r="G81" s="2"/>
    </row>
    <row r="82" spans="3:7" x14ac:dyDescent="0.3">
      <c r="C82" s="2"/>
      <c r="D82" s="2"/>
      <c r="E82" s="2"/>
      <c r="F82" s="2"/>
      <c r="G82" s="2"/>
    </row>
    <row r="83" spans="3:7" x14ac:dyDescent="0.3">
      <c r="C83" s="2"/>
      <c r="D83" s="2"/>
      <c r="E83" s="2"/>
      <c r="F83" s="2"/>
      <c r="G83" s="2"/>
    </row>
    <row r="84" spans="3:7" x14ac:dyDescent="0.3">
      <c r="C84" s="2"/>
      <c r="D84" s="2"/>
      <c r="E84" s="2"/>
      <c r="F84" s="2"/>
      <c r="G84" s="2"/>
    </row>
    <row r="85" spans="3:7" x14ac:dyDescent="0.3">
      <c r="C85" s="2"/>
      <c r="D85" s="2"/>
      <c r="E85" s="2"/>
      <c r="F85" s="2"/>
      <c r="G85" s="2"/>
    </row>
    <row r="86" spans="3:7" x14ac:dyDescent="0.3">
      <c r="C86" s="2"/>
      <c r="D86" s="2"/>
      <c r="E86" s="2"/>
      <c r="F86" s="2"/>
      <c r="G86" s="2"/>
    </row>
    <row r="87" spans="3:7" x14ac:dyDescent="0.3">
      <c r="C87" s="2"/>
      <c r="D87" s="2"/>
      <c r="E87" s="2"/>
      <c r="F87" s="2"/>
      <c r="G87" s="2"/>
    </row>
    <row r="88" spans="3:7" x14ac:dyDescent="0.3">
      <c r="C88" s="2"/>
      <c r="D88" s="2"/>
      <c r="E88" s="2"/>
      <c r="F88" s="2"/>
      <c r="G88" s="2"/>
    </row>
    <row r="89" spans="3:7" x14ac:dyDescent="0.3">
      <c r="C89" s="2"/>
      <c r="D89" s="2"/>
      <c r="E89" s="2"/>
      <c r="F89" s="2"/>
      <c r="G89" s="2"/>
    </row>
    <row r="90" spans="3:7" x14ac:dyDescent="0.3">
      <c r="C90" s="2"/>
      <c r="D90" s="2"/>
      <c r="E90" s="2"/>
      <c r="F90" s="2"/>
      <c r="G90" s="2"/>
    </row>
    <row r="91" spans="3:7" x14ac:dyDescent="0.3">
      <c r="C91" s="2"/>
      <c r="D91" s="2"/>
      <c r="E91" s="2"/>
      <c r="F91" s="2"/>
      <c r="G91" s="2"/>
    </row>
    <row r="92" spans="3:7" x14ac:dyDescent="0.3">
      <c r="C92" s="2"/>
      <c r="D92" s="2"/>
      <c r="E92" s="2"/>
      <c r="F92" s="2"/>
      <c r="G92" s="2"/>
    </row>
    <row r="93" spans="3:7" x14ac:dyDescent="0.3">
      <c r="C93" s="2"/>
      <c r="D93" s="2"/>
      <c r="E93" s="2"/>
      <c r="F93" s="2"/>
      <c r="G93" s="2"/>
    </row>
    <row r="94" spans="3:7" x14ac:dyDescent="0.3">
      <c r="C94" s="2"/>
      <c r="D94" s="2"/>
      <c r="E94" s="2"/>
      <c r="F94" s="2"/>
      <c r="G94" s="2"/>
    </row>
    <row r="95" spans="3:7" x14ac:dyDescent="0.3">
      <c r="C95" s="2"/>
      <c r="D95" s="2"/>
      <c r="E95" s="2"/>
      <c r="F95" s="2"/>
      <c r="G95" s="2"/>
    </row>
    <row r="96" spans="3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7" x14ac:dyDescent="0.3">
      <c r="C129" s="2"/>
      <c r="D129" s="2"/>
      <c r="E129" s="2"/>
      <c r="F129" s="2"/>
      <c r="G129" s="2"/>
    </row>
    <row r="130" spans="3:7" x14ac:dyDescent="0.3">
      <c r="C130" s="2"/>
      <c r="D130" s="2"/>
      <c r="E130" s="2"/>
      <c r="F130" s="2"/>
      <c r="G130" s="2"/>
    </row>
    <row r="131" spans="3:7" x14ac:dyDescent="0.3">
      <c r="C131" s="2"/>
      <c r="D131" s="2"/>
      <c r="E131" s="2"/>
      <c r="F131" s="2"/>
      <c r="G131" s="2"/>
    </row>
    <row r="132" spans="3:7" x14ac:dyDescent="0.3">
      <c r="C132" s="2"/>
      <c r="D132" s="2"/>
      <c r="E132" s="2"/>
      <c r="F132" s="2"/>
      <c r="G132" s="2"/>
    </row>
    <row r="133" spans="3:7" x14ac:dyDescent="0.3">
      <c r="C133" s="2"/>
      <c r="D133" s="2"/>
      <c r="E133" s="2"/>
      <c r="F133" s="2"/>
      <c r="G133" s="2"/>
    </row>
    <row r="134" spans="3:7" x14ac:dyDescent="0.3">
      <c r="C134" s="2"/>
      <c r="D134" s="2"/>
      <c r="E134" s="2"/>
      <c r="F134" s="2"/>
      <c r="G134" s="2"/>
    </row>
    <row r="135" spans="3:7" x14ac:dyDescent="0.3">
      <c r="C135" s="2"/>
      <c r="D135" s="2"/>
      <c r="E135" s="2"/>
      <c r="F135" s="2"/>
      <c r="G135" s="2"/>
    </row>
    <row r="136" spans="3:7" x14ac:dyDescent="0.3">
      <c r="C136" s="2"/>
      <c r="D136" s="2"/>
      <c r="E136" s="2"/>
      <c r="F136" s="2"/>
      <c r="G136" s="2"/>
    </row>
    <row r="137" spans="3:7" x14ac:dyDescent="0.3">
      <c r="C137" s="2"/>
      <c r="D137" s="2"/>
      <c r="E137" s="2"/>
      <c r="F137" s="2"/>
      <c r="G137" s="2"/>
    </row>
    <row r="138" spans="3:7" x14ac:dyDescent="0.3">
      <c r="C138" s="2"/>
      <c r="D138" s="2"/>
      <c r="E138" s="2"/>
      <c r="F138" s="2"/>
      <c r="G138" s="2"/>
    </row>
    <row r="139" spans="3:7" x14ac:dyDescent="0.3">
      <c r="C139" s="2"/>
      <c r="D139" s="2"/>
      <c r="E139" s="2"/>
      <c r="F139" s="2"/>
      <c r="G139" s="2"/>
    </row>
    <row r="140" spans="3:7" x14ac:dyDescent="0.3">
      <c r="C140" s="2"/>
      <c r="D140" s="2"/>
      <c r="E140" s="2"/>
      <c r="F140" s="2"/>
      <c r="G140" s="2"/>
    </row>
    <row r="141" spans="3:7" x14ac:dyDescent="0.3">
      <c r="C141" s="2"/>
      <c r="D141" s="2"/>
      <c r="E141" s="2"/>
      <c r="F141" s="2"/>
      <c r="G141" s="2"/>
    </row>
    <row r="142" spans="3:7" x14ac:dyDescent="0.3">
      <c r="C142" s="2"/>
      <c r="D142" s="2"/>
      <c r="E142" s="2"/>
      <c r="F142" s="2"/>
      <c r="G142" s="2"/>
    </row>
    <row r="143" spans="3:7" x14ac:dyDescent="0.3">
      <c r="C143" s="2"/>
      <c r="D143" s="2"/>
      <c r="E143" s="2"/>
      <c r="F143" s="2"/>
      <c r="G143" s="2"/>
    </row>
    <row r="144" spans="3:7" x14ac:dyDescent="0.3">
      <c r="C144" s="2"/>
      <c r="D144" s="2"/>
      <c r="E144" s="2"/>
      <c r="F144" s="2"/>
      <c r="G144" s="2"/>
    </row>
    <row r="145" spans="3:7" x14ac:dyDescent="0.3">
      <c r="C145" s="2"/>
      <c r="D145" s="2"/>
      <c r="E145" s="2"/>
      <c r="F145" s="2"/>
      <c r="G145" s="2"/>
    </row>
    <row r="146" spans="3:7" x14ac:dyDescent="0.3">
      <c r="C146" s="2"/>
      <c r="D146" s="2"/>
      <c r="E146" s="2"/>
      <c r="F146" s="2"/>
      <c r="G146" s="2"/>
    </row>
    <row r="147" spans="3:7" x14ac:dyDescent="0.3">
      <c r="C147" s="2"/>
      <c r="D147" s="2"/>
      <c r="E147" s="2"/>
      <c r="F147" s="2"/>
      <c r="G147" s="2"/>
    </row>
    <row r="148" spans="3:7" x14ac:dyDescent="0.3">
      <c r="C148" s="2"/>
      <c r="D148" s="2"/>
      <c r="E148" s="2"/>
      <c r="F148" s="2"/>
      <c r="G148" s="2"/>
    </row>
    <row r="149" spans="3:7" x14ac:dyDescent="0.3">
      <c r="C149" s="2"/>
      <c r="D149" s="2"/>
      <c r="E149" s="2"/>
      <c r="F149" s="2"/>
      <c r="G149" s="2"/>
    </row>
    <row r="150" spans="3:7" x14ac:dyDescent="0.3">
      <c r="C150" s="2"/>
      <c r="D150" s="2"/>
      <c r="E150" s="2"/>
      <c r="F150" s="2"/>
      <c r="G150" s="2"/>
    </row>
    <row r="151" spans="3:7" x14ac:dyDescent="0.3">
      <c r="C151" s="2"/>
      <c r="D151" s="2"/>
      <c r="E151" s="2"/>
      <c r="F151" s="2"/>
      <c r="G151" s="2"/>
    </row>
    <row r="152" spans="3:7" x14ac:dyDescent="0.3">
      <c r="C152" s="2"/>
      <c r="D152" s="2"/>
      <c r="E152" s="2"/>
      <c r="F152" s="2"/>
      <c r="G152" s="2"/>
    </row>
    <row r="153" spans="3:7" x14ac:dyDescent="0.3">
      <c r="C153" s="2"/>
      <c r="D153" s="2"/>
      <c r="E153" s="2"/>
      <c r="F153" s="2"/>
      <c r="G153" s="2"/>
    </row>
    <row r="154" spans="3:7" x14ac:dyDescent="0.3">
      <c r="C154" s="2"/>
      <c r="D154" s="2"/>
      <c r="E154" s="2"/>
      <c r="F154" s="2"/>
      <c r="G154" s="2"/>
    </row>
    <row r="155" spans="3:7" x14ac:dyDescent="0.3">
      <c r="C155" s="2"/>
      <c r="D155" s="2"/>
      <c r="E155" s="2"/>
      <c r="F155" s="2"/>
      <c r="G155" s="2"/>
    </row>
    <row r="156" spans="3:7" x14ac:dyDescent="0.3">
      <c r="C156" s="2"/>
      <c r="D156" s="2"/>
      <c r="E156" s="2"/>
      <c r="F156" s="2"/>
      <c r="G156" s="2"/>
    </row>
    <row r="157" spans="3:7" x14ac:dyDescent="0.3">
      <c r="C157" s="2"/>
      <c r="D157" s="2"/>
      <c r="E157" s="2"/>
      <c r="F157" s="2"/>
      <c r="G157" s="2"/>
    </row>
    <row r="158" spans="3:7" x14ac:dyDescent="0.3">
      <c r="C158" s="2"/>
      <c r="D158" s="2"/>
      <c r="E158" s="2"/>
      <c r="F158" s="2"/>
      <c r="G158" s="2"/>
    </row>
    <row r="159" spans="3:7" x14ac:dyDescent="0.3">
      <c r="C159" s="2"/>
      <c r="D159" s="2"/>
      <c r="E159" s="2"/>
      <c r="F159" s="2"/>
      <c r="G159" s="2"/>
    </row>
    <row r="160" spans="3:7" x14ac:dyDescent="0.3">
      <c r="C160" s="2"/>
      <c r="D160" s="2"/>
      <c r="E160" s="2"/>
      <c r="F160" s="2"/>
      <c r="G160" s="2"/>
    </row>
    <row r="161" spans="3:7" x14ac:dyDescent="0.3">
      <c r="C161" s="2"/>
      <c r="D161" s="2"/>
      <c r="E161" s="2"/>
      <c r="F161" s="2"/>
      <c r="G161" s="2"/>
    </row>
    <row r="162" spans="3:7" x14ac:dyDescent="0.3">
      <c r="C162" s="2"/>
      <c r="D162" s="2"/>
      <c r="E162" s="2"/>
      <c r="F162" s="2"/>
      <c r="G162" s="2"/>
    </row>
    <row r="163" spans="3:7" x14ac:dyDescent="0.3">
      <c r="C163" s="2"/>
      <c r="D163" s="2"/>
      <c r="E163" s="2"/>
      <c r="F163" s="2"/>
      <c r="G163" s="2"/>
    </row>
    <row r="164" spans="3:7" x14ac:dyDescent="0.3">
      <c r="C164" s="2"/>
      <c r="D164" s="2"/>
      <c r="E164" s="2"/>
      <c r="F164" s="2"/>
      <c r="G164" s="2"/>
    </row>
    <row r="165" spans="3:7" x14ac:dyDescent="0.3">
      <c r="C165" s="2"/>
      <c r="D165" s="2"/>
      <c r="E165" s="2"/>
      <c r="F165" s="2"/>
      <c r="G165" s="2"/>
    </row>
    <row r="166" spans="3:7" x14ac:dyDescent="0.3">
      <c r="C166" s="2"/>
      <c r="D166" s="2"/>
      <c r="E166" s="2"/>
      <c r="F166" s="2"/>
      <c r="G166" s="2"/>
    </row>
    <row r="167" spans="3:7" x14ac:dyDescent="0.3">
      <c r="C167" s="2"/>
      <c r="D167" s="2"/>
      <c r="E167" s="2"/>
      <c r="F167" s="2"/>
      <c r="G167" s="2"/>
    </row>
    <row r="168" spans="3:7" x14ac:dyDescent="0.3">
      <c r="C168" s="2"/>
      <c r="D168" s="2"/>
      <c r="E168" s="2"/>
      <c r="F168" s="2"/>
      <c r="G168" s="2"/>
    </row>
    <row r="169" spans="3:7" x14ac:dyDescent="0.3">
      <c r="C169" s="2"/>
      <c r="D169" s="2"/>
      <c r="E169" s="2"/>
      <c r="F169" s="2"/>
      <c r="G169" s="2"/>
    </row>
    <row r="170" spans="3:7" x14ac:dyDescent="0.3">
      <c r="C170" s="2"/>
      <c r="D170" s="2"/>
      <c r="E170" s="2"/>
      <c r="F170" s="2"/>
      <c r="G170" s="2"/>
    </row>
    <row r="171" spans="3:7" x14ac:dyDescent="0.3">
      <c r="C171" s="2"/>
      <c r="D171" s="2"/>
      <c r="E171" s="2"/>
      <c r="F171" s="2"/>
      <c r="G171" s="2"/>
    </row>
    <row r="172" spans="3:7" x14ac:dyDescent="0.3">
      <c r="C172" s="2"/>
      <c r="D172" s="2"/>
      <c r="E172" s="2"/>
      <c r="F172" s="2"/>
      <c r="G172" s="2"/>
    </row>
    <row r="173" spans="3:7" x14ac:dyDescent="0.3">
      <c r="C173" s="2"/>
      <c r="D173" s="2"/>
      <c r="E173" s="2"/>
      <c r="F173" s="2"/>
      <c r="G173" s="2"/>
    </row>
    <row r="174" spans="3:7" x14ac:dyDescent="0.3">
      <c r="C174" s="2"/>
      <c r="D174" s="2"/>
      <c r="E174" s="2"/>
      <c r="F174" s="2"/>
      <c r="G174" s="2"/>
    </row>
    <row r="175" spans="3:7" x14ac:dyDescent="0.3">
      <c r="C175" s="2"/>
      <c r="D175" s="2"/>
      <c r="E175" s="2"/>
      <c r="F175" s="2"/>
      <c r="G175" s="2"/>
    </row>
    <row r="176" spans="3:7" x14ac:dyDescent="0.3">
      <c r="C176" s="2"/>
      <c r="D176" s="2"/>
      <c r="E176" s="2"/>
      <c r="F176" s="2"/>
      <c r="G176" s="2"/>
    </row>
    <row r="177" spans="3:7" x14ac:dyDescent="0.3">
      <c r="C177" s="2"/>
      <c r="D177" s="2"/>
      <c r="E177" s="2"/>
      <c r="F177" s="2"/>
      <c r="G177" s="2"/>
    </row>
    <row r="178" spans="3:7" x14ac:dyDescent="0.3">
      <c r="C178" s="2"/>
      <c r="D178" s="2"/>
      <c r="E178" s="2"/>
      <c r="F178" s="2"/>
      <c r="G178" s="2"/>
    </row>
    <row r="179" spans="3:7" x14ac:dyDescent="0.3">
      <c r="C179" s="2"/>
      <c r="D179" s="2"/>
      <c r="E179" s="2"/>
      <c r="F179" s="2"/>
      <c r="G179" s="2"/>
    </row>
    <row r="180" spans="3:7" x14ac:dyDescent="0.3">
      <c r="C180" s="2"/>
      <c r="D180" s="2"/>
      <c r="E180" s="2"/>
      <c r="F180" s="2"/>
      <c r="G180" s="2"/>
    </row>
    <row r="181" spans="3:7" x14ac:dyDescent="0.3">
      <c r="C181" s="2"/>
      <c r="D181" s="2"/>
      <c r="E181" s="2"/>
      <c r="F181" s="2"/>
    </row>
    <row r="182" spans="3:7" x14ac:dyDescent="0.3">
      <c r="C182" s="2"/>
      <c r="D182" s="2"/>
      <c r="E182" s="2"/>
      <c r="F182" s="2"/>
    </row>
    <row r="183" spans="3:7" x14ac:dyDescent="0.3">
      <c r="C183" s="2"/>
      <c r="D183" s="2"/>
      <c r="E183" s="2"/>
      <c r="F183" s="2"/>
    </row>
    <row r="184" spans="3:7" x14ac:dyDescent="0.3">
      <c r="C184" s="2"/>
      <c r="D184" s="2"/>
      <c r="E184" s="2"/>
      <c r="F184" s="2"/>
    </row>
    <row r="185" spans="3:7" x14ac:dyDescent="0.3">
      <c r="C185" s="2"/>
      <c r="D185" s="2"/>
      <c r="E185" s="2"/>
      <c r="F185" s="2"/>
    </row>
    <row r="186" spans="3:7" x14ac:dyDescent="0.3">
      <c r="C186" s="2"/>
      <c r="D186" s="2"/>
      <c r="E186" s="2"/>
      <c r="F186" s="2"/>
    </row>
    <row r="187" spans="3:7" x14ac:dyDescent="0.3">
      <c r="C187" s="2"/>
      <c r="D187" s="2"/>
      <c r="E187" s="2"/>
      <c r="F187" s="2"/>
    </row>
    <row r="188" spans="3:7" x14ac:dyDescent="0.3">
      <c r="C188" s="2"/>
      <c r="D188" s="2"/>
      <c r="E188" s="2"/>
      <c r="F188" s="2"/>
    </row>
    <row r="189" spans="3:7" x14ac:dyDescent="0.3">
      <c r="C189" s="2"/>
      <c r="D189" s="2"/>
      <c r="E189" s="2"/>
      <c r="F189" s="2"/>
    </row>
    <row r="190" spans="3:7" x14ac:dyDescent="0.3">
      <c r="C190" s="2"/>
      <c r="D190" s="2"/>
      <c r="E190" s="2"/>
      <c r="F190" s="2"/>
    </row>
    <row r="191" spans="3:7" x14ac:dyDescent="0.3">
      <c r="C191" s="2"/>
      <c r="D191" s="2"/>
      <c r="E191" s="2"/>
      <c r="F191" s="2"/>
    </row>
    <row r="192" spans="3:7" x14ac:dyDescent="0.3">
      <c r="C192" s="2"/>
      <c r="D192" s="2"/>
      <c r="E192" s="2"/>
      <c r="F192" s="2"/>
    </row>
    <row r="193" spans="3:6" x14ac:dyDescent="0.3">
      <c r="C193" s="2"/>
      <c r="D193" s="2"/>
      <c r="E193" s="2"/>
      <c r="F193" s="2"/>
    </row>
    <row r="194" spans="3:6" x14ac:dyDescent="0.3">
      <c r="C194" s="2"/>
      <c r="D194" s="2"/>
      <c r="E194" s="2"/>
      <c r="F194" s="2"/>
    </row>
    <row r="195" spans="3:6" x14ac:dyDescent="0.3">
      <c r="C195" s="2"/>
      <c r="D195" s="2"/>
      <c r="E195" s="2"/>
      <c r="F195" s="2"/>
    </row>
    <row r="196" spans="3:6" x14ac:dyDescent="0.3">
      <c r="C196" s="2"/>
      <c r="D196" s="2"/>
      <c r="E196" s="2"/>
      <c r="F196" s="2"/>
    </row>
    <row r="197" spans="3:6" x14ac:dyDescent="0.3">
      <c r="C197" s="2"/>
      <c r="D197" s="2"/>
      <c r="E197" s="2"/>
      <c r="F197" s="2"/>
    </row>
    <row r="198" spans="3:6" x14ac:dyDescent="0.3">
      <c r="C198" s="2"/>
      <c r="D198" s="2"/>
      <c r="E198" s="2"/>
      <c r="F198" s="2"/>
    </row>
    <row r="199" spans="3:6" x14ac:dyDescent="0.3">
      <c r="C199" s="2"/>
      <c r="D199" s="2"/>
      <c r="E199" s="2"/>
      <c r="F199" s="2"/>
    </row>
    <row r="200" spans="3:6" x14ac:dyDescent="0.3">
      <c r="C200" s="2"/>
      <c r="D200" s="2"/>
      <c r="E200" s="2"/>
      <c r="F200" s="2"/>
    </row>
    <row r="201" spans="3:6" x14ac:dyDescent="0.3">
      <c r="C201" s="2"/>
      <c r="D201" s="2"/>
      <c r="E201" s="2"/>
      <c r="F201" s="2"/>
    </row>
    <row r="202" spans="3:6" x14ac:dyDescent="0.3">
      <c r="C202" s="2"/>
      <c r="D202" s="2"/>
      <c r="E202" s="2"/>
      <c r="F202" s="2"/>
    </row>
    <row r="203" spans="3:6" x14ac:dyDescent="0.3">
      <c r="C203" s="2"/>
      <c r="D203" s="2"/>
      <c r="E203" s="2"/>
      <c r="F203" s="2"/>
    </row>
    <row r="204" spans="3:6" x14ac:dyDescent="0.3">
      <c r="C204" s="2"/>
      <c r="D204" s="2"/>
      <c r="E204" s="2"/>
      <c r="F204" s="2"/>
    </row>
  </sheetData>
  <pageMargins left="0.7" right="0.7" top="0.75" bottom="0.75" header="0.3" footer="0.3"/>
  <pageSetup paperSize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73"/>
  <sheetViews>
    <sheetView topLeftCell="B1" workbookViewId="0">
      <selection activeCell="E33" sqref="E33"/>
    </sheetView>
  </sheetViews>
  <sheetFormatPr defaultRowHeight="14.4" x14ac:dyDescent="0.3"/>
  <cols>
    <col min="1" max="1" width="0" style="9" hidden="1" customWidth="1"/>
    <col min="2" max="2" width="15.44140625" customWidth="1"/>
    <col min="3" max="3" width="16.88671875" bestFit="1" customWidth="1"/>
    <col min="4" max="4" width="14.109375" bestFit="1" customWidth="1"/>
    <col min="5" max="6" width="14.109375" customWidth="1"/>
    <col min="7" max="7" width="15.6640625" bestFit="1" customWidth="1"/>
  </cols>
  <sheetData>
    <row r="1" spans="1:7" x14ac:dyDescent="0.3">
      <c r="B1" s="26" t="s">
        <v>300</v>
      </c>
      <c r="C1" s="27"/>
    </row>
    <row r="2" spans="1:7" x14ac:dyDescent="0.3">
      <c r="B2" s="26" t="s">
        <v>24</v>
      </c>
      <c r="C2" s="26">
        <v>39363786343</v>
      </c>
    </row>
    <row r="3" spans="1:7" x14ac:dyDescent="0.3">
      <c r="B3" s="1"/>
    </row>
    <row r="4" spans="1:7" x14ac:dyDescent="0.3">
      <c r="B4" s="1"/>
    </row>
    <row r="5" spans="1:7" x14ac:dyDescent="0.3">
      <c r="B5" s="1"/>
      <c r="E5">
        <v>8.8000000000000007</v>
      </c>
    </row>
    <row r="6" spans="1:7" ht="35.25" customHeight="1" x14ac:dyDescent="0.3">
      <c r="A6" s="10" t="s">
        <v>0</v>
      </c>
      <c r="B6" s="11" t="s">
        <v>9</v>
      </c>
      <c r="C6" s="28" t="s">
        <v>6</v>
      </c>
      <c r="D6" s="12" t="s">
        <v>11</v>
      </c>
      <c r="E6" s="12" t="s">
        <v>298</v>
      </c>
      <c r="F6" s="12" t="s">
        <v>14</v>
      </c>
      <c r="G6" s="11" t="s">
        <v>12</v>
      </c>
    </row>
    <row r="7" spans="1:7" x14ac:dyDescent="0.3">
      <c r="A7" s="13">
        <v>1</v>
      </c>
      <c r="B7" s="14">
        <v>44652</v>
      </c>
      <c r="C7" s="15">
        <v>12638880</v>
      </c>
      <c r="D7" s="15">
        <v>486112</v>
      </c>
      <c r="E7" s="15">
        <f>C7*8.3/100/12</f>
        <v>87418.92</v>
      </c>
      <c r="F7" s="15">
        <f>D7+E7</f>
        <v>573530.92000000004</v>
      </c>
      <c r="G7" s="15">
        <f>C7-D7</f>
        <v>12152768</v>
      </c>
    </row>
    <row r="8" spans="1:7" x14ac:dyDescent="0.3">
      <c r="A8" s="13">
        <f t="shared" ref="A8:A32" si="0">A7+1</f>
        <v>2</v>
      </c>
      <c r="B8" s="14">
        <v>44682</v>
      </c>
      <c r="C8" s="15">
        <f t="shared" ref="C8:C30" si="1">G7</f>
        <v>12152768</v>
      </c>
      <c r="D8" s="15">
        <v>486112</v>
      </c>
      <c r="E8" s="15">
        <f t="shared" ref="E8:E10" si="2">C8*8.3/100/12</f>
        <v>84056.645333333334</v>
      </c>
      <c r="F8" s="15">
        <f t="shared" ref="F8:F31" si="3">D8+E8</f>
        <v>570168.64533333329</v>
      </c>
      <c r="G8" s="15">
        <f>C8-D8</f>
        <v>11666656</v>
      </c>
    </row>
    <row r="9" spans="1:7" x14ac:dyDescent="0.3">
      <c r="A9" s="13">
        <f t="shared" si="0"/>
        <v>3</v>
      </c>
      <c r="B9" s="14">
        <v>44713</v>
      </c>
      <c r="C9" s="15">
        <f t="shared" si="1"/>
        <v>11666656</v>
      </c>
      <c r="D9" s="15">
        <v>486112</v>
      </c>
      <c r="E9" s="15">
        <f t="shared" si="2"/>
        <v>80694.370666666669</v>
      </c>
      <c r="F9" s="15">
        <f t="shared" si="3"/>
        <v>566806.37066666665</v>
      </c>
      <c r="G9" s="15">
        <f t="shared" ref="G9:G31" si="4">C9-D9</f>
        <v>11180544</v>
      </c>
    </row>
    <row r="10" spans="1:7" x14ac:dyDescent="0.3">
      <c r="A10" s="13">
        <f t="shared" si="0"/>
        <v>4</v>
      </c>
      <c r="B10" s="14">
        <v>44743</v>
      </c>
      <c r="C10" s="15">
        <f t="shared" si="1"/>
        <v>11180544</v>
      </c>
      <c r="D10" s="15">
        <v>486112</v>
      </c>
      <c r="E10" s="15">
        <f t="shared" si="2"/>
        <v>77332.096000000005</v>
      </c>
      <c r="F10" s="15">
        <f t="shared" si="3"/>
        <v>563444.09600000002</v>
      </c>
      <c r="G10" s="15">
        <f t="shared" si="4"/>
        <v>10694432</v>
      </c>
    </row>
    <row r="11" spans="1:7" x14ac:dyDescent="0.3">
      <c r="A11" s="13">
        <f t="shared" si="0"/>
        <v>5</v>
      </c>
      <c r="B11" s="14">
        <v>44774</v>
      </c>
      <c r="C11" s="15">
        <f t="shared" si="1"/>
        <v>10694432</v>
      </c>
      <c r="D11" s="15">
        <v>486112</v>
      </c>
      <c r="E11" s="15">
        <f>C11*$E$5/100/12</f>
        <v>78425.834666666677</v>
      </c>
      <c r="F11" s="15">
        <f t="shared" si="3"/>
        <v>564537.83466666669</v>
      </c>
      <c r="G11" s="15">
        <f t="shared" si="4"/>
        <v>10208320</v>
      </c>
    </row>
    <row r="12" spans="1:7" x14ac:dyDescent="0.3">
      <c r="A12" s="13">
        <f t="shared" si="0"/>
        <v>6</v>
      </c>
      <c r="B12" s="14">
        <v>44805</v>
      </c>
      <c r="C12" s="15">
        <f t="shared" si="1"/>
        <v>10208320</v>
      </c>
      <c r="D12" s="15">
        <v>486112</v>
      </c>
      <c r="E12" s="15">
        <f t="shared" ref="E12:E32" si="5">C12*$E$5/100/12</f>
        <v>74861.013333333336</v>
      </c>
      <c r="F12" s="15">
        <f t="shared" si="3"/>
        <v>560973.01333333331</v>
      </c>
      <c r="G12" s="15">
        <f t="shared" si="4"/>
        <v>9722208</v>
      </c>
    </row>
    <row r="13" spans="1:7" x14ac:dyDescent="0.3">
      <c r="A13" s="13">
        <f t="shared" si="0"/>
        <v>7</v>
      </c>
      <c r="B13" s="14">
        <v>44835</v>
      </c>
      <c r="C13" s="15">
        <f t="shared" si="1"/>
        <v>9722208</v>
      </c>
      <c r="D13" s="15">
        <v>486112</v>
      </c>
      <c r="E13" s="15">
        <f t="shared" si="5"/>
        <v>71296.191999999995</v>
      </c>
      <c r="F13" s="15">
        <f t="shared" si="3"/>
        <v>557408.19200000004</v>
      </c>
      <c r="G13" s="15">
        <f t="shared" si="4"/>
        <v>9236096</v>
      </c>
    </row>
    <row r="14" spans="1:7" x14ac:dyDescent="0.3">
      <c r="A14" s="13">
        <f t="shared" si="0"/>
        <v>8</v>
      </c>
      <c r="B14" s="14">
        <v>44866</v>
      </c>
      <c r="C14" s="15">
        <f t="shared" si="1"/>
        <v>9236096</v>
      </c>
      <c r="D14" s="15">
        <v>486112</v>
      </c>
      <c r="E14" s="15">
        <f t="shared" si="5"/>
        <v>67731.370666666669</v>
      </c>
      <c r="F14" s="15">
        <f t="shared" si="3"/>
        <v>553843.37066666665</v>
      </c>
      <c r="G14" s="15">
        <f t="shared" si="4"/>
        <v>8749984</v>
      </c>
    </row>
    <row r="15" spans="1:7" x14ac:dyDescent="0.3">
      <c r="A15" s="13">
        <f t="shared" si="0"/>
        <v>9</v>
      </c>
      <c r="B15" s="14">
        <v>44896</v>
      </c>
      <c r="C15" s="15">
        <f t="shared" si="1"/>
        <v>8749984</v>
      </c>
      <c r="D15" s="15">
        <v>486112</v>
      </c>
      <c r="E15" s="15">
        <f t="shared" si="5"/>
        <v>64166.549333333336</v>
      </c>
      <c r="F15" s="15">
        <f t="shared" si="3"/>
        <v>550278.54933333339</v>
      </c>
      <c r="G15" s="15">
        <f t="shared" si="4"/>
        <v>8263872</v>
      </c>
    </row>
    <row r="16" spans="1:7" x14ac:dyDescent="0.3">
      <c r="A16" s="13">
        <f t="shared" si="0"/>
        <v>10</v>
      </c>
      <c r="B16" s="14">
        <v>44927</v>
      </c>
      <c r="C16" s="15">
        <f t="shared" si="1"/>
        <v>8263872</v>
      </c>
      <c r="D16" s="15">
        <v>486112</v>
      </c>
      <c r="E16" s="15">
        <f t="shared" si="5"/>
        <v>60601.728000000003</v>
      </c>
      <c r="F16" s="15">
        <f t="shared" si="3"/>
        <v>546713.728</v>
      </c>
      <c r="G16" s="15">
        <f t="shared" si="4"/>
        <v>7777760</v>
      </c>
    </row>
    <row r="17" spans="1:7" x14ac:dyDescent="0.3">
      <c r="A17" s="13">
        <f t="shared" si="0"/>
        <v>11</v>
      </c>
      <c r="B17" s="14">
        <v>44958</v>
      </c>
      <c r="C17" s="15">
        <f t="shared" si="1"/>
        <v>7777760</v>
      </c>
      <c r="D17" s="15">
        <v>486112</v>
      </c>
      <c r="E17" s="15">
        <f t="shared" si="5"/>
        <v>57036.906666666669</v>
      </c>
      <c r="F17" s="15">
        <f t="shared" si="3"/>
        <v>543148.90666666662</v>
      </c>
      <c r="G17" s="15">
        <f t="shared" si="4"/>
        <v>7291648</v>
      </c>
    </row>
    <row r="18" spans="1:7" x14ac:dyDescent="0.3">
      <c r="A18" s="13">
        <f t="shared" si="0"/>
        <v>12</v>
      </c>
      <c r="B18" s="14">
        <v>44986</v>
      </c>
      <c r="C18" s="15">
        <f t="shared" si="1"/>
        <v>7291648</v>
      </c>
      <c r="D18" s="15">
        <v>486112</v>
      </c>
      <c r="E18" s="15">
        <f t="shared" si="5"/>
        <v>53472.085333333343</v>
      </c>
      <c r="F18" s="15">
        <f t="shared" si="3"/>
        <v>539584.08533333335</v>
      </c>
      <c r="G18" s="15">
        <f t="shared" si="4"/>
        <v>6805536</v>
      </c>
    </row>
    <row r="19" spans="1:7" x14ac:dyDescent="0.3">
      <c r="A19" s="13">
        <f t="shared" si="0"/>
        <v>13</v>
      </c>
      <c r="B19" s="14">
        <v>45017</v>
      </c>
      <c r="C19" s="15">
        <f t="shared" si="1"/>
        <v>6805536</v>
      </c>
      <c r="D19" s="15">
        <v>486112</v>
      </c>
      <c r="E19" s="15">
        <f t="shared" si="5"/>
        <v>49907.264000000003</v>
      </c>
      <c r="F19" s="15">
        <f t="shared" si="3"/>
        <v>536019.26399999997</v>
      </c>
      <c r="G19" s="15">
        <f t="shared" si="4"/>
        <v>6319424</v>
      </c>
    </row>
    <row r="20" spans="1:7" x14ac:dyDescent="0.3">
      <c r="A20" s="13">
        <f t="shared" si="0"/>
        <v>14</v>
      </c>
      <c r="B20" s="14">
        <v>45047</v>
      </c>
      <c r="C20" s="15">
        <f t="shared" si="1"/>
        <v>6319424</v>
      </c>
      <c r="D20" s="15">
        <v>486112</v>
      </c>
      <c r="E20" s="15">
        <f t="shared" si="5"/>
        <v>46342.44266666667</v>
      </c>
      <c r="F20" s="15">
        <f t="shared" si="3"/>
        <v>532454.4426666667</v>
      </c>
      <c r="G20" s="15">
        <f t="shared" si="4"/>
        <v>5833312</v>
      </c>
    </row>
    <row r="21" spans="1:7" x14ac:dyDescent="0.3">
      <c r="A21" s="13">
        <f t="shared" si="0"/>
        <v>15</v>
      </c>
      <c r="B21" s="14">
        <v>45078</v>
      </c>
      <c r="C21" s="15">
        <f t="shared" si="1"/>
        <v>5833312</v>
      </c>
      <c r="D21" s="15">
        <v>486112</v>
      </c>
      <c r="E21" s="15">
        <f t="shared" si="5"/>
        <v>42777.621333333336</v>
      </c>
      <c r="F21" s="15">
        <f t="shared" si="3"/>
        <v>528889.62133333331</v>
      </c>
      <c r="G21" s="15">
        <f t="shared" si="4"/>
        <v>5347200</v>
      </c>
    </row>
    <row r="22" spans="1:7" x14ac:dyDescent="0.3">
      <c r="A22" s="13">
        <f t="shared" si="0"/>
        <v>16</v>
      </c>
      <c r="B22" s="14">
        <v>45108</v>
      </c>
      <c r="C22" s="15">
        <f t="shared" si="1"/>
        <v>5347200</v>
      </c>
      <c r="D22" s="15">
        <v>486112</v>
      </c>
      <c r="E22" s="15">
        <f t="shared" si="5"/>
        <v>39212.80000000001</v>
      </c>
      <c r="F22" s="15">
        <f t="shared" si="3"/>
        <v>525324.80000000005</v>
      </c>
      <c r="G22" s="15">
        <f t="shared" si="4"/>
        <v>4861088</v>
      </c>
    </row>
    <row r="23" spans="1:7" x14ac:dyDescent="0.3">
      <c r="A23" s="13">
        <f t="shared" si="0"/>
        <v>17</v>
      </c>
      <c r="B23" s="14">
        <v>45139</v>
      </c>
      <c r="C23" s="15">
        <f t="shared" si="1"/>
        <v>4861088</v>
      </c>
      <c r="D23" s="15">
        <v>486112</v>
      </c>
      <c r="E23" s="15">
        <f t="shared" si="5"/>
        <v>35647.97866666667</v>
      </c>
      <c r="F23" s="15">
        <f t="shared" si="3"/>
        <v>521759.97866666666</v>
      </c>
      <c r="G23" s="15">
        <f t="shared" si="4"/>
        <v>4374976</v>
      </c>
    </row>
    <row r="24" spans="1:7" x14ac:dyDescent="0.3">
      <c r="A24" s="13">
        <f t="shared" si="0"/>
        <v>18</v>
      </c>
      <c r="B24" s="14">
        <v>45170</v>
      </c>
      <c r="C24" s="15">
        <f t="shared" si="1"/>
        <v>4374976</v>
      </c>
      <c r="D24" s="15">
        <v>486112</v>
      </c>
      <c r="E24" s="15">
        <f t="shared" si="5"/>
        <v>32083.157333333336</v>
      </c>
      <c r="F24" s="15">
        <f t="shared" si="3"/>
        <v>518195.15733333334</v>
      </c>
      <c r="G24" s="15">
        <f t="shared" si="4"/>
        <v>3888864</v>
      </c>
    </row>
    <row r="25" spans="1:7" x14ac:dyDescent="0.3">
      <c r="A25" s="13">
        <f t="shared" si="0"/>
        <v>19</v>
      </c>
      <c r="B25" s="14">
        <v>45200</v>
      </c>
      <c r="C25" s="15">
        <f t="shared" si="1"/>
        <v>3888864</v>
      </c>
      <c r="D25" s="15">
        <v>486112</v>
      </c>
      <c r="E25" s="15">
        <f t="shared" si="5"/>
        <v>28518.335999999999</v>
      </c>
      <c r="F25" s="15">
        <f t="shared" si="3"/>
        <v>514630.33600000001</v>
      </c>
      <c r="G25" s="15">
        <f t="shared" si="4"/>
        <v>3402752</v>
      </c>
    </row>
    <row r="26" spans="1:7" x14ac:dyDescent="0.3">
      <c r="A26" s="13">
        <f t="shared" si="0"/>
        <v>20</v>
      </c>
      <c r="B26" s="14">
        <v>45231</v>
      </c>
      <c r="C26" s="15">
        <f t="shared" si="1"/>
        <v>3402752</v>
      </c>
      <c r="D26" s="15">
        <v>486112</v>
      </c>
      <c r="E26" s="15">
        <f t="shared" si="5"/>
        <v>24953.51466666667</v>
      </c>
      <c r="F26" s="15">
        <f t="shared" si="3"/>
        <v>511065.51466666668</v>
      </c>
      <c r="G26" s="15">
        <f t="shared" si="4"/>
        <v>2916640</v>
      </c>
    </row>
    <row r="27" spans="1:7" x14ac:dyDescent="0.3">
      <c r="A27" s="13">
        <f t="shared" si="0"/>
        <v>21</v>
      </c>
      <c r="B27" s="14">
        <v>45261</v>
      </c>
      <c r="C27" s="15">
        <f t="shared" si="1"/>
        <v>2916640</v>
      </c>
      <c r="D27" s="15">
        <v>486112</v>
      </c>
      <c r="E27" s="15">
        <f t="shared" si="5"/>
        <v>21388.693333333336</v>
      </c>
      <c r="F27" s="15">
        <f t="shared" si="3"/>
        <v>507500.69333333336</v>
      </c>
      <c r="G27" s="15">
        <f t="shared" si="4"/>
        <v>2430528</v>
      </c>
    </row>
    <row r="28" spans="1:7" x14ac:dyDescent="0.3">
      <c r="A28" s="13">
        <f t="shared" si="0"/>
        <v>22</v>
      </c>
      <c r="B28" s="14">
        <v>45292</v>
      </c>
      <c r="C28" s="15">
        <f t="shared" si="1"/>
        <v>2430528</v>
      </c>
      <c r="D28" s="15">
        <v>486112</v>
      </c>
      <c r="E28" s="15">
        <f t="shared" si="5"/>
        <v>17823.872000000003</v>
      </c>
      <c r="F28" s="15">
        <f t="shared" si="3"/>
        <v>503935.87199999997</v>
      </c>
      <c r="G28" s="15">
        <f t="shared" si="4"/>
        <v>1944416</v>
      </c>
    </row>
    <row r="29" spans="1:7" x14ac:dyDescent="0.3">
      <c r="A29" s="13">
        <f t="shared" si="0"/>
        <v>23</v>
      </c>
      <c r="B29" s="14">
        <v>45323</v>
      </c>
      <c r="C29" s="15">
        <f t="shared" si="1"/>
        <v>1944416</v>
      </c>
      <c r="D29" s="15">
        <v>486112</v>
      </c>
      <c r="E29" s="15">
        <f t="shared" si="5"/>
        <v>14259.050666666668</v>
      </c>
      <c r="F29" s="15">
        <f t="shared" si="3"/>
        <v>500371.05066666665</v>
      </c>
      <c r="G29" s="15">
        <f t="shared" si="4"/>
        <v>1458304</v>
      </c>
    </row>
    <row r="30" spans="1:7" x14ac:dyDescent="0.3">
      <c r="A30" s="13">
        <f t="shared" si="0"/>
        <v>24</v>
      </c>
      <c r="B30" s="14">
        <v>45352</v>
      </c>
      <c r="C30" s="15">
        <f t="shared" si="1"/>
        <v>1458304</v>
      </c>
      <c r="D30" s="15">
        <v>486112</v>
      </c>
      <c r="E30" s="15">
        <f t="shared" si="5"/>
        <v>10694.229333333335</v>
      </c>
      <c r="F30" s="15">
        <f t="shared" si="3"/>
        <v>496806.22933333332</v>
      </c>
      <c r="G30" s="15">
        <f t="shared" si="4"/>
        <v>972192</v>
      </c>
    </row>
    <row r="31" spans="1:7" x14ac:dyDescent="0.3">
      <c r="A31" s="13">
        <f t="shared" si="0"/>
        <v>25</v>
      </c>
      <c r="B31" s="14">
        <v>45383</v>
      </c>
      <c r="C31" s="15">
        <f>G30</f>
        <v>972192</v>
      </c>
      <c r="D31" s="15">
        <v>486112</v>
      </c>
      <c r="E31" s="15">
        <f t="shared" si="5"/>
        <v>7129.4080000000004</v>
      </c>
      <c r="F31" s="15">
        <f t="shared" si="3"/>
        <v>493241.408</v>
      </c>
      <c r="G31" s="15">
        <f t="shared" si="4"/>
        <v>486080</v>
      </c>
    </row>
    <row r="32" spans="1:7" x14ac:dyDescent="0.3">
      <c r="A32" s="13">
        <f t="shared" si="0"/>
        <v>26</v>
      </c>
      <c r="B32" s="14">
        <v>45413</v>
      </c>
      <c r="C32" s="15">
        <f>G31</f>
        <v>486080</v>
      </c>
      <c r="D32" s="15">
        <f>C32</f>
        <v>486080</v>
      </c>
      <c r="E32" s="15">
        <f t="shared" si="5"/>
        <v>3564.5866666666666</v>
      </c>
      <c r="F32" s="15">
        <f>D32+E32</f>
        <v>489644.58666666667</v>
      </c>
      <c r="G32" s="15">
        <f>C32-D32</f>
        <v>0</v>
      </c>
    </row>
    <row r="33" spans="3:7" x14ac:dyDescent="0.3">
      <c r="C33" s="2"/>
      <c r="D33" s="2"/>
      <c r="E33" s="2"/>
      <c r="F33" s="2"/>
      <c r="G33" s="2"/>
    </row>
    <row r="34" spans="3:7" x14ac:dyDescent="0.3">
      <c r="C34" s="2"/>
      <c r="D34" s="2"/>
      <c r="E34" s="2"/>
      <c r="F34" s="2"/>
      <c r="G34" s="2"/>
    </row>
    <row r="35" spans="3:7" x14ac:dyDescent="0.3">
      <c r="C35" s="2"/>
      <c r="D35" s="2"/>
      <c r="E35" s="2"/>
      <c r="F35" s="2"/>
      <c r="G35" s="2"/>
    </row>
    <row r="36" spans="3:7" x14ac:dyDescent="0.3">
      <c r="C36" s="2"/>
      <c r="D36" s="2"/>
      <c r="E36" s="2"/>
      <c r="F36" s="2"/>
      <c r="G36" s="2"/>
    </row>
    <row r="37" spans="3:7" x14ac:dyDescent="0.3">
      <c r="C37" s="2"/>
      <c r="D37" s="2"/>
      <c r="E37" s="2"/>
      <c r="F37" s="2"/>
      <c r="G37" s="2"/>
    </row>
    <row r="38" spans="3:7" x14ac:dyDescent="0.3">
      <c r="C38" s="2"/>
      <c r="D38" s="2"/>
      <c r="E38" s="2"/>
      <c r="F38" s="2"/>
      <c r="G38" s="2"/>
    </row>
    <row r="39" spans="3:7" x14ac:dyDescent="0.3">
      <c r="C39" s="2"/>
      <c r="D39" s="2"/>
      <c r="E39" s="2"/>
      <c r="F39" s="2"/>
      <c r="G39" s="2"/>
    </row>
    <row r="40" spans="3:7" x14ac:dyDescent="0.3">
      <c r="C40" s="2"/>
      <c r="D40" s="2"/>
      <c r="E40" s="2"/>
      <c r="F40" s="2"/>
      <c r="G40" s="2"/>
    </row>
    <row r="41" spans="3:7" x14ac:dyDescent="0.3">
      <c r="C41" s="2"/>
      <c r="D41" s="2"/>
      <c r="E41" s="2"/>
      <c r="F41" s="2"/>
      <c r="G41" s="2"/>
    </row>
    <row r="42" spans="3:7" x14ac:dyDescent="0.3">
      <c r="C42" s="2"/>
      <c r="D42" s="2"/>
      <c r="E42" s="2"/>
      <c r="F42" s="2"/>
      <c r="G42" s="2"/>
    </row>
    <row r="43" spans="3:7" x14ac:dyDescent="0.3">
      <c r="C43" s="2"/>
      <c r="D43" s="2"/>
      <c r="E43" s="2"/>
      <c r="F43" s="2"/>
      <c r="G43" s="2"/>
    </row>
    <row r="44" spans="3:7" x14ac:dyDescent="0.3">
      <c r="C44" s="2"/>
      <c r="D44" s="2"/>
      <c r="E44" s="2"/>
      <c r="F44" s="2"/>
      <c r="G44" s="2"/>
    </row>
    <row r="45" spans="3:7" x14ac:dyDescent="0.3">
      <c r="C45" s="2"/>
      <c r="D45" s="2"/>
      <c r="E45" s="2"/>
      <c r="F45" s="2"/>
      <c r="G45" s="2"/>
    </row>
    <row r="46" spans="3:7" x14ac:dyDescent="0.3">
      <c r="C46" s="2"/>
      <c r="D46" s="2"/>
      <c r="E46" s="2"/>
      <c r="F46" s="2"/>
      <c r="G46" s="2"/>
    </row>
    <row r="47" spans="3:7" x14ac:dyDescent="0.3">
      <c r="C47" s="2"/>
      <c r="D47" s="2"/>
      <c r="E47" s="2"/>
      <c r="F47" s="2"/>
      <c r="G47" s="2"/>
    </row>
    <row r="48" spans="3:7" x14ac:dyDescent="0.3">
      <c r="C48" s="2"/>
      <c r="D48" s="2"/>
      <c r="E48" s="2"/>
      <c r="F48" s="2"/>
      <c r="G48" s="2"/>
    </row>
    <row r="49" spans="3:7" x14ac:dyDescent="0.3">
      <c r="C49" s="2"/>
      <c r="D49" s="2"/>
      <c r="E49" s="2"/>
      <c r="F49" s="2"/>
      <c r="G49" s="2"/>
    </row>
    <row r="50" spans="3:7" x14ac:dyDescent="0.3">
      <c r="C50" s="2"/>
      <c r="D50" s="2"/>
      <c r="E50" s="2"/>
      <c r="F50" s="2"/>
      <c r="G50" s="2"/>
    </row>
    <row r="51" spans="3:7" x14ac:dyDescent="0.3">
      <c r="C51" s="2"/>
      <c r="D51" s="2"/>
      <c r="E51" s="2"/>
      <c r="F51" s="2"/>
      <c r="G51" s="2"/>
    </row>
    <row r="52" spans="3:7" x14ac:dyDescent="0.3">
      <c r="C52" s="2"/>
      <c r="D52" s="2"/>
      <c r="E52" s="2"/>
      <c r="F52" s="2"/>
      <c r="G52" s="2"/>
    </row>
    <row r="53" spans="3:7" x14ac:dyDescent="0.3">
      <c r="C53" s="2"/>
      <c r="D53" s="2"/>
      <c r="E53" s="2"/>
      <c r="F53" s="2"/>
      <c r="G53" s="2"/>
    </row>
    <row r="54" spans="3:7" x14ac:dyDescent="0.3">
      <c r="C54" s="2"/>
      <c r="D54" s="2"/>
      <c r="E54" s="2"/>
      <c r="F54" s="2"/>
      <c r="G54" s="2"/>
    </row>
    <row r="55" spans="3:7" x14ac:dyDescent="0.3">
      <c r="C55" s="2"/>
      <c r="D55" s="2"/>
      <c r="E55" s="2"/>
      <c r="F55" s="2"/>
      <c r="G55" s="2"/>
    </row>
    <row r="56" spans="3:7" x14ac:dyDescent="0.3">
      <c r="C56" s="2"/>
      <c r="D56" s="2"/>
      <c r="E56" s="2"/>
      <c r="F56" s="2"/>
      <c r="G56" s="2"/>
    </row>
    <row r="57" spans="3:7" x14ac:dyDescent="0.3">
      <c r="C57" s="2"/>
      <c r="D57" s="2"/>
      <c r="E57" s="2"/>
      <c r="F57" s="2"/>
      <c r="G57" s="2"/>
    </row>
    <row r="58" spans="3:7" x14ac:dyDescent="0.3">
      <c r="C58" s="2"/>
      <c r="D58" s="2"/>
      <c r="E58" s="2"/>
      <c r="F58" s="2"/>
      <c r="G58" s="2"/>
    </row>
    <row r="59" spans="3:7" x14ac:dyDescent="0.3">
      <c r="C59" s="2"/>
      <c r="D59" s="2"/>
      <c r="E59" s="2"/>
      <c r="F59" s="2"/>
      <c r="G59" s="2"/>
    </row>
    <row r="60" spans="3:7" x14ac:dyDescent="0.3">
      <c r="C60" s="2"/>
      <c r="D60" s="2"/>
      <c r="E60" s="2"/>
      <c r="F60" s="2"/>
      <c r="G60" s="2"/>
    </row>
    <row r="61" spans="3:7" x14ac:dyDescent="0.3">
      <c r="C61" s="2"/>
      <c r="D61" s="2"/>
      <c r="E61" s="2"/>
      <c r="F61" s="2"/>
      <c r="G61" s="2"/>
    </row>
    <row r="62" spans="3:7" x14ac:dyDescent="0.3">
      <c r="C62" s="2"/>
      <c r="D62" s="2"/>
      <c r="E62" s="2"/>
      <c r="F62" s="2"/>
      <c r="G62" s="2"/>
    </row>
    <row r="63" spans="3:7" x14ac:dyDescent="0.3">
      <c r="C63" s="2"/>
      <c r="D63" s="2"/>
      <c r="E63" s="2"/>
      <c r="F63" s="2"/>
      <c r="G63" s="2"/>
    </row>
    <row r="64" spans="3:7" x14ac:dyDescent="0.3">
      <c r="C64" s="2"/>
      <c r="D64" s="2"/>
      <c r="E64" s="2"/>
      <c r="F64" s="2"/>
      <c r="G64" s="2"/>
    </row>
    <row r="65" spans="3:7" x14ac:dyDescent="0.3">
      <c r="C65" s="2"/>
      <c r="D65" s="2"/>
      <c r="E65" s="2"/>
      <c r="F65" s="2"/>
      <c r="G65" s="2"/>
    </row>
    <row r="66" spans="3:7" x14ac:dyDescent="0.3">
      <c r="C66" s="2"/>
      <c r="D66" s="2"/>
      <c r="E66" s="2"/>
      <c r="F66" s="2"/>
      <c r="G66" s="2"/>
    </row>
    <row r="67" spans="3:7" x14ac:dyDescent="0.3">
      <c r="C67" s="2"/>
      <c r="D67" s="2"/>
      <c r="E67" s="2"/>
      <c r="F67" s="2"/>
      <c r="G67" s="2"/>
    </row>
    <row r="68" spans="3:7" x14ac:dyDescent="0.3">
      <c r="C68" s="2"/>
      <c r="D68" s="2"/>
      <c r="E68" s="2"/>
      <c r="F68" s="2"/>
      <c r="G68" s="2"/>
    </row>
    <row r="69" spans="3:7" x14ac:dyDescent="0.3">
      <c r="C69" s="2"/>
      <c r="D69" s="2"/>
      <c r="E69" s="2"/>
      <c r="F69" s="2"/>
      <c r="G69" s="2"/>
    </row>
    <row r="70" spans="3:7" x14ac:dyDescent="0.3">
      <c r="C70" s="2"/>
      <c r="D70" s="2"/>
      <c r="E70" s="2"/>
      <c r="F70" s="2"/>
      <c r="G70" s="2"/>
    </row>
    <row r="71" spans="3:7" x14ac:dyDescent="0.3">
      <c r="C71" s="2"/>
      <c r="D71" s="2"/>
      <c r="E71" s="2"/>
      <c r="F71" s="2"/>
      <c r="G71" s="2"/>
    </row>
    <row r="72" spans="3:7" x14ac:dyDescent="0.3">
      <c r="C72" s="2"/>
      <c r="D72" s="2"/>
      <c r="E72" s="2"/>
      <c r="F72" s="2"/>
      <c r="G72" s="2"/>
    </row>
    <row r="73" spans="3:7" x14ac:dyDescent="0.3">
      <c r="C73" s="2"/>
      <c r="D73" s="2"/>
      <c r="E73" s="2"/>
      <c r="F73" s="2"/>
      <c r="G73" s="2"/>
    </row>
    <row r="74" spans="3:7" x14ac:dyDescent="0.3">
      <c r="C74" s="2"/>
      <c r="D74" s="2"/>
      <c r="E74" s="2"/>
      <c r="F74" s="2"/>
      <c r="G74" s="2"/>
    </row>
    <row r="75" spans="3:7" x14ac:dyDescent="0.3">
      <c r="C75" s="2"/>
      <c r="D75" s="2"/>
      <c r="E75" s="2"/>
      <c r="F75" s="2"/>
      <c r="G75" s="2"/>
    </row>
    <row r="76" spans="3:7" x14ac:dyDescent="0.3">
      <c r="C76" s="2"/>
      <c r="D76" s="2"/>
      <c r="E76" s="2"/>
      <c r="F76" s="2"/>
      <c r="G76" s="2"/>
    </row>
    <row r="77" spans="3:7" x14ac:dyDescent="0.3">
      <c r="C77" s="2"/>
      <c r="D77" s="2"/>
      <c r="E77" s="2"/>
      <c r="F77" s="2"/>
      <c r="G77" s="2"/>
    </row>
    <row r="78" spans="3:7" x14ac:dyDescent="0.3">
      <c r="C78" s="2"/>
      <c r="D78" s="2"/>
      <c r="E78" s="2"/>
      <c r="F78" s="2"/>
      <c r="G78" s="2"/>
    </row>
    <row r="79" spans="3:7" x14ac:dyDescent="0.3">
      <c r="C79" s="2"/>
      <c r="D79" s="2"/>
      <c r="E79" s="2"/>
      <c r="F79" s="2"/>
      <c r="G79" s="2"/>
    </row>
    <row r="80" spans="3:7" x14ac:dyDescent="0.3">
      <c r="C80" s="2"/>
      <c r="D80" s="2"/>
      <c r="E80" s="2"/>
      <c r="F80" s="2"/>
      <c r="G80" s="2"/>
    </row>
    <row r="81" spans="3:7" x14ac:dyDescent="0.3">
      <c r="C81" s="2"/>
      <c r="D81" s="2"/>
      <c r="E81" s="2"/>
      <c r="F81" s="2"/>
      <c r="G81" s="2"/>
    </row>
    <row r="82" spans="3:7" x14ac:dyDescent="0.3">
      <c r="C82" s="2"/>
      <c r="D82" s="2"/>
      <c r="E82" s="2"/>
      <c r="F82" s="2"/>
      <c r="G82" s="2"/>
    </row>
    <row r="83" spans="3:7" x14ac:dyDescent="0.3">
      <c r="C83" s="2"/>
      <c r="D83" s="2"/>
      <c r="E83" s="2"/>
      <c r="F83" s="2"/>
      <c r="G83" s="2"/>
    </row>
    <row r="84" spans="3:7" x14ac:dyDescent="0.3">
      <c r="C84" s="2"/>
      <c r="D84" s="2"/>
      <c r="E84" s="2"/>
      <c r="F84" s="2"/>
      <c r="G84" s="2"/>
    </row>
    <row r="85" spans="3:7" x14ac:dyDescent="0.3">
      <c r="C85" s="2"/>
      <c r="D85" s="2"/>
      <c r="E85" s="2"/>
      <c r="F85" s="2"/>
      <c r="G85" s="2"/>
    </row>
    <row r="86" spans="3:7" x14ac:dyDescent="0.3">
      <c r="C86" s="2"/>
      <c r="D86" s="2"/>
      <c r="E86" s="2"/>
      <c r="F86" s="2"/>
      <c r="G86" s="2"/>
    </row>
    <row r="87" spans="3:7" x14ac:dyDescent="0.3">
      <c r="C87" s="2"/>
      <c r="D87" s="2"/>
      <c r="E87" s="2"/>
      <c r="F87" s="2"/>
      <c r="G87" s="2"/>
    </row>
    <row r="88" spans="3:7" x14ac:dyDescent="0.3">
      <c r="C88" s="2"/>
      <c r="D88" s="2"/>
      <c r="E88" s="2"/>
      <c r="F88" s="2"/>
      <c r="G88" s="2"/>
    </row>
    <row r="89" spans="3:7" x14ac:dyDescent="0.3">
      <c r="C89" s="2"/>
      <c r="D89" s="2"/>
      <c r="E89" s="2"/>
      <c r="F89" s="2"/>
      <c r="G89" s="2"/>
    </row>
    <row r="90" spans="3:7" x14ac:dyDescent="0.3">
      <c r="C90" s="2"/>
      <c r="D90" s="2"/>
      <c r="E90" s="2"/>
      <c r="F90" s="2"/>
      <c r="G90" s="2"/>
    </row>
    <row r="91" spans="3:7" x14ac:dyDescent="0.3">
      <c r="C91" s="2"/>
      <c r="D91" s="2"/>
      <c r="E91" s="2"/>
      <c r="F91" s="2"/>
      <c r="G91" s="2"/>
    </row>
    <row r="92" spans="3:7" x14ac:dyDescent="0.3">
      <c r="C92" s="2"/>
      <c r="D92" s="2"/>
      <c r="E92" s="2"/>
      <c r="F92" s="2"/>
      <c r="G92" s="2"/>
    </row>
    <row r="93" spans="3:7" x14ac:dyDescent="0.3">
      <c r="C93" s="2"/>
      <c r="D93" s="2"/>
      <c r="E93" s="2"/>
      <c r="F93" s="2"/>
      <c r="G93" s="2"/>
    </row>
    <row r="94" spans="3:7" x14ac:dyDescent="0.3">
      <c r="C94" s="2"/>
      <c r="D94" s="2"/>
      <c r="E94" s="2"/>
      <c r="F94" s="2"/>
      <c r="G94" s="2"/>
    </row>
    <row r="95" spans="3:7" x14ac:dyDescent="0.3">
      <c r="C95" s="2"/>
      <c r="D95" s="2"/>
      <c r="E95" s="2"/>
      <c r="F95" s="2"/>
      <c r="G95" s="2"/>
    </row>
    <row r="96" spans="3:7" x14ac:dyDescent="0.3">
      <c r="C96" s="2"/>
      <c r="D96" s="2"/>
      <c r="E96" s="2"/>
      <c r="F96" s="2"/>
      <c r="G96" s="2"/>
    </row>
    <row r="97" spans="3:7" x14ac:dyDescent="0.3">
      <c r="C97" s="2"/>
      <c r="D97" s="2"/>
      <c r="E97" s="2"/>
      <c r="F97" s="2"/>
      <c r="G97" s="2"/>
    </row>
    <row r="98" spans="3:7" x14ac:dyDescent="0.3">
      <c r="C98" s="2"/>
      <c r="D98" s="2"/>
      <c r="E98" s="2"/>
      <c r="F98" s="2"/>
      <c r="G98" s="2"/>
    </row>
    <row r="99" spans="3:7" x14ac:dyDescent="0.3">
      <c r="C99" s="2"/>
      <c r="D99" s="2"/>
      <c r="E99" s="2"/>
      <c r="F99" s="2"/>
      <c r="G99" s="2"/>
    </row>
    <row r="100" spans="3:7" x14ac:dyDescent="0.3">
      <c r="C100" s="2"/>
      <c r="D100" s="2"/>
      <c r="E100" s="2"/>
      <c r="F100" s="2"/>
      <c r="G100" s="2"/>
    </row>
    <row r="101" spans="3:7" x14ac:dyDescent="0.3">
      <c r="C101" s="2"/>
      <c r="D101" s="2"/>
      <c r="E101" s="2"/>
      <c r="F101" s="2"/>
      <c r="G101" s="2"/>
    </row>
    <row r="102" spans="3:7" x14ac:dyDescent="0.3">
      <c r="C102" s="2"/>
      <c r="D102" s="2"/>
      <c r="E102" s="2"/>
      <c r="F102" s="2"/>
      <c r="G102" s="2"/>
    </row>
    <row r="103" spans="3:7" x14ac:dyDescent="0.3">
      <c r="C103" s="2"/>
      <c r="D103" s="2"/>
      <c r="E103" s="2"/>
      <c r="F103" s="2"/>
      <c r="G103" s="2"/>
    </row>
    <row r="104" spans="3:7" x14ac:dyDescent="0.3">
      <c r="C104" s="2"/>
      <c r="D104" s="2"/>
      <c r="E104" s="2"/>
      <c r="F104" s="2"/>
      <c r="G104" s="2"/>
    </row>
    <row r="105" spans="3:7" x14ac:dyDescent="0.3">
      <c r="C105" s="2"/>
      <c r="D105" s="2"/>
      <c r="E105" s="2"/>
      <c r="F105" s="2"/>
      <c r="G105" s="2"/>
    </row>
    <row r="106" spans="3:7" x14ac:dyDescent="0.3">
      <c r="C106" s="2"/>
      <c r="D106" s="2"/>
      <c r="E106" s="2"/>
      <c r="F106" s="2"/>
      <c r="G106" s="2"/>
    </row>
    <row r="107" spans="3:7" x14ac:dyDescent="0.3">
      <c r="C107" s="2"/>
      <c r="D107" s="2"/>
      <c r="E107" s="2"/>
      <c r="F107" s="2"/>
      <c r="G107" s="2"/>
    </row>
    <row r="108" spans="3:7" x14ac:dyDescent="0.3">
      <c r="C108" s="2"/>
      <c r="D108" s="2"/>
      <c r="E108" s="2"/>
      <c r="F108" s="2"/>
      <c r="G108" s="2"/>
    </row>
    <row r="109" spans="3:7" x14ac:dyDescent="0.3">
      <c r="C109" s="2"/>
      <c r="D109" s="2"/>
      <c r="E109" s="2"/>
      <c r="F109" s="2"/>
      <c r="G109" s="2"/>
    </row>
    <row r="110" spans="3:7" x14ac:dyDescent="0.3">
      <c r="C110" s="2"/>
      <c r="D110" s="2"/>
      <c r="E110" s="2"/>
      <c r="F110" s="2"/>
      <c r="G110" s="2"/>
    </row>
    <row r="111" spans="3:7" x14ac:dyDescent="0.3">
      <c r="C111" s="2"/>
      <c r="D111" s="2"/>
      <c r="E111" s="2"/>
      <c r="F111" s="2"/>
      <c r="G111" s="2"/>
    </row>
    <row r="112" spans="3:7" x14ac:dyDescent="0.3">
      <c r="C112" s="2"/>
      <c r="D112" s="2"/>
      <c r="E112" s="2"/>
      <c r="F112" s="2"/>
      <c r="G112" s="2"/>
    </row>
    <row r="113" spans="3:7" x14ac:dyDescent="0.3">
      <c r="C113" s="2"/>
      <c r="D113" s="2"/>
      <c r="E113" s="2"/>
      <c r="F113" s="2"/>
      <c r="G113" s="2"/>
    </row>
    <row r="114" spans="3:7" x14ac:dyDescent="0.3">
      <c r="C114" s="2"/>
      <c r="D114" s="2"/>
      <c r="E114" s="2"/>
      <c r="F114" s="2"/>
      <c r="G114" s="2"/>
    </row>
    <row r="115" spans="3:7" x14ac:dyDescent="0.3">
      <c r="C115" s="2"/>
      <c r="D115" s="2"/>
      <c r="E115" s="2"/>
      <c r="F115" s="2"/>
      <c r="G115" s="2"/>
    </row>
    <row r="116" spans="3:7" x14ac:dyDescent="0.3">
      <c r="C116" s="2"/>
      <c r="D116" s="2"/>
      <c r="E116" s="2"/>
      <c r="F116" s="2"/>
      <c r="G116" s="2"/>
    </row>
    <row r="117" spans="3:7" x14ac:dyDescent="0.3">
      <c r="C117" s="2"/>
      <c r="D117" s="2"/>
      <c r="E117" s="2"/>
      <c r="F117" s="2"/>
      <c r="G117" s="2"/>
    </row>
    <row r="118" spans="3:7" x14ac:dyDescent="0.3">
      <c r="C118" s="2"/>
      <c r="D118" s="2"/>
      <c r="E118" s="2"/>
      <c r="F118" s="2"/>
      <c r="G118" s="2"/>
    </row>
    <row r="119" spans="3:7" x14ac:dyDescent="0.3">
      <c r="C119" s="2"/>
      <c r="D119" s="2"/>
      <c r="E119" s="2"/>
      <c r="F119" s="2"/>
      <c r="G119" s="2"/>
    </row>
    <row r="120" spans="3:7" x14ac:dyDescent="0.3">
      <c r="C120" s="2"/>
      <c r="D120" s="2"/>
      <c r="E120" s="2"/>
      <c r="F120" s="2"/>
      <c r="G120" s="2"/>
    </row>
    <row r="121" spans="3:7" x14ac:dyDescent="0.3">
      <c r="C121" s="2"/>
      <c r="D121" s="2"/>
      <c r="E121" s="2"/>
      <c r="F121" s="2"/>
      <c r="G121" s="2"/>
    </row>
    <row r="122" spans="3:7" x14ac:dyDescent="0.3">
      <c r="C122" s="2"/>
      <c r="D122" s="2"/>
      <c r="E122" s="2"/>
      <c r="F122" s="2"/>
      <c r="G122" s="2"/>
    </row>
    <row r="123" spans="3:7" x14ac:dyDescent="0.3">
      <c r="C123" s="2"/>
      <c r="D123" s="2"/>
      <c r="E123" s="2"/>
      <c r="F123" s="2"/>
      <c r="G123" s="2"/>
    </row>
    <row r="124" spans="3:7" x14ac:dyDescent="0.3">
      <c r="C124" s="2"/>
      <c r="D124" s="2"/>
      <c r="E124" s="2"/>
      <c r="F124" s="2"/>
      <c r="G124" s="2"/>
    </row>
    <row r="125" spans="3:7" x14ac:dyDescent="0.3">
      <c r="C125" s="2"/>
      <c r="D125" s="2"/>
      <c r="E125" s="2"/>
      <c r="F125" s="2"/>
      <c r="G125" s="2"/>
    </row>
    <row r="126" spans="3:7" x14ac:dyDescent="0.3">
      <c r="C126" s="2"/>
      <c r="D126" s="2"/>
      <c r="E126" s="2"/>
      <c r="F126" s="2"/>
      <c r="G126" s="2"/>
    </row>
    <row r="127" spans="3:7" x14ac:dyDescent="0.3">
      <c r="C127" s="2"/>
      <c r="D127" s="2"/>
      <c r="E127" s="2"/>
      <c r="F127" s="2"/>
      <c r="G127" s="2"/>
    </row>
    <row r="128" spans="3:7" x14ac:dyDescent="0.3">
      <c r="C128" s="2"/>
      <c r="D128" s="2"/>
      <c r="E128" s="2"/>
      <c r="F128" s="2"/>
      <c r="G128" s="2"/>
    </row>
    <row r="129" spans="3:7" x14ac:dyDescent="0.3">
      <c r="C129" s="2"/>
      <c r="D129" s="2"/>
      <c r="E129" s="2"/>
      <c r="F129" s="2"/>
      <c r="G129" s="2"/>
    </row>
    <row r="130" spans="3:7" x14ac:dyDescent="0.3">
      <c r="C130" s="2"/>
      <c r="D130" s="2"/>
      <c r="E130" s="2"/>
      <c r="F130" s="2"/>
      <c r="G130" s="2"/>
    </row>
    <row r="131" spans="3:7" x14ac:dyDescent="0.3">
      <c r="C131" s="2"/>
      <c r="D131" s="2"/>
      <c r="E131" s="2"/>
      <c r="F131" s="2"/>
      <c r="G131" s="2"/>
    </row>
    <row r="132" spans="3:7" x14ac:dyDescent="0.3">
      <c r="C132" s="2"/>
      <c r="D132" s="2"/>
      <c r="E132" s="2"/>
      <c r="F132" s="2"/>
      <c r="G132" s="2"/>
    </row>
    <row r="133" spans="3:7" x14ac:dyDescent="0.3">
      <c r="C133" s="2"/>
      <c r="D133" s="2"/>
      <c r="E133" s="2"/>
      <c r="F133" s="2"/>
      <c r="G133" s="2"/>
    </row>
    <row r="134" spans="3:7" x14ac:dyDescent="0.3">
      <c r="C134" s="2"/>
      <c r="D134" s="2"/>
      <c r="E134" s="2"/>
      <c r="F134" s="2"/>
      <c r="G134" s="2"/>
    </row>
    <row r="135" spans="3:7" x14ac:dyDescent="0.3">
      <c r="C135" s="2"/>
      <c r="D135" s="2"/>
      <c r="E135" s="2"/>
      <c r="F135" s="2"/>
      <c r="G135" s="2"/>
    </row>
    <row r="136" spans="3:7" x14ac:dyDescent="0.3">
      <c r="C136" s="2"/>
      <c r="D136" s="2"/>
      <c r="E136" s="2"/>
      <c r="F136" s="2"/>
      <c r="G136" s="2"/>
    </row>
    <row r="137" spans="3:7" x14ac:dyDescent="0.3">
      <c r="C137" s="2"/>
      <c r="D137" s="2"/>
      <c r="E137" s="2"/>
      <c r="F137" s="2"/>
      <c r="G137" s="2"/>
    </row>
    <row r="138" spans="3:7" x14ac:dyDescent="0.3">
      <c r="C138" s="2"/>
      <c r="D138" s="2"/>
      <c r="E138" s="2"/>
      <c r="F138" s="2"/>
      <c r="G138" s="2"/>
    </row>
    <row r="139" spans="3:7" x14ac:dyDescent="0.3">
      <c r="C139" s="2"/>
      <c r="D139" s="2"/>
      <c r="E139" s="2"/>
      <c r="F139" s="2"/>
      <c r="G139" s="2"/>
    </row>
    <row r="140" spans="3:7" x14ac:dyDescent="0.3">
      <c r="C140" s="2"/>
      <c r="D140" s="2"/>
      <c r="E140" s="2"/>
      <c r="F140" s="2"/>
      <c r="G140" s="2"/>
    </row>
    <row r="141" spans="3:7" x14ac:dyDescent="0.3">
      <c r="C141" s="2"/>
      <c r="D141" s="2"/>
      <c r="E141" s="2"/>
      <c r="F141" s="2"/>
      <c r="G141" s="2"/>
    </row>
    <row r="142" spans="3:7" x14ac:dyDescent="0.3">
      <c r="C142" s="2"/>
      <c r="D142" s="2"/>
      <c r="E142" s="2"/>
      <c r="F142" s="2"/>
      <c r="G142" s="2"/>
    </row>
    <row r="143" spans="3:7" x14ac:dyDescent="0.3">
      <c r="C143" s="2"/>
      <c r="D143" s="2"/>
      <c r="E143" s="2"/>
      <c r="F143" s="2"/>
      <c r="G143" s="2"/>
    </row>
    <row r="144" spans="3:7" x14ac:dyDescent="0.3">
      <c r="C144" s="2"/>
      <c r="D144" s="2"/>
      <c r="E144" s="2"/>
      <c r="F144" s="2"/>
      <c r="G144" s="2"/>
    </row>
    <row r="145" spans="3:7" x14ac:dyDescent="0.3">
      <c r="C145" s="2"/>
      <c r="D145" s="2"/>
      <c r="E145" s="2"/>
      <c r="F145" s="2"/>
      <c r="G145" s="2"/>
    </row>
    <row r="146" spans="3:7" x14ac:dyDescent="0.3">
      <c r="C146" s="2"/>
      <c r="D146" s="2"/>
      <c r="E146" s="2"/>
      <c r="F146" s="2"/>
      <c r="G146" s="2"/>
    </row>
    <row r="147" spans="3:7" x14ac:dyDescent="0.3">
      <c r="C147" s="2"/>
      <c r="D147" s="2"/>
      <c r="E147" s="2"/>
      <c r="F147" s="2"/>
      <c r="G147" s="2"/>
    </row>
    <row r="148" spans="3:7" x14ac:dyDescent="0.3">
      <c r="C148" s="2"/>
      <c r="D148" s="2"/>
      <c r="E148" s="2"/>
      <c r="F148" s="2"/>
      <c r="G148" s="2"/>
    </row>
    <row r="149" spans="3:7" x14ac:dyDescent="0.3">
      <c r="C149" s="2"/>
      <c r="D149" s="2"/>
      <c r="E149" s="2"/>
      <c r="F149" s="2"/>
      <c r="G149" s="2"/>
    </row>
    <row r="150" spans="3:7" x14ac:dyDescent="0.3">
      <c r="C150" s="2"/>
      <c r="D150" s="2"/>
      <c r="E150" s="2"/>
      <c r="F150" s="2"/>
    </row>
    <row r="151" spans="3:7" x14ac:dyDescent="0.3">
      <c r="C151" s="2"/>
      <c r="D151" s="2"/>
      <c r="E151" s="2"/>
      <c r="F151" s="2"/>
    </row>
    <row r="152" spans="3:7" x14ac:dyDescent="0.3">
      <c r="C152" s="2"/>
      <c r="D152" s="2"/>
      <c r="E152" s="2"/>
      <c r="F152" s="2"/>
    </row>
    <row r="153" spans="3:7" x14ac:dyDescent="0.3">
      <c r="C153" s="2"/>
      <c r="D153" s="2"/>
      <c r="E153" s="2"/>
      <c r="F153" s="2"/>
    </row>
    <row r="154" spans="3:7" x14ac:dyDescent="0.3">
      <c r="C154" s="2"/>
      <c r="D154" s="2"/>
      <c r="E154" s="2"/>
      <c r="F154" s="2"/>
    </row>
    <row r="155" spans="3:7" x14ac:dyDescent="0.3">
      <c r="C155" s="2"/>
      <c r="D155" s="2"/>
      <c r="E155" s="2"/>
      <c r="F155" s="2"/>
    </row>
    <row r="156" spans="3:7" x14ac:dyDescent="0.3">
      <c r="C156" s="2"/>
      <c r="D156" s="2"/>
      <c r="E156" s="2"/>
      <c r="F156" s="2"/>
    </row>
    <row r="157" spans="3:7" x14ac:dyDescent="0.3">
      <c r="C157" s="2"/>
      <c r="D157" s="2"/>
      <c r="E157" s="2"/>
      <c r="F157" s="2"/>
    </row>
    <row r="158" spans="3:7" x14ac:dyDescent="0.3">
      <c r="C158" s="2"/>
      <c r="D158" s="2"/>
      <c r="E158" s="2"/>
      <c r="F158" s="2"/>
    </row>
    <row r="159" spans="3:7" x14ac:dyDescent="0.3">
      <c r="C159" s="2"/>
      <c r="D159" s="2"/>
      <c r="E159" s="2"/>
      <c r="F159" s="2"/>
    </row>
    <row r="160" spans="3:7" x14ac:dyDescent="0.3">
      <c r="C160" s="2"/>
      <c r="D160" s="2"/>
      <c r="E160" s="2"/>
      <c r="F160" s="2"/>
    </row>
    <row r="161" spans="3:6" x14ac:dyDescent="0.3">
      <c r="C161" s="2"/>
      <c r="D161" s="2"/>
      <c r="E161" s="2"/>
      <c r="F161" s="2"/>
    </row>
    <row r="162" spans="3:6" x14ac:dyDescent="0.3">
      <c r="C162" s="2"/>
      <c r="D162" s="2"/>
      <c r="E162" s="2"/>
      <c r="F162" s="2"/>
    </row>
    <row r="163" spans="3:6" x14ac:dyDescent="0.3">
      <c r="C163" s="2"/>
      <c r="D163" s="2"/>
      <c r="E163" s="2"/>
      <c r="F163" s="2"/>
    </row>
    <row r="164" spans="3:6" x14ac:dyDescent="0.3">
      <c r="C164" s="2"/>
      <c r="D164" s="2"/>
      <c r="E164" s="2"/>
      <c r="F164" s="2"/>
    </row>
    <row r="165" spans="3:6" x14ac:dyDescent="0.3">
      <c r="C165" s="2"/>
      <c r="D165" s="2"/>
      <c r="E165" s="2"/>
      <c r="F165" s="2"/>
    </row>
    <row r="166" spans="3:6" x14ac:dyDescent="0.3">
      <c r="C166" s="2"/>
      <c r="D166" s="2"/>
      <c r="E166" s="2"/>
      <c r="F166" s="2"/>
    </row>
    <row r="167" spans="3:6" x14ac:dyDescent="0.3">
      <c r="C167" s="2"/>
      <c r="D167" s="2"/>
      <c r="E167" s="2"/>
      <c r="F167" s="2"/>
    </row>
    <row r="168" spans="3:6" x14ac:dyDescent="0.3">
      <c r="C168" s="2"/>
      <c r="D168" s="2"/>
      <c r="E168" s="2"/>
      <c r="F168" s="2"/>
    </row>
    <row r="169" spans="3:6" x14ac:dyDescent="0.3">
      <c r="C169" s="2"/>
      <c r="D169" s="2"/>
      <c r="E169" s="2"/>
      <c r="F169" s="2"/>
    </row>
    <row r="170" spans="3:6" x14ac:dyDescent="0.3">
      <c r="C170" s="2"/>
      <c r="D170" s="2"/>
      <c r="E170" s="2"/>
      <c r="F170" s="2"/>
    </row>
    <row r="171" spans="3:6" x14ac:dyDescent="0.3">
      <c r="C171" s="2"/>
      <c r="D171" s="2"/>
      <c r="E171" s="2"/>
      <c r="F171" s="2"/>
    </row>
    <row r="172" spans="3:6" x14ac:dyDescent="0.3">
      <c r="C172" s="2"/>
      <c r="D172" s="2"/>
      <c r="E172" s="2"/>
      <c r="F172" s="2"/>
    </row>
    <row r="173" spans="3:6" x14ac:dyDescent="0.3">
      <c r="C173" s="2"/>
      <c r="D173" s="2"/>
      <c r="E173" s="2"/>
      <c r="F173" s="2"/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6"/>
  <sheetViews>
    <sheetView tabSelected="1" workbookViewId="0">
      <selection activeCell="H7" sqref="H7"/>
    </sheetView>
  </sheetViews>
  <sheetFormatPr defaultRowHeight="14.4" x14ac:dyDescent="0.3"/>
  <cols>
    <col min="1" max="1" width="10.44140625" customWidth="1"/>
    <col min="2" max="2" width="34.44140625" bestFit="1" customWidth="1"/>
    <col min="3" max="3" width="8.109375" customWidth="1"/>
    <col min="4" max="5" width="7.88671875" customWidth="1"/>
    <col min="7" max="7" width="8.5546875" customWidth="1"/>
  </cols>
  <sheetData>
    <row r="1" spans="1:22" x14ac:dyDescent="0.3">
      <c r="B1" s="72" t="s">
        <v>112</v>
      </c>
      <c r="K1" s="205" t="s">
        <v>113</v>
      </c>
      <c r="L1" s="205"/>
      <c r="M1" s="205"/>
    </row>
    <row r="2" spans="1:22" x14ac:dyDescent="0.3"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22" ht="43.2" x14ac:dyDescent="0.3">
      <c r="A3" s="18" t="s">
        <v>114</v>
      </c>
      <c r="B3" s="103" t="s">
        <v>115</v>
      </c>
      <c r="C3" s="12" t="s">
        <v>116</v>
      </c>
      <c r="D3" s="104" t="s">
        <v>302</v>
      </c>
      <c r="E3" s="104" t="s">
        <v>117</v>
      </c>
      <c r="F3" s="104" t="s">
        <v>118</v>
      </c>
      <c r="G3" s="104" t="s">
        <v>119</v>
      </c>
      <c r="H3" s="104" t="s">
        <v>120</v>
      </c>
      <c r="I3" s="104" t="s">
        <v>121</v>
      </c>
      <c r="J3" s="104" t="s">
        <v>122</v>
      </c>
      <c r="K3" s="104" t="s">
        <v>123</v>
      </c>
      <c r="L3" s="104" t="s">
        <v>124</v>
      </c>
      <c r="M3" s="104" t="s">
        <v>286</v>
      </c>
    </row>
    <row r="4" spans="1:22" x14ac:dyDescent="0.3">
      <c r="A4">
        <v>1</v>
      </c>
      <c r="B4" s="95" t="s">
        <v>125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</row>
    <row r="5" spans="1:22" x14ac:dyDescent="0.3">
      <c r="B5" s="66" t="s">
        <v>278</v>
      </c>
      <c r="C5" s="84">
        <f>C6+C7</f>
        <v>81.02</v>
      </c>
      <c r="D5" s="84">
        <f>D6+D7</f>
        <v>168.51</v>
      </c>
      <c r="E5" s="84">
        <f>E6+E7</f>
        <v>170</v>
      </c>
      <c r="F5" s="84">
        <f>F6+F7</f>
        <v>190.75</v>
      </c>
      <c r="G5" s="84">
        <f t="shared" ref="G5:M5" si="0">G6+G7</f>
        <v>260</v>
      </c>
      <c r="H5" s="84">
        <f t="shared" si="0"/>
        <v>290</v>
      </c>
      <c r="I5" s="84">
        <f t="shared" si="0"/>
        <v>305</v>
      </c>
      <c r="J5" s="84">
        <f t="shared" si="0"/>
        <v>320</v>
      </c>
      <c r="K5" s="84">
        <f t="shared" si="0"/>
        <v>320</v>
      </c>
      <c r="L5" s="84">
        <f t="shared" si="0"/>
        <v>320</v>
      </c>
      <c r="M5" s="84">
        <f t="shared" si="0"/>
        <v>320</v>
      </c>
    </row>
    <row r="6" spans="1:22" x14ac:dyDescent="0.3">
      <c r="B6" s="119" t="s">
        <v>288</v>
      </c>
      <c r="C6" s="197">
        <v>81.02</v>
      </c>
      <c r="D6" s="197">
        <v>168.51</v>
      </c>
      <c r="E6" s="197">
        <v>170</v>
      </c>
      <c r="F6" s="197">
        <v>187</v>
      </c>
      <c r="G6" s="197">
        <v>200</v>
      </c>
      <c r="H6" s="197">
        <v>200</v>
      </c>
      <c r="I6" s="197">
        <v>200</v>
      </c>
      <c r="J6" s="197">
        <v>200</v>
      </c>
      <c r="K6" s="197">
        <v>200</v>
      </c>
      <c r="L6" s="197">
        <v>200</v>
      </c>
      <c r="M6" s="197">
        <v>200</v>
      </c>
    </row>
    <row r="7" spans="1:22" x14ac:dyDescent="0.3">
      <c r="B7" s="119" t="s">
        <v>289</v>
      </c>
      <c r="C7" s="197"/>
      <c r="D7" s="197"/>
      <c r="E7" s="197"/>
      <c r="F7" s="197">
        <f>(150*1000*250*1)/10000000</f>
        <v>3.75</v>
      </c>
      <c r="G7" s="197">
        <f>(200*1000*250*12)/10000000</f>
        <v>60</v>
      </c>
      <c r="H7" s="197">
        <f>(300*1000*250*12)/10000000</f>
        <v>90</v>
      </c>
      <c r="I7" s="197">
        <f>(350*1000*250*12)/10000000</f>
        <v>105</v>
      </c>
      <c r="J7" s="197">
        <f>(400*1000*250*12)/10000000</f>
        <v>120</v>
      </c>
      <c r="K7" s="197">
        <f>(400*1000*250*12)/10000000</f>
        <v>120</v>
      </c>
      <c r="L7" s="197">
        <f>(400*1000*250*12)/10000000</f>
        <v>120</v>
      </c>
      <c r="M7" s="197">
        <f>(400*1000*250*12)/10000000</f>
        <v>120</v>
      </c>
      <c r="P7" t="s">
        <v>311</v>
      </c>
    </row>
    <row r="8" spans="1:22" x14ac:dyDescent="0.3">
      <c r="B8" s="66" t="s">
        <v>279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  <row r="9" spans="1:22" x14ac:dyDescent="0.3">
      <c r="B9" s="66" t="s">
        <v>280</v>
      </c>
      <c r="C9" s="84">
        <v>0.67</v>
      </c>
      <c r="D9" s="84">
        <v>2.46</v>
      </c>
      <c r="E9" s="84">
        <v>1</v>
      </c>
      <c r="F9" s="84">
        <v>1</v>
      </c>
      <c r="G9" s="84">
        <v>1</v>
      </c>
      <c r="H9" s="84">
        <v>1</v>
      </c>
      <c r="I9" s="84">
        <v>1</v>
      </c>
      <c r="J9" s="84">
        <v>1</v>
      </c>
      <c r="K9" s="84">
        <v>1</v>
      </c>
      <c r="L9" s="84">
        <v>1</v>
      </c>
      <c r="M9" s="84">
        <v>1</v>
      </c>
    </row>
    <row r="10" spans="1:22" x14ac:dyDescent="0.3">
      <c r="B10" s="107" t="s">
        <v>89</v>
      </c>
      <c r="C10" s="108">
        <f t="shared" ref="C10:M10" si="1">C5+C8+C9</f>
        <v>81.69</v>
      </c>
      <c r="D10" s="108">
        <f t="shared" si="1"/>
        <v>170.97</v>
      </c>
      <c r="E10" s="108">
        <f t="shared" si="1"/>
        <v>171</v>
      </c>
      <c r="F10" s="108">
        <f t="shared" si="1"/>
        <v>191.75</v>
      </c>
      <c r="G10" s="108">
        <f t="shared" si="1"/>
        <v>261</v>
      </c>
      <c r="H10" s="108">
        <f t="shared" si="1"/>
        <v>291</v>
      </c>
      <c r="I10" s="108">
        <f t="shared" si="1"/>
        <v>306</v>
      </c>
      <c r="J10" s="108">
        <f t="shared" si="1"/>
        <v>321</v>
      </c>
      <c r="K10" s="108">
        <f t="shared" si="1"/>
        <v>321</v>
      </c>
      <c r="L10" s="108">
        <f t="shared" si="1"/>
        <v>321</v>
      </c>
      <c r="M10" s="108">
        <f t="shared" si="1"/>
        <v>321</v>
      </c>
    </row>
    <row r="11" spans="1:22" x14ac:dyDescent="0.3">
      <c r="A11">
        <v>2</v>
      </c>
      <c r="B11" s="95" t="s">
        <v>126</v>
      </c>
      <c r="C11" s="84"/>
      <c r="D11" s="84"/>
      <c r="E11" s="84"/>
      <c r="O11" s="198">
        <f t="shared" ref="O11:V11" si="2">F7/F5</f>
        <v>1.9659239842726082E-2</v>
      </c>
      <c r="P11" s="198">
        <f t="shared" si="2"/>
        <v>0.23076923076923078</v>
      </c>
      <c r="Q11" s="198">
        <f t="shared" si="2"/>
        <v>0.31034482758620691</v>
      </c>
      <c r="R11" s="198">
        <f t="shared" si="2"/>
        <v>0.34426229508196721</v>
      </c>
      <c r="S11" s="198">
        <f t="shared" si="2"/>
        <v>0.375</v>
      </c>
      <c r="T11" s="198">
        <f t="shared" si="2"/>
        <v>0.375</v>
      </c>
      <c r="U11" s="198">
        <f t="shared" si="2"/>
        <v>0.375</v>
      </c>
      <c r="V11" s="198">
        <f t="shared" si="2"/>
        <v>0.375</v>
      </c>
    </row>
    <row r="12" spans="1:22" x14ac:dyDescent="0.3">
      <c r="B12" s="66" t="s">
        <v>127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</row>
    <row r="13" spans="1:22" x14ac:dyDescent="0.3">
      <c r="B13" s="109" t="s">
        <v>89</v>
      </c>
      <c r="C13" s="84">
        <f t="shared" ref="C13:E13" si="3">C11-C12</f>
        <v>0</v>
      </c>
      <c r="D13" s="84">
        <f t="shared" si="3"/>
        <v>0</v>
      </c>
      <c r="E13" s="84">
        <f t="shared" si="3"/>
        <v>0</v>
      </c>
      <c r="F13" s="84">
        <f>F11-F12</f>
        <v>0</v>
      </c>
      <c r="G13" s="84">
        <f>G11-G12</f>
        <v>0</v>
      </c>
      <c r="H13" s="84">
        <f>H11-H12</f>
        <v>0</v>
      </c>
      <c r="I13" s="84">
        <f>I11-I12</f>
        <v>0</v>
      </c>
      <c r="J13" s="84">
        <f>J11-J12</f>
        <v>0</v>
      </c>
      <c r="K13" s="84">
        <f>K11-K12</f>
        <v>0</v>
      </c>
      <c r="L13" s="84">
        <f>L11-L12</f>
        <v>0</v>
      </c>
      <c r="M13" s="84">
        <f>M11-M12</f>
        <v>0</v>
      </c>
    </row>
    <row r="14" spans="1:22" x14ac:dyDescent="0.3">
      <c r="A14">
        <v>3</v>
      </c>
      <c r="B14" s="18" t="s">
        <v>128</v>
      </c>
      <c r="C14" s="108">
        <f t="shared" ref="C14:M14" si="4">C10-C13</f>
        <v>81.69</v>
      </c>
      <c r="D14" s="108">
        <f t="shared" si="4"/>
        <v>170.97</v>
      </c>
      <c r="E14" s="108">
        <f t="shared" si="4"/>
        <v>171</v>
      </c>
      <c r="F14" s="108">
        <f t="shared" si="4"/>
        <v>191.75</v>
      </c>
      <c r="G14" s="108">
        <f t="shared" si="4"/>
        <v>261</v>
      </c>
      <c r="H14" s="108">
        <f t="shared" si="4"/>
        <v>291</v>
      </c>
      <c r="I14" s="108">
        <f t="shared" si="4"/>
        <v>306</v>
      </c>
      <c r="J14" s="108">
        <f t="shared" si="4"/>
        <v>321</v>
      </c>
      <c r="K14" s="108">
        <f t="shared" si="4"/>
        <v>321</v>
      </c>
      <c r="L14" s="108">
        <f t="shared" si="4"/>
        <v>321</v>
      </c>
      <c r="M14" s="108">
        <f t="shared" si="4"/>
        <v>321</v>
      </c>
    </row>
    <row r="15" spans="1:22" ht="28.8" x14ac:dyDescent="0.3">
      <c r="A15">
        <v>4</v>
      </c>
      <c r="B15" s="110" t="s">
        <v>129</v>
      </c>
      <c r="C15" s="111"/>
      <c r="D15" s="111">
        <f>(D14-C14)/C14</f>
        <v>1.0929122291590159</v>
      </c>
      <c r="E15" s="111">
        <f>(E14-D14)/D14</f>
        <v>1.7546938059309316E-4</v>
      </c>
      <c r="F15" s="111">
        <f t="shared" ref="F15:L15" si="5">(F14-E14)/E14</f>
        <v>0.12134502923976608</v>
      </c>
      <c r="G15" s="111">
        <f>(G14-F14)/F14</f>
        <v>0.36114732724902215</v>
      </c>
      <c r="H15" s="111">
        <f t="shared" si="5"/>
        <v>0.11494252873563218</v>
      </c>
      <c r="I15" s="111">
        <f t="shared" si="5"/>
        <v>5.1546391752577317E-2</v>
      </c>
      <c r="J15" s="111">
        <f t="shared" si="5"/>
        <v>4.9019607843137254E-2</v>
      </c>
      <c r="K15" s="111">
        <f t="shared" si="5"/>
        <v>0</v>
      </c>
      <c r="L15" s="111">
        <f t="shared" si="5"/>
        <v>0</v>
      </c>
      <c r="M15" s="111">
        <f>(M14-K14)/K14</f>
        <v>0</v>
      </c>
    </row>
    <row r="16" spans="1:22" x14ac:dyDescent="0.3">
      <c r="B16" s="66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</row>
    <row r="17" spans="1:22" x14ac:dyDescent="0.3">
      <c r="A17">
        <v>5</v>
      </c>
      <c r="B17" s="112" t="s">
        <v>130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</row>
    <row r="18" spans="1:22" ht="43.2" x14ac:dyDescent="0.3">
      <c r="B18" s="113" t="s">
        <v>131</v>
      </c>
      <c r="C18" s="105"/>
      <c r="D18" s="105"/>
      <c r="E18" s="105"/>
      <c r="F18" s="177">
        <f>F20/F6</f>
        <v>0.59408937155064989</v>
      </c>
      <c r="G18" s="177">
        <f t="shared" ref="G18:M18" si="6">G20/G6</f>
        <v>0.59408937155064989</v>
      </c>
      <c r="H18" s="177">
        <f t="shared" si="6"/>
        <v>0.59408937155064989</v>
      </c>
      <c r="I18" s="177">
        <f t="shared" si="6"/>
        <v>0.59408937155064989</v>
      </c>
      <c r="J18" s="177">
        <f t="shared" si="6"/>
        <v>0.59408937155064989</v>
      </c>
      <c r="K18" s="177">
        <f t="shared" si="6"/>
        <v>0.59408937155064989</v>
      </c>
      <c r="L18" s="177">
        <f t="shared" si="6"/>
        <v>0.59408937155064989</v>
      </c>
      <c r="M18" s="177">
        <f t="shared" si="6"/>
        <v>0.59408937155064989</v>
      </c>
    </row>
    <row r="19" spans="1:22" x14ac:dyDescent="0.3">
      <c r="B19" s="66" t="s">
        <v>132</v>
      </c>
      <c r="C19" s="105"/>
      <c r="D19" s="105"/>
      <c r="E19" s="105"/>
      <c r="F19" s="177">
        <f t="shared" ref="F19:M19" si="7">F7*70%</f>
        <v>2.625</v>
      </c>
      <c r="G19" s="177">
        <f t="shared" si="7"/>
        <v>42</v>
      </c>
      <c r="H19" s="177">
        <f t="shared" si="7"/>
        <v>62.999999999999993</v>
      </c>
      <c r="I19" s="177">
        <f t="shared" si="7"/>
        <v>73.5</v>
      </c>
      <c r="J19" s="177">
        <f t="shared" si="7"/>
        <v>84</v>
      </c>
      <c r="K19" s="177">
        <f t="shared" si="7"/>
        <v>84</v>
      </c>
      <c r="L19" s="177">
        <f t="shared" si="7"/>
        <v>84</v>
      </c>
      <c r="M19" s="177">
        <f t="shared" si="7"/>
        <v>84</v>
      </c>
      <c r="O19" s="199">
        <f>F19</f>
        <v>2.625</v>
      </c>
      <c r="P19" s="199">
        <f t="shared" ref="P19:V19" si="8">G19</f>
        <v>42</v>
      </c>
      <c r="Q19" s="199">
        <f t="shared" si="8"/>
        <v>62.999999999999993</v>
      </c>
      <c r="R19" s="199">
        <f t="shared" si="8"/>
        <v>73.5</v>
      </c>
      <c r="S19" s="199">
        <f t="shared" si="8"/>
        <v>84</v>
      </c>
      <c r="T19" s="199">
        <f t="shared" si="8"/>
        <v>84</v>
      </c>
      <c r="U19" s="199">
        <f t="shared" si="8"/>
        <v>84</v>
      </c>
      <c r="V19" s="199">
        <f t="shared" si="8"/>
        <v>84</v>
      </c>
    </row>
    <row r="20" spans="1:22" x14ac:dyDescent="0.3">
      <c r="B20" s="66" t="s">
        <v>133</v>
      </c>
      <c r="C20" s="84">
        <v>44.2</v>
      </c>
      <c r="D20" s="105">
        <v>100.11</v>
      </c>
      <c r="E20" s="184">
        <f t="shared" ref="E20:M20" si="9">D20/D6*E6</f>
        <v>100.99519316361048</v>
      </c>
      <c r="F20" s="184">
        <f t="shared" si="9"/>
        <v>111.09471247997153</v>
      </c>
      <c r="G20" s="184">
        <f t="shared" si="9"/>
        <v>118.81787431012998</v>
      </c>
      <c r="H20" s="184">
        <f t="shared" si="9"/>
        <v>118.81787431012998</v>
      </c>
      <c r="I20" s="184">
        <f t="shared" si="9"/>
        <v>118.81787431012998</v>
      </c>
      <c r="J20" s="184">
        <f t="shared" si="9"/>
        <v>118.81787431012998</v>
      </c>
      <c r="K20" s="184">
        <f t="shared" si="9"/>
        <v>118.81787431012998</v>
      </c>
      <c r="L20" s="184">
        <f t="shared" si="9"/>
        <v>118.81787431012998</v>
      </c>
      <c r="M20" s="184">
        <f t="shared" si="9"/>
        <v>118.81787431012998</v>
      </c>
    </row>
    <row r="21" spans="1:22" x14ac:dyDescent="0.3">
      <c r="B21" s="66"/>
      <c r="C21" s="84">
        <f t="shared" ref="C21:M21" si="10">C19+C20</f>
        <v>44.2</v>
      </c>
      <c r="D21" s="105">
        <f t="shared" si="10"/>
        <v>100.11</v>
      </c>
      <c r="E21" s="184">
        <f t="shared" si="10"/>
        <v>100.99519316361048</v>
      </c>
      <c r="F21" s="184">
        <f t="shared" si="10"/>
        <v>113.71971247997153</v>
      </c>
      <c r="G21" s="184">
        <f t="shared" si="10"/>
        <v>160.81787431012998</v>
      </c>
      <c r="H21" s="184">
        <f t="shared" si="10"/>
        <v>181.81787431012998</v>
      </c>
      <c r="I21" s="184">
        <f t="shared" si="10"/>
        <v>192.31787431012998</v>
      </c>
      <c r="J21" s="184">
        <f t="shared" si="10"/>
        <v>202.81787431012998</v>
      </c>
      <c r="K21" s="184">
        <f t="shared" si="10"/>
        <v>202.81787431012998</v>
      </c>
      <c r="L21" s="184">
        <f t="shared" si="10"/>
        <v>202.81787431012998</v>
      </c>
      <c r="M21" s="184">
        <f t="shared" si="10"/>
        <v>202.81787431012998</v>
      </c>
    </row>
    <row r="22" spans="1:22" x14ac:dyDescent="0.3">
      <c r="B22" s="66" t="s">
        <v>134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</row>
    <row r="23" spans="1:22" x14ac:dyDescent="0.3">
      <c r="B23" s="66" t="s">
        <v>135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</row>
    <row r="24" spans="1:22" x14ac:dyDescent="0.3">
      <c r="B24" s="66" t="s">
        <v>136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</row>
    <row r="25" spans="1:22" x14ac:dyDescent="0.3">
      <c r="B25" s="66"/>
      <c r="C25" s="105">
        <f t="shared" ref="C25:M25" si="11">SUM(C23:C24)</f>
        <v>0</v>
      </c>
      <c r="D25" s="105">
        <f t="shared" si="11"/>
        <v>0</v>
      </c>
      <c r="E25" s="105">
        <f t="shared" si="11"/>
        <v>0</v>
      </c>
      <c r="F25" s="105">
        <f t="shared" si="11"/>
        <v>0</v>
      </c>
      <c r="G25" s="105">
        <f t="shared" si="11"/>
        <v>0</v>
      </c>
      <c r="H25" s="105">
        <f t="shared" si="11"/>
        <v>0</v>
      </c>
      <c r="I25" s="105">
        <f t="shared" si="11"/>
        <v>0</v>
      </c>
      <c r="J25" s="105">
        <f t="shared" si="11"/>
        <v>0</v>
      </c>
      <c r="K25" s="105">
        <f t="shared" si="11"/>
        <v>0</v>
      </c>
      <c r="L25" s="105">
        <f t="shared" si="11"/>
        <v>0</v>
      </c>
      <c r="M25" s="105">
        <f t="shared" si="11"/>
        <v>0</v>
      </c>
    </row>
    <row r="26" spans="1:22" x14ac:dyDescent="0.3">
      <c r="B26" s="66" t="s">
        <v>137</v>
      </c>
      <c r="C26" s="195">
        <f>0.3174+0.0172</f>
        <v>0.33460000000000001</v>
      </c>
      <c r="D26" s="195">
        <f>0.5328+0.6261</f>
        <v>1.1589</v>
      </c>
      <c r="E26" s="177">
        <f>D26/$D$5*$E$5</f>
        <v>1.1691472316183018</v>
      </c>
      <c r="F26" s="177">
        <f>E26/$E$5*$F$5</f>
        <v>1.3118519672423004</v>
      </c>
      <c r="G26" s="177">
        <f>F26/$F$5*$G$5</f>
        <v>1.7881075307103438</v>
      </c>
      <c r="H26" s="177">
        <f>G26/$G$5*$H$5</f>
        <v>1.9944276304076911</v>
      </c>
      <c r="I26" s="177">
        <f>H26/$H$5*$I$5</f>
        <v>2.0975876802563649</v>
      </c>
      <c r="J26" s="177">
        <f>I26/$I$5*$J$5</f>
        <v>2.2007477301050384</v>
      </c>
      <c r="K26" s="177">
        <f>J26/$J$5*$K$5</f>
        <v>2.2007477301050384</v>
      </c>
      <c r="L26" s="177">
        <f>K26/$K$5*$L$5</f>
        <v>2.2007477301050384</v>
      </c>
      <c r="M26" s="177">
        <f>L26/$L$5*$M$5</f>
        <v>2.2007477301050384</v>
      </c>
      <c r="O26" s="4">
        <f>F26*O11</f>
        <v>2.5790012462168423E-2</v>
      </c>
      <c r="P26" s="4">
        <f t="shared" ref="P26:V26" si="12">G26*P11</f>
        <v>0.41264019939469476</v>
      </c>
      <c r="Q26" s="4">
        <f t="shared" si="12"/>
        <v>0.61896029909204209</v>
      </c>
      <c r="R26" s="4">
        <f t="shared" si="12"/>
        <v>0.72212034894071575</v>
      </c>
      <c r="S26" s="4">
        <f t="shared" si="12"/>
        <v>0.82528039878938941</v>
      </c>
      <c r="T26" s="4">
        <f t="shared" si="12"/>
        <v>0.82528039878938941</v>
      </c>
      <c r="U26" s="4">
        <f t="shared" si="12"/>
        <v>0.82528039878938941</v>
      </c>
      <c r="V26" s="4">
        <f t="shared" si="12"/>
        <v>0.82528039878938941</v>
      </c>
    </row>
    <row r="27" spans="1:22" x14ac:dyDescent="0.3">
      <c r="B27" s="66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</row>
    <row r="28" spans="1:22" x14ac:dyDescent="0.3">
      <c r="B28" s="66" t="s">
        <v>138</v>
      </c>
      <c r="C28" s="84">
        <v>8.25</v>
      </c>
      <c r="D28" s="84">
        <v>12.95</v>
      </c>
      <c r="E28" s="177">
        <f>D28/$D$5*$E$5</f>
        <v>13.064506557474335</v>
      </c>
      <c r="F28" s="177">
        <f>E28/$E$5*$F$5</f>
        <v>14.659144857871937</v>
      </c>
      <c r="G28" s="177">
        <f>F28/$F$5*$G$5</f>
        <v>19.981010029078394</v>
      </c>
      <c r="H28" s="177">
        <f>G28/$G$5*$H$5</f>
        <v>22.286511186279746</v>
      </c>
      <c r="I28" s="177">
        <f>H28/$H$5*$I$5</f>
        <v>23.439261764880424</v>
      </c>
      <c r="J28" s="177">
        <f>I28/$I$5*$J$5+1</f>
        <v>25.592012343481102</v>
      </c>
      <c r="K28" s="177">
        <f>J28/$J$5*$K$5+2</f>
        <v>27.592012343481102</v>
      </c>
      <c r="L28" s="177">
        <f>K28/$K$5*$L$5+2</f>
        <v>29.592012343481102</v>
      </c>
      <c r="M28" s="177">
        <f>L28/$L$5*$M$5+3</f>
        <v>32.592012343481102</v>
      </c>
      <c r="O28" s="199">
        <f>F28*O11</f>
        <v>0.28818764465016916</v>
      </c>
      <c r="P28" s="199">
        <f t="shared" ref="P28:V28" si="13">G28*P11</f>
        <v>4.6110023144027066</v>
      </c>
      <c r="Q28" s="199">
        <f t="shared" si="13"/>
        <v>6.9165034716040594</v>
      </c>
      <c r="R28" s="199">
        <f t="shared" si="13"/>
        <v>8.0692540502047354</v>
      </c>
      <c r="S28" s="199">
        <f t="shared" si="13"/>
        <v>9.5970046288054132</v>
      </c>
      <c r="T28" s="199">
        <f t="shared" si="13"/>
        <v>10.347004628805413</v>
      </c>
      <c r="U28" s="199">
        <f t="shared" si="13"/>
        <v>11.097004628805413</v>
      </c>
      <c r="V28" s="199">
        <f t="shared" si="13"/>
        <v>12.222004628805413</v>
      </c>
    </row>
    <row r="29" spans="1:22" x14ac:dyDescent="0.3">
      <c r="B29" s="66" t="s">
        <v>139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</row>
    <row r="30" spans="1:22" x14ac:dyDescent="0.3">
      <c r="B30" s="66" t="s">
        <v>140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22" x14ac:dyDescent="0.3">
      <c r="B31" s="66" t="s">
        <v>141</v>
      </c>
      <c r="C31" s="196">
        <f>0.3083+0.1143</f>
        <v>0.42260000000000003</v>
      </c>
      <c r="D31" s="196">
        <f>0.2867+0.1152</f>
        <v>0.40190000000000003</v>
      </c>
      <c r="E31" s="177">
        <f t="shared" ref="E31:E32" si="14">D31/$D$5*$E$5</f>
        <v>0.40545368227404904</v>
      </c>
      <c r="F31" s="177">
        <f>E31/$E$5*$F$5</f>
        <v>0.45494288172808739</v>
      </c>
      <c r="G31" s="177">
        <f>F31/$F$5*$G$5+0.5</f>
        <v>1.1201056317132516</v>
      </c>
      <c r="H31" s="177">
        <f>G31/$G$5*$H$5</f>
        <v>1.2493485892186269</v>
      </c>
      <c r="I31" s="177">
        <f>H31/$H$5*$I$5+0.5</f>
        <v>1.8139700679713144</v>
      </c>
      <c r="J31" s="177">
        <f t="shared" ref="J31" si="15">I31/$I$5*$J$5</f>
        <v>1.9031817106584283</v>
      </c>
      <c r="K31" s="177">
        <f>J31/$J$5*$K$5</f>
        <v>1.9031817106584283</v>
      </c>
      <c r="L31" s="177">
        <f>K31/$K$5*$L$5</f>
        <v>1.9031817106584283</v>
      </c>
      <c r="M31" s="177">
        <f>L31/$L$5*$M$5</f>
        <v>1.9031817106584283</v>
      </c>
      <c r="O31" s="199">
        <f>F31*O11</f>
        <v>8.9438312266334353E-3</v>
      </c>
      <c r="P31" s="199">
        <f t="shared" ref="P31:V31" si="16">G31*P11</f>
        <v>0.25848591501075041</v>
      </c>
      <c r="Q31" s="199">
        <f t="shared" si="16"/>
        <v>0.38772887251612559</v>
      </c>
      <c r="R31" s="199">
        <f t="shared" si="16"/>
        <v>0.62448149880979675</v>
      </c>
      <c r="S31" s="199">
        <f t="shared" si="16"/>
        <v>0.71369314149691065</v>
      </c>
      <c r="T31" s="199">
        <f t="shared" si="16"/>
        <v>0.71369314149691065</v>
      </c>
      <c r="U31" s="199">
        <f t="shared" si="16"/>
        <v>0.71369314149691065</v>
      </c>
      <c r="V31" s="199">
        <f t="shared" si="16"/>
        <v>0.71369314149691065</v>
      </c>
    </row>
    <row r="32" spans="1:22" x14ac:dyDescent="0.3">
      <c r="B32" s="66" t="s">
        <v>142</v>
      </c>
      <c r="C32" s="196">
        <f>1.23+0.4974</f>
        <v>1.7274</v>
      </c>
      <c r="D32" s="196">
        <f>2.98+1.53</f>
        <v>4.51</v>
      </c>
      <c r="E32" s="177">
        <f t="shared" si="14"/>
        <v>4.549878345498783</v>
      </c>
      <c r="F32" s="177">
        <f>E32/$E$5*$F$5</f>
        <v>5.1052311435523112</v>
      </c>
      <c r="G32" s="177">
        <f>F32/$F$5*$G$5</f>
        <v>6.9586374695863746</v>
      </c>
      <c r="H32" s="177">
        <f>G32/$G$5*$H$5</f>
        <v>7.761557177615571</v>
      </c>
      <c r="I32" s="177">
        <f>H32/$H$5*$I$5</f>
        <v>8.1630170316301705</v>
      </c>
      <c r="J32" s="177">
        <f>I32/$I$5*$J$5+1</f>
        <v>9.5644768856447691</v>
      </c>
      <c r="K32" s="177">
        <f>J32/$J$5*$K$5</f>
        <v>9.5644768856447691</v>
      </c>
      <c r="L32" s="177">
        <f>K32/$K$5*$L$5</f>
        <v>9.5644768856447691</v>
      </c>
      <c r="M32" s="177">
        <f>L32/$L$5*$M$5</f>
        <v>9.5644768856447691</v>
      </c>
      <c r="O32" s="199">
        <f>F32*O11</f>
        <v>0.10036496350364964</v>
      </c>
      <c r="P32" s="199">
        <f t="shared" ref="P32:V32" si="17">G32*P11</f>
        <v>1.6058394160583942</v>
      </c>
      <c r="Q32" s="199">
        <f t="shared" si="17"/>
        <v>2.4087591240875912</v>
      </c>
      <c r="R32" s="199">
        <f t="shared" si="17"/>
        <v>2.8102189781021898</v>
      </c>
      <c r="S32" s="199">
        <f t="shared" si="17"/>
        <v>3.5866788321167884</v>
      </c>
      <c r="T32" s="199">
        <f t="shared" si="17"/>
        <v>3.5866788321167884</v>
      </c>
      <c r="U32" s="199">
        <f t="shared" si="17"/>
        <v>3.5866788321167884</v>
      </c>
      <c r="V32" s="199">
        <f t="shared" si="17"/>
        <v>3.5866788321167884</v>
      </c>
    </row>
    <row r="33" spans="1:22" x14ac:dyDescent="0.3">
      <c r="A33" t="s">
        <v>312</v>
      </c>
      <c r="B33" s="66" t="s">
        <v>143</v>
      </c>
      <c r="C33" s="84">
        <v>1.84</v>
      </c>
      <c r="D33" s="84">
        <v>5.15</v>
      </c>
      <c r="E33" s="84">
        <f>'Calculation of Depreciation'!H8/100</f>
        <v>5.1003849999999993</v>
      </c>
      <c r="F33" s="84">
        <f>'Calculation of Depreciation'!H15/100</f>
        <v>6.6532052500000001</v>
      </c>
      <c r="G33" s="84">
        <f>'Calculation of Depreciation'!H18/100</f>
        <v>7.3964837625000008</v>
      </c>
      <c r="H33" s="84">
        <f>'Calculation of Depreciation'!H21/100</f>
        <v>6.433039725625</v>
      </c>
      <c r="I33" s="84">
        <f>'Calculation of Depreciation'!H24/100</f>
        <v>5.6017984286562497</v>
      </c>
      <c r="J33" s="84">
        <f>'Calculation of Depreciation'!H27/100</f>
        <v>4.8835260178140629</v>
      </c>
      <c r="K33" s="84">
        <f>'Calculation of Depreciation'!H30/100</f>
        <v>4.2620539551328918</v>
      </c>
      <c r="L33" s="84">
        <f>'Calculation of Depreciation'!H33/100</f>
        <v>3.7237059418410983</v>
      </c>
      <c r="M33" s="84">
        <f>'Calculation of Depreciation'!H36/100</f>
        <v>3.2568601982522427</v>
      </c>
      <c r="O33" s="200"/>
      <c r="P33" s="200"/>
      <c r="Q33" s="200"/>
      <c r="R33" s="200"/>
      <c r="S33" s="200"/>
      <c r="T33" s="200"/>
      <c r="U33" s="200"/>
      <c r="V33" s="200"/>
    </row>
    <row r="34" spans="1:22" x14ac:dyDescent="0.3">
      <c r="B34" s="114" t="s">
        <v>144</v>
      </c>
      <c r="C34" s="108">
        <f>C21+C25+C26+C28+C31+C32+C33</f>
        <v>56.774600000000014</v>
      </c>
      <c r="D34" s="108">
        <f t="shared" ref="D34:M34" si="18">D21+D25+D26+D28+D31+D32+D33</f>
        <v>124.28080000000001</v>
      </c>
      <c r="E34" s="108">
        <f t="shared" si="18"/>
        <v>125.28456398047594</v>
      </c>
      <c r="F34" s="108">
        <f>F21+F25+F26+F28+F31+F32+F33</f>
        <v>141.90408858036619</v>
      </c>
      <c r="G34" s="108">
        <f t="shared" si="18"/>
        <v>198.06221873371831</v>
      </c>
      <c r="H34" s="108">
        <f t="shared" si="18"/>
        <v>221.54275861927661</v>
      </c>
      <c r="I34" s="108">
        <f t="shared" si="18"/>
        <v>233.43350928352453</v>
      </c>
      <c r="J34" s="108">
        <f t="shared" si="18"/>
        <v>246.96181899783338</v>
      </c>
      <c r="K34" s="108">
        <f t="shared" si="18"/>
        <v>248.34034693515221</v>
      </c>
      <c r="L34" s="108">
        <f t="shared" si="18"/>
        <v>249.80199892186042</v>
      </c>
      <c r="M34" s="108">
        <f t="shared" si="18"/>
        <v>252.33515317827155</v>
      </c>
    </row>
    <row r="35" spans="1:22" x14ac:dyDescent="0.3">
      <c r="B35" s="66" t="s">
        <v>145</v>
      </c>
      <c r="C35" s="115"/>
      <c r="D35" s="115"/>
      <c r="E35" s="115"/>
      <c r="F35" s="115"/>
      <c r="G35" s="115"/>
      <c r="H35" s="116"/>
      <c r="I35" s="115"/>
      <c r="J35" s="117"/>
      <c r="K35" s="115"/>
      <c r="L35" s="118"/>
      <c r="M35" s="118"/>
    </row>
    <row r="36" spans="1:22" x14ac:dyDescent="0.3">
      <c r="B36" s="66" t="s">
        <v>146</v>
      </c>
      <c r="C36" s="84"/>
      <c r="D36" s="84"/>
      <c r="E36" s="84"/>
      <c r="F36" s="84"/>
      <c r="G36" s="84"/>
      <c r="H36" s="88"/>
      <c r="I36" s="84"/>
      <c r="J36" s="85"/>
      <c r="K36" s="84"/>
      <c r="L36" s="86"/>
      <c r="M36" s="86"/>
    </row>
    <row r="37" spans="1:22" x14ac:dyDescent="0.3">
      <c r="B37" s="66" t="s">
        <v>147</v>
      </c>
      <c r="C37" s="84">
        <f>C34+C35-C36</f>
        <v>56.774600000000014</v>
      </c>
      <c r="D37" s="84">
        <f t="shared" ref="D37:M37" si="19">D34+D35-D36</f>
        <v>124.28080000000001</v>
      </c>
      <c r="E37" s="84">
        <f t="shared" si="19"/>
        <v>125.28456398047594</v>
      </c>
      <c r="F37" s="84">
        <f t="shared" si="19"/>
        <v>141.90408858036619</v>
      </c>
      <c r="G37" s="84">
        <f t="shared" si="19"/>
        <v>198.06221873371831</v>
      </c>
      <c r="H37" s="84">
        <f t="shared" si="19"/>
        <v>221.54275861927661</v>
      </c>
      <c r="I37" s="84">
        <f t="shared" si="19"/>
        <v>233.43350928352453</v>
      </c>
      <c r="J37" s="84">
        <f t="shared" si="19"/>
        <v>246.96181899783338</v>
      </c>
      <c r="K37" s="84">
        <f t="shared" si="19"/>
        <v>248.34034693515221</v>
      </c>
      <c r="L37" s="84">
        <f t="shared" si="19"/>
        <v>249.80199892186042</v>
      </c>
      <c r="M37" s="84">
        <f t="shared" si="19"/>
        <v>252.33515317827155</v>
      </c>
    </row>
    <row r="38" spans="1:22" x14ac:dyDescent="0.3">
      <c r="B38" s="66" t="s">
        <v>148</v>
      </c>
      <c r="C38" s="84">
        <v>1.54</v>
      </c>
      <c r="D38" s="84">
        <v>1.52</v>
      </c>
      <c r="E38" s="177">
        <f>D39</f>
        <v>1.95</v>
      </c>
      <c r="F38" s="177">
        <f>E39</f>
        <v>1.9672423001602279</v>
      </c>
      <c r="G38" s="177">
        <f>F39</f>
        <v>2.2073615809150793</v>
      </c>
      <c r="H38" s="177">
        <f>G39</f>
        <v>3.0087235178921135</v>
      </c>
      <c r="I38" s="177">
        <f>H39</f>
        <v>3.3558839238027418</v>
      </c>
      <c r="J38" s="177">
        <f t="shared" ref="J38:M38" si="20">I39</f>
        <v>3.529464126758056</v>
      </c>
      <c r="K38" s="177">
        <f t="shared" si="20"/>
        <v>3.7030443297133702</v>
      </c>
      <c r="L38" s="177">
        <f t="shared" si="20"/>
        <v>3.7030443297133702</v>
      </c>
      <c r="M38" s="177">
        <f t="shared" si="20"/>
        <v>3.7030443297133702</v>
      </c>
    </row>
    <row r="39" spans="1:22" x14ac:dyDescent="0.3">
      <c r="A39" t="s">
        <v>239</v>
      </c>
      <c r="B39" s="66" t="s">
        <v>149</v>
      </c>
      <c r="C39" s="84">
        <v>1.52</v>
      </c>
      <c r="D39" s="84">
        <v>1.95</v>
      </c>
      <c r="E39" s="177">
        <f>D39/$D$5*$E$5</f>
        <v>1.9672423001602279</v>
      </c>
      <c r="F39" s="177">
        <f>E39/$E$5*$F$5</f>
        <v>2.2073615809150793</v>
      </c>
      <c r="G39" s="177">
        <f>F39/$F$5*$G$5</f>
        <v>3.0087235178921135</v>
      </c>
      <c r="H39" s="177">
        <f t="shared" ref="H39" si="21">G39/$G$5*$H$5</f>
        <v>3.3558839238027418</v>
      </c>
      <c r="I39" s="177">
        <f>H39/$H$5*$I$5</f>
        <v>3.529464126758056</v>
      </c>
      <c r="J39" s="177">
        <f>I39/$I$5*$J$5</f>
        <v>3.7030443297133702</v>
      </c>
      <c r="K39" s="177">
        <f>J39/$J$5*$K$5</f>
        <v>3.7030443297133702</v>
      </c>
      <c r="L39" s="177">
        <f>K39/$K$5*$L$5</f>
        <v>3.7030443297133702</v>
      </c>
      <c r="M39" s="177">
        <f>L39/$L$5*$M$5</f>
        <v>3.7030443297133702</v>
      </c>
    </row>
    <row r="40" spans="1:22" x14ac:dyDescent="0.3">
      <c r="B40" s="114" t="s">
        <v>150</v>
      </c>
      <c r="C40" s="108">
        <f>C37+C38-C39</f>
        <v>56.79460000000001</v>
      </c>
      <c r="D40" s="108">
        <f t="shared" ref="D40:M40" si="22">D37+D38-D39</f>
        <v>123.85080000000001</v>
      </c>
      <c r="E40" s="108">
        <f t="shared" si="22"/>
        <v>125.26732168031572</v>
      </c>
      <c r="F40" s="108">
        <f t="shared" si="22"/>
        <v>141.66396929961132</v>
      </c>
      <c r="G40" s="108">
        <f t="shared" si="22"/>
        <v>197.26085679674128</v>
      </c>
      <c r="H40" s="108">
        <f t="shared" si="22"/>
        <v>221.195598213366</v>
      </c>
      <c r="I40" s="108">
        <f t="shared" si="22"/>
        <v>233.25992908056921</v>
      </c>
      <c r="J40" s="108">
        <f t="shared" si="22"/>
        <v>246.78823879487805</v>
      </c>
      <c r="K40" s="108">
        <f t="shared" si="22"/>
        <v>248.34034693515221</v>
      </c>
      <c r="L40" s="108">
        <f t="shared" si="22"/>
        <v>249.80199892186042</v>
      </c>
      <c r="M40" s="108">
        <f t="shared" si="22"/>
        <v>252.33515317827155</v>
      </c>
    </row>
    <row r="41" spans="1:22" x14ac:dyDescent="0.3">
      <c r="B41" s="119"/>
      <c r="C41" s="84">
        <f>C14-C40</f>
        <v>24.895399999999988</v>
      </c>
      <c r="D41" s="84">
        <f t="shared" ref="C41:M41" si="23">D14-D40</f>
        <v>47.119199999999992</v>
      </c>
      <c r="E41" s="84">
        <f t="shared" si="23"/>
        <v>45.732678319684283</v>
      </c>
      <c r="F41" s="84">
        <f t="shared" si="23"/>
        <v>50.086030700388676</v>
      </c>
      <c r="G41" s="84">
        <f t="shared" si="23"/>
        <v>63.73914320325872</v>
      </c>
      <c r="H41" s="84">
        <f t="shared" si="23"/>
        <v>69.804401786634003</v>
      </c>
      <c r="I41" s="84">
        <f t="shared" si="23"/>
        <v>72.740070919430792</v>
      </c>
      <c r="J41" s="84">
        <f t="shared" si="23"/>
        <v>74.211761205121945</v>
      </c>
      <c r="K41" s="84">
        <f t="shared" si="23"/>
        <v>72.659653064847788</v>
      </c>
      <c r="L41" s="84">
        <f t="shared" si="23"/>
        <v>71.198001078139583</v>
      </c>
      <c r="M41" s="84">
        <f t="shared" si="23"/>
        <v>68.664846821728446</v>
      </c>
    </row>
    <row r="42" spans="1:22" x14ac:dyDescent="0.3">
      <c r="A42">
        <v>6</v>
      </c>
      <c r="B42" s="66" t="s">
        <v>151</v>
      </c>
      <c r="C42" s="84">
        <f>23.14-C26-C31-C32</f>
        <v>20.6554</v>
      </c>
      <c r="D42" s="84">
        <f>43.75-D26-D31-D32</f>
        <v>37.679200000000002</v>
      </c>
      <c r="E42" s="177">
        <f>D42/$D$6*$E$6</f>
        <v>38.012367218562702</v>
      </c>
      <c r="F42" s="177">
        <f>(E42/$E$6*$F$6)+(F7*10%)</f>
        <v>42.188603940418972</v>
      </c>
      <c r="G42" s="177">
        <f>(F42/$F$6*$G$6)+(G7*10%)</f>
        <v>51.121501540555045</v>
      </c>
      <c r="H42" s="177">
        <f t="shared" ref="H42:M42" si="24">G42+((H7-G7)*10%)</f>
        <v>54.121501540555045</v>
      </c>
      <c r="I42" s="177">
        <f t="shared" si="24"/>
        <v>55.621501540555045</v>
      </c>
      <c r="J42" s="177">
        <f t="shared" si="24"/>
        <v>57.121501540555045</v>
      </c>
      <c r="K42" s="177">
        <f t="shared" si="24"/>
        <v>57.121501540555045</v>
      </c>
      <c r="L42" s="177">
        <f t="shared" si="24"/>
        <v>57.121501540555045</v>
      </c>
      <c r="M42" s="177">
        <f t="shared" si="24"/>
        <v>57.121501540555045</v>
      </c>
      <c r="O42" s="199">
        <f>F42*O11</f>
        <v>0.82939588349447524</v>
      </c>
      <c r="P42" s="199">
        <f t="shared" ref="P42:V42" si="25">G42*P11</f>
        <v>11.797269586281933</v>
      </c>
      <c r="Q42" s="199">
        <f t="shared" si="25"/>
        <v>16.796328064310188</v>
      </c>
      <c r="R42" s="199">
        <f t="shared" si="25"/>
        <v>19.148385776256653</v>
      </c>
      <c r="S42" s="199">
        <f t="shared" si="25"/>
        <v>21.420563077708142</v>
      </c>
      <c r="T42" s="199">
        <f t="shared" si="25"/>
        <v>21.420563077708142</v>
      </c>
      <c r="U42" s="199">
        <f t="shared" si="25"/>
        <v>21.420563077708142</v>
      </c>
      <c r="V42" s="199">
        <f t="shared" si="25"/>
        <v>21.420563077708142</v>
      </c>
    </row>
    <row r="43" spans="1:22" x14ac:dyDescent="0.3">
      <c r="A43">
        <v>7</v>
      </c>
      <c r="B43" s="95" t="s">
        <v>152</v>
      </c>
      <c r="C43" s="84">
        <f t="shared" ref="C43:M43" si="26">C40+C42</f>
        <v>77.450000000000017</v>
      </c>
      <c r="D43" s="84">
        <f>D40+D42</f>
        <v>161.53</v>
      </c>
      <c r="E43" s="84">
        <f>E40+E42</f>
        <v>163.27968889887842</v>
      </c>
      <c r="F43" s="84">
        <f t="shared" si="26"/>
        <v>183.8525732400303</v>
      </c>
      <c r="G43" s="84">
        <f t="shared" si="26"/>
        <v>248.38235833729632</v>
      </c>
      <c r="H43" s="84">
        <f t="shared" si="26"/>
        <v>275.31709975392107</v>
      </c>
      <c r="I43" s="84">
        <f t="shared" si="26"/>
        <v>288.88143062112425</v>
      </c>
      <c r="J43" s="84">
        <f t="shared" si="26"/>
        <v>303.90974033543307</v>
      </c>
      <c r="K43" s="84">
        <f t="shared" si="26"/>
        <v>305.46184847570726</v>
      </c>
      <c r="L43" s="84">
        <f t="shared" ref="L43" si="27">L40+L42</f>
        <v>306.92350046241546</v>
      </c>
      <c r="M43" s="84">
        <f t="shared" si="26"/>
        <v>309.4566547188266</v>
      </c>
    </row>
    <row r="44" spans="1:22" x14ac:dyDescent="0.3">
      <c r="A44">
        <v>8</v>
      </c>
      <c r="B44" s="66" t="s">
        <v>153</v>
      </c>
      <c r="C44" s="84">
        <f>C14-C43</f>
        <v>4.2399999999999807</v>
      </c>
      <c r="D44" s="84">
        <f>D14-D43</f>
        <v>9.4399999999999977</v>
      </c>
      <c r="E44" s="84">
        <f>E14-E43</f>
        <v>7.720311101121581</v>
      </c>
      <c r="F44" s="84">
        <f t="shared" ref="E44:M44" si="28">F14-F43</f>
        <v>7.8974267599697043</v>
      </c>
      <c r="G44" s="84">
        <f t="shared" si="28"/>
        <v>12.617641662703676</v>
      </c>
      <c r="H44" s="84">
        <f t="shared" si="28"/>
        <v>15.68290024607893</v>
      </c>
      <c r="I44" s="84">
        <f t="shared" si="28"/>
        <v>17.118569378875748</v>
      </c>
      <c r="J44" s="84">
        <f t="shared" si="28"/>
        <v>17.090259664566929</v>
      </c>
      <c r="K44" s="84">
        <f t="shared" si="28"/>
        <v>15.538151524292743</v>
      </c>
      <c r="L44" s="84">
        <f t="shared" ref="L44" si="29">L14-L43</f>
        <v>14.076499537584539</v>
      </c>
      <c r="M44" s="84">
        <f t="shared" si="28"/>
        <v>11.543345281173401</v>
      </c>
    </row>
    <row r="45" spans="1:22" x14ac:dyDescent="0.3">
      <c r="A45">
        <v>9</v>
      </c>
      <c r="B45" s="66" t="s">
        <v>60</v>
      </c>
      <c r="C45" s="84">
        <v>1.41</v>
      </c>
      <c r="D45" s="84">
        <v>2.11</v>
      </c>
      <c r="E45" s="84">
        <f>'Term Loan Summary CMA'!I4</f>
        <v>1.6729188451220967</v>
      </c>
      <c r="F45" s="84">
        <f>'Term Loan Summary CMA'!I5</f>
        <v>3.2782923035661242</v>
      </c>
      <c r="G45" s="84">
        <f>'Term Loan Summary CMA'!I6</f>
        <v>3.6690250026417104</v>
      </c>
      <c r="H45" s="84">
        <f>'Term Loan Summary CMA'!I7</f>
        <v>3.1630548672084795</v>
      </c>
      <c r="I45" s="84">
        <f>'Term Loan Summary CMA'!I8</f>
        <v>2.6731775987156836</v>
      </c>
      <c r="J45" s="84">
        <f>'Term Loan Summary CMA'!I9</f>
        <v>2.2103191042456389</v>
      </c>
      <c r="K45" s="84">
        <f>'Term Loan Summary CMA'!I10</f>
        <v>1.7869412139766372</v>
      </c>
      <c r="L45" s="84">
        <f>'Term Loan Summary CMA'!I11</f>
        <v>1.431673808326192</v>
      </c>
      <c r="M45" s="84">
        <f>'Term Loan Summary CMA'!I12</f>
        <v>1.1481337792527835</v>
      </c>
      <c r="O45" s="186">
        <f>F45</f>
        <v>3.2782923035661242</v>
      </c>
      <c r="P45" s="186">
        <f t="shared" ref="P45:V45" si="30">G45</f>
        <v>3.6690250026417104</v>
      </c>
      <c r="Q45" s="186">
        <f t="shared" si="30"/>
        <v>3.1630548672084795</v>
      </c>
      <c r="R45" s="186">
        <f t="shared" si="30"/>
        <v>2.6731775987156836</v>
      </c>
      <c r="S45" s="186">
        <f t="shared" si="30"/>
        <v>2.2103191042456389</v>
      </c>
      <c r="T45" s="186">
        <f t="shared" si="30"/>
        <v>1.7869412139766372</v>
      </c>
      <c r="U45" s="186">
        <f t="shared" si="30"/>
        <v>1.431673808326192</v>
      </c>
      <c r="V45" s="186">
        <f t="shared" si="30"/>
        <v>1.1481337792527835</v>
      </c>
    </row>
    <row r="46" spans="1:22" x14ac:dyDescent="0.3">
      <c r="A46">
        <v>10</v>
      </c>
      <c r="B46" s="18" t="s">
        <v>154</v>
      </c>
      <c r="C46" s="120">
        <f t="shared" ref="C46:M46" si="31">C44-C45</f>
        <v>2.8299999999999805</v>
      </c>
      <c r="D46" s="120">
        <f t="shared" si="31"/>
        <v>7.3299999999999983</v>
      </c>
      <c r="E46" s="120">
        <f t="shared" si="31"/>
        <v>6.0473922559994842</v>
      </c>
      <c r="F46" s="120">
        <f t="shared" si="31"/>
        <v>4.6191344564035806</v>
      </c>
      <c r="G46" s="120">
        <f t="shared" si="31"/>
        <v>8.9486166600619654</v>
      </c>
      <c r="H46" s="120">
        <f t="shared" si="31"/>
        <v>12.51984537887045</v>
      </c>
      <c r="I46" s="120">
        <f t="shared" si="31"/>
        <v>14.445391780160064</v>
      </c>
      <c r="J46" s="120">
        <f t="shared" si="31"/>
        <v>14.879940560321291</v>
      </c>
      <c r="K46" s="120">
        <f t="shared" si="31"/>
        <v>13.751210310316106</v>
      </c>
      <c r="L46" s="120">
        <f t="shared" si="31"/>
        <v>12.644825729258347</v>
      </c>
      <c r="M46" s="120">
        <f t="shared" si="31"/>
        <v>10.395211501920619</v>
      </c>
    </row>
    <row r="47" spans="1:22" x14ac:dyDescent="0.3">
      <c r="A47">
        <v>11</v>
      </c>
      <c r="B47" s="66" t="s">
        <v>155</v>
      </c>
      <c r="C47" s="84"/>
      <c r="D47" s="84"/>
      <c r="E47" s="84"/>
      <c r="F47" s="84"/>
      <c r="G47" s="84"/>
      <c r="H47" s="88"/>
      <c r="I47" s="84"/>
      <c r="J47" s="85"/>
      <c r="K47" s="84"/>
      <c r="L47" s="86"/>
      <c r="M47" s="86"/>
    </row>
    <row r="48" spans="1:22" x14ac:dyDescent="0.3">
      <c r="B48" s="66" t="s">
        <v>156</v>
      </c>
      <c r="C48" s="84"/>
      <c r="D48" s="84"/>
      <c r="E48" s="84"/>
      <c r="F48" s="84"/>
      <c r="G48" s="84"/>
      <c r="H48" s="88"/>
      <c r="I48" s="84"/>
      <c r="J48" s="85"/>
      <c r="K48" s="84"/>
      <c r="L48" s="86"/>
      <c r="M48" s="86"/>
    </row>
    <row r="49" spans="1:13" x14ac:dyDescent="0.3">
      <c r="B49" s="66" t="s">
        <v>157</v>
      </c>
      <c r="C49" s="84"/>
      <c r="D49" s="84"/>
      <c r="E49" s="84"/>
      <c r="F49" s="84"/>
      <c r="G49" s="84"/>
      <c r="H49" s="88"/>
      <c r="I49" s="84"/>
      <c r="J49" s="85"/>
      <c r="K49" s="84"/>
      <c r="L49" s="86"/>
      <c r="M49" s="86"/>
    </row>
    <row r="50" spans="1:13" x14ac:dyDescent="0.3">
      <c r="B50" s="66" t="s">
        <v>158</v>
      </c>
      <c r="C50" s="84"/>
      <c r="D50" s="84"/>
      <c r="E50" s="84"/>
      <c r="F50" s="84"/>
      <c r="G50" s="84"/>
      <c r="H50" s="88"/>
      <c r="I50" s="84"/>
      <c r="J50" s="85"/>
      <c r="K50" s="84"/>
      <c r="L50" s="86"/>
      <c r="M50" s="86"/>
    </row>
    <row r="51" spans="1:13" x14ac:dyDescent="0.3">
      <c r="B51" s="66" t="s">
        <v>159</v>
      </c>
      <c r="C51" s="84"/>
      <c r="D51" s="84"/>
      <c r="E51" s="84"/>
      <c r="F51" s="84"/>
      <c r="G51" s="84"/>
      <c r="H51" s="88"/>
      <c r="I51" s="84"/>
      <c r="J51" s="85"/>
      <c r="K51" s="84"/>
      <c r="L51" s="86"/>
      <c r="M51" s="86"/>
    </row>
    <row r="52" spans="1:13" x14ac:dyDescent="0.3">
      <c r="B52" s="66" t="s">
        <v>160</v>
      </c>
      <c r="C52" s="84"/>
      <c r="D52" s="84"/>
      <c r="E52" s="84"/>
      <c r="F52" s="84"/>
      <c r="G52" s="84"/>
      <c r="H52" s="88"/>
      <c r="I52" s="84"/>
      <c r="J52" s="85"/>
      <c r="K52" s="84"/>
      <c r="L52" s="86"/>
      <c r="M52" s="86"/>
    </row>
    <row r="53" spans="1:13" x14ac:dyDescent="0.3">
      <c r="B53" s="114" t="s">
        <v>161</v>
      </c>
      <c r="C53" s="108">
        <f t="shared" ref="C53:M53" si="32">SUM(C48:C52)</f>
        <v>0</v>
      </c>
      <c r="D53" s="108">
        <f t="shared" si="32"/>
        <v>0</v>
      </c>
      <c r="E53" s="108">
        <f t="shared" si="32"/>
        <v>0</v>
      </c>
      <c r="F53" s="108">
        <f t="shared" si="32"/>
        <v>0</v>
      </c>
      <c r="G53" s="108">
        <f t="shared" si="32"/>
        <v>0</v>
      </c>
      <c r="H53" s="108">
        <f t="shared" si="32"/>
        <v>0</v>
      </c>
      <c r="I53" s="108">
        <f t="shared" si="32"/>
        <v>0</v>
      </c>
      <c r="J53" s="108">
        <f t="shared" si="32"/>
        <v>0</v>
      </c>
      <c r="K53" s="108">
        <f t="shared" si="32"/>
        <v>0</v>
      </c>
      <c r="L53" s="108">
        <f t="shared" si="32"/>
        <v>0</v>
      </c>
      <c r="M53" s="108">
        <f t="shared" si="32"/>
        <v>0</v>
      </c>
    </row>
    <row r="54" spans="1:13" x14ac:dyDescent="0.3">
      <c r="B54" s="66" t="s">
        <v>162</v>
      </c>
      <c r="C54" s="84"/>
      <c r="D54" s="84"/>
      <c r="E54" s="84"/>
      <c r="F54" s="84"/>
      <c r="G54" s="84"/>
      <c r="H54" s="88"/>
      <c r="I54" s="84"/>
      <c r="J54" s="85"/>
      <c r="K54" s="84"/>
      <c r="L54" s="86"/>
      <c r="M54" s="86"/>
    </row>
    <row r="55" spans="1:13" x14ac:dyDescent="0.3">
      <c r="B55" s="66" t="s">
        <v>163</v>
      </c>
      <c r="C55" s="84"/>
      <c r="D55" s="84"/>
      <c r="E55" s="84"/>
      <c r="F55" s="84"/>
      <c r="G55" s="84"/>
      <c r="H55" s="88"/>
      <c r="I55" s="84"/>
      <c r="J55" s="85"/>
      <c r="K55" s="84"/>
      <c r="L55" s="86"/>
      <c r="M55" s="86"/>
    </row>
    <row r="56" spans="1:13" x14ac:dyDescent="0.3">
      <c r="B56" s="66" t="s">
        <v>164</v>
      </c>
      <c r="C56" s="84"/>
      <c r="D56" s="84"/>
      <c r="E56" s="84"/>
      <c r="F56" s="84"/>
      <c r="G56" s="84"/>
      <c r="H56" s="88"/>
      <c r="I56" s="84"/>
      <c r="J56" s="85"/>
      <c r="K56" s="84"/>
      <c r="L56" s="86"/>
      <c r="M56" s="86"/>
    </row>
    <row r="57" spans="1:13" x14ac:dyDescent="0.3">
      <c r="B57" s="66" t="s">
        <v>165</v>
      </c>
      <c r="C57" s="84"/>
      <c r="D57" s="84"/>
      <c r="E57" s="84"/>
      <c r="F57" s="84"/>
      <c r="G57" s="84"/>
      <c r="H57" s="88"/>
      <c r="I57" s="84"/>
      <c r="J57" s="85"/>
      <c r="K57" s="84"/>
      <c r="L57" s="86"/>
      <c r="M57" s="86"/>
    </row>
    <row r="58" spans="1:13" x14ac:dyDescent="0.3">
      <c r="B58" s="66" t="s">
        <v>166</v>
      </c>
      <c r="C58" s="84"/>
      <c r="D58" s="84"/>
      <c r="E58" s="84"/>
      <c r="F58" s="84"/>
      <c r="G58" s="84"/>
      <c r="H58" s="88"/>
      <c r="I58" s="84"/>
      <c r="J58" s="85"/>
      <c r="K58" s="84"/>
      <c r="L58" s="86"/>
      <c r="M58" s="86"/>
    </row>
    <row r="59" spans="1:13" x14ac:dyDescent="0.3">
      <c r="B59" s="66" t="s">
        <v>167</v>
      </c>
      <c r="C59" s="84">
        <f t="shared" ref="C59:M59" si="33">SUM(C54:C58)</f>
        <v>0</v>
      </c>
      <c r="D59" s="84">
        <f t="shared" si="33"/>
        <v>0</v>
      </c>
      <c r="E59" s="84">
        <f t="shared" si="33"/>
        <v>0</v>
      </c>
      <c r="F59" s="84">
        <f t="shared" si="33"/>
        <v>0</v>
      </c>
      <c r="G59" s="84">
        <f t="shared" si="33"/>
        <v>0</v>
      </c>
      <c r="H59" s="84">
        <f t="shared" si="33"/>
        <v>0</v>
      </c>
      <c r="I59" s="84">
        <f t="shared" si="33"/>
        <v>0</v>
      </c>
      <c r="J59" s="84">
        <f t="shared" si="33"/>
        <v>0</v>
      </c>
      <c r="K59" s="84">
        <f t="shared" si="33"/>
        <v>0</v>
      </c>
      <c r="L59" s="84">
        <f t="shared" si="33"/>
        <v>0</v>
      </c>
      <c r="M59" s="84">
        <f t="shared" si="33"/>
        <v>0</v>
      </c>
    </row>
    <row r="60" spans="1:13" x14ac:dyDescent="0.3">
      <c r="B60" s="114" t="s">
        <v>168</v>
      </c>
      <c r="C60" s="108">
        <f t="shared" ref="C60:M60" si="34">C53-C59</f>
        <v>0</v>
      </c>
      <c r="D60" s="108">
        <f t="shared" si="34"/>
        <v>0</v>
      </c>
      <c r="E60" s="108">
        <f t="shared" si="34"/>
        <v>0</v>
      </c>
      <c r="F60" s="108">
        <f t="shared" si="34"/>
        <v>0</v>
      </c>
      <c r="G60" s="108">
        <f t="shared" si="34"/>
        <v>0</v>
      </c>
      <c r="H60" s="108">
        <f t="shared" si="34"/>
        <v>0</v>
      </c>
      <c r="I60" s="108">
        <f t="shared" si="34"/>
        <v>0</v>
      </c>
      <c r="J60" s="108">
        <f t="shared" si="34"/>
        <v>0</v>
      </c>
      <c r="K60" s="108">
        <f t="shared" si="34"/>
        <v>0</v>
      </c>
      <c r="L60" s="108">
        <f t="shared" si="34"/>
        <v>0</v>
      </c>
      <c r="M60" s="108">
        <f t="shared" si="34"/>
        <v>0</v>
      </c>
    </row>
    <row r="61" spans="1:13" x14ac:dyDescent="0.3">
      <c r="B61" s="66"/>
      <c r="C61" s="84"/>
      <c r="D61" s="84"/>
      <c r="E61" s="84"/>
      <c r="F61" s="84"/>
      <c r="G61" s="84"/>
      <c r="H61" s="88"/>
      <c r="I61" s="84"/>
      <c r="J61" s="85"/>
      <c r="K61" s="84"/>
      <c r="L61" s="86"/>
      <c r="M61" s="86"/>
    </row>
    <row r="62" spans="1:13" x14ac:dyDescent="0.3">
      <c r="A62">
        <v>12</v>
      </c>
      <c r="B62" s="95" t="s">
        <v>169</v>
      </c>
      <c r="C62" s="98">
        <f t="shared" ref="C62:M62" si="35">C46+C60</f>
        <v>2.8299999999999805</v>
      </c>
      <c r="D62" s="98">
        <f t="shared" si="35"/>
        <v>7.3299999999999983</v>
      </c>
      <c r="E62" s="98">
        <f t="shared" si="35"/>
        <v>6.0473922559994842</v>
      </c>
      <c r="F62" s="98">
        <f t="shared" si="35"/>
        <v>4.6191344564035806</v>
      </c>
      <c r="G62" s="98">
        <f t="shared" si="35"/>
        <v>8.9486166600619654</v>
      </c>
      <c r="H62" s="98">
        <f t="shared" si="35"/>
        <v>12.51984537887045</v>
      </c>
      <c r="I62" s="98">
        <f t="shared" si="35"/>
        <v>14.445391780160064</v>
      </c>
      <c r="J62" s="98">
        <f t="shared" si="35"/>
        <v>14.879940560321291</v>
      </c>
      <c r="K62" s="98">
        <f t="shared" si="35"/>
        <v>13.751210310316106</v>
      </c>
      <c r="L62" s="98">
        <f t="shared" si="35"/>
        <v>12.644825729258347</v>
      </c>
      <c r="M62" s="98">
        <f t="shared" si="35"/>
        <v>10.395211501920619</v>
      </c>
    </row>
    <row r="63" spans="1:13" x14ac:dyDescent="0.3">
      <c r="B63" s="66"/>
      <c r="C63" s="84"/>
      <c r="D63" s="84"/>
      <c r="E63" s="84"/>
      <c r="F63" s="84"/>
      <c r="G63" s="84"/>
      <c r="H63" s="88"/>
      <c r="I63" s="84"/>
      <c r="J63" s="85"/>
      <c r="K63" s="84"/>
      <c r="L63" s="86"/>
      <c r="M63" s="86"/>
    </row>
    <row r="64" spans="1:13" x14ac:dyDescent="0.3">
      <c r="A64">
        <v>13</v>
      </c>
      <c r="B64" s="66" t="s">
        <v>170</v>
      </c>
      <c r="C64" s="84">
        <v>0.67</v>
      </c>
      <c r="D64" s="84">
        <f>1.72</f>
        <v>1.72</v>
      </c>
      <c r="E64" s="84">
        <f>E62*27.82%</f>
        <v>1.6823845256190566</v>
      </c>
      <c r="F64" s="84">
        <f>F62*27.82%</f>
        <v>1.285043205771476</v>
      </c>
      <c r="G64" s="84">
        <f>G62*27.82%</f>
        <v>2.4895051548292386</v>
      </c>
      <c r="H64" s="84">
        <f>H62*27.82%</f>
        <v>3.483020984401759</v>
      </c>
      <c r="I64" s="84">
        <f>I62*27.82%</f>
        <v>4.0187079932405299</v>
      </c>
      <c r="J64" s="84">
        <f t="shared" ref="J64:M64" si="36">J62*27.82%</f>
        <v>4.1395994638813836</v>
      </c>
      <c r="K64" s="84">
        <f t="shared" si="36"/>
        <v>3.8255867083299404</v>
      </c>
      <c r="L64" s="84">
        <f t="shared" si="36"/>
        <v>3.5177905178796722</v>
      </c>
      <c r="M64" s="84">
        <f t="shared" si="36"/>
        <v>2.8919478398343159</v>
      </c>
    </row>
    <row r="65" spans="1:13" x14ac:dyDescent="0.3">
      <c r="B65" s="66"/>
      <c r="C65" s="84"/>
      <c r="D65" s="84"/>
      <c r="E65" s="84"/>
      <c r="F65" s="84"/>
      <c r="G65" s="84"/>
      <c r="H65" s="88"/>
      <c r="I65" s="84"/>
      <c r="J65" s="85"/>
      <c r="K65" s="84"/>
      <c r="L65" s="86"/>
      <c r="M65" s="86"/>
    </row>
    <row r="66" spans="1:13" x14ac:dyDescent="0.3">
      <c r="A66">
        <v>14</v>
      </c>
      <c r="B66" s="114" t="s">
        <v>171</v>
      </c>
      <c r="C66" s="108">
        <f t="shared" ref="C66:M66" si="37">C62-C64</f>
        <v>2.1599999999999806</v>
      </c>
      <c r="D66" s="108">
        <f t="shared" si="37"/>
        <v>5.6099999999999985</v>
      </c>
      <c r="E66" s="108">
        <f t="shared" si="37"/>
        <v>4.3650077303804276</v>
      </c>
      <c r="F66" s="108">
        <f t="shared" si="37"/>
        <v>3.3340912506321043</v>
      </c>
      <c r="G66" s="108">
        <f t="shared" si="37"/>
        <v>6.4591115052327268</v>
      </c>
      <c r="H66" s="108">
        <f t="shared" si="37"/>
        <v>9.0368243944686917</v>
      </c>
      <c r="I66" s="108">
        <f t="shared" si="37"/>
        <v>10.426683786919533</v>
      </c>
      <c r="J66" s="108">
        <f t="shared" si="37"/>
        <v>10.740341096439908</v>
      </c>
      <c r="K66" s="108">
        <f t="shared" si="37"/>
        <v>9.9256236019861657</v>
      </c>
      <c r="L66" s="108">
        <f t="shared" si="37"/>
        <v>9.1270352113786757</v>
      </c>
      <c r="M66" s="108">
        <f t="shared" si="37"/>
        <v>7.5032636620863027</v>
      </c>
    </row>
    <row r="67" spans="1:13" x14ac:dyDescent="0.3">
      <c r="A67">
        <v>15</v>
      </c>
      <c r="B67" s="66" t="s">
        <v>172</v>
      </c>
      <c r="C67" s="84"/>
      <c r="D67" s="84"/>
      <c r="E67" s="84"/>
      <c r="F67" s="84"/>
      <c r="G67" s="84"/>
      <c r="H67" s="88"/>
      <c r="I67" s="84"/>
      <c r="J67" s="85"/>
      <c r="K67" s="84"/>
      <c r="L67" s="86"/>
      <c r="M67" s="86"/>
    </row>
    <row r="68" spans="1:13" x14ac:dyDescent="0.3">
      <c r="A68">
        <v>16</v>
      </c>
      <c r="B68" s="66" t="s">
        <v>173</v>
      </c>
      <c r="C68" s="84">
        <v>0.23</v>
      </c>
      <c r="D68" s="84">
        <v>0.36</v>
      </c>
      <c r="E68" s="84"/>
      <c r="F68" s="84"/>
      <c r="G68" s="84"/>
      <c r="H68" s="88"/>
      <c r="I68" s="84"/>
      <c r="J68" s="85"/>
      <c r="K68" s="84"/>
      <c r="L68" s="86"/>
      <c r="M68" s="86"/>
    </row>
    <row r="69" spans="1:13" x14ac:dyDescent="0.3">
      <c r="A69">
        <v>17</v>
      </c>
      <c r="B69" s="18" t="s">
        <v>174</v>
      </c>
      <c r="C69" s="120">
        <f t="shared" ref="C69:M69" si="38">C66-C68</f>
        <v>1.9299999999999806</v>
      </c>
      <c r="D69" s="120">
        <f t="shared" si="38"/>
        <v>5.2499999999999982</v>
      </c>
      <c r="E69" s="120">
        <f t="shared" si="38"/>
        <v>4.3650077303804276</v>
      </c>
      <c r="F69" s="120">
        <f t="shared" si="38"/>
        <v>3.3340912506321043</v>
      </c>
      <c r="G69" s="120">
        <f t="shared" si="38"/>
        <v>6.4591115052327268</v>
      </c>
      <c r="H69" s="120">
        <f t="shared" si="38"/>
        <v>9.0368243944686917</v>
      </c>
      <c r="I69" s="120">
        <f t="shared" si="38"/>
        <v>10.426683786919533</v>
      </c>
      <c r="J69" s="120">
        <f t="shared" si="38"/>
        <v>10.740341096439908</v>
      </c>
      <c r="K69" s="120">
        <f t="shared" si="38"/>
        <v>9.9256236019861657</v>
      </c>
      <c r="L69" s="120">
        <f t="shared" si="38"/>
        <v>9.1270352113786757</v>
      </c>
      <c r="M69" s="120">
        <f t="shared" si="38"/>
        <v>7.5032636620863027</v>
      </c>
    </row>
    <row r="71" spans="1:13" x14ac:dyDescent="0.3">
      <c r="C71" s="185">
        <f>C62/C10</f>
        <v>3.4643163177867309E-2</v>
      </c>
      <c r="D71" s="185">
        <f t="shared" ref="D71:M71" si="39">D62/D10</f>
        <v>4.2873018658244125E-2</v>
      </c>
      <c r="E71" s="185">
        <f>E62/E10</f>
        <v>3.5364866994149029E-2</v>
      </c>
      <c r="F71" s="185">
        <f t="shared" si="39"/>
        <v>2.4089358312404593E-2</v>
      </c>
      <c r="G71" s="185">
        <f t="shared" si="39"/>
        <v>3.4285887586444311E-2</v>
      </c>
      <c r="H71" s="185">
        <f t="shared" si="39"/>
        <v>4.302352363873007E-2</v>
      </c>
      <c r="I71" s="185">
        <f t="shared" si="39"/>
        <v>4.7207162680261643E-2</v>
      </c>
      <c r="J71" s="185">
        <f t="shared" si="39"/>
        <v>4.6354955016577229E-2</v>
      </c>
      <c r="K71" s="185">
        <f t="shared" si="39"/>
        <v>4.283866140285391E-2</v>
      </c>
      <c r="L71" s="185">
        <f t="shared" si="39"/>
        <v>3.9391980464979277E-2</v>
      </c>
      <c r="M71" s="185">
        <f t="shared" si="39"/>
        <v>3.2383836454581365E-2</v>
      </c>
    </row>
    <row r="73" spans="1:13" x14ac:dyDescent="0.3">
      <c r="B73" s="1" t="s">
        <v>314</v>
      </c>
      <c r="C73" s="1" t="s">
        <v>313</v>
      </c>
    </row>
    <row r="74" spans="1:13" x14ac:dyDescent="0.3">
      <c r="B74" s="209">
        <v>0.9</v>
      </c>
      <c r="C74" s="209">
        <v>0.9</v>
      </c>
    </row>
    <row r="75" spans="1:13" x14ac:dyDescent="0.3">
      <c r="B75">
        <v>25</v>
      </c>
      <c r="C75">
        <v>60</v>
      </c>
    </row>
    <row r="76" spans="1:13" x14ac:dyDescent="0.3">
      <c r="A76" s="1" t="s">
        <v>91</v>
      </c>
      <c r="B76" s="210">
        <f>B74/B75</f>
        <v>3.6000000000000004E-2</v>
      </c>
      <c r="C76" s="210">
        <f>C74/C75</f>
        <v>1.5000000000000001E-2</v>
      </c>
    </row>
  </sheetData>
  <mergeCells count="2">
    <mergeCell ref="K1:M1"/>
    <mergeCell ref="B2:M2"/>
  </mergeCells>
  <pageMargins left="0.7" right="0.7" top="0.75" bottom="0.75" header="0.3" footer="0.3"/>
  <pageSetup paperSize="9" scale="8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13" sqref="D13"/>
    </sheetView>
  </sheetViews>
  <sheetFormatPr defaultRowHeight="14.4" x14ac:dyDescent="0.3"/>
  <cols>
    <col min="1" max="1" width="39.33203125" customWidth="1"/>
    <col min="2" max="3" width="13.6640625" customWidth="1"/>
    <col min="4" max="4" width="14.33203125" customWidth="1"/>
    <col min="5" max="5" width="11.109375" customWidth="1"/>
    <col min="6" max="6" width="11" customWidth="1"/>
    <col min="7" max="7" width="11.33203125" customWidth="1"/>
    <col min="8" max="8" width="9" bestFit="1" customWidth="1"/>
  </cols>
  <sheetData>
    <row r="1" spans="1:8" x14ac:dyDescent="0.3">
      <c r="A1" s="72" t="s">
        <v>96</v>
      </c>
      <c r="G1" s="206" t="s">
        <v>97</v>
      </c>
      <c r="H1" s="206"/>
    </row>
    <row r="2" spans="1:8" x14ac:dyDescent="0.3">
      <c r="A2" s="73"/>
      <c r="G2" s="74"/>
      <c r="H2" s="74"/>
    </row>
    <row r="3" spans="1:8" ht="43.8" thickBot="1" x14ac:dyDescent="0.35">
      <c r="A3" s="75" t="s">
        <v>98</v>
      </c>
      <c r="B3" s="76" t="s">
        <v>99</v>
      </c>
      <c r="C3" s="76" t="s">
        <v>281</v>
      </c>
      <c r="D3" s="77" t="s">
        <v>100</v>
      </c>
      <c r="E3" s="76" t="s">
        <v>307</v>
      </c>
      <c r="F3" s="76" t="s">
        <v>101</v>
      </c>
      <c r="G3" s="78" t="s">
        <v>102</v>
      </c>
      <c r="H3" s="76" t="s">
        <v>2</v>
      </c>
    </row>
    <row r="4" spans="1:8" x14ac:dyDescent="0.3">
      <c r="A4" s="79" t="s">
        <v>61</v>
      </c>
      <c r="B4" s="80"/>
      <c r="C4" s="81"/>
      <c r="D4" s="82"/>
      <c r="E4" s="81"/>
      <c r="F4" s="81"/>
      <c r="G4" s="83"/>
      <c r="H4" s="81"/>
    </row>
    <row r="5" spans="1:8" x14ac:dyDescent="0.3">
      <c r="A5" s="66" t="s">
        <v>103</v>
      </c>
      <c r="B5" s="84">
        <v>736.64</v>
      </c>
      <c r="C5" s="84">
        <v>0</v>
      </c>
      <c r="D5" s="85">
        <v>1871.6</v>
      </c>
      <c r="E5" s="84">
        <v>1552.83</v>
      </c>
      <c r="F5" s="84">
        <v>7.1</v>
      </c>
      <c r="G5" s="86">
        <v>41.87</v>
      </c>
      <c r="H5" s="84">
        <f>SUM(B5:G5)</f>
        <v>4210.04</v>
      </c>
    </row>
    <row r="6" spans="1:8" x14ac:dyDescent="0.3">
      <c r="A6" s="95" t="s">
        <v>104</v>
      </c>
      <c r="B6" s="87">
        <v>244.15</v>
      </c>
      <c r="C6" s="87">
        <v>355.54</v>
      </c>
      <c r="D6" s="87">
        <v>0</v>
      </c>
      <c r="E6" s="87">
        <v>30</v>
      </c>
      <c r="F6" s="174"/>
      <c r="G6" s="170">
        <v>9</v>
      </c>
      <c r="H6" s="84">
        <f>SUM(B6:G6)</f>
        <v>638.69000000000005</v>
      </c>
    </row>
    <row r="7" spans="1:8" x14ac:dyDescent="0.3">
      <c r="A7" s="95" t="s">
        <v>105</v>
      </c>
      <c r="B7" s="88">
        <v>0</v>
      </c>
      <c r="C7" s="88">
        <v>0</v>
      </c>
      <c r="D7" s="88">
        <v>410</v>
      </c>
      <c r="E7" s="88">
        <f>360+140</f>
        <v>500</v>
      </c>
      <c r="F7" s="84">
        <v>5</v>
      </c>
      <c r="G7" s="85">
        <v>15</v>
      </c>
      <c r="H7" s="84">
        <f>SUM(B7:G7)</f>
        <v>930</v>
      </c>
    </row>
    <row r="8" spans="1:8" x14ac:dyDescent="0.3">
      <c r="A8" s="66" t="s">
        <v>91</v>
      </c>
      <c r="B8" s="89">
        <f>((B5+B6)*B10+(B7*B10/2))</f>
        <v>0</v>
      </c>
      <c r="C8" s="89">
        <f t="shared" ref="C8:F8" si="0">((C5+C6)*C10+(C7*C10/2))</f>
        <v>17.777000000000001</v>
      </c>
      <c r="D8" s="89">
        <f t="shared" si="0"/>
        <v>207.66</v>
      </c>
      <c r="E8" s="89">
        <f t="shared" si="0"/>
        <v>274.92449999999997</v>
      </c>
      <c r="F8" s="89">
        <f t="shared" si="0"/>
        <v>3.84</v>
      </c>
      <c r="G8" s="171">
        <f>((G5+G6)*G10+(G7*G10/2))</f>
        <v>5.8369999999999997</v>
      </c>
      <c r="H8" s="84">
        <f>SUM(B8:G8)</f>
        <v>510.03849999999994</v>
      </c>
    </row>
    <row r="9" spans="1:8" ht="15" thickBot="1" x14ac:dyDescent="0.35">
      <c r="A9" s="90" t="s">
        <v>106</v>
      </c>
      <c r="B9" s="91">
        <f>B5+B6+B7-B8</f>
        <v>980.79</v>
      </c>
      <c r="C9" s="91">
        <f t="shared" ref="C9:G9" si="1">C5+C6+C7-C8</f>
        <v>337.76300000000003</v>
      </c>
      <c r="D9" s="91">
        <f t="shared" si="1"/>
        <v>2073.94</v>
      </c>
      <c r="E9" s="91">
        <f t="shared" si="1"/>
        <v>1807.9054999999998</v>
      </c>
      <c r="F9" s="91">
        <f t="shared" si="1"/>
        <v>8.26</v>
      </c>
      <c r="G9" s="172">
        <f t="shared" si="1"/>
        <v>60.033000000000001</v>
      </c>
      <c r="H9" s="91">
        <f>H5+H6+H7-H8</f>
        <v>5268.6914999999999</v>
      </c>
    </row>
    <row r="10" spans="1:8" ht="15" thickTop="1" x14ac:dyDescent="0.3">
      <c r="A10" s="66" t="s">
        <v>107</v>
      </c>
      <c r="B10" s="92">
        <v>0</v>
      </c>
      <c r="C10" s="92">
        <v>0.05</v>
      </c>
      <c r="D10" s="93">
        <v>0.1</v>
      </c>
      <c r="E10" s="92">
        <v>0.15</v>
      </c>
      <c r="F10" s="176">
        <v>0.4</v>
      </c>
      <c r="G10" s="94">
        <v>0.1</v>
      </c>
      <c r="H10" s="92"/>
    </row>
    <row r="11" spans="1:8" x14ac:dyDescent="0.3">
      <c r="A11" s="79" t="s">
        <v>62</v>
      </c>
      <c r="B11" s="84"/>
      <c r="C11" s="84"/>
      <c r="D11" s="85"/>
      <c r="E11" s="84"/>
      <c r="F11" s="84"/>
      <c r="G11" s="86"/>
      <c r="H11" s="84"/>
    </row>
    <row r="12" spans="1:8" x14ac:dyDescent="0.3">
      <c r="A12" s="66" t="s">
        <v>108</v>
      </c>
      <c r="B12" s="84">
        <f>B9</f>
        <v>980.79</v>
      </c>
      <c r="C12" s="84">
        <f t="shared" ref="C12:G12" si="2">C9</f>
        <v>337.76300000000003</v>
      </c>
      <c r="D12" s="84">
        <f t="shared" si="2"/>
        <v>2073.94</v>
      </c>
      <c r="E12" s="84">
        <f t="shared" si="2"/>
        <v>1807.9054999999998</v>
      </c>
      <c r="F12" s="84">
        <f t="shared" si="2"/>
        <v>8.26</v>
      </c>
      <c r="G12" s="86">
        <f t="shared" si="2"/>
        <v>60.033000000000001</v>
      </c>
      <c r="H12" s="84">
        <f>SUM(B12:G12)</f>
        <v>5268.6914999999999</v>
      </c>
    </row>
    <row r="13" spans="1:8" x14ac:dyDescent="0.3">
      <c r="A13" s="95" t="s">
        <v>285</v>
      </c>
      <c r="B13" s="84"/>
      <c r="C13" s="84"/>
      <c r="D13" s="85">
        <v>819.2</v>
      </c>
      <c r="E13" s="84">
        <v>1594.47</v>
      </c>
      <c r="F13" s="84"/>
      <c r="G13" s="86"/>
      <c r="H13" s="84">
        <f>SUM(B13:G13)</f>
        <v>2413.67</v>
      </c>
    </row>
    <row r="14" spans="1:8" x14ac:dyDescent="0.3">
      <c r="A14" s="66" t="s">
        <v>109</v>
      </c>
      <c r="B14" s="96">
        <f>B12+B13</f>
        <v>980.79</v>
      </c>
      <c r="C14" s="96">
        <f t="shared" ref="C14:G14" si="3">C12+C13</f>
        <v>337.76300000000003</v>
      </c>
      <c r="D14" s="96">
        <f t="shared" si="3"/>
        <v>2893.1400000000003</v>
      </c>
      <c r="E14" s="96">
        <f>E12+E13</f>
        <v>3402.3755000000001</v>
      </c>
      <c r="F14" s="96">
        <f t="shared" si="3"/>
        <v>8.26</v>
      </c>
      <c r="G14" s="100">
        <f t="shared" si="3"/>
        <v>60.033000000000001</v>
      </c>
      <c r="H14" s="84">
        <f>SUM(B14:G14)</f>
        <v>7682.3615000000009</v>
      </c>
    </row>
    <row r="15" spans="1:8" x14ac:dyDescent="0.3">
      <c r="A15" s="66" t="s">
        <v>110</v>
      </c>
      <c r="B15" s="96">
        <f>((B12*B10)+(B13*B10/2))</f>
        <v>0</v>
      </c>
      <c r="C15" s="96">
        <f>((C12*C10)+(C13*C10/2))</f>
        <v>16.888150000000003</v>
      </c>
      <c r="D15" s="96">
        <f t="shared" ref="D15:G15" si="4">((D12*D10)+(D13*D10/2))</f>
        <v>248.35400000000001</v>
      </c>
      <c r="E15" s="96">
        <f>((E12*E10)+(E13*E10/2))</f>
        <v>390.771075</v>
      </c>
      <c r="F15" s="96">
        <f t="shared" si="4"/>
        <v>3.3040000000000003</v>
      </c>
      <c r="G15" s="100">
        <f t="shared" si="4"/>
        <v>6.0033000000000003</v>
      </c>
      <c r="H15" s="84">
        <f>SUM(B15:G15)</f>
        <v>665.32052499999998</v>
      </c>
    </row>
    <row r="16" spans="1:8" x14ac:dyDescent="0.3">
      <c r="A16" s="95" t="s">
        <v>111</v>
      </c>
      <c r="B16" s="97">
        <f>B14-B15</f>
        <v>980.79</v>
      </c>
      <c r="C16" s="97">
        <f>C14-C15</f>
        <v>320.87485000000004</v>
      </c>
      <c r="D16" s="97">
        <f t="shared" ref="D16:G16" si="5">D14-D15</f>
        <v>2644.7860000000005</v>
      </c>
      <c r="E16" s="97">
        <f t="shared" si="5"/>
        <v>3011.604425</v>
      </c>
      <c r="F16" s="97">
        <f t="shared" si="5"/>
        <v>4.9559999999999995</v>
      </c>
      <c r="G16" s="173">
        <f t="shared" si="5"/>
        <v>54.029699999999998</v>
      </c>
      <c r="H16" s="98">
        <f>SUM(B16:G16)</f>
        <v>7017.0409750000008</v>
      </c>
    </row>
    <row r="17" spans="1:8" x14ac:dyDescent="0.3">
      <c r="A17" s="79" t="s">
        <v>63</v>
      </c>
      <c r="B17" s="96"/>
      <c r="C17" s="96"/>
      <c r="D17" s="99"/>
      <c r="E17" s="96"/>
      <c r="F17" s="96"/>
      <c r="G17" s="100"/>
      <c r="H17" s="84"/>
    </row>
    <row r="18" spans="1:8" x14ac:dyDescent="0.3">
      <c r="A18" s="66" t="s">
        <v>110</v>
      </c>
      <c r="B18" s="96">
        <f>B16*B10</f>
        <v>0</v>
      </c>
      <c r="C18" s="96">
        <f t="shared" ref="C18:G18" si="6">C16*C10</f>
        <v>16.043742500000004</v>
      </c>
      <c r="D18" s="96">
        <f t="shared" si="6"/>
        <v>264.47860000000009</v>
      </c>
      <c r="E18" s="96">
        <f>E16*E10</f>
        <v>451.74066375000001</v>
      </c>
      <c r="F18" s="96">
        <f>F16*F10</f>
        <v>1.9823999999999999</v>
      </c>
      <c r="G18" s="100">
        <f t="shared" si="6"/>
        <v>5.4029699999999998</v>
      </c>
      <c r="H18" s="84">
        <f>SUM(B18:G18)</f>
        <v>739.64837625000007</v>
      </c>
    </row>
    <row r="19" spans="1:8" x14ac:dyDescent="0.3">
      <c r="A19" s="66" t="s">
        <v>111</v>
      </c>
      <c r="B19" s="96">
        <f>B16-B18</f>
        <v>980.79</v>
      </c>
      <c r="C19" s="96">
        <f t="shared" ref="C19:G19" si="7">C16-C18</f>
        <v>304.83110750000003</v>
      </c>
      <c r="D19" s="96">
        <f t="shared" si="7"/>
        <v>2380.3074000000006</v>
      </c>
      <c r="E19" s="96">
        <f>E16-E18</f>
        <v>2559.8637612500002</v>
      </c>
      <c r="F19" s="96">
        <f t="shared" si="7"/>
        <v>2.9735999999999994</v>
      </c>
      <c r="G19" s="100">
        <f t="shared" si="7"/>
        <v>48.626729999999995</v>
      </c>
      <c r="H19" s="84">
        <f>SUM(B19:G19)</f>
        <v>6277.3925987500015</v>
      </c>
    </row>
    <row r="20" spans="1:8" x14ac:dyDescent="0.3">
      <c r="A20" s="79" t="s">
        <v>64</v>
      </c>
      <c r="B20" s="96"/>
      <c r="C20" s="96"/>
      <c r="D20" s="99"/>
      <c r="E20" s="96"/>
      <c r="F20" s="96"/>
      <c r="G20" s="100"/>
      <c r="H20" s="84"/>
    </row>
    <row r="21" spans="1:8" x14ac:dyDescent="0.3">
      <c r="A21" s="66" t="s">
        <v>110</v>
      </c>
      <c r="B21" s="96">
        <f>B19*B10</f>
        <v>0</v>
      </c>
      <c r="C21" s="96">
        <f t="shared" ref="C21:G21" si="8">C19*C10</f>
        <v>15.241555375000003</v>
      </c>
      <c r="D21" s="96">
        <f t="shared" si="8"/>
        <v>238.03074000000007</v>
      </c>
      <c r="E21" s="96">
        <f t="shared" si="8"/>
        <v>383.97956418749999</v>
      </c>
      <c r="F21" s="96">
        <f t="shared" si="8"/>
        <v>1.1894399999999998</v>
      </c>
      <c r="G21" s="100">
        <f t="shared" si="8"/>
        <v>4.862673</v>
      </c>
      <c r="H21" s="84">
        <f>SUM(B21:G21)</f>
        <v>643.30397256250001</v>
      </c>
    </row>
    <row r="22" spans="1:8" x14ac:dyDescent="0.3">
      <c r="A22" s="66" t="s">
        <v>111</v>
      </c>
      <c r="B22" s="96">
        <f>B19-B21</f>
        <v>980.79</v>
      </c>
      <c r="C22" s="96">
        <f t="shared" ref="C22:G22" si="9">C19-C21</f>
        <v>289.58955212500001</v>
      </c>
      <c r="D22" s="96">
        <f t="shared" si="9"/>
        <v>2142.2766600000004</v>
      </c>
      <c r="E22" s="96">
        <f t="shared" si="9"/>
        <v>2175.8841970625003</v>
      </c>
      <c r="F22" s="96">
        <f t="shared" si="9"/>
        <v>1.7841599999999995</v>
      </c>
      <c r="G22" s="100">
        <f t="shared" si="9"/>
        <v>43.764056999999994</v>
      </c>
      <c r="H22" s="84">
        <f>SUM(B22:G22)</f>
        <v>5634.0886261875012</v>
      </c>
    </row>
    <row r="23" spans="1:8" x14ac:dyDescent="0.3">
      <c r="A23" s="79" t="s">
        <v>65</v>
      </c>
      <c r="B23" s="96"/>
      <c r="C23" s="96"/>
      <c r="D23" s="99"/>
      <c r="E23" s="96"/>
      <c r="F23" s="96"/>
      <c r="G23" s="100"/>
      <c r="H23" s="84"/>
    </row>
    <row r="24" spans="1:8" x14ac:dyDescent="0.3">
      <c r="A24" s="66" t="s">
        <v>110</v>
      </c>
      <c r="B24" s="96">
        <f>B22*B10</f>
        <v>0</v>
      </c>
      <c r="C24" s="96">
        <f t="shared" ref="C24:G24" si="10">C22*C10</f>
        <v>14.479477606250001</v>
      </c>
      <c r="D24" s="96">
        <f t="shared" si="10"/>
        <v>214.22766600000006</v>
      </c>
      <c r="E24" s="96">
        <f t="shared" si="10"/>
        <v>326.38262955937506</v>
      </c>
      <c r="F24" s="96">
        <f t="shared" si="10"/>
        <v>0.71366399999999985</v>
      </c>
      <c r="G24" s="100">
        <f t="shared" si="10"/>
        <v>4.3764056999999994</v>
      </c>
      <c r="H24" s="84">
        <f>SUM(B24:G24)</f>
        <v>560.17984286562501</v>
      </c>
    </row>
    <row r="25" spans="1:8" x14ac:dyDescent="0.3">
      <c r="A25" s="66" t="s">
        <v>111</v>
      </c>
      <c r="B25" s="96">
        <f>B22-B24</f>
        <v>980.79</v>
      </c>
      <c r="C25" s="96">
        <f t="shared" ref="C25:G25" si="11">C22-C24</f>
        <v>275.11007451875003</v>
      </c>
      <c r="D25" s="96">
        <f t="shared" si="11"/>
        <v>1928.0489940000004</v>
      </c>
      <c r="E25" s="96">
        <f t="shared" si="11"/>
        <v>1849.5015675031252</v>
      </c>
      <c r="F25" s="96">
        <f t="shared" si="11"/>
        <v>1.0704959999999997</v>
      </c>
      <c r="G25" s="100">
        <f t="shared" si="11"/>
        <v>39.387651299999995</v>
      </c>
      <c r="H25" s="84">
        <f>SUM(B25:G25)</f>
        <v>5073.9087833218755</v>
      </c>
    </row>
    <row r="26" spans="1:8" x14ac:dyDescent="0.3">
      <c r="A26" s="79" t="s">
        <v>66</v>
      </c>
      <c r="B26" s="96"/>
      <c r="C26" s="96"/>
      <c r="D26" s="99"/>
      <c r="E26" s="96"/>
      <c r="F26" s="96"/>
      <c r="G26" s="100"/>
      <c r="H26" s="84"/>
    </row>
    <row r="27" spans="1:8" x14ac:dyDescent="0.3">
      <c r="A27" s="66" t="s">
        <v>110</v>
      </c>
      <c r="B27" s="96">
        <f>B25*B10</f>
        <v>0</v>
      </c>
      <c r="C27" s="96">
        <f t="shared" ref="C27:G27" si="12">C25*C10</f>
        <v>13.755503725937501</v>
      </c>
      <c r="D27" s="96">
        <f t="shared" si="12"/>
        <v>192.80489940000007</v>
      </c>
      <c r="E27" s="96">
        <f t="shared" si="12"/>
        <v>277.42523512546876</v>
      </c>
      <c r="F27" s="96">
        <f t="shared" si="12"/>
        <v>0.42819839999999987</v>
      </c>
      <c r="G27" s="100">
        <f t="shared" si="12"/>
        <v>3.9387651299999997</v>
      </c>
      <c r="H27" s="84">
        <f>SUM(B27:G27)</f>
        <v>488.35260178140629</v>
      </c>
    </row>
    <row r="28" spans="1:8" x14ac:dyDescent="0.3">
      <c r="A28" s="66" t="s">
        <v>111</v>
      </c>
      <c r="B28" s="96">
        <f>B25-B27</f>
        <v>980.79</v>
      </c>
      <c r="C28" s="96">
        <f t="shared" ref="C28:G28" si="13">C25-C27</f>
        <v>261.35457079281252</v>
      </c>
      <c r="D28" s="96">
        <f t="shared" si="13"/>
        <v>1735.2440946000004</v>
      </c>
      <c r="E28" s="96">
        <f t="shared" si="13"/>
        <v>1572.0763323776564</v>
      </c>
      <c r="F28" s="96">
        <f t="shared" si="13"/>
        <v>0.6422975999999998</v>
      </c>
      <c r="G28" s="100">
        <f t="shared" si="13"/>
        <v>35.448886169999994</v>
      </c>
      <c r="H28" s="84">
        <f>SUM(B28:G28)</f>
        <v>4585.5561815404699</v>
      </c>
    </row>
    <row r="29" spans="1:8" x14ac:dyDescent="0.3">
      <c r="A29" s="79" t="s">
        <v>67</v>
      </c>
      <c r="B29" s="96"/>
      <c r="C29" s="96"/>
      <c r="D29" s="99"/>
      <c r="E29" s="96"/>
      <c r="F29" s="96"/>
      <c r="G29" s="100"/>
      <c r="H29" s="84"/>
    </row>
    <row r="30" spans="1:8" x14ac:dyDescent="0.3">
      <c r="A30" s="66" t="s">
        <v>110</v>
      </c>
      <c r="B30" s="96">
        <f>B28*B10</f>
        <v>0</v>
      </c>
      <c r="C30" s="96">
        <f t="shared" ref="C30:G30" si="14">C28*C10</f>
        <v>13.067728539640626</v>
      </c>
      <c r="D30" s="96">
        <f t="shared" si="14"/>
        <v>173.52440946000004</v>
      </c>
      <c r="E30" s="96">
        <f t="shared" si="14"/>
        <v>235.81144985664844</v>
      </c>
      <c r="F30" s="96">
        <f t="shared" si="14"/>
        <v>0.25691903999999993</v>
      </c>
      <c r="G30" s="100">
        <f t="shared" si="14"/>
        <v>3.5448886169999998</v>
      </c>
      <c r="H30" s="84">
        <f>SUM(B30:G30)</f>
        <v>426.20539551328915</v>
      </c>
    </row>
    <row r="31" spans="1:8" x14ac:dyDescent="0.3">
      <c r="A31" s="66" t="s">
        <v>111</v>
      </c>
      <c r="B31" s="96">
        <f>B28-B30</f>
        <v>980.79</v>
      </c>
      <c r="C31" s="96">
        <f t="shared" ref="C31:G31" si="15">C28-C30</f>
        <v>248.2868422531719</v>
      </c>
      <c r="D31" s="96">
        <f t="shared" si="15"/>
        <v>1561.7196851400004</v>
      </c>
      <c r="E31" s="96">
        <f t="shared" si="15"/>
        <v>1336.2648825210081</v>
      </c>
      <c r="F31" s="96">
        <f t="shared" si="15"/>
        <v>0.38537855999999987</v>
      </c>
      <c r="G31" s="100">
        <f t="shared" si="15"/>
        <v>31.903997552999996</v>
      </c>
      <c r="H31" s="84">
        <f>SUM(B31:G31)</f>
        <v>4159.3507860271811</v>
      </c>
    </row>
    <row r="32" spans="1:8" x14ac:dyDescent="0.3">
      <c r="A32" s="79" t="s">
        <v>68</v>
      </c>
      <c r="B32" s="96"/>
      <c r="C32" s="96"/>
      <c r="D32" s="99"/>
      <c r="E32" s="96"/>
      <c r="F32" s="96"/>
      <c r="G32" s="100"/>
      <c r="H32" s="84"/>
    </row>
    <row r="33" spans="1:8" x14ac:dyDescent="0.3">
      <c r="A33" s="66" t="s">
        <v>110</v>
      </c>
      <c r="B33" s="96">
        <f>B31*B10</f>
        <v>0</v>
      </c>
      <c r="C33" s="96">
        <f t="shared" ref="C33:F33" si="16">C31*C10</f>
        <v>12.414342112658595</v>
      </c>
      <c r="D33" s="96">
        <f t="shared" si="16"/>
        <v>156.17196851400004</v>
      </c>
      <c r="E33" s="96">
        <f t="shared" si="16"/>
        <v>200.43973237815121</v>
      </c>
      <c r="F33" s="96">
        <f t="shared" si="16"/>
        <v>0.15415142399999995</v>
      </c>
      <c r="G33" s="100">
        <f>G31*G10</f>
        <v>3.1903997552999996</v>
      </c>
      <c r="H33" s="84">
        <f>SUM(B33:G33)</f>
        <v>372.37059418410985</v>
      </c>
    </row>
    <row r="34" spans="1:8" x14ac:dyDescent="0.3">
      <c r="A34" s="66" t="s">
        <v>111</v>
      </c>
      <c r="B34" s="96">
        <f>B31-B33</f>
        <v>980.79</v>
      </c>
      <c r="C34" s="96">
        <f t="shared" ref="C34:G34" si="17">C31-C33</f>
        <v>235.8725001405133</v>
      </c>
      <c r="D34" s="96">
        <f t="shared" si="17"/>
        <v>1405.5477166260002</v>
      </c>
      <c r="E34" s="96">
        <f t="shared" si="17"/>
        <v>1135.825150142857</v>
      </c>
      <c r="F34" s="96">
        <f t="shared" si="17"/>
        <v>0.23122713599999992</v>
      </c>
      <c r="G34" s="100">
        <f t="shared" si="17"/>
        <v>28.713597797699997</v>
      </c>
      <c r="H34" s="84">
        <f>SUM(B34:G34)</f>
        <v>3786.9801918430703</v>
      </c>
    </row>
    <row r="35" spans="1:8" x14ac:dyDescent="0.3">
      <c r="A35" s="79" t="s">
        <v>76</v>
      </c>
      <c r="B35" s="96"/>
      <c r="C35" s="96"/>
      <c r="D35" s="99"/>
      <c r="E35" s="96"/>
      <c r="F35" s="96"/>
      <c r="G35" s="100"/>
      <c r="H35" s="84"/>
    </row>
    <row r="36" spans="1:8" x14ac:dyDescent="0.3">
      <c r="A36" s="66" t="s">
        <v>110</v>
      </c>
      <c r="B36" s="96">
        <f>B34*B10</f>
        <v>0</v>
      </c>
      <c r="C36" s="96">
        <f t="shared" ref="C36:G36" si="18">C34*C10</f>
        <v>11.793625007025666</v>
      </c>
      <c r="D36" s="96">
        <f t="shared" si="18"/>
        <v>140.55477166260002</v>
      </c>
      <c r="E36" s="96">
        <f t="shared" si="18"/>
        <v>170.37377252142855</v>
      </c>
      <c r="F36" s="96">
        <f t="shared" si="18"/>
        <v>9.2490854399999975E-2</v>
      </c>
      <c r="G36" s="100">
        <f t="shared" si="18"/>
        <v>2.8713597797699997</v>
      </c>
      <c r="H36" s="84">
        <f>SUM(B36:G36)</f>
        <v>325.68601982522426</v>
      </c>
    </row>
    <row r="37" spans="1:8" x14ac:dyDescent="0.3">
      <c r="A37" s="101" t="s">
        <v>111</v>
      </c>
      <c r="B37" s="102">
        <f>B34-B36</f>
        <v>980.79</v>
      </c>
      <c r="C37" s="102">
        <f t="shared" ref="C37:G37" si="19">C34-C36</f>
        <v>224.07887513348763</v>
      </c>
      <c r="D37" s="102">
        <f t="shared" si="19"/>
        <v>1264.9929449634003</v>
      </c>
      <c r="E37" s="102">
        <f t="shared" si="19"/>
        <v>965.45137762142838</v>
      </c>
      <c r="F37" s="102">
        <f t="shared" si="19"/>
        <v>0.13873628159999996</v>
      </c>
      <c r="G37" s="175">
        <f t="shared" si="19"/>
        <v>25.842238017929997</v>
      </c>
      <c r="H37" s="89">
        <f>SUM(B37:G37)</f>
        <v>3461.294172017846</v>
      </c>
    </row>
  </sheetData>
  <mergeCells count="1">
    <mergeCell ref="G1:H1"/>
  </mergeCells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opLeftCell="A8" workbookViewId="0">
      <selection activeCell="G24" sqref="G24"/>
    </sheetView>
  </sheetViews>
  <sheetFormatPr defaultColWidth="9.109375" defaultRowHeight="14.4" x14ac:dyDescent="0.35"/>
  <cols>
    <col min="1" max="1" width="8.6640625" style="46" customWidth="1"/>
    <col min="2" max="2" width="15.88671875" style="46" bestFit="1" customWidth="1"/>
    <col min="3" max="3" width="13.6640625" style="46" bestFit="1" customWidth="1"/>
    <col min="4" max="4" width="12.5546875" style="46" bestFit="1" customWidth="1"/>
    <col min="5" max="5" width="14.88671875" style="46" bestFit="1" customWidth="1"/>
    <col min="6" max="6" width="12.5546875" style="46" bestFit="1" customWidth="1"/>
    <col min="7" max="7" width="12.5546875" style="46" customWidth="1"/>
    <col min="8" max="8" width="9.109375" style="46"/>
    <col min="9" max="9" width="9" style="46" customWidth="1"/>
    <col min="10" max="10" width="9.109375" style="46"/>
    <col min="11" max="11" width="10.109375" style="46" bestFit="1" customWidth="1"/>
    <col min="12" max="12" width="14.5546875" style="46" bestFit="1" customWidth="1"/>
    <col min="13" max="13" width="10.109375" style="46" bestFit="1" customWidth="1"/>
    <col min="14" max="16384" width="9.109375" style="46"/>
  </cols>
  <sheetData>
    <row r="1" spans="1:12" x14ac:dyDescent="0.35">
      <c r="A1" s="51" t="s">
        <v>54</v>
      </c>
    </row>
    <row r="2" spans="1:12" x14ac:dyDescent="0.35">
      <c r="H2" s="193">
        <v>8.4</v>
      </c>
    </row>
    <row r="3" spans="1:12" ht="57.6" x14ac:dyDescent="0.35">
      <c r="A3" s="35" t="s">
        <v>55</v>
      </c>
      <c r="B3" s="35" t="s">
        <v>56</v>
      </c>
      <c r="C3" s="35" t="s">
        <v>57</v>
      </c>
      <c r="D3" s="36" t="s">
        <v>58</v>
      </c>
      <c r="E3" s="36" t="s">
        <v>59</v>
      </c>
      <c r="F3" s="36" t="s">
        <v>60</v>
      </c>
      <c r="G3" s="36" t="s">
        <v>309</v>
      </c>
      <c r="H3" s="36" t="s">
        <v>287</v>
      </c>
      <c r="I3" s="36" t="s">
        <v>310</v>
      </c>
    </row>
    <row r="4" spans="1:12" x14ac:dyDescent="0.35">
      <c r="A4" s="38" t="s">
        <v>61</v>
      </c>
      <c r="B4" s="43">
        <f t="shared" ref="B4:F12" si="0">B20+B60+B73+B86+B99+B118+B131+B144+B157+B176</f>
        <v>118010992</v>
      </c>
      <c r="C4" s="43">
        <f t="shared" si="0"/>
        <v>150500000</v>
      </c>
      <c r="D4" s="43">
        <f t="shared" si="0"/>
        <v>28555217.341779031</v>
      </c>
      <c r="E4" s="43">
        <f t="shared" si="0"/>
        <v>239955774.65822095</v>
      </c>
      <c r="F4" s="43">
        <f t="shared" si="0"/>
        <v>12612521.784554301</v>
      </c>
      <c r="G4" s="187">
        <f>F4/10000000</f>
        <v>1.26125217845543</v>
      </c>
      <c r="H4" s="188">
        <f>((5*7.9%*4/12)+(5*$H$2/100*8/12))</f>
        <v>0.41166666666666663</v>
      </c>
      <c r="I4" s="189">
        <f>G4+H4</f>
        <v>1.6729188451220967</v>
      </c>
      <c r="L4" s="52"/>
    </row>
    <row r="5" spans="1:12" x14ac:dyDescent="0.35">
      <c r="A5" s="38" t="s">
        <v>62</v>
      </c>
      <c r="B5" s="43">
        <f t="shared" si="0"/>
        <v>239955774.65822095</v>
      </c>
      <c r="C5" s="43">
        <f t="shared" si="0"/>
        <v>167500000</v>
      </c>
      <c r="D5" s="43">
        <f t="shared" si="0"/>
        <v>38870717.622338757</v>
      </c>
      <c r="E5" s="43">
        <f t="shared" si="0"/>
        <v>368585057.03588217</v>
      </c>
      <c r="F5" s="43">
        <f t="shared" si="0"/>
        <v>24382923.035661243</v>
      </c>
      <c r="G5" s="187">
        <f t="shared" ref="G5:G12" si="1">F5/10000000</f>
        <v>2.4382923035661244</v>
      </c>
      <c r="H5" s="39">
        <f>(10*$H$2/100)</f>
        <v>0.84</v>
      </c>
      <c r="I5" s="189">
        <f t="shared" ref="I5:I12" si="2">G5+H5</f>
        <v>3.2782923035661242</v>
      </c>
    </row>
    <row r="6" spans="1:12" x14ac:dyDescent="0.35">
      <c r="A6" s="38" t="s">
        <v>63</v>
      </c>
      <c r="B6" s="43">
        <f t="shared" si="0"/>
        <v>368585056.96857065</v>
      </c>
      <c r="C6" s="43">
        <f t="shared" si="0"/>
        <v>0</v>
      </c>
      <c r="D6" s="43">
        <f t="shared" si="0"/>
        <v>61673944.817678124</v>
      </c>
      <c r="E6" s="43">
        <f t="shared" si="0"/>
        <v>306911112.15089267</v>
      </c>
      <c r="F6" s="43">
        <f t="shared" si="0"/>
        <v>28290250.026417106</v>
      </c>
      <c r="G6" s="187">
        <f t="shared" si="1"/>
        <v>2.8290250026417105</v>
      </c>
      <c r="H6" s="39">
        <f t="shared" ref="H6:H12" si="3">(10*$H$2/100)</f>
        <v>0.84</v>
      </c>
      <c r="I6" s="189">
        <f t="shared" si="2"/>
        <v>3.6690250026417104</v>
      </c>
    </row>
    <row r="7" spans="1:12" x14ac:dyDescent="0.35">
      <c r="A7" s="38" t="s">
        <v>64</v>
      </c>
      <c r="B7" s="43">
        <f t="shared" si="0"/>
        <v>306911112.15089267</v>
      </c>
      <c r="C7" s="43">
        <f t="shared" si="0"/>
        <v>0</v>
      </c>
      <c r="D7" s="43">
        <f t="shared" si="0"/>
        <v>59574918.452343792</v>
      </c>
      <c r="E7" s="43">
        <f t="shared" si="0"/>
        <v>247336193.69854906</v>
      </c>
      <c r="F7" s="43">
        <f t="shared" si="0"/>
        <v>23230548.672084797</v>
      </c>
      <c r="G7" s="187">
        <f t="shared" si="1"/>
        <v>2.3230548672084796</v>
      </c>
      <c r="H7" s="39">
        <f t="shared" si="3"/>
        <v>0.84</v>
      </c>
      <c r="I7" s="189">
        <f t="shared" si="2"/>
        <v>3.1630548672084795</v>
      </c>
    </row>
    <row r="8" spans="1:12" x14ac:dyDescent="0.35">
      <c r="A8" s="38" t="s">
        <v>65</v>
      </c>
      <c r="B8" s="43">
        <f t="shared" si="0"/>
        <v>247336193.69854906</v>
      </c>
      <c r="C8" s="43">
        <f t="shared" si="0"/>
        <v>0</v>
      </c>
      <c r="D8" s="43">
        <f t="shared" si="0"/>
        <v>56623456.616271764</v>
      </c>
      <c r="E8" s="43">
        <f t="shared" si="0"/>
        <v>190712737.08227742</v>
      </c>
      <c r="F8" s="43">
        <f t="shared" si="0"/>
        <v>18331775.987156834</v>
      </c>
      <c r="G8" s="187">
        <f t="shared" si="1"/>
        <v>1.8331775987156835</v>
      </c>
      <c r="H8" s="39">
        <f t="shared" si="3"/>
        <v>0.84</v>
      </c>
      <c r="I8" s="189">
        <f t="shared" si="2"/>
        <v>2.6731775987156836</v>
      </c>
    </row>
    <row r="9" spans="1:12" x14ac:dyDescent="0.35">
      <c r="A9" s="38" t="s">
        <v>66</v>
      </c>
      <c r="B9" s="43">
        <f t="shared" si="0"/>
        <v>190712737.08227742</v>
      </c>
      <c r="C9" s="43">
        <f t="shared" si="0"/>
        <v>0</v>
      </c>
      <c r="D9" s="43">
        <f t="shared" si="0"/>
        <v>54248903.908972211</v>
      </c>
      <c r="E9" s="43">
        <f t="shared" si="0"/>
        <v>136463833.17330515</v>
      </c>
      <c r="F9" s="43">
        <f t="shared" si="0"/>
        <v>13703191.042456388</v>
      </c>
      <c r="G9" s="187">
        <f t="shared" si="1"/>
        <v>1.3703191042456389</v>
      </c>
      <c r="H9" s="39">
        <f t="shared" si="3"/>
        <v>0.84</v>
      </c>
      <c r="I9" s="189">
        <f t="shared" si="2"/>
        <v>2.2103191042456389</v>
      </c>
    </row>
    <row r="10" spans="1:12" x14ac:dyDescent="0.35">
      <c r="A10" s="38" t="s">
        <v>67</v>
      </c>
      <c r="B10" s="43">
        <f t="shared" si="0"/>
        <v>136463833.17330515</v>
      </c>
      <c r="C10" s="43">
        <f t="shared" si="0"/>
        <v>0</v>
      </c>
      <c r="D10" s="43">
        <f t="shared" si="0"/>
        <v>45443075.382662229</v>
      </c>
      <c r="E10" s="43">
        <f t="shared" si="0"/>
        <v>91020757.790642917</v>
      </c>
      <c r="F10" s="43">
        <f t="shared" si="0"/>
        <v>9469412.1397663727</v>
      </c>
      <c r="G10" s="187">
        <f t="shared" si="1"/>
        <v>0.94694121397663722</v>
      </c>
      <c r="H10" s="39">
        <f t="shared" si="3"/>
        <v>0.84</v>
      </c>
      <c r="I10" s="189">
        <f t="shared" si="2"/>
        <v>1.7869412139766372</v>
      </c>
    </row>
    <row r="11" spans="1:12" x14ac:dyDescent="0.35">
      <c r="A11" s="38" t="s">
        <v>68</v>
      </c>
      <c r="B11" s="43">
        <f t="shared" si="0"/>
        <v>91020757.790642917</v>
      </c>
      <c r="C11" s="43">
        <f t="shared" si="0"/>
        <v>0</v>
      </c>
      <c r="D11" s="43">
        <f t="shared" si="0"/>
        <v>36981223.562166676</v>
      </c>
      <c r="E11" s="43">
        <f t="shared" si="0"/>
        <v>54039534.228476204</v>
      </c>
      <c r="F11" s="43">
        <f t="shared" si="0"/>
        <v>5916738.0832619201</v>
      </c>
      <c r="G11" s="187">
        <f t="shared" si="1"/>
        <v>0.59167380832619199</v>
      </c>
      <c r="H11" s="39">
        <f t="shared" si="3"/>
        <v>0.84</v>
      </c>
      <c r="I11" s="189">
        <f t="shared" si="2"/>
        <v>1.431673808326192</v>
      </c>
    </row>
    <row r="12" spans="1:12" x14ac:dyDescent="0.35">
      <c r="A12" s="38" t="s">
        <v>76</v>
      </c>
      <c r="B12" s="43">
        <f t="shared" si="0"/>
        <v>54039534.228476204</v>
      </c>
      <c r="C12" s="43">
        <f t="shared" si="0"/>
        <v>0</v>
      </c>
      <c r="D12" s="43">
        <f t="shared" si="0"/>
        <v>33240984.778900754</v>
      </c>
      <c r="E12" s="43">
        <f t="shared" si="0"/>
        <v>20798549.449575447</v>
      </c>
      <c r="F12" s="43">
        <f t="shared" si="0"/>
        <v>3081337.7925278358</v>
      </c>
      <c r="G12" s="187">
        <f t="shared" si="1"/>
        <v>0.30813377925278357</v>
      </c>
      <c r="H12" s="39">
        <f t="shared" si="3"/>
        <v>0.84</v>
      </c>
      <c r="I12" s="189">
        <f t="shared" si="2"/>
        <v>1.1481337792527835</v>
      </c>
    </row>
    <row r="13" spans="1:12" x14ac:dyDescent="0.35">
      <c r="A13" s="56"/>
      <c r="B13" s="57"/>
      <c r="C13" s="57"/>
      <c r="D13" s="57"/>
      <c r="E13" s="57"/>
      <c r="F13" s="57"/>
      <c r="G13" s="57"/>
      <c r="I13" s="52"/>
    </row>
    <row r="14" spans="1:12" x14ac:dyDescent="0.35">
      <c r="I14" s="52"/>
    </row>
    <row r="15" spans="1:12" x14ac:dyDescent="0.35">
      <c r="I15" s="52"/>
    </row>
    <row r="16" spans="1:12" x14ac:dyDescent="0.35">
      <c r="I16" s="52"/>
    </row>
    <row r="17" spans="1:12" x14ac:dyDescent="0.35">
      <c r="A17" s="51" t="str">
        <f>'New Term Loan'!B1</f>
        <v>New Proposed Term Loan from State Bank of India For Puthri project-ROI-8.40%</v>
      </c>
      <c r="I17" s="52"/>
    </row>
    <row r="18" spans="1:12" x14ac:dyDescent="0.35">
      <c r="I18" s="52"/>
    </row>
    <row r="19" spans="1:12" ht="43.2" x14ac:dyDescent="0.35">
      <c r="A19" s="35" t="s">
        <v>55</v>
      </c>
      <c r="B19" s="35" t="s">
        <v>56</v>
      </c>
      <c r="C19" s="35" t="s">
        <v>57</v>
      </c>
      <c r="D19" s="36" t="s">
        <v>58</v>
      </c>
      <c r="E19" s="36" t="s">
        <v>59</v>
      </c>
      <c r="F19" s="36" t="s">
        <v>60</v>
      </c>
      <c r="G19" s="36" t="s">
        <v>309</v>
      </c>
      <c r="I19" s="52"/>
      <c r="J19" s="46">
        <v>17</v>
      </c>
      <c r="K19" s="46">
        <f>J19/3</f>
        <v>5.666666666666667</v>
      </c>
      <c r="L19" s="46">
        <f>J19+K19</f>
        <v>22.666666666666668</v>
      </c>
    </row>
    <row r="20" spans="1:12" x14ac:dyDescent="0.35">
      <c r="A20" s="38" t="s">
        <v>61</v>
      </c>
      <c r="B20" s="43">
        <f>'New Term Loan'!C6</f>
        <v>0</v>
      </c>
      <c r="C20" s="43">
        <f>SUM('New Term Loan'!D6:$D$17)</f>
        <v>50000000</v>
      </c>
      <c r="D20" s="43">
        <f>SUM('New Term Loan'!E6:E17)</f>
        <v>0</v>
      </c>
      <c r="E20" s="43">
        <f>'New Term Loan'!H17</f>
        <v>50000000</v>
      </c>
      <c r="F20" s="43">
        <f>SUM('New Term Loan'!F6:$F$17)</f>
        <v>490000</v>
      </c>
      <c r="G20" s="212">
        <f>F20/10000000</f>
        <v>4.9000000000000002E-2</v>
      </c>
      <c r="I20" s="52"/>
    </row>
    <row r="21" spans="1:12" x14ac:dyDescent="0.35">
      <c r="A21" s="38" t="s">
        <v>62</v>
      </c>
      <c r="B21" s="43">
        <f>'New Term Loan'!C18</f>
        <v>50000000</v>
      </c>
      <c r="C21" s="43">
        <f>SUM('New Term Loan'!D18:$D$29)</f>
        <v>167500000</v>
      </c>
      <c r="D21" s="43">
        <f>SUM('New Term Loan'!E18:$E$29)</f>
        <v>0</v>
      </c>
      <c r="E21" s="43">
        <f>'New Term Loan'!H29</f>
        <v>217500000</v>
      </c>
      <c r="F21" s="43">
        <f>SUM('New Term Loan'!F18:$F$29)</f>
        <v>10132500</v>
      </c>
      <c r="G21" s="212">
        <f>F21/10000000</f>
        <v>1.01325</v>
      </c>
      <c r="I21" s="52"/>
    </row>
    <row r="22" spans="1:12" x14ac:dyDescent="0.35">
      <c r="A22" s="38" t="s">
        <v>63</v>
      </c>
      <c r="B22" s="43">
        <f>'New Term Loan'!C30</f>
        <v>217500000</v>
      </c>
      <c r="C22" s="43">
        <v>0</v>
      </c>
      <c r="D22" s="43">
        <f>SUM('New Term Loan'!E30:$E$41)</f>
        <v>31071428.571428563</v>
      </c>
      <c r="E22" s="43">
        <f>'New Term Loan'!H41</f>
        <v>186428571.42857158</v>
      </c>
      <c r="F22" s="43">
        <f>SUM('New Term Loan'!F30:$F$41)</f>
        <v>17073750</v>
      </c>
      <c r="G22" s="212">
        <f>F22/10000000</f>
        <v>1.7073750000000001</v>
      </c>
      <c r="I22" s="52"/>
    </row>
    <row r="23" spans="1:12" x14ac:dyDescent="0.35">
      <c r="A23" s="38" t="s">
        <v>64</v>
      </c>
      <c r="B23" s="43">
        <f>'New Term Loan'!C42</f>
        <v>186428571.42857158</v>
      </c>
      <c r="C23" s="43">
        <v>0</v>
      </c>
      <c r="D23" s="43">
        <f>SUM('New Term Loan'!E42:$E$53)</f>
        <v>31071428.571428563</v>
      </c>
      <c r="E23" s="43">
        <f>'New Term Loan'!H53</f>
        <v>155357142.85714316</v>
      </c>
      <c r="F23" s="43">
        <f>SUM('New Term Loan'!F42:$F$53)</f>
        <v>14463750.00000002</v>
      </c>
      <c r="G23" s="212">
        <f>F23/10000000</f>
        <v>1.446375000000002</v>
      </c>
      <c r="I23" s="52"/>
    </row>
    <row r="24" spans="1:12" x14ac:dyDescent="0.35">
      <c r="A24" s="38" t="s">
        <v>65</v>
      </c>
      <c r="B24" s="43">
        <f>'New Term Loan'!C54</f>
        <v>155357142.85714316</v>
      </c>
      <c r="C24" s="43">
        <v>0</v>
      </c>
      <c r="D24" s="43">
        <f>SUM('New Term Loan'!E54:$E$65)</f>
        <v>31071428.571428563</v>
      </c>
      <c r="E24" s="43">
        <f>'New Term Loan'!H65</f>
        <v>124285714.28571469</v>
      </c>
      <c r="F24" s="43">
        <f>SUM('New Term Loan'!F54:$F$65)</f>
        <v>11853750.000000034</v>
      </c>
      <c r="G24" s="212">
        <f>F24/10000000</f>
        <v>1.1853750000000034</v>
      </c>
      <c r="I24" s="52"/>
    </row>
    <row r="25" spans="1:12" x14ac:dyDescent="0.35">
      <c r="A25" s="38" t="s">
        <v>66</v>
      </c>
      <c r="B25" s="43">
        <f>'New Term Loan'!C66</f>
        <v>124285714.28571469</v>
      </c>
      <c r="C25" s="43">
        <v>0</v>
      </c>
      <c r="D25" s="43">
        <f>SUM('New Term Loan'!E66:$E$77)</f>
        <v>31071428.571428563</v>
      </c>
      <c r="E25" s="43">
        <f>'New Term Loan'!H77</f>
        <v>93214285.714286089</v>
      </c>
      <c r="F25" s="43">
        <f>SUM('New Term Loan'!F66:$F$77)</f>
        <v>9243750.0000000317</v>
      </c>
      <c r="G25" s="57"/>
      <c r="I25" s="52"/>
    </row>
    <row r="26" spans="1:12" x14ac:dyDescent="0.35">
      <c r="A26" s="38" t="s">
        <v>67</v>
      </c>
      <c r="B26" s="43">
        <f>'New Term Loan'!C78</f>
        <v>93214285.714286089</v>
      </c>
      <c r="C26" s="43">
        <v>0</v>
      </c>
      <c r="D26" s="43">
        <f>SUM('New Term Loan'!E78:$E$89)</f>
        <v>31071428.571428563</v>
      </c>
      <c r="E26" s="43">
        <f>'New Term Loan'!H89</f>
        <v>62142857.142857492</v>
      </c>
      <c r="F26" s="43">
        <f>SUM('New Term Loan'!F78:$F$89)</f>
        <v>6633750.0000000326</v>
      </c>
      <c r="G26" s="57"/>
      <c r="I26" s="52"/>
    </row>
    <row r="27" spans="1:12" x14ac:dyDescent="0.35">
      <c r="A27" s="38" t="s">
        <v>68</v>
      </c>
      <c r="B27" s="43">
        <f>'New Term Loan'!C90</f>
        <v>62142857.142857492</v>
      </c>
      <c r="C27" s="43">
        <v>0</v>
      </c>
      <c r="D27" s="43">
        <f>SUM('New Term Loan'!E90:$E$101)</f>
        <v>31071428.571428563</v>
      </c>
      <c r="E27" s="43">
        <f>'New Term Loan'!H101</f>
        <v>31071428.571428899</v>
      </c>
      <c r="F27" s="43">
        <f>SUM('New Term Loan'!F90:$F$101)</f>
        <v>4023750.0000000284</v>
      </c>
      <c r="G27" s="57"/>
      <c r="I27" s="52"/>
    </row>
    <row r="28" spans="1:12" x14ac:dyDescent="0.35">
      <c r="A28" s="38" t="s">
        <v>76</v>
      </c>
      <c r="B28" s="43">
        <f>'New Term Loan'!C102</f>
        <v>31071428.571428899</v>
      </c>
      <c r="C28" s="43">
        <v>0</v>
      </c>
      <c r="D28" s="43">
        <f>SUM('New Term Loan'!E102:$E$113)</f>
        <v>31071428.571428563</v>
      </c>
      <c r="E28" s="43">
        <f>'New Term Loan'!H113</f>
        <v>3.3434480428695679E-7</v>
      </c>
      <c r="F28" s="43">
        <f>SUM('New Term Loan'!F102:$F$113)</f>
        <v>1413750.0000000279</v>
      </c>
      <c r="G28" s="57"/>
      <c r="I28" s="52"/>
    </row>
    <row r="29" spans="1:12" x14ac:dyDescent="0.35">
      <c r="A29" s="56"/>
      <c r="B29" s="57"/>
      <c r="C29" s="57"/>
      <c r="D29" s="57"/>
      <c r="E29" s="57"/>
      <c r="F29" s="57"/>
      <c r="G29" s="57"/>
      <c r="I29" s="52"/>
    </row>
    <row r="30" spans="1:12" x14ac:dyDescent="0.35">
      <c r="A30" s="56"/>
      <c r="B30" s="57"/>
      <c r="C30" s="57"/>
      <c r="D30" s="57"/>
      <c r="E30" s="57"/>
      <c r="F30" s="57"/>
      <c r="G30" s="57"/>
      <c r="I30" s="52"/>
    </row>
    <row r="31" spans="1:12" x14ac:dyDescent="0.35">
      <c r="A31" s="56"/>
      <c r="B31" s="57"/>
      <c r="C31" s="57"/>
      <c r="D31" s="57"/>
      <c r="E31" s="57"/>
      <c r="F31" s="57"/>
      <c r="G31" s="57"/>
      <c r="I31" s="52"/>
    </row>
    <row r="32" spans="1:12" x14ac:dyDescent="0.35">
      <c r="A32" s="56"/>
      <c r="B32" s="57"/>
      <c r="C32" s="57"/>
      <c r="D32" s="57"/>
      <c r="E32" s="57"/>
      <c r="F32" s="57"/>
      <c r="G32" s="57"/>
      <c r="I32" s="52"/>
    </row>
    <row r="33" spans="1:9" x14ac:dyDescent="0.35">
      <c r="A33" s="56"/>
      <c r="B33" s="57"/>
      <c r="C33" s="57"/>
      <c r="D33" s="57"/>
      <c r="E33" s="57"/>
      <c r="F33" s="57"/>
      <c r="G33" s="57"/>
      <c r="I33" s="52"/>
    </row>
    <row r="34" spans="1:9" x14ac:dyDescent="0.35">
      <c r="A34" s="56"/>
      <c r="B34" s="57"/>
      <c r="C34" s="57"/>
      <c r="D34" s="57"/>
      <c r="E34" s="57"/>
      <c r="F34" s="57"/>
      <c r="G34" s="57"/>
      <c r="I34" s="52"/>
    </row>
    <row r="35" spans="1:9" x14ac:dyDescent="0.35">
      <c r="A35" s="56"/>
      <c r="B35" s="57"/>
      <c r="C35" s="57"/>
      <c r="D35" s="57"/>
      <c r="E35" s="57"/>
      <c r="F35" s="57"/>
      <c r="G35" s="57"/>
      <c r="I35" s="52"/>
    </row>
    <row r="36" spans="1:9" x14ac:dyDescent="0.35">
      <c r="A36" s="56"/>
      <c r="B36" s="57"/>
      <c r="C36" s="57"/>
      <c r="D36" s="57"/>
      <c r="E36" s="57"/>
      <c r="F36" s="57"/>
      <c r="G36" s="57"/>
      <c r="I36" s="52"/>
    </row>
    <row r="37" spans="1:9" x14ac:dyDescent="0.35">
      <c r="A37" s="56"/>
      <c r="B37" s="57"/>
      <c r="C37" s="57"/>
      <c r="D37" s="57"/>
      <c r="E37" s="57"/>
      <c r="F37" s="57"/>
      <c r="G37" s="57"/>
      <c r="I37" s="52"/>
    </row>
    <row r="38" spans="1:9" x14ac:dyDescent="0.35">
      <c r="A38" s="56"/>
      <c r="B38" s="57"/>
      <c r="C38" s="57"/>
      <c r="D38" s="57"/>
      <c r="E38" s="57"/>
      <c r="F38" s="57"/>
      <c r="G38" s="57"/>
      <c r="I38" s="52"/>
    </row>
    <row r="39" spans="1:9" x14ac:dyDescent="0.35">
      <c r="A39" s="56"/>
      <c r="B39" s="57"/>
      <c r="C39" s="57"/>
      <c r="D39" s="57"/>
      <c r="E39" s="57"/>
      <c r="F39" s="57"/>
      <c r="G39" s="57"/>
      <c r="I39" s="52"/>
    </row>
    <row r="40" spans="1:9" x14ac:dyDescent="0.35">
      <c r="A40" s="56"/>
      <c r="B40" s="57"/>
      <c r="C40" s="57"/>
      <c r="D40" s="57"/>
      <c r="E40" s="57"/>
      <c r="F40" s="57"/>
      <c r="G40" s="57"/>
      <c r="I40" s="52"/>
    </row>
    <row r="41" spans="1:9" x14ac:dyDescent="0.35">
      <c r="A41" s="56"/>
      <c r="B41" s="57"/>
      <c r="C41" s="57"/>
      <c r="D41" s="57"/>
      <c r="E41" s="57"/>
      <c r="F41" s="57"/>
      <c r="G41" s="57"/>
      <c r="I41" s="52"/>
    </row>
    <row r="42" spans="1:9" x14ac:dyDescent="0.35">
      <c r="A42" s="56"/>
      <c r="B42" s="57"/>
      <c r="C42" s="57"/>
      <c r="D42" s="57"/>
      <c r="E42" s="57"/>
      <c r="F42" s="57"/>
      <c r="G42" s="57"/>
      <c r="I42" s="52"/>
    </row>
    <row r="43" spans="1:9" x14ac:dyDescent="0.35">
      <c r="A43" s="56"/>
      <c r="B43" s="57"/>
      <c r="C43" s="57"/>
      <c r="D43" s="57"/>
      <c r="E43" s="57"/>
      <c r="F43" s="57"/>
      <c r="G43" s="57"/>
      <c r="I43" s="52"/>
    </row>
    <row r="44" spans="1:9" x14ac:dyDescent="0.35">
      <c r="A44" s="56"/>
      <c r="B44" s="57"/>
      <c r="C44" s="57"/>
      <c r="D44" s="57"/>
      <c r="E44" s="57"/>
      <c r="F44" s="57"/>
      <c r="G44" s="57"/>
      <c r="I44" s="52"/>
    </row>
    <row r="45" spans="1:9" x14ac:dyDescent="0.35">
      <c r="A45" s="56"/>
      <c r="B45" s="57"/>
      <c r="C45" s="57"/>
      <c r="D45" s="57"/>
      <c r="E45" s="57"/>
      <c r="F45" s="57"/>
      <c r="G45" s="57"/>
      <c r="I45" s="52"/>
    </row>
    <row r="46" spans="1:9" x14ac:dyDescent="0.35">
      <c r="A46" s="56"/>
      <c r="B46" s="57"/>
      <c r="C46" s="57"/>
      <c r="D46" s="57"/>
      <c r="E46" s="57"/>
      <c r="F46" s="57"/>
      <c r="G46" s="57"/>
      <c r="I46" s="52"/>
    </row>
    <row r="47" spans="1:9" x14ac:dyDescent="0.35">
      <c r="A47" s="56"/>
      <c r="B47" s="57"/>
      <c r="C47" s="57"/>
      <c r="D47" s="57"/>
      <c r="E47" s="57"/>
      <c r="F47" s="57"/>
      <c r="G47" s="57"/>
      <c r="I47" s="52"/>
    </row>
    <row r="48" spans="1:9" x14ac:dyDescent="0.35">
      <c r="A48" s="56"/>
      <c r="B48" s="57"/>
      <c r="C48" s="57"/>
      <c r="D48" s="57"/>
      <c r="E48" s="57"/>
      <c r="F48" s="57"/>
      <c r="G48" s="57"/>
      <c r="I48" s="52"/>
    </row>
    <row r="49" spans="1:9" x14ac:dyDescent="0.35">
      <c r="A49" s="56"/>
      <c r="B49" s="57"/>
      <c r="C49" s="57"/>
      <c r="D49" s="57"/>
      <c r="E49" s="57"/>
      <c r="F49" s="57"/>
      <c r="G49" s="57"/>
      <c r="I49" s="52"/>
    </row>
    <row r="50" spans="1:9" x14ac:dyDescent="0.35">
      <c r="A50" s="56"/>
      <c r="B50" s="57"/>
      <c r="C50" s="57"/>
      <c r="D50" s="57"/>
      <c r="E50" s="57"/>
      <c r="F50" s="57"/>
      <c r="G50" s="57"/>
      <c r="I50" s="52"/>
    </row>
    <row r="51" spans="1:9" x14ac:dyDescent="0.35">
      <c r="A51" s="56"/>
      <c r="B51" s="57"/>
      <c r="C51" s="57"/>
      <c r="D51" s="57"/>
      <c r="E51" s="57"/>
      <c r="F51" s="57"/>
      <c r="G51" s="57"/>
      <c r="I51" s="52"/>
    </row>
    <row r="52" spans="1:9" x14ac:dyDescent="0.35">
      <c r="A52" s="56"/>
      <c r="B52" s="57"/>
      <c r="C52" s="57"/>
      <c r="D52" s="57"/>
      <c r="E52" s="57"/>
      <c r="F52" s="57"/>
      <c r="G52" s="57"/>
      <c r="I52" s="52"/>
    </row>
    <row r="53" spans="1:9" x14ac:dyDescent="0.35">
      <c r="A53" s="56"/>
      <c r="B53" s="57"/>
      <c r="C53" s="57"/>
      <c r="D53" s="57"/>
      <c r="E53" s="57"/>
      <c r="F53" s="57"/>
      <c r="G53" s="57"/>
      <c r="I53" s="52"/>
    </row>
    <row r="54" spans="1:9" x14ac:dyDescent="0.35">
      <c r="A54" s="56"/>
      <c r="B54" s="57"/>
      <c r="C54" s="57"/>
      <c r="D54" s="57"/>
      <c r="E54" s="57"/>
      <c r="F54" s="57"/>
      <c r="G54" s="57"/>
      <c r="I54" s="52"/>
    </row>
    <row r="55" spans="1:9" x14ac:dyDescent="0.35">
      <c r="A55" s="56"/>
      <c r="B55" s="57"/>
      <c r="C55" s="57"/>
      <c r="D55" s="57"/>
      <c r="E55" s="57"/>
      <c r="F55" s="57"/>
      <c r="G55" s="57"/>
      <c r="I55" s="52"/>
    </row>
    <row r="56" spans="1:9" x14ac:dyDescent="0.35">
      <c r="D56" s="53"/>
      <c r="E56" s="53"/>
    </row>
    <row r="57" spans="1:9" x14ac:dyDescent="0.35">
      <c r="A57" s="51" t="str">
        <f>'SBI COVID-6343'!B1</f>
        <v>Loan from State Bank of India- (First COVID A/c No.-6343)-</v>
      </c>
      <c r="D57" s="53"/>
      <c r="E57" s="53"/>
    </row>
    <row r="59" spans="1:9" x14ac:dyDescent="0.35">
      <c r="A59" s="35" t="s">
        <v>55</v>
      </c>
      <c r="B59" s="35" t="s">
        <v>56</v>
      </c>
      <c r="C59" s="35" t="s">
        <v>57</v>
      </c>
      <c r="D59" s="36" t="s">
        <v>58</v>
      </c>
      <c r="E59" s="36" t="s">
        <v>59</v>
      </c>
      <c r="F59" s="36" t="s">
        <v>60</v>
      </c>
      <c r="G59" s="178"/>
    </row>
    <row r="60" spans="1:9" x14ac:dyDescent="0.35">
      <c r="A60" s="38" t="s">
        <v>61</v>
      </c>
      <c r="B60" s="43">
        <f>'SBI COVID-6343'!C7</f>
        <v>12638880</v>
      </c>
      <c r="C60" s="54">
        <v>0</v>
      </c>
      <c r="D60" s="41">
        <f>SUM('SBI COVID-6343'!D7:$D$18)</f>
        <v>5833344</v>
      </c>
      <c r="E60" s="41">
        <f>'SBI COVID-6343'!G18</f>
        <v>6805536</v>
      </c>
      <c r="F60" s="55">
        <f>SUM('SBI COVID-6343'!E7:$E$18)</f>
        <v>857093.71200000006</v>
      </c>
      <c r="G60" s="60"/>
    </row>
    <row r="61" spans="1:9" x14ac:dyDescent="0.35">
      <c r="A61" s="38" t="s">
        <v>62</v>
      </c>
      <c r="B61" s="43">
        <f>'SBI COVID-6343'!C19</f>
        <v>6805536</v>
      </c>
      <c r="C61" s="54">
        <v>0</v>
      </c>
      <c r="D61" s="41">
        <f>SUM('SBI COVID-6343'!D19:$D$30)</f>
        <v>5833344</v>
      </c>
      <c r="E61" s="41">
        <f>'SBI COVID-6343'!G30</f>
        <v>972192</v>
      </c>
      <c r="F61" s="55">
        <f>SUM('SBI COVID-6343'!E19:$E$30)</f>
        <v>363608.96</v>
      </c>
      <c r="G61" s="60"/>
    </row>
    <row r="62" spans="1:9" x14ac:dyDescent="0.35">
      <c r="A62" s="38" t="s">
        <v>63</v>
      </c>
      <c r="B62" s="43">
        <f>'SBI COVID-6343'!C31</f>
        <v>972192</v>
      </c>
      <c r="C62" s="54">
        <v>0</v>
      </c>
      <c r="D62" s="41">
        <f>SUM('SBI COVID-6343'!D31:$D$32)</f>
        <v>972192</v>
      </c>
      <c r="E62" s="41">
        <f>'SBI COVID-6343'!G32</f>
        <v>0</v>
      </c>
      <c r="F62" s="55">
        <f>SUM('SBI COVID-6343'!E31:E32)</f>
        <v>10693.994666666667</v>
      </c>
      <c r="G62" s="60"/>
    </row>
    <row r="63" spans="1:9" x14ac:dyDescent="0.35">
      <c r="A63" s="38" t="s">
        <v>64</v>
      </c>
      <c r="B63" s="43"/>
      <c r="C63" s="54"/>
      <c r="D63" s="41"/>
      <c r="E63" s="41"/>
      <c r="F63" s="55"/>
      <c r="G63" s="60"/>
    </row>
    <row r="64" spans="1:9" x14ac:dyDescent="0.35">
      <c r="A64" s="38" t="s">
        <v>65</v>
      </c>
      <c r="B64" s="43"/>
      <c r="C64" s="54"/>
      <c r="D64" s="41"/>
      <c r="E64" s="41"/>
      <c r="F64" s="55"/>
      <c r="G64" s="60"/>
    </row>
    <row r="65" spans="1:7" x14ac:dyDescent="0.35">
      <c r="A65" s="38" t="s">
        <v>66</v>
      </c>
      <c r="B65" s="43"/>
      <c r="C65" s="54"/>
      <c r="D65" s="41"/>
      <c r="E65" s="41"/>
      <c r="F65" s="55"/>
      <c r="G65" s="60"/>
    </row>
    <row r="66" spans="1:7" x14ac:dyDescent="0.35">
      <c r="A66" s="38" t="s">
        <v>67</v>
      </c>
      <c r="B66" s="43"/>
      <c r="C66" s="54"/>
      <c r="D66" s="41"/>
      <c r="E66" s="41"/>
      <c r="F66" s="55"/>
      <c r="G66" s="60"/>
    </row>
    <row r="67" spans="1:7" x14ac:dyDescent="0.35">
      <c r="A67" s="38" t="s">
        <v>68</v>
      </c>
      <c r="B67" s="43"/>
      <c r="C67" s="54"/>
      <c r="D67" s="41"/>
      <c r="E67" s="41"/>
      <c r="F67" s="55"/>
      <c r="G67" s="60"/>
    </row>
    <row r="68" spans="1:7" x14ac:dyDescent="0.35">
      <c r="A68" s="38" t="s">
        <v>76</v>
      </c>
      <c r="B68" s="43"/>
      <c r="C68" s="54"/>
      <c r="D68" s="41"/>
      <c r="E68" s="41"/>
      <c r="F68" s="55"/>
      <c r="G68" s="60"/>
    </row>
    <row r="70" spans="1:7" x14ac:dyDescent="0.35">
      <c r="A70" s="51" t="str">
        <f>'SBI COVID II-1820'!B1</f>
        <v>Loan from State Bank of India (Second COVID-1820)</v>
      </c>
      <c r="D70" s="53"/>
      <c r="E70" s="53"/>
    </row>
    <row r="72" spans="1:7" x14ac:dyDescent="0.35">
      <c r="A72" s="35" t="s">
        <v>55</v>
      </c>
      <c r="B72" s="35" t="s">
        <v>56</v>
      </c>
      <c r="C72" s="35" t="s">
        <v>57</v>
      </c>
      <c r="D72" s="36" t="s">
        <v>58</v>
      </c>
      <c r="E72" s="36" t="s">
        <v>59</v>
      </c>
      <c r="F72" s="36" t="s">
        <v>60</v>
      </c>
      <c r="G72" s="178"/>
    </row>
    <row r="73" spans="1:7" x14ac:dyDescent="0.35">
      <c r="A73" s="38" t="s">
        <v>61</v>
      </c>
      <c r="B73" s="43">
        <f>'SBI COVID II-1820'!C6</f>
        <v>10000000</v>
      </c>
      <c r="C73" s="54">
        <v>0</v>
      </c>
      <c r="D73" s="41">
        <f>SUM('SBI COVID II-1820'!D6:$D$17)</f>
        <v>0</v>
      </c>
      <c r="E73" s="41">
        <f>'SBI COVID II-1820'!G17</f>
        <v>10000000</v>
      </c>
      <c r="F73" s="55">
        <f>SUM('SBI COVID II-1820'!E6:$E$17)</f>
        <v>863333.33333333349</v>
      </c>
      <c r="G73" s="60"/>
    </row>
    <row r="74" spans="1:7" x14ac:dyDescent="0.35">
      <c r="A74" s="38" t="s">
        <v>62</v>
      </c>
      <c r="B74" s="43">
        <f>'SBI COVID II-1820'!C18</f>
        <v>10000000</v>
      </c>
      <c r="C74" s="54">
        <v>0</v>
      </c>
      <c r="D74" s="41">
        <f>SUM('SBI COVID II-1820'!D18:$D$29)</f>
        <v>833334</v>
      </c>
      <c r="E74" s="41">
        <f>'SBI COVID II-1820'!G29</f>
        <v>9166666</v>
      </c>
      <c r="F74" s="55">
        <f>SUM('SBI COVID II-1820'!E18:$E$29)</f>
        <v>873888.88400000008</v>
      </c>
      <c r="G74" s="60"/>
    </row>
    <row r="75" spans="1:7" x14ac:dyDescent="0.35">
      <c r="A75" s="38" t="s">
        <v>63</v>
      </c>
      <c r="B75" s="43">
        <f>'SBI COVID II-1820'!C30</f>
        <v>9166666</v>
      </c>
      <c r="C75" s="54">
        <v>0</v>
      </c>
      <c r="D75" s="41">
        <f>SUM('SBI COVID II-1820'!D30:D41)</f>
        <v>3333336</v>
      </c>
      <c r="E75" s="41">
        <f>'SBI COVID II-1820'!G41</f>
        <v>5833330</v>
      </c>
      <c r="F75" s="55">
        <f>SUM('SBI COVID II-1820'!E30:$E$41)</f>
        <v>672222.0560000001</v>
      </c>
      <c r="G75" s="60"/>
    </row>
    <row r="76" spans="1:7" x14ac:dyDescent="0.35">
      <c r="A76" s="38" t="s">
        <v>64</v>
      </c>
      <c r="B76" s="43">
        <f>'SBI COVID II-1820'!C42</f>
        <v>5833330</v>
      </c>
      <c r="C76" s="54">
        <v>0</v>
      </c>
      <c r="D76" s="41">
        <f>SUM('SBI COVID II-1820'!D42:D53)</f>
        <v>3333336</v>
      </c>
      <c r="E76" s="41">
        <f>'SBI COVID II-1820'!G53</f>
        <v>2499994</v>
      </c>
      <c r="F76" s="55">
        <f>SUM('SBI COVID II-1820'!E42:$E$53)</f>
        <v>378888.48800000001</v>
      </c>
      <c r="G76" s="60"/>
    </row>
    <row r="77" spans="1:7" x14ac:dyDescent="0.35">
      <c r="A77" s="38" t="s">
        <v>65</v>
      </c>
      <c r="B77" s="43">
        <f>'SBI COVID II-1820'!C54</f>
        <v>2499994</v>
      </c>
      <c r="C77" s="54">
        <v>0</v>
      </c>
      <c r="D77" s="41">
        <f>SUM('SBI COVID II-1820'!D54:D62)</f>
        <v>2499994</v>
      </c>
      <c r="E77" s="41">
        <f>'SBI COVID II-1820'!G62</f>
        <v>0</v>
      </c>
      <c r="F77" s="55">
        <f>SUM('SBI COVID II-1820'!E54:$E$62)</f>
        <v>91666.212000000014</v>
      </c>
      <c r="G77" s="60"/>
    </row>
    <row r="78" spans="1:7" x14ac:dyDescent="0.35">
      <c r="A78" s="38" t="s">
        <v>66</v>
      </c>
      <c r="B78" s="43"/>
      <c r="C78" s="54"/>
      <c r="D78" s="41"/>
      <c r="E78" s="41"/>
      <c r="F78" s="55"/>
      <c r="G78" s="60"/>
    </row>
    <row r="79" spans="1:7" x14ac:dyDescent="0.35">
      <c r="A79" s="38" t="s">
        <v>67</v>
      </c>
      <c r="B79" s="43"/>
      <c r="C79" s="54"/>
      <c r="D79" s="41"/>
      <c r="E79" s="41"/>
      <c r="F79" s="55"/>
      <c r="G79" s="60"/>
    </row>
    <row r="80" spans="1:7" x14ac:dyDescent="0.35">
      <c r="A80" s="38" t="s">
        <v>68</v>
      </c>
      <c r="B80" s="43"/>
      <c r="C80" s="54"/>
      <c r="D80" s="41"/>
      <c r="E80" s="41"/>
      <c r="F80" s="55"/>
      <c r="G80" s="60"/>
    </row>
    <row r="81" spans="1:7" x14ac:dyDescent="0.35">
      <c r="A81" s="38" t="s">
        <v>76</v>
      </c>
      <c r="B81" s="43"/>
      <c r="C81" s="54"/>
      <c r="D81" s="41"/>
      <c r="E81" s="41"/>
      <c r="F81" s="55"/>
      <c r="G81" s="60"/>
    </row>
    <row r="83" spans="1:7" x14ac:dyDescent="0.35">
      <c r="A83" s="51" t="str">
        <f>'4. SBI Project-1736'!B1</f>
        <v>Loan from State Bank of India (Haridwar Project-1736)</v>
      </c>
    </row>
    <row r="85" spans="1:7" x14ac:dyDescent="0.35">
      <c r="A85" s="35" t="s">
        <v>55</v>
      </c>
      <c r="B85" s="35" t="s">
        <v>56</v>
      </c>
      <c r="C85" s="35" t="s">
        <v>57</v>
      </c>
      <c r="D85" s="36" t="s">
        <v>58</v>
      </c>
      <c r="E85" s="36" t="s">
        <v>59</v>
      </c>
      <c r="F85" s="36" t="s">
        <v>60</v>
      </c>
      <c r="G85" s="178"/>
    </row>
    <row r="86" spans="1:7" x14ac:dyDescent="0.35">
      <c r="A86" s="38" t="s">
        <v>61</v>
      </c>
      <c r="B86" s="43">
        <f>'4. SBI Project-1736'!C6</f>
        <v>10542156</v>
      </c>
      <c r="C86" s="54">
        <v>0</v>
      </c>
      <c r="D86" s="41">
        <f>SUM('4. SBI Project-1736'!D6:$D$17)</f>
        <v>2769228</v>
      </c>
      <c r="E86" s="41">
        <f>'4. SBI Project-1736'!G17</f>
        <v>7772928</v>
      </c>
      <c r="F86" s="55">
        <f>SUM('4. SBI Project-1736'!E6:$E$17)</f>
        <v>761932.48850000009</v>
      </c>
      <c r="G86" s="60"/>
    </row>
    <row r="87" spans="1:7" x14ac:dyDescent="0.35">
      <c r="A87" s="38" t="s">
        <v>62</v>
      </c>
      <c r="B87" s="43">
        <f>'4. SBI Project-1736'!C18</f>
        <v>7772928</v>
      </c>
      <c r="C87" s="54">
        <v>0</v>
      </c>
      <c r="D87" s="41">
        <f>SUM('4. SBI Project-1736'!D18:D29)</f>
        <v>2769228</v>
      </c>
      <c r="E87" s="41">
        <f>'4. SBI Project-1736'!G29</f>
        <v>5003700</v>
      </c>
      <c r="F87" s="55">
        <f>SUM('4. SBI Project-1736'!E18:E29)</f>
        <v>546310.674</v>
      </c>
      <c r="G87" s="60"/>
    </row>
    <row r="88" spans="1:7" x14ac:dyDescent="0.35">
      <c r="A88" s="38" t="s">
        <v>63</v>
      </c>
      <c r="B88" s="43">
        <f>'4. SBI Project-1736'!C30</f>
        <v>5003700</v>
      </c>
      <c r="C88" s="54">
        <v>0</v>
      </c>
      <c r="D88" s="41">
        <f>SUM('4. SBI Project-1736'!D30:D41)</f>
        <v>2769228</v>
      </c>
      <c r="E88" s="41">
        <f>'4. SBI Project-1736'!G41</f>
        <v>2234472</v>
      </c>
      <c r="F88" s="55">
        <f>SUM('4. SBI Project-1736'!E30:$E$41)</f>
        <v>313695.52200000006</v>
      </c>
      <c r="G88" s="60"/>
    </row>
    <row r="89" spans="1:7" x14ac:dyDescent="0.35">
      <c r="A89" s="38" t="s">
        <v>64</v>
      </c>
      <c r="B89" s="43">
        <f>'4. SBI Project-1736'!C42</f>
        <v>2234472</v>
      </c>
      <c r="C89" s="54">
        <v>0</v>
      </c>
      <c r="D89" s="41">
        <f>SUM('4. SBI Project-1736'!D42:D51)</f>
        <v>2234472</v>
      </c>
      <c r="E89" s="41">
        <f>'4. SBI Project-1736'!G51</f>
        <v>0</v>
      </c>
      <c r="F89" s="55">
        <f>SUM('4. SBI Project-1736'!E42:E51)</f>
        <v>83720.805000000008</v>
      </c>
      <c r="G89" s="60"/>
    </row>
    <row r="90" spans="1:7" x14ac:dyDescent="0.35">
      <c r="A90" s="38" t="s">
        <v>65</v>
      </c>
      <c r="B90" s="43"/>
      <c r="C90" s="54"/>
      <c r="D90" s="41"/>
      <c r="E90" s="41"/>
      <c r="F90" s="55"/>
      <c r="G90" s="60"/>
    </row>
    <row r="91" spans="1:7" x14ac:dyDescent="0.35">
      <c r="A91" s="38" t="s">
        <v>66</v>
      </c>
      <c r="B91" s="43"/>
      <c r="C91" s="54"/>
      <c r="D91" s="41"/>
      <c r="E91" s="41"/>
      <c r="F91" s="55"/>
      <c r="G91" s="60"/>
    </row>
    <row r="92" spans="1:7" x14ac:dyDescent="0.35">
      <c r="A92" s="38" t="s">
        <v>67</v>
      </c>
      <c r="B92" s="43"/>
      <c r="C92" s="54"/>
      <c r="D92" s="41"/>
      <c r="E92" s="41"/>
      <c r="F92" s="55"/>
      <c r="G92" s="60"/>
    </row>
    <row r="93" spans="1:7" x14ac:dyDescent="0.35">
      <c r="A93" s="38" t="s">
        <v>68</v>
      </c>
      <c r="B93" s="43"/>
      <c r="C93" s="54"/>
      <c r="D93" s="41"/>
      <c r="E93" s="41"/>
      <c r="F93" s="55"/>
      <c r="G93" s="60"/>
    </row>
    <row r="94" spans="1:7" x14ac:dyDescent="0.35">
      <c r="A94" s="38" t="s">
        <v>76</v>
      </c>
      <c r="B94" s="43"/>
      <c r="C94" s="54"/>
      <c r="D94" s="41"/>
      <c r="E94" s="41"/>
      <c r="F94" s="55"/>
      <c r="G94" s="60"/>
    </row>
    <row r="96" spans="1:7" x14ac:dyDescent="0.35">
      <c r="A96" s="51" t="str">
        <f>'2. SBI Project-9157'!B1</f>
        <v xml:space="preserve">Loan from State Bank of India (Coimbtore Project- Old-9157) </v>
      </c>
    </row>
    <row r="98" spans="1:7" x14ac:dyDescent="0.35">
      <c r="A98" s="35" t="s">
        <v>55</v>
      </c>
      <c r="B98" s="35" t="s">
        <v>56</v>
      </c>
      <c r="C98" s="35" t="s">
        <v>57</v>
      </c>
      <c r="D98" s="36" t="s">
        <v>58</v>
      </c>
      <c r="E98" s="36" t="s">
        <v>59</v>
      </c>
      <c r="F98" s="36" t="s">
        <v>60</v>
      </c>
      <c r="G98" s="178"/>
    </row>
    <row r="99" spans="1:7" x14ac:dyDescent="0.35">
      <c r="A99" s="38" t="s">
        <v>61</v>
      </c>
      <c r="B99" s="43">
        <f>'2. SBI Project-9157'!C6</f>
        <v>12700000</v>
      </c>
      <c r="C99" s="54">
        <v>0</v>
      </c>
      <c r="D99" s="41">
        <f>SUM('2. SBI Project-9157'!D6:D17)</f>
        <v>6000000</v>
      </c>
      <c r="E99" s="41">
        <f>'2. SBI Project-9157'!G17</f>
        <v>6700000</v>
      </c>
      <c r="F99" s="55">
        <f>SUM('2. SBI Project-9157'!E6:$E$18)</f>
        <v>862783.33333333326</v>
      </c>
      <c r="G99" s="60"/>
    </row>
    <row r="100" spans="1:7" x14ac:dyDescent="0.35">
      <c r="A100" s="38" t="s">
        <v>62</v>
      </c>
      <c r="B100" s="43">
        <f>'2. SBI Project-9157'!C18</f>
        <v>6700000</v>
      </c>
      <c r="C100" s="54">
        <v>0</v>
      </c>
      <c r="D100" s="41">
        <f>SUM('2. SBI Project-9157'!D18:D29)</f>
        <v>6000000</v>
      </c>
      <c r="E100" s="41">
        <f>'2. SBI Project-9157'!G29</f>
        <v>700000</v>
      </c>
      <c r="F100" s="55">
        <f>SUM('2. SBI Project-9157'!E18:$E$29)</f>
        <v>331800</v>
      </c>
      <c r="G100" s="60"/>
    </row>
    <row r="101" spans="1:7" x14ac:dyDescent="0.35">
      <c r="A101" s="38" t="s">
        <v>63</v>
      </c>
      <c r="B101" s="43">
        <f>'2. SBI Project-9157'!C30</f>
        <v>700000</v>
      </c>
      <c r="C101" s="54">
        <v>0</v>
      </c>
      <c r="D101" s="41">
        <f>SUM('2. SBI Project-9157'!D30:D31)</f>
        <v>700000</v>
      </c>
      <c r="E101" s="41">
        <f>'2. SBI Project-9157'!G31</f>
        <v>0</v>
      </c>
      <c r="F101" s="55">
        <f>SUM('2. SBI Project-9157'!E30:E31)</f>
        <v>6300</v>
      </c>
      <c r="G101" s="60"/>
    </row>
    <row r="102" spans="1:7" x14ac:dyDescent="0.35">
      <c r="A102" s="38" t="s">
        <v>64</v>
      </c>
      <c r="B102" s="43"/>
      <c r="C102" s="54"/>
      <c r="D102" s="41"/>
      <c r="E102" s="41"/>
      <c r="F102" s="55"/>
      <c r="G102" s="60"/>
    </row>
    <row r="103" spans="1:7" x14ac:dyDescent="0.35">
      <c r="A103" s="38" t="s">
        <v>65</v>
      </c>
      <c r="B103" s="43"/>
      <c r="C103" s="54"/>
      <c r="D103" s="41"/>
      <c r="E103" s="41"/>
      <c r="F103" s="55"/>
      <c r="G103" s="60"/>
    </row>
    <row r="104" spans="1:7" x14ac:dyDescent="0.35">
      <c r="A104" s="38" t="s">
        <v>66</v>
      </c>
      <c r="B104" s="43"/>
      <c r="C104" s="54"/>
      <c r="D104" s="41"/>
      <c r="E104" s="41"/>
      <c r="F104" s="55"/>
      <c r="G104" s="60"/>
    </row>
    <row r="105" spans="1:7" x14ac:dyDescent="0.35">
      <c r="A105" s="38" t="s">
        <v>67</v>
      </c>
      <c r="B105" s="43"/>
      <c r="C105" s="54"/>
      <c r="D105" s="41"/>
      <c r="E105" s="41"/>
      <c r="F105" s="55"/>
      <c r="G105" s="60"/>
    </row>
    <row r="106" spans="1:7" x14ac:dyDescent="0.35">
      <c r="A106" s="38" t="s">
        <v>68</v>
      </c>
      <c r="B106" s="43"/>
      <c r="C106" s="54"/>
      <c r="D106" s="41"/>
      <c r="E106" s="41"/>
      <c r="F106" s="55"/>
      <c r="G106" s="60"/>
    </row>
    <row r="107" spans="1:7" x14ac:dyDescent="0.35">
      <c r="A107" s="38" t="s">
        <v>76</v>
      </c>
      <c r="B107" s="43"/>
      <c r="C107" s="54"/>
      <c r="D107" s="41"/>
      <c r="E107" s="41"/>
      <c r="F107" s="55"/>
      <c r="G107" s="60"/>
    </row>
    <row r="108" spans="1:7" x14ac:dyDescent="0.35">
      <c r="A108" s="56"/>
      <c r="B108" s="57"/>
      <c r="C108" s="58"/>
      <c r="D108" s="59"/>
      <c r="E108" s="59"/>
      <c r="F108" s="60"/>
      <c r="G108" s="60"/>
    </row>
    <row r="109" spans="1:7" x14ac:dyDescent="0.35">
      <c r="A109" s="56"/>
      <c r="B109" s="57"/>
      <c r="C109" s="58"/>
      <c r="D109" s="59"/>
      <c r="E109" s="59"/>
      <c r="F109" s="60"/>
      <c r="G109" s="60"/>
    </row>
    <row r="110" spans="1:7" x14ac:dyDescent="0.35">
      <c r="A110" s="56"/>
      <c r="B110" s="57"/>
      <c r="C110" s="58"/>
      <c r="D110" s="59"/>
      <c r="E110" s="59"/>
      <c r="F110" s="60"/>
      <c r="G110" s="60"/>
    </row>
    <row r="111" spans="1:7" x14ac:dyDescent="0.35">
      <c r="A111" s="56"/>
      <c r="B111" s="57"/>
      <c r="C111" s="58"/>
      <c r="D111" s="59"/>
      <c r="E111" s="59"/>
      <c r="F111" s="60"/>
      <c r="G111" s="60"/>
    </row>
    <row r="112" spans="1:7" x14ac:dyDescent="0.35">
      <c r="A112" s="56"/>
      <c r="B112" s="57"/>
      <c r="C112" s="58"/>
      <c r="D112" s="59"/>
      <c r="E112" s="59"/>
      <c r="F112" s="60"/>
      <c r="G112" s="60"/>
    </row>
    <row r="113" spans="1:7" x14ac:dyDescent="0.35">
      <c r="A113" s="56"/>
      <c r="B113" s="57"/>
      <c r="C113" s="58"/>
      <c r="D113" s="59"/>
      <c r="E113" s="59"/>
      <c r="F113" s="60"/>
      <c r="G113" s="60"/>
    </row>
    <row r="114" spans="1:7" x14ac:dyDescent="0.35">
      <c r="A114" s="56"/>
      <c r="B114" s="57"/>
      <c r="C114" s="58"/>
      <c r="D114" s="59"/>
      <c r="E114" s="59"/>
      <c r="F114" s="60"/>
      <c r="G114" s="60"/>
    </row>
    <row r="115" spans="1:7" x14ac:dyDescent="0.35">
      <c r="A115" s="51" t="str">
        <f>'3. SBI-5610'!B1</f>
        <v>Loan from State Bank of India (Coimbtore Project- New-5610)</v>
      </c>
    </row>
    <row r="117" spans="1:7" x14ac:dyDescent="0.35">
      <c r="A117" s="35" t="s">
        <v>55</v>
      </c>
      <c r="B117" s="35" t="s">
        <v>56</v>
      </c>
      <c r="C117" s="35" t="s">
        <v>57</v>
      </c>
      <c r="D117" s="36" t="s">
        <v>58</v>
      </c>
      <c r="E117" s="36" t="s">
        <v>59</v>
      </c>
      <c r="F117" s="36" t="s">
        <v>60</v>
      </c>
      <c r="G117" s="178"/>
    </row>
    <row r="118" spans="1:7" x14ac:dyDescent="0.35">
      <c r="A118" s="38" t="s">
        <v>61</v>
      </c>
      <c r="B118" s="43">
        <f>'3. SBI-5610'!C6</f>
        <v>59335895</v>
      </c>
      <c r="C118" s="54">
        <v>0</v>
      </c>
      <c r="D118" s="41">
        <f>SUM('3. SBI-5610'!D6:$D$17)</f>
        <v>9753852</v>
      </c>
      <c r="E118" s="41">
        <f>'3. SBI-5610'!G17</f>
        <v>49582043</v>
      </c>
      <c r="F118" s="55">
        <f>SUM('3. SBI-5610'!E6:E17)</f>
        <v>4511830.7721666666</v>
      </c>
      <c r="G118" s="60"/>
    </row>
    <row r="119" spans="1:7" x14ac:dyDescent="0.35">
      <c r="A119" s="38" t="s">
        <v>62</v>
      </c>
      <c r="B119" s="43">
        <f>'3. SBI-5610'!C18</f>
        <v>49582043</v>
      </c>
      <c r="C119" s="54">
        <v>0</v>
      </c>
      <c r="D119" s="41">
        <f>SUM('3. SBI-5610'!D18:D29)</f>
        <v>9753852</v>
      </c>
      <c r="E119" s="41">
        <f>'3. SBI-5610'!G29</f>
        <v>39828191</v>
      </c>
      <c r="F119" s="55">
        <f>SUM('3. SBI-5610'!E18:E29)</f>
        <v>3789368.3100000005</v>
      </c>
      <c r="G119" s="60"/>
    </row>
    <row r="120" spans="1:7" x14ac:dyDescent="0.35">
      <c r="A120" s="38" t="s">
        <v>63</v>
      </c>
      <c r="B120" s="43">
        <f>'3. SBI-5610'!C30</f>
        <v>39828191</v>
      </c>
      <c r="C120" s="54">
        <v>0</v>
      </c>
      <c r="D120" s="41">
        <f>SUM('3. SBI-5610'!D30:D41)</f>
        <v>9753852</v>
      </c>
      <c r="E120" s="41">
        <f>'3. SBI-5610'!G41</f>
        <v>30074339</v>
      </c>
      <c r="F120" s="55">
        <f>SUM('3. SBI-5610'!E30:E41)</f>
        <v>2970044.7420000001</v>
      </c>
      <c r="G120" s="60"/>
    </row>
    <row r="121" spans="1:7" x14ac:dyDescent="0.35">
      <c r="A121" s="38" t="s">
        <v>64</v>
      </c>
      <c r="B121" s="43">
        <f>'3. SBI-5610'!C42</f>
        <v>30074339</v>
      </c>
      <c r="C121" s="54">
        <v>0</v>
      </c>
      <c r="D121" s="41">
        <f>SUM('3. SBI-5610'!D42:$D$53)</f>
        <v>9753852</v>
      </c>
      <c r="E121" s="41">
        <f>'3. SBI-5610'!G53</f>
        <v>20320487</v>
      </c>
      <c r="F121" s="55">
        <f>SUM('3. SBI-5610'!E42:E53)</f>
        <v>2150721.1740000001</v>
      </c>
      <c r="G121" s="60"/>
    </row>
    <row r="122" spans="1:7" x14ac:dyDescent="0.35">
      <c r="A122" s="38" t="s">
        <v>65</v>
      </c>
      <c r="B122" s="43">
        <f>'3. SBI-5610'!C54</f>
        <v>20320487</v>
      </c>
      <c r="C122" s="54">
        <v>0</v>
      </c>
      <c r="D122" s="41">
        <f>SUM('3. SBI-5610'!D54:$D$65)</f>
        <v>9753852</v>
      </c>
      <c r="E122" s="41">
        <f>'3. SBI-5610'!G65</f>
        <v>10566635</v>
      </c>
      <c r="F122" s="55">
        <f>SUM('3. SBI-5610'!E54:$E$65)</f>
        <v>1331397.6059999999</v>
      </c>
      <c r="G122" s="60"/>
    </row>
    <row r="123" spans="1:7" x14ac:dyDescent="0.35">
      <c r="A123" s="38" t="s">
        <v>66</v>
      </c>
      <c r="B123" s="43">
        <f>'3. SBI-5610'!C66</f>
        <v>10566635</v>
      </c>
      <c r="C123" s="54">
        <v>0</v>
      </c>
      <c r="D123" s="41">
        <f>SUM('3. SBI-5610'!D66:$D$77)</f>
        <v>9753852</v>
      </c>
      <c r="E123" s="41">
        <f>'3. SBI-5610'!G77</f>
        <v>812783</v>
      </c>
      <c r="F123" s="55">
        <f>SUM('3. SBI-5610'!E66:$E$77)</f>
        <v>512074.038</v>
      </c>
      <c r="G123" s="60"/>
    </row>
    <row r="124" spans="1:7" x14ac:dyDescent="0.35">
      <c r="A124" s="38" t="s">
        <v>67</v>
      </c>
      <c r="B124" s="43">
        <f>'3. SBI-5610'!C78</f>
        <v>812783</v>
      </c>
      <c r="C124" s="54">
        <v>0</v>
      </c>
      <c r="D124" s="41">
        <f>'3. SBI-5610'!D78</f>
        <v>812783</v>
      </c>
      <c r="E124" s="41">
        <f>'3. SBI-5610'!G78</f>
        <v>0</v>
      </c>
      <c r="F124" s="55">
        <f>'3. SBI-5610'!E78</f>
        <v>5689.4809999999998</v>
      </c>
      <c r="G124" s="60"/>
    </row>
    <row r="125" spans="1:7" x14ac:dyDescent="0.35">
      <c r="A125" s="38" t="s">
        <v>68</v>
      </c>
      <c r="B125" s="43"/>
      <c r="C125" s="54"/>
      <c r="D125" s="41"/>
      <c r="E125" s="41"/>
      <c r="F125" s="55"/>
      <c r="G125" s="60"/>
    </row>
    <row r="126" spans="1:7" x14ac:dyDescent="0.35">
      <c r="A126" s="38" t="s">
        <v>76</v>
      </c>
      <c r="B126" s="43"/>
      <c r="C126" s="54"/>
      <c r="D126" s="41"/>
      <c r="E126" s="41"/>
      <c r="F126" s="55"/>
      <c r="G126" s="60"/>
    </row>
    <row r="128" spans="1:7" x14ac:dyDescent="0.35">
      <c r="A128" s="51" t="str">
        <f>'SBI Halol-3679'!B1</f>
        <v>Loan from State Bank of India For Halol Project-3679</v>
      </c>
    </row>
    <row r="130" spans="1:7" x14ac:dyDescent="0.35">
      <c r="A130" s="35" t="s">
        <v>55</v>
      </c>
      <c r="B130" s="35" t="s">
        <v>56</v>
      </c>
      <c r="C130" s="35" t="s">
        <v>57</v>
      </c>
      <c r="D130" s="36" t="s">
        <v>58</v>
      </c>
      <c r="E130" s="36" t="s">
        <v>59</v>
      </c>
      <c r="F130" s="36" t="s">
        <v>60</v>
      </c>
      <c r="G130" s="178"/>
    </row>
    <row r="131" spans="1:7" x14ac:dyDescent="0.35">
      <c r="A131" s="38" t="s">
        <v>61</v>
      </c>
      <c r="B131" s="43">
        <f>'SBI Halol-3679'!$C$6</f>
        <v>0</v>
      </c>
      <c r="C131" s="54">
        <f>'SBI Halol-3679'!$C$16+10000000</f>
        <v>76000000</v>
      </c>
      <c r="D131" s="41">
        <f>SUM('SBI Halol-3679'!D6:$D$17)</f>
        <v>1948718</v>
      </c>
      <c r="E131" s="41">
        <f>'SBI Halol-3679'!$G$17</f>
        <v>74051282</v>
      </c>
      <c r="F131" s="55">
        <f>SUM('SBI Halol-3679'!E11:E17)</f>
        <v>1967179.487</v>
      </c>
      <c r="G131" s="60"/>
    </row>
    <row r="132" spans="1:7" x14ac:dyDescent="0.35">
      <c r="A132" s="38" t="s">
        <v>62</v>
      </c>
      <c r="B132" s="43">
        <f>'SBI Halol-3679'!C18</f>
        <v>74051282</v>
      </c>
      <c r="C132" s="54">
        <v>0</v>
      </c>
      <c r="D132" s="41">
        <f>SUM('SBI Halol-3679'!D18:$D$29)</f>
        <v>11692308</v>
      </c>
      <c r="E132" s="41">
        <f>'SBI Halol-3679'!G29</f>
        <v>62358974</v>
      </c>
      <c r="F132" s="55">
        <f>SUM('SBI Halol-3679'!E18:$E$29)</f>
        <v>5770153.8300000001</v>
      </c>
      <c r="G132" s="60"/>
    </row>
    <row r="133" spans="1:7" x14ac:dyDescent="0.35">
      <c r="A133" s="38" t="s">
        <v>63</v>
      </c>
      <c r="B133" s="43">
        <f>'SBI Halol-3679'!C30</f>
        <v>62358974</v>
      </c>
      <c r="C133" s="54">
        <v>0</v>
      </c>
      <c r="D133" s="41">
        <f>SUM('SBI Halol-3679'!D30:$D$41)</f>
        <v>11692308</v>
      </c>
      <c r="E133" s="41">
        <f>'SBI Halol-3679'!G41</f>
        <v>50666666</v>
      </c>
      <c r="F133" s="55">
        <f>SUM('SBI Halol-3679'!E30:$E$41)</f>
        <v>4787999.9579999996</v>
      </c>
      <c r="G133" s="60"/>
    </row>
    <row r="134" spans="1:7" x14ac:dyDescent="0.35">
      <c r="A134" s="38" t="s">
        <v>64</v>
      </c>
      <c r="B134" s="43">
        <f>'SBI Halol-3679'!C42</f>
        <v>50666666</v>
      </c>
      <c r="C134" s="54">
        <v>0</v>
      </c>
      <c r="D134" s="41">
        <f>SUM('SBI Halol-3679'!D42:$D$53)</f>
        <v>11692308</v>
      </c>
      <c r="E134" s="41">
        <f>'SBI Halol-3679'!G53</f>
        <v>38974358</v>
      </c>
      <c r="F134" s="55">
        <f>SUM('SBI Halol-3679'!E42:$E$53)</f>
        <v>3805846.0859999997</v>
      </c>
      <c r="G134" s="60"/>
    </row>
    <row r="135" spans="1:7" x14ac:dyDescent="0.35">
      <c r="A135" s="38" t="s">
        <v>65</v>
      </c>
      <c r="B135" s="43">
        <f>'SBI Halol-3679'!C54</f>
        <v>38974358</v>
      </c>
      <c r="C135" s="54">
        <v>0</v>
      </c>
      <c r="D135" s="41">
        <f>SUM('SBI Halol-3679'!D54:$D$65)</f>
        <v>11692308</v>
      </c>
      <c r="E135" s="41">
        <f>'SBI Halol-3679'!G65</f>
        <v>27282050</v>
      </c>
      <c r="F135" s="55">
        <f>SUM('SBI Halol-3679'!E54:$E$65)</f>
        <v>2823692.2140000002</v>
      </c>
      <c r="G135" s="60"/>
    </row>
    <row r="136" spans="1:7" x14ac:dyDescent="0.35">
      <c r="A136" s="38" t="s">
        <v>66</v>
      </c>
      <c r="B136" s="43">
        <f>'SBI Halol-3679'!C66</f>
        <v>27282050</v>
      </c>
      <c r="C136" s="54">
        <v>0</v>
      </c>
      <c r="D136" s="41">
        <f>SUM('SBI Halol-3679'!D66:$D$77)</f>
        <v>11692308</v>
      </c>
      <c r="E136" s="41">
        <f>'SBI Halol-3679'!G77</f>
        <v>15589742</v>
      </c>
      <c r="F136" s="55">
        <f>SUM('SBI Halol-3679'!E66:$E$77)</f>
        <v>1841538.3420000002</v>
      </c>
      <c r="G136" s="60"/>
    </row>
    <row r="137" spans="1:7" x14ac:dyDescent="0.35">
      <c r="A137" s="38" t="s">
        <v>67</v>
      </c>
      <c r="B137" s="43">
        <f>'SBI Halol-3679'!C78</f>
        <v>15589742</v>
      </c>
      <c r="C137" s="54">
        <v>0</v>
      </c>
      <c r="D137" s="41">
        <f>SUM('SBI Halol-3679'!D78:D89)</f>
        <v>11692308</v>
      </c>
      <c r="E137" s="41">
        <f>'SBI Halol-3679'!G89</f>
        <v>3897434</v>
      </c>
      <c r="F137" s="55">
        <f>SUM('SBI Halol-3679'!E78:$E$89)</f>
        <v>859384.47000000009</v>
      </c>
      <c r="G137" s="60"/>
    </row>
    <row r="138" spans="1:7" x14ac:dyDescent="0.35">
      <c r="A138" s="38" t="s">
        <v>68</v>
      </c>
      <c r="B138" s="43">
        <f>'SBI Halol-3679'!C90</f>
        <v>3897434</v>
      </c>
      <c r="C138" s="54">
        <v>0</v>
      </c>
      <c r="D138" s="41">
        <f>SUM('SBI Halol-3679'!D90:$D$93)</f>
        <v>3897434</v>
      </c>
      <c r="E138" s="41">
        <f>'SBI Halol-3679'!G93</f>
        <v>0</v>
      </c>
      <c r="F138" s="55">
        <f>SUM('SBI Halol-3679'!E90:$E$93)</f>
        <v>68205.073999999993</v>
      </c>
      <c r="G138" s="60"/>
    </row>
    <row r="139" spans="1:7" x14ac:dyDescent="0.35">
      <c r="A139" s="38" t="s">
        <v>76</v>
      </c>
      <c r="B139" s="43"/>
      <c r="C139" s="54"/>
      <c r="D139" s="41"/>
      <c r="E139" s="41"/>
      <c r="F139" s="55"/>
      <c r="G139" s="60"/>
    </row>
    <row r="141" spans="1:7" x14ac:dyDescent="0.35">
      <c r="A141" s="51" t="str">
        <f>'7. ICICI Property-8764'!B1</f>
        <v>Loan from ICICI Bank (Secured against Property at K.M. Tower-8764)-ROI-7.50%</v>
      </c>
    </row>
    <row r="143" spans="1:7" x14ac:dyDescent="0.35">
      <c r="A143" s="35" t="s">
        <v>55</v>
      </c>
      <c r="B143" s="35" t="s">
        <v>56</v>
      </c>
      <c r="C143" s="35" t="s">
        <v>57</v>
      </c>
      <c r="D143" s="36" t="s">
        <v>58</v>
      </c>
      <c r="E143" s="36" t="s">
        <v>59</v>
      </c>
      <c r="F143" s="36" t="s">
        <v>60</v>
      </c>
      <c r="G143" s="178"/>
    </row>
    <row r="144" spans="1:7" x14ac:dyDescent="0.35">
      <c r="A144" s="38" t="s">
        <v>61</v>
      </c>
      <c r="B144" s="43">
        <f>'7. ICICI Property-8764'!C6</f>
        <v>10896009</v>
      </c>
      <c r="C144" s="54">
        <v>0</v>
      </c>
      <c r="D144" s="41">
        <f>SUM('7. ICICI Property-8764'!E6:$E$17)</f>
        <v>655715.28428418271</v>
      </c>
      <c r="E144" s="41">
        <f>'7. ICICI Property-8764'!G17</f>
        <v>10240293.71571582</v>
      </c>
      <c r="F144" s="55">
        <f>SUM('7. ICICI Property-8764'!F6:$F$17)</f>
        <v>794964.71571581741</v>
      </c>
      <c r="G144" s="60"/>
    </row>
    <row r="145" spans="1:7" x14ac:dyDescent="0.35">
      <c r="A145" s="38" t="s">
        <v>62</v>
      </c>
      <c r="B145" s="43">
        <f>'7. ICICI Property-8764'!C18</f>
        <v>10240293.71571582</v>
      </c>
      <c r="C145" s="54">
        <v>0</v>
      </c>
      <c r="D145" s="41">
        <f>SUM('7. ICICI Property-8764'!E18:$E$29)</f>
        <v>706620.1659127844</v>
      </c>
      <c r="E145" s="41">
        <f>'7. ICICI Property-8764'!G29</f>
        <v>9533673.5498030297</v>
      </c>
      <c r="F145" s="55">
        <f>SUM('7. ICICI Property-8764'!F18:$F$29)</f>
        <v>744059.8340872156</v>
      </c>
      <c r="G145" s="60"/>
    </row>
    <row r="146" spans="1:7" x14ac:dyDescent="0.35">
      <c r="A146" s="38" t="s">
        <v>63</v>
      </c>
      <c r="B146" s="43">
        <f>'7. ICICI Property-8764'!C30</f>
        <v>9533673.5498030297</v>
      </c>
      <c r="C146" s="54">
        <v>0</v>
      </c>
      <c r="D146" s="41">
        <f>SUM('7. ICICI Property-8764'!E30:$E$41)</f>
        <v>761476.9257966734</v>
      </c>
      <c r="E146" s="41">
        <f>'7. ICICI Property-8764'!G41</f>
        <v>8772196.6240063552</v>
      </c>
      <c r="F146" s="55">
        <f>SUM('7. ICICI Property-8764'!F30:$F$41)</f>
        <v>689203.0742033266</v>
      </c>
      <c r="G146" s="60"/>
    </row>
    <row r="147" spans="1:7" x14ac:dyDescent="0.35">
      <c r="A147" s="38" t="s">
        <v>64</v>
      </c>
      <c r="B147" s="43">
        <f>'7. ICICI Property-8764'!C42</f>
        <v>8772196.6240063552</v>
      </c>
      <c r="C147" s="54">
        <v>0</v>
      </c>
      <c r="D147" s="41">
        <f>SUM('7. ICICI Property-8764'!E42:$E$53)</f>
        <v>820592.35851516947</v>
      </c>
      <c r="E147" s="41">
        <f>'7. ICICI Property-8764'!G53</f>
        <v>7951604.2654911866</v>
      </c>
      <c r="F147" s="55">
        <f>SUM('7. ICICI Property-8764'!F42:$F$53)</f>
        <v>630087.64148483076</v>
      </c>
      <c r="G147" s="60"/>
    </row>
    <row r="148" spans="1:7" x14ac:dyDescent="0.35">
      <c r="A148" s="38" t="s">
        <v>65</v>
      </c>
      <c r="B148" s="43">
        <f>'7. ICICI Property-8764'!C54</f>
        <v>7951604.2654911866</v>
      </c>
      <c r="C148" s="54">
        <v>0</v>
      </c>
      <c r="D148" s="41">
        <f>SUM('7. ICICI Property-8764'!E54:$E$65)</f>
        <v>884297.07590810105</v>
      </c>
      <c r="E148" s="41">
        <f>'7. ICICI Property-8764'!G65</f>
        <v>7067307.1895830864</v>
      </c>
      <c r="F148" s="55">
        <f>SUM('7. ICICI Property-8764'!F54:$F$65)</f>
        <v>566382.92409189895</v>
      </c>
      <c r="G148" s="60"/>
    </row>
    <row r="149" spans="1:7" x14ac:dyDescent="0.35">
      <c r="A149" s="38" t="s">
        <v>66</v>
      </c>
      <c r="B149" s="43">
        <f>'7. ICICI Property-8764'!C66</f>
        <v>7067307.1895830864</v>
      </c>
      <c r="C149" s="54">
        <v>0</v>
      </c>
      <c r="D149" s="41">
        <f>SUM('7. ICICI Property-8764'!E66:$E$77)</f>
        <v>952947.35607163515</v>
      </c>
      <c r="E149" s="41">
        <f>'7. ICICI Property-8764'!G77</f>
        <v>6114359.8335114503</v>
      </c>
      <c r="F149" s="55">
        <f>SUM('7. ICICI Property-8764'!F66:$F$77)</f>
        <v>497732.64392836497</v>
      </c>
      <c r="G149" s="60"/>
    </row>
    <row r="150" spans="1:7" x14ac:dyDescent="0.35">
      <c r="A150" s="38" t="s">
        <v>67</v>
      </c>
      <c r="B150" s="43">
        <f>'7. ICICI Property-8764'!C78</f>
        <v>6114359.8335114503</v>
      </c>
      <c r="C150" s="54">
        <v>0</v>
      </c>
      <c r="D150" s="41">
        <f>SUM('7. ICICI Property-8764'!E78:$E$89)</f>
        <v>1026927.1358964588</v>
      </c>
      <c r="E150" s="41">
        <f>'7. ICICI Property-8764'!G89</f>
        <v>5087432.6976149911</v>
      </c>
      <c r="F150" s="55">
        <f>SUM('7. ICICI Property-8764'!F78:$F$89)</f>
        <v>423752.86410354113</v>
      </c>
      <c r="G150" s="60"/>
    </row>
    <row r="151" spans="1:7" x14ac:dyDescent="0.35">
      <c r="A151" s="38" t="s">
        <v>68</v>
      </c>
      <c r="B151" s="43">
        <f>'7. ICICI Property-8764'!C90</f>
        <v>5087432.6976149911</v>
      </c>
      <c r="C151" s="54">
        <v>0</v>
      </c>
      <c r="D151" s="41">
        <f>SUM('7. ICICI Property-8764'!E90:$E$101)</f>
        <v>1106650.1582918805</v>
      </c>
      <c r="E151" s="41">
        <f>'7. ICICI Property-8764'!G101</f>
        <v>3980782.539323112</v>
      </c>
      <c r="F151" s="55">
        <f>SUM('7. ICICI Property-8764'!F90:$F$101)</f>
        <v>344029.84170811955</v>
      </c>
      <c r="G151" s="60"/>
    </row>
    <row r="152" spans="1:7" x14ac:dyDescent="0.35">
      <c r="A152" s="38" t="s">
        <v>76</v>
      </c>
      <c r="B152" s="43">
        <f>'7. ICICI Property-8764'!C102</f>
        <v>3980782.539323112</v>
      </c>
      <c r="C152" s="54">
        <v>0</v>
      </c>
      <c r="D152" s="41">
        <f>SUM('7. ICICI Property-8764'!E102:$E$113)</f>
        <v>1192562.2861045161</v>
      </c>
      <c r="E152" s="41">
        <f>'7. ICICI Property-8764'!G113</f>
        <v>2788220.2532185954</v>
      </c>
      <c r="F152" s="55">
        <f>SUM('7. ICICI Property-8764'!F102:$F$113)</f>
        <v>258117.71389548384</v>
      </c>
      <c r="G152" s="60"/>
    </row>
    <row r="154" spans="1:7" x14ac:dyDescent="0.35">
      <c r="A154" s="51" t="str">
        <f>'HDFC ATS-6040'!B1</f>
        <v>Loan from HDFC-(Secured against ATS Flat-6040)- ROI-7.60%</v>
      </c>
    </row>
    <row r="156" spans="1:7" x14ac:dyDescent="0.35">
      <c r="A156" s="35" t="s">
        <v>55</v>
      </c>
      <c r="B156" s="35" t="s">
        <v>56</v>
      </c>
      <c r="C156" s="35" t="s">
        <v>57</v>
      </c>
      <c r="D156" s="36" t="s">
        <v>58</v>
      </c>
      <c r="E156" s="36" t="s">
        <v>59</v>
      </c>
      <c r="F156" s="36" t="s">
        <v>60</v>
      </c>
      <c r="G156" s="178"/>
    </row>
    <row r="157" spans="1:7" x14ac:dyDescent="0.35">
      <c r="A157" s="38" t="s">
        <v>61</v>
      </c>
      <c r="B157" s="43">
        <f>'HDFC ATS-6040'!C6</f>
        <v>0</v>
      </c>
      <c r="C157" s="54">
        <f>'HDFC ATS-6040'!C9</f>
        <v>24500000</v>
      </c>
      <c r="D157" s="41">
        <f>SUM('HDFC ATS-6040'!E6:$E$17)</f>
        <v>403461.48168341455</v>
      </c>
      <c r="E157" s="41">
        <f>'HDFC ATS-6040'!G17</f>
        <v>24096538.518316582</v>
      </c>
      <c r="F157" s="55">
        <f>SUM('HDFC ATS-6040'!F6:$F$17)</f>
        <v>1386386.5183165853</v>
      </c>
      <c r="G157" s="60"/>
    </row>
    <row r="158" spans="1:7" x14ac:dyDescent="0.35">
      <c r="A158" s="38" t="s">
        <v>62</v>
      </c>
      <c r="B158" s="43">
        <f>'HDFC ATS-6040'!C18</f>
        <v>24096538.518316582</v>
      </c>
      <c r="C158" s="54">
        <v>0</v>
      </c>
      <c r="D158" s="41">
        <f>SUM('HDFC ATS-6040'!E18:$E$29)</f>
        <v>574878.09954892658</v>
      </c>
      <c r="E158" s="41">
        <f>'HDFC ATS-6040'!G29</f>
        <v>23521660.418767657</v>
      </c>
      <c r="F158" s="55">
        <f>SUM('HDFC ATS-6040'!F18:$F$29)</f>
        <v>1811585.9004510737</v>
      </c>
      <c r="G158" s="60"/>
    </row>
    <row r="159" spans="1:7" x14ac:dyDescent="0.35">
      <c r="A159" s="38" t="s">
        <v>63</v>
      </c>
      <c r="B159" s="43">
        <f>'HDFC ATS-6040'!C30</f>
        <v>23521660.418767657</v>
      </c>
      <c r="C159" s="54">
        <v>0</v>
      </c>
      <c r="D159" s="41">
        <f>SUM('HDFC ATS-6040'!E30:$E$41)</f>
        <v>620123.32045288652</v>
      </c>
      <c r="E159" s="41">
        <f>'HDFC ATS-6040'!G41</f>
        <v>22901537.09831477</v>
      </c>
      <c r="F159" s="55">
        <f>SUM('HDFC ATS-6040'!F30:$F$41)</f>
        <v>1766340.6795471136</v>
      </c>
      <c r="G159" s="60"/>
    </row>
    <row r="160" spans="1:7" x14ac:dyDescent="0.35">
      <c r="A160" s="38" t="s">
        <v>64</v>
      </c>
      <c r="B160" s="43">
        <f>'HDFC ATS-6040'!C42</f>
        <v>22901537.09831477</v>
      </c>
      <c r="C160" s="54">
        <v>0</v>
      </c>
      <c r="D160" s="41">
        <f>SUM('HDFC ATS-6040'!E42:$E$53)</f>
        <v>668929.52240005229</v>
      </c>
      <c r="E160" s="41">
        <f>'HDFC ATS-6040'!G53</f>
        <v>22232607.575914722</v>
      </c>
      <c r="F160" s="55">
        <f>SUM('HDFC ATS-6040'!F42:$F$53)</f>
        <v>1717534.4775999475</v>
      </c>
      <c r="G160" s="60"/>
    </row>
    <row r="161" spans="1:7" x14ac:dyDescent="0.35">
      <c r="A161" s="38" t="s">
        <v>65</v>
      </c>
      <c r="B161" s="43">
        <f>'HDFC ATS-6040'!C54</f>
        <v>22232607.575914722</v>
      </c>
      <c r="C161" s="54">
        <v>0</v>
      </c>
      <c r="D161" s="41">
        <f>SUM('HDFC ATS-6040'!E54:$E$65)</f>
        <v>721576.96893509815</v>
      </c>
      <c r="E161" s="41">
        <f>'HDFC ATS-6040'!G65</f>
        <v>21511030.606979623</v>
      </c>
      <c r="F161" s="55">
        <f>SUM('HDFC ATS-6040'!F54:$F$65)</f>
        <v>1664887.0310649015</v>
      </c>
      <c r="G161" s="60"/>
    </row>
    <row r="162" spans="1:7" x14ac:dyDescent="0.35">
      <c r="A162" s="38" t="s">
        <v>66</v>
      </c>
      <c r="B162" s="43">
        <f>'HDFC ATS-6040'!C66</f>
        <v>21511030.606979623</v>
      </c>
      <c r="C162" s="54">
        <v>0</v>
      </c>
      <c r="D162" s="41">
        <f>SUM('HDFC ATS-6040'!E66:$E$77)</f>
        <v>778367.98147200863</v>
      </c>
      <c r="E162" s="41">
        <f>'HDFC ATS-6040'!G77</f>
        <v>20732662.625507619</v>
      </c>
      <c r="F162" s="55">
        <f>SUM('HDFC ATS-6040'!F66:$F$77)</f>
        <v>1608096.0185279911</v>
      </c>
      <c r="G162" s="60"/>
    </row>
    <row r="163" spans="1:7" x14ac:dyDescent="0.35">
      <c r="A163" s="38" t="s">
        <v>67</v>
      </c>
      <c r="B163" s="43">
        <f>'HDFC ATS-6040'!C78</f>
        <v>20732662.625507619</v>
      </c>
      <c r="C163" s="54">
        <v>0</v>
      </c>
      <c r="D163" s="41">
        <f>SUM('HDFC ATS-6040'!E78:$E$89)</f>
        <v>839628.67533720098</v>
      </c>
      <c r="E163" s="41">
        <f>'HDFC ATS-6040'!G89</f>
        <v>19893033.950170424</v>
      </c>
      <c r="F163" s="55">
        <f>SUM('HDFC ATS-6040'!F78:$F$89)</f>
        <v>1546835.3246627992</v>
      </c>
      <c r="G163" s="60"/>
    </row>
    <row r="164" spans="1:7" x14ac:dyDescent="0.35">
      <c r="A164" s="38" t="s">
        <v>68</v>
      </c>
      <c r="B164" s="43">
        <f>'HDFC ATS-6040'!C90</f>
        <v>19893033.950170424</v>
      </c>
      <c r="C164" s="54">
        <v>0</v>
      </c>
      <c r="D164" s="41">
        <f>SUM('HDFC ATS-6040'!E90:$E$101)</f>
        <v>905710.83244622743</v>
      </c>
      <c r="E164" s="41">
        <f>'HDFC ATS-6040'!G101</f>
        <v>18987323.117724195</v>
      </c>
      <c r="F164" s="55">
        <f>SUM('HDFC ATS-6040'!F90:$F$101)</f>
        <v>1480753.1675537725</v>
      </c>
      <c r="G164" s="60"/>
    </row>
    <row r="165" spans="1:7" x14ac:dyDescent="0.35">
      <c r="A165" s="38" t="s">
        <v>76</v>
      </c>
      <c r="B165" s="43">
        <f>'HDFC ATS-6040'!C102</f>
        <v>18987323.117724195</v>
      </c>
      <c r="C165" s="54">
        <v>0</v>
      </c>
      <c r="D165" s="41">
        <f>SUM('HDFC ATS-6040'!E102:$E$113)</f>
        <v>976993.92136767565</v>
      </c>
      <c r="E165" s="41">
        <f>'HDFC ATS-6040'!G113</f>
        <v>18010329.196356516</v>
      </c>
      <c r="F165" s="55">
        <f>SUM('HDFC ATS-6040'!F102:$F$113)</f>
        <v>1409470.0786323242</v>
      </c>
      <c r="G165" s="60"/>
    </row>
    <row r="166" spans="1:7" x14ac:dyDescent="0.35">
      <c r="A166" s="56"/>
      <c r="B166" s="57"/>
      <c r="C166" s="58"/>
      <c r="D166" s="59"/>
      <c r="E166" s="59"/>
      <c r="F166" s="60"/>
      <c r="G166" s="60"/>
    </row>
    <row r="167" spans="1:7" x14ac:dyDescent="0.35">
      <c r="A167" s="56"/>
      <c r="B167" s="57"/>
      <c r="C167" s="58"/>
      <c r="D167" s="59"/>
      <c r="E167" s="59"/>
      <c r="F167" s="60"/>
      <c r="G167" s="60"/>
    </row>
    <row r="168" spans="1:7" x14ac:dyDescent="0.35">
      <c r="A168" s="56"/>
      <c r="B168" s="57"/>
      <c r="C168" s="58"/>
      <c r="D168" s="59"/>
      <c r="E168" s="59"/>
      <c r="F168" s="60"/>
      <c r="G168" s="60"/>
    </row>
    <row r="169" spans="1:7" x14ac:dyDescent="0.35">
      <c r="A169" s="56"/>
      <c r="B169" s="57"/>
      <c r="C169" s="58"/>
      <c r="D169" s="59"/>
      <c r="E169" s="59"/>
      <c r="F169" s="60"/>
      <c r="G169" s="60"/>
    </row>
    <row r="170" spans="1:7" x14ac:dyDescent="0.35">
      <c r="A170" s="56"/>
      <c r="B170" s="57"/>
      <c r="C170" s="58"/>
      <c r="D170" s="59"/>
      <c r="E170" s="59"/>
      <c r="F170" s="60"/>
      <c r="G170" s="60"/>
    </row>
    <row r="171" spans="1:7" x14ac:dyDescent="0.35">
      <c r="A171" s="56"/>
      <c r="B171" s="57"/>
      <c r="C171" s="58"/>
      <c r="D171" s="59"/>
      <c r="E171" s="59"/>
      <c r="F171" s="60"/>
      <c r="G171" s="60"/>
    </row>
    <row r="172" spans="1:7" x14ac:dyDescent="0.35">
      <c r="A172" s="56"/>
      <c r="B172" s="57"/>
      <c r="C172" s="58"/>
      <c r="D172" s="59"/>
      <c r="E172" s="59"/>
      <c r="F172" s="60"/>
      <c r="G172" s="60"/>
    </row>
    <row r="173" spans="1:7" x14ac:dyDescent="0.35">
      <c r="A173" s="51" t="str">
        <f>'5. HDFC Car BMW'!B1</f>
        <v>HDFC Car Loan BMW- ROI-8.60%</v>
      </c>
    </row>
    <row r="175" spans="1:7" x14ac:dyDescent="0.35">
      <c r="A175" s="35" t="s">
        <v>55</v>
      </c>
      <c r="B175" s="35" t="s">
        <v>56</v>
      </c>
      <c r="C175" s="35" t="s">
        <v>57</v>
      </c>
      <c r="D175" s="36" t="s">
        <v>58</v>
      </c>
      <c r="E175" s="36" t="s">
        <v>59</v>
      </c>
      <c r="F175" s="36" t="s">
        <v>60</v>
      </c>
      <c r="G175" s="178"/>
    </row>
    <row r="176" spans="1:7" x14ac:dyDescent="0.35">
      <c r="A176" s="38" t="s">
        <v>61</v>
      </c>
      <c r="B176" s="43">
        <f>'5. HDFC Car BMW'!C5</f>
        <v>1898052</v>
      </c>
      <c r="C176" s="54">
        <v>0</v>
      </c>
      <c r="D176" s="41">
        <f>SUM('5. HDFC Car BMW'!E5:$E$16)</f>
        <v>1190898.5758114362</v>
      </c>
      <c r="E176" s="41">
        <f>'5. HDFC Car BMW'!G16</f>
        <v>707153.4241885636</v>
      </c>
      <c r="F176" s="55">
        <f>SUM('5. HDFC Car BMW'!F5:$F$16)</f>
        <v>117017.42418856389</v>
      </c>
      <c r="G176" s="60"/>
    </row>
    <row r="177" spans="1:7" x14ac:dyDescent="0.35">
      <c r="A177" s="38" t="s">
        <v>62</v>
      </c>
      <c r="B177" s="43">
        <f>'5. HDFC Car BMW'!C17</f>
        <v>707153.4241885636</v>
      </c>
      <c r="C177" s="54">
        <v>0</v>
      </c>
      <c r="D177" s="41">
        <f>SUM('5. HDFC Car BMW'!E17:E23)</f>
        <v>707153.35687704629</v>
      </c>
      <c r="E177" s="41">
        <f>'5. HDFC Car BMW'!G23</f>
        <v>6.731151721032802E-2</v>
      </c>
      <c r="F177" s="55">
        <f>SUM('5. HDFC Car BMW'!F17:$F$23)</f>
        <v>19646.643122953632</v>
      </c>
      <c r="G177" s="60"/>
    </row>
    <row r="178" spans="1:7" x14ac:dyDescent="0.35">
      <c r="A178" s="38" t="s">
        <v>63</v>
      </c>
      <c r="B178" s="43"/>
      <c r="C178" s="54"/>
      <c r="D178" s="41"/>
      <c r="E178" s="41"/>
      <c r="F178" s="55"/>
      <c r="G178" s="60"/>
    </row>
    <row r="179" spans="1:7" x14ac:dyDescent="0.35">
      <c r="A179" s="38" t="s">
        <v>64</v>
      </c>
      <c r="B179" s="43"/>
      <c r="C179" s="54"/>
      <c r="D179" s="41"/>
      <c r="E179" s="41"/>
      <c r="F179" s="55"/>
      <c r="G179" s="60"/>
    </row>
    <row r="180" spans="1:7" x14ac:dyDescent="0.35">
      <c r="A180" s="38" t="s">
        <v>65</v>
      </c>
      <c r="B180" s="43"/>
      <c r="C180" s="54"/>
      <c r="D180" s="41"/>
      <c r="E180" s="41"/>
      <c r="F180" s="55"/>
      <c r="G180" s="60"/>
    </row>
    <row r="181" spans="1:7" x14ac:dyDescent="0.35">
      <c r="A181" s="38" t="s">
        <v>66</v>
      </c>
      <c r="B181" s="43"/>
      <c r="C181" s="54"/>
      <c r="D181" s="41"/>
      <c r="E181" s="41"/>
      <c r="F181" s="55"/>
      <c r="G181" s="60"/>
    </row>
    <row r="182" spans="1:7" x14ac:dyDescent="0.35">
      <c r="A182" s="38" t="s">
        <v>67</v>
      </c>
      <c r="B182" s="43"/>
      <c r="C182" s="54"/>
      <c r="D182" s="41"/>
      <c r="E182" s="41"/>
      <c r="F182" s="55"/>
      <c r="G182" s="60"/>
    </row>
    <row r="183" spans="1:7" x14ac:dyDescent="0.35">
      <c r="A183" s="38" t="s">
        <v>68</v>
      </c>
      <c r="B183" s="43"/>
      <c r="C183" s="54"/>
      <c r="D183" s="41"/>
      <c r="E183" s="41"/>
      <c r="F183" s="55"/>
      <c r="G183" s="60"/>
    </row>
    <row r="184" spans="1:7" x14ac:dyDescent="0.35">
      <c r="A184" s="38" t="s">
        <v>76</v>
      </c>
      <c r="B184" s="43"/>
      <c r="C184" s="54"/>
      <c r="D184" s="41"/>
      <c r="E184" s="41"/>
      <c r="F184" s="55"/>
      <c r="G184" s="60"/>
    </row>
  </sheetData>
  <pageMargins left="0.7" right="0.7" top="0.75" bottom="0.75" header="0.3" footer="0.3"/>
  <pageSetup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C17" sqref="C17"/>
    </sheetView>
  </sheetViews>
  <sheetFormatPr defaultRowHeight="14.4" x14ac:dyDescent="0.3"/>
  <cols>
    <col min="1" max="1" width="5.6640625" bestFit="1" customWidth="1"/>
    <col min="2" max="2" width="30.33203125" bestFit="1" customWidth="1"/>
    <col min="3" max="4" width="8.88671875" bestFit="1" customWidth="1"/>
    <col min="5" max="5" width="9" bestFit="1" customWidth="1"/>
    <col min="6" max="11" width="8.88671875" bestFit="1" customWidth="1"/>
    <col min="12" max="12" width="9" bestFit="1" customWidth="1"/>
  </cols>
  <sheetData>
    <row r="1" spans="1:12" x14ac:dyDescent="0.3">
      <c r="A1" s="207" t="s">
        <v>77</v>
      </c>
      <c r="B1" s="207"/>
      <c r="J1" s="208" t="s">
        <v>78</v>
      </c>
      <c r="K1" s="208"/>
      <c r="L1" s="208"/>
    </row>
    <row r="2" spans="1:12" x14ac:dyDescent="0.3">
      <c r="A2" s="61"/>
      <c r="B2" s="61"/>
      <c r="J2" s="62"/>
      <c r="K2" s="169"/>
      <c r="L2" s="62"/>
    </row>
    <row r="3" spans="1:12" ht="15" thickBot="1" x14ac:dyDescent="0.35">
      <c r="A3" s="63" t="s">
        <v>79</v>
      </c>
      <c r="B3" s="64" t="s">
        <v>80</v>
      </c>
      <c r="C3" s="64" t="s">
        <v>81</v>
      </c>
      <c r="D3" s="64" t="s">
        <v>82</v>
      </c>
      <c r="E3" s="64" t="s">
        <v>83</v>
      </c>
      <c r="F3" s="64" t="s">
        <v>84</v>
      </c>
      <c r="G3" s="64" t="s">
        <v>85</v>
      </c>
      <c r="H3" s="64" t="s">
        <v>86</v>
      </c>
      <c r="I3" s="64" t="s">
        <v>87</v>
      </c>
      <c r="J3" s="64" t="s">
        <v>88</v>
      </c>
      <c r="K3" s="64" t="s">
        <v>282</v>
      </c>
      <c r="L3" s="65" t="s">
        <v>89</v>
      </c>
    </row>
    <row r="4" spans="1:12" x14ac:dyDescent="0.3">
      <c r="A4" s="66">
        <v>1</v>
      </c>
      <c r="B4" t="s">
        <v>90</v>
      </c>
      <c r="C4" s="179">
        <f>'Operating Statement'!E69</f>
        <v>4.3650077303804276</v>
      </c>
      <c r="D4" s="179">
        <f>'Operating Statement'!F69</f>
        <v>3.3340912506321043</v>
      </c>
      <c r="E4" s="179">
        <f>'Operating Statement'!G69</f>
        <v>6.4591115052327268</v>
      </c>
      <c r="F4" s="179">
        <f>'Operating Statement'!H69</f>
        <v>9.0368243944686917</v>
      </c>
      <c r="G4" s="179">
        <f>'Operating Statement'!I69</f>
        <v>10.426683786919533</v>
      </c>
      <c r="H4" s="179">
        <f>'Operating Statement'!J69</f>
        <v>10.740341096439908</v>
      </c>
      <c r="I4" s="179">
        <f>'Operating Statement'!K69</f>
        <v>9.9256236019861657</v>
      </c>
      <c r="J4" s="179">
        <f>'Operating Statement'!L69</f>
        <v>9.1270352113786757</v>
      </c>
      <c r="K4" s="179">
        <f>'Operating Statement'!M69</f>
        <v>7.5032636620863027</v>
      </c>
      <c r="L4" s="180">
        <f>SUM(C4:K4)</f>
        <v>70.917982239524534</v>
      </c>
    </row>
    <row r="5" spans="1:12" x14ac:dyDescent="0.3">
      <c r="A5" s="66">
        <v>2</v>
      </c>
      <c r="B5" t="s">
        <v>91</v>
      </c>
      <c r="C5" s="179">
        <f>'Operating Statement'!E33</f>
        <v>5.1003849999999993</v>
      </c>
      <c r="D5" s="179">
        <f>'Operating Statement'!F33</f>
        <v>6.6532052500000001</v>
      </c>
      <c r="E5" s="179">
        <f>'Operating Statement'!G33</f>
        <v>7.3964837625000008</v>
      </c>
      <c r="F5" s="179">
        <f>'Operating Statement'!H33</f>
        <v>6.433039725625</v>
      </c>
      <c r="G5" s="179">
        <f>'Operating Statement'!I33</f>
        <v>5.6017984286562497</v>
      </c>
      <c r="H5" s="179">
        <f>'Operating Statement'!J33</f>
        <v>4.8835260178140629</v>
      </c>
      <c r="I5" s="179">
        <f>'Operating Statement'!K33</f>
        <v>4.2620539551328918</v>
      </c>
      <c r="J5" s="179">
        <f>'Operating Statement'!L33</f>
        <v>3.7237059418410983</v>
      </c>
      <c r="K5" s="179">
        <f>'Operating Statement'!M33</f>
        <v>3.2568601982522427</v>
      </c>
      <c r="L5" s="180">
        <f>SUM(C5:K5)</f>
        <v>47.311058279821538</v>
      </c>
    </row>
    <row r="6" spans="1:12" x14ac:dyDescent="0.3">
      <c r="A6" s="66">
        <v>3</v>
      </c>
      <c r="B6" t="s">
        <v>92</v>
      </c>
      <c r="C6" s="179">
        <f>'Term Loan Summary CMA'!G4</f>
        <v>1.26125217845543</v>
      </c>
      <c r="D6" s="179">
        <f>'Term Loan Summary CMA'!G5</f>
        <v>2.4382923035661244</v>
      </c>
      <c r="E6" s="179">
        <f>'Term Loan Summary CMA'!G6</f>
        <v>2.8290250026417105</v>
      </c>
      <c r="F6" s="179">
        <f>'Term Loan Summary CMA'!G7</f>
        <v>2.3230548672084796</v>
      </c>
      <c r="G6" s="179">
        <f>'Term Loan Summary CMA'!G8</f>
        <v>1.8331775987156835</v>
      </c>
      <c r="H6" s="179">
        <f>'Term Loan Summary CMA'!G9</f>
        <v>1.3703191042456389</v>
      </c>
      <c r="I6" s="179">
        <f>'Term Loan Summary CMA'!G10</f>
        <v>0.94694121397663722</v>
      </c>
      <c r="J6" s="179">
        <f>'Term Loan Summary CMA'!G11</f>
        <v>0.59167380832619199</v>
      </c>
      <c r="K6" s="179">
        <f>'Term Loan Summary CMA'!G12</f>
        <v>0.30813377925278357</v>
      </c>
      <c r="L6" s="180">
        <f>SUM(C6:K6)</f>
        <v>13.90186985638868</v>
      </c>
    </row>
    <row r="7" spans="1:12" x14ac:dyDescent="0.3">
      <c r="A7" s="66"/>
      <c r="L7" s="67"/>
    </row>
    <row r="8" spans="1:12" ht="15" thickBot="1" x14ac:dyDescent="0.35">
      <c r="A8" s="68"/>
      <c r="B8" s="69" t="s">
        <v>2</v>
      </c>
      <c r="C8" s="181">
        <f t="shared" ref="C8:I8" si="0">SUM(C4:C7)</f>
        <v>10.726644908835857</v>
      </c>
      <c r="D8" s="181">
        <f t="shared" si="0"/>
        <v>12.425588804198229</v>
      </c>
      <c r="E8" s="181">
        <f t="shared" si="0"/>
        <v>16.684620270374438</v>
      </c>
      <c r="F8" s="181">
        <f t="shared" si="0"/>
        <v>17.792918987302173</v>
      </c>
      <c r="G8" s="181">
        <f t="shared" si="0"/>
        <v>17.861659814291464</v>
      </c>
      <c r="H8" s="181">
        <f t="shared" si="0"/>
        <v>16.99418621849961</v>
      </c>
      <c r="I8" s="181">
        <f t="shared" si="0"/>
        <v>15.134618771095695</v>
      </c>
      <c r="J8" s="181">
        <f>SUM(J4:J7)</f>
        <v>13.442414961545966</v>
      </c>
      <c r="K8" s="181">
        <f>SUM(K4:K7)</f>
        <v>11.068257639591328</v>
      </c>
      <c r="L8" s="182">
        <f>SUM(L4:L7)</f>
        <v>132.13091037573474</v>
      </c>
    </row>
    <row r="9" spans="1:12" x14ac:dyDescent="0.3">
      <c r="A9" s="66">
        <v>4</v>
      </c>
      <c r="B9" t="s">
        <v>283</v>
      </c>
      <c r="C9" s="179">
        <f>'Term Loan Summary CMA'!D4/10000000</f>
        <v>2.8555217341779029</v>
      </c>
      <c r="D9" s="179">
        <f>'Term Loan Summary CMA'!D5/10000000</f>
        <v>3.8870717622338757</v>
      </c>
      <c r="E9" s="179">
        <f>'Term Loan Summary CMA'!D6/10000000</f>
        <v>6.1673944817678121</v>
      </c>
      <c r="F9" s="179">
        <f>'Term Loan Summary CMA'!D7/10000000</f>
        <v>5.9574918452343795</v>
      </c>
      <c r="G9" s="179">
        <f>'Term Loan Summary CMA'!D8/10000000</f>
        <v>5.6623456616271763</v>
      </c>
      <c r="H9" s="179">
        <f>'Term Loan Summary CMA'!D9/10000000</f>
        <v>5.4248903908972208</v>
      </c>
      <c r="I9" s="179">
        <f>'Term Loan Summary CMA'!D10/10000000</f>
        <v>4.5443075382662226</v>
      </c>
      <c r="J9" s="179">
        <f>'Term Loan Summary CMA'!D11/10000000</f>
        <v>3.6981223562166674</v>
      </c>
      <c r="K9" s="179">
        <f>'Term Loan Summary CMA'!D12/10000000</f>
        <v>3.3240984778900753</v>
      </c>
      <c r="L9" s="183">
        <f>SUM(C9:K9)</f>
        <v>41.521244248311326</v>
      </c>
    </row>
    <row r="10" spans="1:12" x14ac:dyDescent="0.3">
      <c r="A10" s="66"/>
      <c r="L10" s="70"/>
    </row>
    <row r="11" spans="1:12" x14ac:dyDescent="0.3">
      <c r="A11" s="66">
        <v>5</v>
      </c>
      <c r="B11" t="s">
        <v>92</v>
      </c>
      <c r="C11" s="179">
        <f>C6</f>
        <v>1.26125217845543</v>
      </c>
      <c r="D11" s="179">
        <f t="shared" ref="D11:K11" si="1">D6</f>
        <v>2.4382923035661244</v>
      </c>
      <c r="E11" s="179">
        <f t="shared" si="1"/>
        <v>2.8290250026417105</v>
      </c>
      <c r="F11" s="179">
        <f t="shared" si="1"/>
        <v>2.3230548672084796</v>
      </c>
      <c r="G11" s="179">
        <f t="shared" si="1"/>
        <v>1.8331775987156835</v>
      </c>
      <c r="H11" s="179">
        <f t="shared" si="1"/>
        <v>1.3703191042456389</v>
      </c>
      <c r="I11" s="179">
        <f t="shared" si="1"/>
        <v>0.94694121397663722</v>
      </c>
      <c r="J11" s="179">
        <f t="shared" si="1"/>
        <v>0.59167380832619199</v>
      </c>
      <c r="K11" s="179">
        <f t="shared" si="1"/>
        <v>0.30813377925278357</v>
      </c>
      <c r="L11" s="183">
        <f>SUM(C11:K11)</f>
        <v>13.90186985638868</v>
      </c>
    </row>
    <row r="12" spans="1:12" x14ac:dyDescent="0.3">
      <c r="A12" s="66"/>
      <c r="L12" s="70"/>
    </row>
    <row r="13" spans="1:12" ht="15" thickBot="1" x14ac:dyDescent="0.35">
      <c r="A13" s="68"/>
      <c r="B13" s="69" t="s">
        <v>93</v>
      </c>
      <c r="C13" s="190">
        <f t="shared" ref="C13:K13" si="2">SUM(C9:C12)</f>
        <v>4.1167739126333327</v>
      </c>
      <c r="D13" s="190">
        <f t="shared" si="2"/>
        <v>6.3253640658000005</v>
      </c>
      <c r="E13" s="190">
        <f t="shared" si="2"/>
        <v>8.9964194844095218</v>
      </c>
      <c r="F13" s="190">
        <f t="shared" si="2"/>
        <v>8.2805467124428596</v>
      </c>
      <c r="G13" s="190">
        <f t="shared" si="2"/>
        <v>7.4955232603428597</v>
      </c>
      <c r="H13" s="190">
        <f t="shared" si="2"/>
        <v>6.7952094951428599</v>
      </c>
      <c r="I13" s="190">
        <f t="shared" si="2"/>
        <v>5.4912487522428597</v>
      </c>
      <c r="J13" s="190">
        <f t="shared" si="2"/>
        <v>4.2897961645428593</v>
      </c>
      <c r="K13" s="190">
        <f t="shared" si="2"/>
        <v>3.6322322571428587</v>
      </c>
      <c r="L13" s="191">
        <f>SUM(L9:L12)</f>
        <v>55.423114104700005</v>
      </c>
    </row>
    <row r="15" spans="1:12" x14ac:dyDescent="0.3">
      <c r="B15" s="71" t="s">
        <v>94</v>
      </c>
      <c r="C15" s="179">
        <f>C8/C13</f>
        <v>2.6055948508414586</v>
      </c>
      <c r="D15" s="179">
        <f t="shared" ref="D15:K15" si="3">D8/D13</f>
        <v>1.9644068981548342</v>
      </c>
      <c r="E15" s="179">
        <f t="shared" si="3"/>
        <v>1.8545845154606562</v>
      </c>
      <c r="F15" s="179">
        <f t="shared" si="3"/>
        <v>2.1487613807631125</v>
      </c>
      <c r="G15" s="179">
        <f t="shared" si="3"/>
        <v>2.3829770376130401</v>
      </c>
      <c r="H15" s="179">
        <f t="shared" si="3"/>
        <v>2.5009068860418306</v>
      </c>
      <c r="I15" s="179">
        <f t="shared" si="3"/>
        <v>2.7561342517790828</v>
      </c>
      <c r="J15" s="179">
        <f t="shared" si="3"/>
        <v>3.1335789501267488</v>
      </c>
      <c r="K15" s="179">
        <f t="shared" si="3"/>
        <v>3.0472329014273178</v>
      </c>
      <c r="L15" s="192">
        <f>SUM(C15:K15)</f>
        <v>22.394177672208084</v>
      </c>
    </row>
    <row r="17" spans="2:3" x14ac:dyDescent="0.3">
      <c r="B17" s="1" t="s">
        <v>95</v>
      </c>
      <c r="C17" s="179">
        <f>L15/9</f>
        <v>2.4882419635786759</v>
      </c>
    </row>
  </sheetData>
  <mergeCells count="2">
    <mergeCell ref="A1:B1"/>
    <mergeCell ref="J1:L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opLeftCell="A4" workbookViewId="0">
      <selection activeCell="B17" sqref="B17"/>
    </sheetView>
  </sheetViews>
  <sheetFormatPr defaultColWidth="9.109375" defaultRowHeight="14.4" x14ac:dyDescent="0.3"/>
  <cols>
    <col min="1" max="1" width="8.6640625" style="6" customWidth="1"/>
    <col min="2" max="2" width="48.6640625" style="6" bestFit="1" customWidth="1"/>
    <col min="3" max="3" width="17.88671875" style="6" bestFit="1" customWidth="1"/>
    <col min="4" max="4" width="16.5546875" style="6" bestFit="1" customWidth="1"/>
    <col min="5" max="5" width="7.88671875" style="6" bestFit="1" customWidth="1"/>
    <col min="6" max="6" width="10.6640625" style="6" bestFit="1" customWidth="1"/>
    <col min="7" max="7" width="49.88671875" style="6" bestFit="1" customWidth="1"/>
    <col min="8" max="8" width="12.5546875" style="6" bestFit="1" customWidth="1"/>
    <col min="9" max="9" width="10.88671875" style="6" bestFit="1" customWidth="1"/>
    <col min="10" max="10" width="16.5546875" style="6" bestFit="1" customWidth="1"/>
    <col min="11" max="11" width="15" style="6" bestFit="1" customWidth="1"/>
    <col min="12" max="12" width="16.44140625" style="6" bestFit="1" customWidth="1"/>
    <col min="13" max="13" width="9.109375" style="6"/>
    <col min="14" max="14" width="10.109375" style="6" bestFit="1" customWidth="1"/>
    <col min="15" max="15" width="14.5546875" style="6" bestFit="1" customWidth="1"/>
    <col min="16" max="16" width="10.109375" style="6" bestFit="1" customWidth="1"/>
    <col min="17" max="16384" width="9.109375" style="6"/>
  </cols>
  <sheetData>
    <row r="1" spans="1:15" x14ac:dyDescent="0.3">
      <c r="A1" s="5" t="s">
        <v>13</v>
      </c>
    </row>
    <row r="2" spans="1:15" x14ac:dyDescent="0.3">
      <c r="A2" s="7" t="s">
        <v>16</v>
      </c>
    </row>
    <row r="4" spans="1:15" ht="47.25" customHeight="1" x14ac:dyDescent="0.3">
      <c r="A4" s="35" t="s">
        <v>0</v>
      </c>
      <c r="B4" s="35" t="s">
        <v>48</v>
      </c>
      <c r="C4" s="35" t="s">
        <v>24</v>
      </c>
      <c r="D4" s="36" t="s">
        <v>71</v>
      </c>
      <c r="E4" s="36" t="s">
        <v>15</v>
      </c>
      <c r="F4" s="36" t="s">
        <v>1</v>
      </c>
      <c r="G4" s="36" t="s">
        <v>4</v>
      </c>
      <c r="H4" s="36" t="s">
        <v>22</v>
      </c>
      <c r="I4" s="36" t="s">
        <v>30</v>
      </c>
      <c r="J4" s="36" t="s">
        <v>34</v>
      </c>
      <c r="K4" s="37" t="s">
        <v>69</v>
      </c>
      <c r="L4" s="36" t="s">
        <v>70</v>
      </c>
    </row>
    <row r="5" spans="1:15" ht="15" x14ac:dyDescent="0.35">
      <c r="A5" s="38">
        <v>1</v>
      </c>
      <c r="B5" s="39" t="s">
        <v>40</v>
      </c>
      <c r="C5" s="40">
        <v>39363786343</v>
      </c>
      <c r="D5" s="41">
        <v>12721188</v>
      </c>
      <c r="E5" s="42">
        <v>8.3000000000000004E-2</v>
      </c>
      <c r="F5" s="38" t="s">
        <v>3</v>
      </c>
      <c r="G5" s="39" t="s">
        <v>17</v>
      </c>
      <c r="H5" s="43">
        <v>17500000</v>
      </c>
      <c r="I5" s="44">
        <v>44348</v>
      </c>
      <c r="J5" s="44" t="s">
        <v>31</v>
      </c>
      <c r="K5" s="45">
        <f>'SBI COVID-6343'!C7</f>
        <v>12638880</v>
      </c>
      <c r="L5" s="43">
        <f>D5-K5</f>
        <v>82308</v>
      </c>
      <c r="O5" s="34"/>
    </row>
    <row r="6" spans="1:15" ht="15" x14ac:dyDescent="0.35">
      <c r="A6" s="38">
        <f>A5+1</f>
        <v>2</v>
      </c>
      <c r="B6" s="39" t="s">
        <v>39</v>
      </c>
      <c r="C6" s="40">
        <v>40628951820</v>
      </c>
      <c r="D6" s="41">
        <v>10062861</v>
      </c>
      <c r="E6" s="42">
        <v>8.3000000000000004E-2</v>
      </c>
      <c r="F6" s="38" t="s">
        <v>3</v>
      </c>
      <c r="G6" s="39" t="s">
        <v>23</v>
      </c>
      <c r="H6" s="43">
        <v>10000000</v>
      </c>
      <c r="I6" s="44">
        <v>45292</v>
      </c>
      <c r="J6" s="44" t="s">
        <v>32</v>
      </c>
      <c r="K6" s="45">
        <f>'SBI COVID II-1820'!C6</f>
        <v>10000000</v>
      </c>
      <c r="L6" s="43">
        <f t="shared" ref="L6:L13" si="0">D6-K6</f>
        <v>62861</v>
      </c>
    </row>
    <row r="7" spans="1:15" ht="15" x14ac:dyDescent="0.35">
      <c r="A7" s="38">
        <f t="shared" ref="A7:A13" si="1">A6+1</f>
        <v>3</v>
      </c>
      <c r="B7" s="39" t="s">
        <v>43</v>
      </c>
      <c r="C7" s="40">
        <v>38579531736</v>
      </c>
      <c r="D7" s="41">
        <v>10542155.939999999</v>
      </c>
      <c r="E7" s="42">
        <v>7.9000000000000001E-2</v>
      </c>
      <c r="F7" s="38" t="s">
        <v>3</v>
      </c>
      <c r="G7" s="39" t="s">
        <v>20</v>
      </c>
      <c r="H7" s="43">
        <v>18000000</v>
      </c>
      <c r="I7" s="44"/>
      <c r="J7" s="44" t="s">
        <v>37</v>
      </c>
      <c r="K7" s="45">
        <f>'4. SBI Project-1736'!C6</f>
        <v>10542156</v>
      </c>
      <c r="L7" s="43">
        <f t="shared" si="0"/>
        <v>-6.0000000521540642E-2</v>
      </c>
    </row>
    <row r="8" spans="1:15" ht="15" x14ac:dyDescent="0.35">
      <c r="A8" s="38">
        <f t="shared" si="1"/>
        <v>4</v>
      </c>
      <c r="B8" s="39" t="s">
        <v>41</v>
      </c>
      <c r="C8" s="40">
        <v>35578629157</v>
      </c>
      <c r="D8" s="41">
        <v>12793731.35</v>
      </c>
      <c r="E8" s="42">
        <v>7.9000000000000001E-2</v>
      </c>
      <c r="F8" s="38" t="s">
        <v>3</v>
      </c>
      <c r="G8" s="39" t="s">
        <v>18</v>
      </c>
      <c r="H8" s="43">
        <v>41500000</v>
      </c>
      <c r="I8" s="44"/>
      <c r="J8" s="44" t="s">
        <v>38</v>
      </c>
      <c r="K8" s="45">
        <f>'2. SBI Project-9157'!C6</f>
        <v>12700000</v>
      </c>
      <c r="L8" s="43">
        <f t="shared" si="0"/>
        <v>93731.349999999627</v>
      </c>
    </row>
    <row r="9" spans="1:15" ht="15" x14ac:dyDescent="0.35">
      <c r="A9" s="38">
        <f t="shared" si="1"/>
        <v>5</v>
      </c>
      <c r="B9" s="39" t="s">
        <v>42</v>
      </c>
      <c r="C9" s="40">
        <v>39822125610</v>
      </c>
      <c r="D9" s="41">
        <v>59741124</v>
      </c>
      <c r="E9" s="42">
        <v>7.9000000000000001E-2</v>
      </c>
      <c r="F9" s="38" t="s">
        <v>3</v>
      </c>
      <c r="G9" s="39" t="s">
        <v>19</v>
      </c>
      <c r="H9" s="43">
        <v>63400000</v>
      </c>
      <c r="I9" s="44">
        <v>44501</v>
      </c>
      <c r="J9" s="44" t="s">
        <v>49</v>
      </c>
      <c r="K9" s="45">
        <f>'3. SBI-5610'!C6</f>
        <v>59335895</v>
      </c>
      <c r="L9" s="43">
        <f t="shared" si="0"/>
        <v>405229</v>
      </c>
    </row>
    <row r="10" spans="1:15" ht="15" x14ac:dyDescent="0.35">
      <c r="A10" s="38">
        <f t="shared" si="1"/>
        <v>6</v>
      </c>
      <c r="B10" s="39" t="s">
        <v>44</v>
      </c>
      <c r="C10" s="40">
        <v>40852133679</v>
      </c>
      <c r="D10" s="41">
        <v>475624</v>
      </c>
      <c r="E10" s="42">
        <v>7.9000000000000001E-2</v>
      </c>
      <c r="F10" s="38" t="s">
        <v>3</v>
      </c>
      <c r="G10" s="39" t="s">
        <v>26</v>
      </c>
      <c r="H10" s="43">
        <v>76000000</v>
      </c>
      <c r="I10" s="44">
        <v>44958</v>
      </c>
      <c r="J10" s="44" t="s">
        <v>36</v>
      </c>
      <c r="K10" s="45">
        <f>'SBI Halol-3679'!C6</f>
        <v>0</v>
      </c>
      <c r="L10" s="43">
        <f t="shared" si="0"/>
        <v>475624</v>
      </c>
    </row>
    <row r="11" spans="1:15" ht="15" x14ac:dyDescent="0.35">
      <c r="A11" s="38">
        <f t="shared" si="1"/>
        <v>7</v>
      </c>
      <c r="B11" s="39" t="s">
        <v>46</v>
      </c>
      <c r="C11" s="40" t="s">
        <v>25</v>
      </c>
      <c r="D11" s="41">
        <v>10896009</v>
      </c>
      <c r="E11" s="42">
        <v>7.4999999999999997E-2</v>
      </c>
      <c r="F11" s="38" t="s">
        <v>3</v>
      </c>
      <c r="G11" s="39" t="s">
        <v>29</v>
      </c>
      <c r="H11" s="43">
        <v>12000000</v>
      </c>
      <c r="I11" s="44"/>
      <c r="J11" s="44" t="s">
        <v>35</v>
      </c>
      <c r="K11" s="45">
        <f>'7. ICICI Property-8764'!C6</f>
        <v>10896009</v>
      </c>
      <c r="L11" s="43">
        <f t="shared" si="0"/>
        <v>0</v>
      </c>
    </row>
    <row r="12" spans="1:15" ht="15" x14ac:dyDescent="0.35">
      <c r="A12" s="38">
        <f t="shared" si="1"/>
        <v>8</v>
      </c>
      <c r="B12" s="39" t="s">
        <v>47</v>
      </c>
      <c r="C12" s="40">
        <v>671126040</v>
      </c>
      <c r="D12" s="41">
        <v>0</v>
      </c>
      <c r="E12" s="42">
        <v>7.5999999999999998E-2</v>
      </c>
      <c r="F12" s="38" t="s">
        <v>3</v>
      </c>
      <c r="G12" s="39" t="s">
        <v>52</v>
      </c>
      <c r="H12" s="43">
        <v>24500000</v>
      </c>
      <c r="I12" s="44" t="s">
        <v>53</v>
      </c>
      <c r="J12" s="44" t="s">
        <v>51</v>
      </c>
      <c r="K12" s="45">
        <f>'HDFC ATS-6040'!C6</f>
        <v>0</v>
      </c>
      <c r="L12" s="43">
        <f t="shared" si="0"/>
        <v>0</v>
      </c>
    </row>
    <row r="13" spans="1:15" ht="15" x14ac:dyDescent="0.35">
      <c r="A13" s="38">
        <f t="shared" si="1"/>
        <v>9</v>
      </c>
      <c r="B13" s="39" t="s">
        <v>45</v>
      </c>
      <c r="C13" s="40"/>
      <c r="D13" s="41">
        <v>1898048.99</v>
      </c>
      <c r="E13" s="42">
        <v>8.5999999999999993E-2</v>
      </c>
      <c r="F13" s="38" t="s">
        <v>3</v>
      </c>
      <c r="G13" s="39" t="s">
        <v>21</v>
      </c>
      <c r="H13" s="43"/>
      <c r="I13" s="44"/>
      <c r="J13" s="44" t="s">
        <v>33</v>
      </c>
      <c r="K13" s="45">
        <f>'5. HDFC Car BMW'!C5</f>
        <v>1898052</v>
      </c>
      <c r="L13" s="43">
        <f t="shared" si="0"/>
        <v>-3.0100000000093132</v>
      </c>
    </row>
    <row r="14" spans="1:15" ht="15" x14ac:dyDescent="0.35">
      <c r="A14" s="39"/>
      <c r="B14" s="39"/>
      <c r="C14" s="39"/>
      <c r="D14" s="43"/>
      <c r="E14" s="43"/>
      <c r="F14" s="39"/>
      <c r="G14" s="39"/>
      <c r="H14" s="39"/>
      <c r="I14" s="39"/>
      <c r="J14" s="39"/>
      <c r="K14" s="46"/>
      <c r="L14" s="43"/>
    </row>
    <row r="15" spans="1:15" ht="15" x14ac:dyDescent="0.35">
      <c r="A15" s="39"/>
      <c r="B15" s="47" t="s">
        <v>2</v>
      </c>
      <c r="C15" s="48"/>
      <c r="D15" s="49">
        <f>SUM(D5:D14)</f>
        <v>119130742.27999999</v>
      </c>
      <c r="E15" s="49"/>
      <c r="F15" s="39"/>
      <c r="G15" s="39"/>
      <c r="H15" s="39"/>
      <c r="I15" s="39"/>
      <c r="J15" s="39"/>
      <c r="K15" s="50">
        <f>SUM(K5:K14)</f>
        <v>118010992</v>
      </c>
      <c r="L15" s="49">
        <f>SUM(L5:L14)</f>
        <v>1119750.2799999991</v>
      </c>
    </row>
    <row r="16" spans="1:15" x14ac:dyDescent="0.3">
      <c r="D16" s="8"/>
      <c r="E16" s="8"/>
    </row>
    <row r="18" spans="5:5" x14ac:dyDescent="0.3">
      <c r="E18" s="33"/>
    </row>
  </sheetData>
  <pageMargins left="0.7" right="0.7" top="0.75" bottom="0.75" header="0.3" footer="0.3"/>
  <pageSetup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03"/>
  <sheetViews>
    <sheetView topLeftCell="B22" workbookViewId="0">
      <selection activeCell="F30" sqref="F30"/>
    </sheetView>
  </sheetViews>
  <sheetFormatPr defaultRowHeight="14.4" x14ac:dyDescent="0.3"/>
  <cols>
    <col min="1" max="1" width="0" style="9" hidden="1" customWidth="1"/>
    <col min="2" max="2" width="15.44140625" customWidth="1"/>
    <col min="3" max="3" width="16.88671875" bestFit="1" customWidth="1"/>
    <col min="4" max="4" width="16.88671875" customWidth="1"/>
    <col min="5" max="5" width="14.109375" bestFit="1" customWidth="1"/>
    <col min="6" max="7" width="14.109375" customWidth="1"/>
    <col min="8" max="8" width="15.6640625" bestFit="1" customWidth="1"/>
    <col min="10" max="10" width="14.5546875" customWidth="1"/>
  </cols>
  <sheetData>
    <row r="1" spans="1:11" x14ac:dyDescent="0.3">
      <c r="B1" s="26" t="s">
        <v>308</v>
      </c>
      <c r="C1" s="27"/>
      <c r="D1" s="27"/>
    </row>
    <row r="2" spans="1:11" x14ac:dyDescent="0.3">
      <c r="B2" s="26"/>
      <c r="C2" s="26"/>
      <c r="D2" s="26"/>
      <c r="J2">
        <v>217500000</v>
      </c>
      <c r="K2">
        <f>J2/84</f>
        <v>2589285.7142857141</v>
      </c>
    </row>
    <row r="3" spans="1:11" x14ac:dyDescent="0.3">
      <c r="B3" s="26"/>
    </row>
    <row r="4" spans="1:11" x14ac:dyDescent="0.3">
      <c r="B4" s="1"/>
      <c r="F4">
        <v>8.4</v>
      </c>
    </row>
    <row r="5" spans="1:11" ht="35.25" customHeight="1" x14ac:dyDescent="0.3">
      <c r="A5" s="10" t="s">
        <v>0</v>
      </c>
      <c r="B5" s="11" t="s">
        <v>9</v>
      </c>
      <c r="C5" s="28" t="s">
        <v>6</v>
      </c>
      <c r="D5" s="28" t="s">
        <v>75</v>
      </c>
      <c r="E5" s="12" t="s">
        <v>11</v>
      </c>
      <c r="F5" s="12" t="s">
        <v>292</v>
      </c>
      <c r="G5" s="12" t="s">
        <v>14</v>
      </c>
      <c r="H5" s="11" t="s">
        <v>12</v>
      </c>
    </row>
    <row r="6" spans="1:11" x14ac:dyDescent="0.3">
      <c r="A6" s="10"/>
      <c r="B6" s="14">
        <v>44652</v>
      </c>
      <c r="C6" s="29">
        <v>0</v>
      </c>
      <c r="D6" s="29"/>
      <c r="E6" s="30">
        <v>0</v>
      </c>
      <c r="F6" s="15">
        <f>C6*$F$4/100/12</f>
        <v>0</v>
      </c>
      <c r="G6" s="15">
        <f>E6+F6</f>
        <v>0</v>
      </c>
      <c r="H6" s="15">
        <f>C6+D6-E6</f>
        <v>0</v>
      </c>
    </row>
    <row r="7" spans="1:11" x14ac:dyDescent="0.3">
      <c r="A7" s="10"/>
      <c r="B7" s="14">
        <v>44682</v>
      </c>
      <c r="C7" s="29">
        <f>H6</f>
        <v>0</v>
      </c>
      <c r="D7" s="29"/>
      <c r="E7" s="30">
        <v>0</v>
      </c>
      <c r="F7" s="15">
        <f t="shared" ref="F7:F70" si="0">C7*$F$4/100/12</f>
        <v>0</v>
      </c>
      <c r="G7" s="15">
        <f t="shared" ref="G7:G70" si="1">E7+F7</f>
        <v>0</v>
      </c>
      <c r="H7" s="15">
        <f t="shared" ref="H7:H70" si="2">C7+D7-E7</f>
        <v>0</v>
      </c>
    </row>
    <row r="8" spans="1:11" x14ac:dyDescent="0.3">
      <c r="A8" s="10"/>
      <c r="B8" s="14">
        <v>44713</v>
      </c>
      <c r="C8" s="29">
        <f>H7</f>
        <v>0</v>
      </c>
      <c r="D8" s="29"/>
      <c r="E8" s="30">
        <v>0</v>
      </c>
      <c r="F8" s="15">
        <f t="shared" si="0"/>
        <v>0</v>
      </c>
      <c r="G8" s="15">
        <f t="shared" si="1"/>
        <v>0</v>
      </c>
      <c r="H8" s="15">
        <f t="shared" si="2"/>
        <v>0</v>
      </c>
    </row>
    <row r="9" spans="1:11" x14ac:dyDescent="0.3">
      <c r="A9" s="10"/>
      <c r="B9" s="14">
        <v>44743</v>
      </c>
      <c r="C9" s="29">
        <f>H8</f>
        <v>0</v>
      </c>
      <c r="D9" s="29"/>
      <c r="E9" s="30">
        <v>0</v>
      </c>
      <c r="F9" s="15">
        <f t="shared" si="0"/>
        <v>0</v>
      </c>
      <c r="G9" s="15">
        <f t="shared" si="1"/>
        <v>0</v>
      </c>
      <c r="H9" s="15">
        <f t="shared" si="2"/>
        <v>0</v>
      </c>
    </row>
    <row r="10" spans="1:11" x14ac:dyDescent="0.3">
      <c r="A10" s="10"/>
      <c r="B10" s="14">
        <v>44774</v>
      </c>
      <c r="C10" s="29">
        <f>H9</f>
        <v>0</v>
      </c>
      <c r="D10" s="29"/>
      <c r="E10" s="30">
        <v>0</v>
      </c>
      <c r="F10" s="15">
        <f t="shared" si="0"/>
        <v>0</v>
      </c>
      <c r="G10" s="15">
        <f t="shared" si="1"/>
        <v>0</v>
      </c>
      <c r="H10" s="15">
        <f t="shared" si="2"/>
        <v>0</v>
      </c>
    </row>
    <row r="11" spans="1:11" x14ac:dyDescent="0.3">
      <c r="A11" s="10"/>
      <c r="B11" s="14">
        <v>44805</v>
      </c>
      <c r="C11" s="29"/>
      <c r="D11" s="29"/>
      <c r="E11" s="30">
        <v>0</v>
      </c>
      <c r="F11" s="15">
        <f t="shared" si="0"/>
        <v>0</v>
      </c>
      <c r="G11" s="15">
        <f t="shared" si="1"/>
        <v>0</v>
      </c>
      <c r="H11" s="15">
        <f t="shared" si="2"/>
        <v>0</v>
      </c>
    </row>
    <row r="12" spans="1:11" x14ac:dyDescent="0.3">
      <c r="A12" s="10"/>
      <c r="B12" s="14">
        <v>44835</v>
      </c>
      <c r="C12" s="29">
        <f>H11</f>
        <v>0</v>
      </c>
      <c r="D12" s="29"/>
      <c r="E12" s="30">
        <v>0</v>
      </c>
      <c r="F12" s="15">
        <f t="shared" si="0"/>
        <v>0</v>
      </c>
      <c r="G12" s="15">
        <f t="shared" si="1"/>
        <v>0</v>
      </c>
      <c r="H12" s="15">
        <f t="shared" si="2"/>
        <v>0</v>
      </c>
    </row>
    <row r="13" spans="1:11" x14ac:dyDescent="0.3">
      <c r="A13" s="10"/>
      <c r="B13" s="14">
        <v>44866</v>
      </c>
      <c r="C13" s="29">
        <v>0</v>
      </c>
      <c r="D13" s="29"/>
      <c r="E13" s="30">
        <v>0</v>
      </c>
      <c r="F13" s="15">
        <f t="shared" si="0"/>
        <v>0</v>
      </c>
      <c r="G13" s="15">
        <f t="shared" si="1"/>
        <v>0</v>
      </c>
      <c r="H13" s="15">
        <f t="shared" si="2"/>
        <v>0</v>
      </c>
    </row>
    <row r="14" spans="1:11" x14ac:dyDescent="0.3">
      <c r="A14" s="10"/>
      <c r="B14" s="14">
        <v>44896</v>
      </c>
      <c r="C14" s="29">
        <f t="shared" ref="C14:C45" si="3">H13</f>
        <v>0</v>
      </c>
      <c r="D14" s="29"/>
      <c r="E14" s="30">
        <v>0</v>
      </c>
      <c r="F14" s="15">
        <f t="shared" si="0"/>
        <v>0</v>
      </c>
      <c r="G14" s="15">
        <f t="shared" si="1"/>
        <v>0</v>
      </c>
      <c r="H14" s="15">
        <f t="shared" si="2"/>
        <v>0</v>
      </c>
    </row>
    <row r="15" spans="1:11" x14ac:dyDescent="0.3">
      <c r="A15" s="10"/>
      <c r="B15" s="14">
        <v>44927</v>
      </c>
      <c r="C15" s="29">
        <f t="shared" si="3"/>
        <v>0</v>
      </c>
      <c r="D15" s="29">
        <v>30000000</v>
      </c>
      <c r="E15" s="30">
        <v>0</v>
      </c>
      <c r="F15" s="15">
        <f t="shared" si="0"/>
        <v>0</v>
      </c>
      <c r="G15" s="15">
        <f t="shared" si="1"/>
        <v>0</v>
      </c>
      <c r="H15" s="15">
        <f t="shared" si="2"/>
        <v>30000000</v>
      </c>
    </row>
    <row r="16" spans="1:11" x14ac:dyDescent="0.3">
      <c r="A16" s="10"/>
      <c r="B16" s="14">
        <v>44958</v>
      </c>
      <c r="C16" s="29">
        <f t="shared" si="3"/>
        <v>30000000</v>
      </c>
      <c r="D16" s="29">
        <v>10000000</v>
      </c>
      <c r="E16" s="30"/>
      <c r="F16" s="15">
        <f t="shared" si="0"/>
        <v>210000</v>
      </c>
      <c r="G16" s="15">
        <f t="shared" si="1"/>
        <v>210000</v>
      </c>
      <c r="H16" s="15">
        <f t="shared" si="2"/>
        <v>40000000</v>
      </c>
    </row>
    <row r="17" spans="1:8" x14ac:dyDescent="0.3">
      <c r="A17" s="10"/>
      <c r="B17" s="14">
        <v>44986</v>
      </c>
      <c r="C17" s="29">
        <f t="shared" si="3"/>
        <v>40000000</v>
      </c>
      <c r="D17" s="29">
        <v>10000000</v>
      </c>
      <c r="E17" s="30"/>
      <c r="F17" s="15">
        <f t="shared" si="0"/>
        <v>280000</v>
      </c>
      <c r="G17" s="15">
        <f t="shared" si="1"/>
        <v>280000</v>
      </c>
      <c r="H17" s="15">
        <f t="shared" si="2"/>
        <v>50000000</v>
      </c>
    </row>
    <row r="18" spans="1:8" x14ac:dyDescent="0.3">
      <c r="A18" s="10"/>
      <c r="B18" s="14">
        <v>45017</v>
      </c>
      <c r="C18" s="29">
        <f t="shared" si="3"/>
        <v>50000000</v>
      </c>
      <c r="D18" s="29">
        <v>10000000</v>
      </c>
      <c r="E18" s="30"/>
      <c r="F18" s="15">
        <f t="shared" si="0"/>
        <v>350000</v>
      </c>
      <c r="G18" s="15">
        <f t="shared" si="1"/>
        <v>350000</v>
      </c>
      <c r="H18" s="15">
        <f t="shared" si="2"/>
        <v>60000000</v>
      </c>
    </row>
    <row r="19" spans="1:8" x14ac:dyDescent="0.3">
      <c r="A19" s="10"/>
      <c r="B19" s="14">
        <v>45047</v>
      </c>
      <c r="C19" s="29">
        <f t="shared" si="3"/>
        <v>60000000</v>
      </c>
      <c r="D19" s="29">
        <v>10000000</v>
      </c>
      <c r="E19" s="30"/>
      <c r="F19" s="15">
        <f t="shared" si="0"/>
        <v>420000</v>
      </c>
      <c r="G19" s="15">
        <f t="shared" si="1"/>
        <v>420000</v>
      </c>
      <c r="H19" s="15">
        <f t="shared" si="2"/>
        <v>70000000</v>
      </c>
    </row>
    <row r="20" spans="1:8" x14ac:dyDescent="0.3">
      <c r="A20" s="10"/>
      <c r="B20" s="14">
        <v>45078</v>
      </c>
      <c r="C20" s="29">
        <f t="shared" si="3"/>
        <v>70000000</v>
      </c>
      <c r="D20" s="29">
        <v>10000000</v>
      </c>
      <c r="E20" s="30"/>
      <c r="F20" s="15">
        <f t="shared" si="0"/>
        <v>490000</v>
      </c>
      <c r="G20" s="15">
        <f t="shared" si="1"/>
        <v>490000</v>
      </c>
      <c r="H20" s="15">
        <f t="shared" si="2"/>
        <v>80000000</v>
      </c>
    </row>
    <row r="21" spans="1:8" x14ac:dyDescent="0.3">
      <c r="A21" s="10"/>
      <c r="B21" s="14">
        <v>45108</v>
      </c>
      <c r="C21" s="29">
        <f t="shared" si="3"/>
        <v>80000000</v>
      </c>
      <c r="D21" s="29">
        <v>10000000</v>
      </c>
      <c r="E21" s="30"/>
      <c r="F21" s="15">
        <f t="shared" si="0"/>
        <v>560000</v>
      </c>
      <c r="G21" s="15">
        <f t="shared" si="1"/>
        <v>560000</v>
      </c>
      <c r="H21" s="15">
        <f t="shared" si="2"/>
        <v>90000000</v>
      </c>
    </row>
    <row r="22" spans="1:8" x14ac:dyDescent="0.3">
      <c r="A22" s="10"/>
      <c r="B22" s="14">
        <v>45139</v>
      </c>
      <c r="C22" s="29">
        <f t="shared" si="3"/>
        <v>90000000</v>
      </c>
      <c r="D22" s="29">
        <v>10000000</v>
      </c>
      <c r="E22" s="30"/>
      <c r="F22" s="15">
        <f t="shared" si="0"/>
        <v>630000</v>
      </c>
      <c r="G22" s="15">
        <f t="shared" si="1"/>
        <v>630000</v>
      </c>
      <c r="H22" s="15">
        <f t="shared" si="2"/>
        <v>100000000</v>
      </c>
    </row>
    <row r="23" spans="1:8" x14ac:dyDescent="0.3">
      <c r="A23" s="10"/>
      <c r="B23" s="14">
        <v>45170</v>
      </c>
      <c r="C23" s="29">
        <f t="shared" si="3"/>
        <v>100000000</v>
      </c>
      <c r="D23" s="29">
        <v>30000000</v>
      </c>
      <c r="E23" s="30"/>
      <c r="F23" s="15">
        <f t="shared" si="0"/>
        <v>700000</v>
      </c>
      <c r="G23" s="15">
        <f t="shared" si="1"/>
        <v>700000</v>
      </c>
      <c r="H23" s="15">
        <f t="shared" si="2"/>
        <v>130000000</v>
      </c>
    </row>
    <row r="24" spans="1:8" x14ac:dyDescent="0.3">
      <c r="A24" s="10"/>
      <c r="B24" s="14">
        <v>45200</v>
      </c>
      <c r="C24" s="29">
        <f t="shared" si="3"/>
        <v>130000000</v>
      </c>
      <c r="D24" s="29">
        <v>10000000</v>
      </c>
      <c r="E24" s="30"/>
      <c r="F24" s="15">
        <f t="shared" si="0"/>
        <v>910000</v>
      </c>
      <c r="G24" s="15">
        <f t="shared" si="1"/>
        <v>910000</v>
      </c>
      <c r="H24" s="15">
        <f t="shared" si="2"/>
        <v>140000000</v>
      </c>
    </row>
    <row r="25" spans="1:8" x14ac:dyDescent="0.3">
      <c r="A25" s="10"/>
      <c r="B25" s="14">
        <v>45231</v>
      </c>
      <c r="C25" s="29">
        <f t="shared" si="3"/>
        <v>140000000</v>
      </c>
      <c r="D25" s="29">
        <v>10000000</v>
      </c>
      <c r="E25" s="30"/>
      <c r="F25" s="15">
        <f t="shared" si="0"/>
        <v>980000</v>
      </c>
      <c r="G25" s="15">
        <f t="shared" si="1"/>
        <v>980000</v>
      </c>
      <c r="H25" s="15">
        <f t="shared" si="2"/>
        <v>150000000</v>
      </c>
    </row>
    <row r="26" spans="1:8" x14ac:dyDescent="0.3">
      <c r="A26" s="10"/>
      <c r="B26" s="14">
        <v>45261</v>
      </c>
      <c r="C26" s="29">
        <f t="shared" si="3"/>
        <v>150000000</v>
      </c>
      <c r="D26" s="29">
        <v>20000000</v>
      </c>
      <c r="E26" s="30"/>
      <c r="F26" s="15">
        <f t="shared" si="0"/>
        <v>1050000</v>
      </c>
      <c r="G26" s="15">
        <f t="shared" si="1"/>
        <v>1050000</v>
      </c>
      <c r="H26" s="15">
        <f t="shared" si="2"/>
        <v>170000000</v>
      </c>
    </row>
    <row r="27" spans="1:8" x14ac:dyDescent="0.3">
      <c r="A27" s="13">
        <v>1</v>
      </c>
      <c r="B27" s="14">
        <v>45292</v>
      </c>
      <c r="C27" s="29">
        <f t="shared" si="3"/>
        <v>170000000</v>
      </c>
      <c r="D27" s="29">
        <v>20000000</v>
      </c>
      <c r="E27" s="30"/>
      <c r="F27" s="15">
        <f t="shared" si="0"/>
        <v>1190000</v>
      </c>
      <c r="G27" s="15">
        <f t="shared" si="1"/>
        <v>1190000</v>
      </c>
      <c r="H27" s="15">
        <f t="shared" si="2"/>
        <v>190000000</v>
      </c>
    </row>
    <row r="28" spans="1:8" x14ac:dyDescent="0.3">
      <c r="A28" s="13">
        <f>A27+1</f>
        <v>2</v>
      </c>
      <c r="B28" s="14">
        <v>45323</v>
      </c>
      <c r="C28" s="15">
        <f t="shared" si="3"/>
        <v>190000000</v>
      </c>
      <c r="D28" s="29">
        <v>27500000</v>
      </c>
      <c r="E28" s="30"/>
      <c r="F28" s="15">
        <f t="shared" si="0"/>
        <v>1330000</v>
      </c>
      <c r="G28" s="15">
        <f t="shared" si="1"/>
        <v>1330000</v>
      </c>
      <c r="H28" s="15">
        <f t="shared" si="2"/>
        <v>217500000</v>
      </c>
    </row>
    <row r="29" spans="1:8" x14ac:dyDescent="0.3">
      <c r="A29" s="13">
        <f t="shared" ref="A29:A62" si="4">A28+1</f>
        <v>3</v>
      </c>
      <c r="B29" s="14">
        <v>45352</v>
      </c>
      <c r="C29" s="15">
        <f t="shared" si="3"/>
        <v>217500000</v>
      </c>
      <c r="D29" s="29"/>
      <c r="E29" s="30"/>
      <c r="F29" s="15">
        <f t="shared" si="0"/>
        <v>1522500</v>
      </c>
      <c r="G29" s="15">
        <f t="shared" si="1"/>
        <v>1522500</v>
      </c>
      <c r="H29" s="15">
        <f t="shared" si="2"/>
        <v>217500000</v>
      </c>
    </row>
    <row r="30" spans="1:8" x14ac:dyDescent="0.3">
      <c r="A30" s="13">
        <f t="shared" si="4"/>
        <v>4</v>
      </c>
      <c r="B30" s="14">
        <v>45383</v>
      </c>
      <c r="C30" s="15">
        <f t="shared" si="3"/>
        <v>217500000</v>
      </c>
      <c r="D30" s="15">
        <v>0</v>
      </c>
      <c r="E30" s="30">
        <f>K2</f>
        <v>2589285.7142857141</v>
      </c>
      <c r="F30" s="15">
        <f t="shared" si="0"/>
        <v>1522500</v>
      </c>
      <c r="G30" s="15">
        <f t="shared" si="1"/>
        <v>4111785.7142857141</v>
      </c>
      <c r="H30" s="15">
        <f t="shared" si="2"/>
        <v>214910714.2857143</v>
      </c>
    </row>
    <row r="31" spans="1:8" x14ac:dyDescent="0.3">
      <c r="A31" s="13">
        <f t="shared" si="4"/>
        <v>5</v>
      </c>
      <c r="B31" s="14">
        <v>45413</v>
      </c>
      <c r="C31" s="15">
        <f t="shared" si="3"/>
        <v>214910714.2857143</v>
      </c>
      <c r="D31" s="15"/>
      <c r="E31" s="30">
        <f>$E$30</f>
        <v>2589285.7142857141</v>
      </c>
      <c r="F31" s="15">
        <f t="shared" si="0"/>
        <v>1504375.0000000002</v>
      </c>
      <c r="G31" s="15">
        <f t="shared" si="1"/>
        <v>4093660.7142857146</v>
      </c>
      <c r="H31" s="15">
        <f t="shared" si="2"/>
        <v>212321428.5714286</v>
      </c>
    </row>
    <row r="32" spans="1:8" x14ac:dyDescent="0.3">
      <c r="A32" s="13">
        <f t="shared" si="4"/>
        <v>6</v>
      </c>
      <c r="B32" s="14">
        <v>45444</v>
      </c>
      <c r="C32" s="15">
        <f t="shared" si="3"/>
        <v>212321428.5714286</v>
      </c>
      <c r="D32" s="15"/>
      <c r="E32" s="30">
        <f t="shared" ref="E32:E95" si="5">$E$30</f>
        <v>2589285.7142857141</v>
      </c>
      <c r="F32" s="15">
        <f t="shared" si="0"/>
        <v>1486250.0000000002</v>
      </c>
      <c r="G32" s="15">
        <f t="shared" si="1"/>
        <v>4075535.7142857146</v>
      </c>
      <c r="H32" s="15">
        <f t="shared" si="2"/>
        <v>209732142.8571429</v>
      </c>
    </row>
    <row r="33" spans="1:8" x14ac:dyDescent="0.3">
      <c r="A33" s="13">
        <f t="shared" si="4"/>
        <v>7</v>
      </c>
      <c r="B33" s="14">
        <v>45474</v>
      </c>
      <c r="C33" s="15">
        <f t="shared" si="3"/>
        <v>209732142.8571429</v>
      </c>
      <c r="D33" s="15"/>
      <c r="E33" s="30">
        <f t="shared" si="5"/>
        <v>2589285.7142857141</v>
      </c>
      <c r="F33" s="15">
        <f t="shared" si="0"/>
        <v>1468125.0000000002</v>
      </c>
      <c r="G33" s="15">
        <f t="shared" si="1"/>
        <v>4057410.7142857146</v>
      </c>
      <c r="H33" s="15">
        <f t="shared" si="2"/>
        <v>207142857.14285719</v>
      </c>
    </row>
    <row r="34" spans="1:8" x14ac:dyDescent="0.3">
      <c r="A34" s="13">
        <f t="shared" si="4"/>
        <v>8</v>
      </c>
      <c r="B34" s="14">
        <v>45505</v>
      </c>
      <c r="C34" s="15">
        <f t="shared" si="3"/>
        <v>207142857.14285719</v>
      </c>
      <c r="D34" s="15"/>
      <c r="E34" s="30">
        <f t="shared" si="5"/>
        <v>2589285.7142857141</v>
      </c>
      <c r="F34" s="15">
        <f t="shared" si="0"/>
        <v>1450000.0000000002</v>
      </c>
      <c r="G34" s="15">
        <f t="shared" si="1"/>
        <v>4039285.7142857146</v>
      </c>
      <c r="H34" s="15">
        <f t="shared" si="2"/>
        <v>204553571.42857149</v>
      </c>
    </row>
    <row r="35" spans="1:8" x14ac:dyDescent="0.3">
      <c r="A35" s="13">
        <f t="shared" si="4"/>
        <v>9</v>
      </c>
      <c r="B35" s="14">
        <v>45536</v>
      </c>
      <c r="C35" s="15">
        <f t="shared" si="3"/>
        <v>204553571.42857149</v>
      </c>
      <c r="D35" s="15"/>
      <c r="E35" s="30">
        <f t="shared" si="5"/>
        <v>2589285.7142857141</v>
      </c>
      <c r="F35" s="15">
        <f t="shared" si="0"/>
        <v>1431875.0000000007</v>
      </c>
      <c r="G35" s="15">
        <f t="shared" si="1"/>
        <v>4021160.7142857146</v>
      </c>
      <c r="H35" s="15">
        <f t="shared" si="2"/>
        <v>201964285.71428579</v>
      </c>
    </row>
    <row r="36" spans="1:8" x14ac:dyDescent="0.3">
      <c r="A36" s="13">
        <f t="shared" si="4"/>
        <v>10</v>
      </c>
      <c r="B36" s="14">
        <v>45566</v>
      </c>
      <c r="C36" s="15">
        <f t="shared" si="3"/>
        <v>201964285.71428579</v>
      </c>
      <c r="D36" s="15"/>
      <c r="E36" s="30">
        <f t="shared" si="5"/>
        <v>2589285.7142857141</v>
      </c>
      <c r="F36" s="15">
        <f t="shared" si="0"/>
        <v>1413750.0000000007</v>
      </c>
      <c r="G36" s="15">
        <f t="shared" si="1"/>
        <v>4003035.7142857146</v>
      </c>
      <c r="H36" s="15">
        <f t="shared" si="2"/>
        <v>199375000.00000009</v>
      </c>
    </row>
    <row r="37" spans="1:8" x14ac:dyDescent="0.3">
      <c r="A37" s="13">
        <f t="shared" si="4"/>
        <v>11</v>
      </c>
      <c r="B37" s="14">
        <v>45597</v>
      </c>
      <c r="C37" s="15">
        <f t="shared" si="3"/>
        <v>199375000.00000009</v>
      </c>
      <c r="D37" s="15"/>
      <c r="E37" s="30">
        <f t="shared" si="5"/>
        <v>2589285.7142857141</v>
      </c>
      <c r="F37" s="15">
        <f t="shared" si="0"/>
        <v>1395625.0000000007</v>
      </c>
      <c r="G37" s="15">
        <f t="shared" si="1"/>
        <v>3984910.7142857146</v>
      </c>
      <c r="H37" s="15">
        <f t="shared" si="2"/>
        <v>196785714.28571439</v>
      </c>
    </row>
    <row r="38" spans="1:8" x14ac:dyDescent="0.3">
      <c r="A38" s="13">
        <f t="shared" si="4"/>
        <v>12</v>
      </c>
      <c r="B38" s="14">
        <v>45627</v>
      </c>
      <c r="C38" s="15">
        <f t="shared" si="3"/>
        <v>196785714.28571439</v>
      </c>
      <c r="D38" s="15"/>
      <c r="E38" s="30">
        <f t="shared" si="5"/>
        <v>2589285.7142857141</v>
      </c>
      <c r="F38" s="15">
        <f t="shared" si="0"/>
        <v>1377500.0000000007</v>
      </c>
      <c r="G38" s="15">
        <f t="shared" si="1"/>
        <v>3966785.7142857146</v>
      </c>
      <c r="H38" s="15">
        <f t="shared" si="2"/>
        <v>194196428.57142869</v>
      </c>
    </row>
    <row r="39" spans="1:8" x14ac:dyDescent="0.3">
      <c r="A39" s="13">
        <f t="shared" si="4"/>
        <v>13</v>
      </c>
      <c r="B39" s="14">
        <v>45658</v>
      </c>
      <c r="C39" s="15">
        <f t="shared" si="3"/>
        <v>194196428.57142869</v>
      </c>
      <c r="D39" s="15"/>
      <c r="E39" s="30">
        <f t="shared" si="5"/>
        <v>2589285.7142857141</v>
      </c>
      <c r="F39" s="15">
        <f t="shared" si="0"/>
        <v>1359375.0000000007</v>
      </c>
      <c r="G39" s="15">
        <f t="shared" si="1"/>
        <v>3948660.7142857146</v>
      </c>
      <c r="H39" s="15">
        <f t="shared" si="2"/>
        <v>191607142.85714298</v>
      </c>
    </row>
    <row r="40" spans="1:8" x14ac:dyDescent="0.3">
      <c r="A40" s="13">
        <f t="shared" si="4"/>
        <v>14</v>
      </c>
      <c r="B40" s="14">
        <v>45689</v>
      </c>
      <c r="C40" s="15">
        <f t="shared" si="3"/>
        <v>191607142.85714298</v>
      </c>
      <c r="D40" s="15"/>
      <c r="E40" s="30">
        <f t="shared" si="5"/>
        <v>2589285.7142857141</v>
      </c>
      <c r="F40" s="15">
        <f t="shared" si="0"/>
        <v>1341250.0000000009</v>
      </c>
      <c r="G40" s="15">
        <f t="shared" si="1"/>
        <v>3930535.714285715</v>
      </c>
      <c r="H40" s="15">
        <f t="shared" si="2"/>
        <v>189017857.14285728</v>
      </c>
    </row>
    <row r="41" spans="1:8" x14ac:dyDescent="0.3">
      <c r="A41" s="13">
        <f t="shared" si="4"/>
        <v>15</v>
      </c>
      <c r="B41" s="14">
        <v>45717</v>
      </c>
      <c r="C41" s="15">
        <f t="shared" si="3"/>
        <v>189017857.14285728</v>
      </c>
      <c r="D41" s="15"/>
      <c r="E41" s="30">
        <f t="shared" si="5"/>
        <v>2589285.7142857141</v>
      </c>
      <c r="F41" s="15">
        <f t="shared" si="0"/>
        <v>1323125.0000000009</v>
      </c>
      <c r="G41" s="15">
        <f t="shared" si="1"/>
        <v>3912410.714285715</v>
      </c>
      <c r="H41" s="15">
        <f t="shared" si="2"/>
        <v>186428571.42857158</v>
      </c>
    </row>
    <row r="42" spans="1:8" x14ac:dyDescent="0.3">
      <c r="A42" s="13">
        <f t="shared" si="4"/>
        <v>16</v>
      </c>
      <c r="B42" s="14">
        <v>45748</v>
      </c>
      <c r="C42" s="15">
        <f t="shared" si="3"/>
        <v>186428571.42857158</v>
      </c>
      <c r="D42" s="15"/>
      <c r="E42" s="30">
        <f t="shared" si="5"/>
        <v>2589285.7142857141</v>
      </c>
      <c r="F42" s="15">
        <f t="shared" si="0"/>
        <v>1305000.0000000012</v>
      </c>
      <c r="G42" s="15">
        <f t="shared" si="1"/>
        <v>3894285.7142857155</v>
      </c>
      <c r="H42" s="15">
        <f t="shared" si="2"/>
        <v>183839285.71428588</v>
      </c>
    </row>
    <row r="43" spans="1:8" x14ac:dyDescent="0.3">
      <c r="A43" s="13">
        <f t="shared" si="4"/>
        <v>17</v>
      </c>
      <c r="B43" s="14">
        <v>45778</v>
      </c>
      <c r="C43" s="15">
        <f t="shared" si="3"/>
        <v>183839285.71428588</v>
      </c>
      <c r="D43" s="15"/>
      <c r="E43" s="30">
        <f t="shared" si="5"/>
        <v>2589285.7142857141</v>
      </c>
      <c r="F43" s="15">
        <f t="shared" si="0"/>
        <v>1286875.0000000012</v>
      </c>
      <c r="G43" s="15">
        <f t="shared" si="1"/>
        <v>3876160.7142857155</v>
      </c>
      <c r="H43" s="15">
        <f t="shared" si="2"/>
        <v>181250000.00000018</v>
      </c>
    </row>
    <row r="44" spans="1:8" x14ac:dyDescent="0.3">
      <c r="A44" s="13">
        <f t="shared" si="4"/>
        <v>18</v>
      </c>
      <c r="B44" s="14">
        <v>45809</v>
      </c>
      <c r="C44" s="15">
        <f t="shared" si="3"/>
        <v>181250000.00000018</v>
      </c>
      <c r="D44" s="15"/>
      <c r="E44" s="30">
        <f t="shared" si="5"/>
        <v>2589285.7142857141</v>
      </c>
      <c r="F44" s="15">
        <f t="shared" si="0"/>
        <v>1268750.0000000014</v>
      </c>
      <c r="G44" s="15">
        <f t="shared" si="1"/>
        <v>3858035.7142857155</v>
      </c>
      <c r="H44" s="15">
        <f t="shared" si="2"/>
        <v>178660714.28571448</v>
      </c>
    </row>
    <row r="45" spans="1:8" x14ac:dyDescent="0.3">
      <c r="A45" s="13">
        <f t="shared" si="4"/>
        <v>19</v>
      </c>
      <c r="B45" s="14">
        <v>45839</v>
      </c>
      <c r="C45" s="15">
        <f t="shared" si="3"/>
        <v>178660714.28571448</v>
      </c>
      <c r="D45" s="15"/>
      <c r="E45" s="30">
        <f t="shared" si="5"/>
        <v>2589285.7142857141</v>
      </c>
      <c r="F45" s="15">
        <f t="shared" si="0"/>
        <v>1250625.0000000014</v>
      </c>
      <c r="G45" s="15">
        <f t="shared" si="1"/>
        <v>3839910.7142857155</v>
      </c>
      <c r="H45" s="15">
        <f t="shared" si="2"/>
        <v>176071428.57142878</v>
      </c>
    </row>
    <row r="46" spans="1:8" x14ac:dyDescent="0.3">
      <c r="A46" s="13">
        <f t="shared" si="4"/>
        <v>20</v>
      </c>
      <c r="B46" s="14">
        <v>45870</v>
      </c>
      <c r="C46" s="15">
        <f t="shared" ref="C46:C71" si="6">H45</f>
        <v>176071428.57142878</v>
      </c>
      <c r="D46" s="15"/>
      <c r="E46" s="30">
        <f t="shared" si="5"/>
        <v>2589285.7142857141</v>
      </c>
      <c r="F46" s="15">
        <f t="shared" si="0"/>
        <v>1232500.0000000014</v>
      </c>
      <c r="G46" s="15">
        <f t="shared" si="1"/>
        <v>3821785.7142857155</v>
      </c>
      <c r="H46" s="15">
        <f t="shared" si="2"/>
        <v>173482142.85714307</v>
      </c>
    </row>
    <row r="47" spans="1:8" x14ac:dyDescent="0.3">
      <c r="A47" s="13">
        <f t="shared" si="4"/>
        <v>21</v>
      </c>
      <c r="B47" s="14">
        <v>45901</v>
      </c>
      <c r="C47" s="15">
        <f t="shared" si="6"/>
        <v>173482142.85714307</v>
      </c>
      <c r="D47" s="15"/>
      <c r="E47" s="30">
        <f t="shared" si="5"/>
        <v>2589285.7142857141</v>
      </c>
      <c r="F47" s="15">
        <f t="shared" si="0"/>
        <v>1214375.0000000016</v>
      </c>
      <c r="G47" s="15">
        <f t="shared" si="1"/>
        <v>3803660.7142857155</v>
      </c>
      <c r="H47" s="15">
        <f t="shared" si="2"/>
        <v>170892857.14285737</v>
      </c>
    </row>
    <row r="48" spans="1:8" x14ac:dyDescent="0.3">
      <c r="A48" s="13">
        <f t="shared" si="4"/>
        <v>22</v>
      </c>
      <c r="B48" s="14">
        <v>45931</v>
      </c>
      <c r="C48" s="15">
        <f t="shared" si="6"/>
        <v>170892857.14285737</v>
      </c>
      <c r="D48" s="15"/>
      <c r="E48" s="30">
        <f t="shared" si="5"/>
        <v>2589285.7142857141</v>
      </c>
      <c r="F48" s="15">
        <f t="shared" si="0"/>
        <v>1196250.0000000016</v>
      </c>
      <c r="G48" s="15">
        <f t="shared" si="1"/>
        <v>3785535.7142857155</v>
      </c>
      <c r="H48" s="15">
        <f t="shared" si="2"/>
        <v>168303571.42857167</v>
      </c>
    </row>
    <row r="49" spans="1:8" x14ac:dyDescent="0.3">
      <c r="A49" s="13">
        <f t="shared" si="4"/>
        <v>23</v>
      </c>
      <c r="B49" s="14">
        <v>45962</v>
      </c>
      <c r="C49" s="15">
        <f t="shared" si="6"/>
        <v>168303571.42857167</v>
      </c>
      <c r="D49" s="15"/>
      <c r="E49" s="30">
        <f t="shared" si="5"/>
        <v>2589285.7142857141</v>
      </c>
      <c r="F49" s="15">
        <f t="shared" si="0"/>
        <v>1178125.0000000019</v>
      </c>
      <c r="G49" s="15">
        <f t="shared" si="1"/>
        <v>3767410.7142857159</v>
      </c>
      <c r="H49" s="15">
        <f t="shared" si="2"/>
        <v>165714285.71428597</v>
      </c>
    </row>
    <row r="50" spans="1:8" x14ac:dyDescent="0.3">
      <c r="A50" s="13">
        <f t="shared" si="4"/>
        <v>24</v>
      </c>
      <c r="B50" s="14">
        <v>45992</v>
      </c>
      <c r="C50" s="15">
        <f t="shared" si="6"/>
        <v>165714285.71428597</v>
      </c>
      <c r="D50" s="15"/>
      <c r="E50" s="30">
        <f t="shared" si="5"/>
        <v>2589285.7142857141</v>
      </c>
      <c r="F50" s="15">
        <f t="shared" si="0"/>
        <v>1160000.0000000019</v>
      </c>
      <c r="G50" s="15">
        <f t="shared" si="1"/>
        <v>3749285.7142857159</v>
      </c>
      <c r="H50" s="15">
        <f t="shared" si="2"/>
        <v>163125000.00000027</v>
      </c>
    </row>
    <row r="51" spans="1:8" x14ac:dyDescent="0.3">
      <c r="A51" s="13">
        <f t="shared" si="4"/>
        <v>25</v>
      </c>
      <c r="B51" s="14">
        <v>46023</v>
      </c>
      <c r="C51" s="15">
        <f t="shared" si="6"/>
        <v>163125000.00000027</v>
      </c>
      <c r="D51" s="15"/>
      <c r="E51" s="30">
        <f t="shared" si="5"/>
        <v>2589285.7142857141</v>
      </c>
      <c r="F51" s="15">
        <f t="shared" si="0"/>
        <v>1141875.0000000021</v>
      </c>
      <c r="G51" s="15">
        <f t="shared" si="1"/>
        <v>3731160.7142857164</v>
      </c>
      <c r="H51" s="15">
        <f t="shared" si="2"/>
        <v>160535714.28571457</v>
      </c>
    </row>
    <row r="52" spans="1:8" x14ac:dyDescent="0.3">
      <c r="A52" s="13">
        <f t="shared" si="4"/>
        <v>26</v>
      </c>
      <c r="B52" s="14">
        <v>46054</v>
      </c>
      <c r="C52" s="15">
        <f t="shared" si="6"/>
        <v>160535714.28571457</v>
      </c>
      <c r="D52" s="15"/>
      <c r="E52" s="30">
        <f t="shared" si="5"/>
        <v>2589285.7142857141</v>
      </c>
      <c r="F52" s="15">
        <f t="shared" si="0"/>
        <v>1123750.0000000021</v>
      </c>
      <c r="G52" s="15">
        <f t="shared" si="1"/>
        <v>3713035.7142857164</v>
      </c>
      <c r="H52" s="15">
        <f t="shared" si="2"/>
        <v>157946428.57142887</v>
      </c>
    </row>
    <row r="53" spans="1:8" x14ac:dyDescent="0.3">
      <c r="A53" s="13">
        <f t="shared" si="4"/>
        <v>27</v>
      </c>
      <c r="B53" s="14">
        <v>46082</v>
      </c>
      <c r="C53" s="15">
        <f t="shared" si="6"/>
        <v>157946428.57142887</v>
      </c>
      <c r="D53" s="15"/>
      <c r="E53" s="30">
        <f t="shared" si="5"/>
        <v>2589285.7142857141</v>
      </c>
      <c r="F53" s="15">
        <f t="shared" si="0"/>
        <v>1105625.0000000021</v>
      </c>
      <c r="G53" s="15">
        <f t="shared" si="1"/>
        <v>3694910.7142857164</v>
      </c>
      <c r="H53" s="15">
        <f t="shared" si="2"/>
        <v>155357142.85714316</v>
      </c>
    </row>
    <row r="54" spans="1:8" x14ac:dyDescent="0.3">
      <c r="A54" s="13">
        <f t="shared" si="4"/>
        <v>28</v>
      </c>
      <c r="B54" s="14">
        <v>46113</v>
      </c>
      <c r="C54" s="15">
        <f t="shared" si="6"/>
        <v>155357142.85714316</v>
      </c>
      <c r="D54" s="15"/>
      <c r="E54" s="30">
        <f t="shared" si="5"/>
        <v>2589285.7142857141</v>
      </c>
      <c r="F54" s="15">
        <f t="shared" si="0"/>
        <v>1087500.0000000021</v>
      </c>
      <c r="G54" s="15">
        <f t="shared" si="1"/>
        <v>3676785.7142857164</v>
      </c>
      <c r="H54" s="15">
        <f t="shared" si="2"/>
        <v>152767857.14285746</v>
      </c>
    </row>
    <row r="55" spans="1:8" x14ac:dyDescent="0.3">
      <c r="A55" s="13">
        <f t="shared" si="4"/>
        <v>29</v>
      </c>
      <c r="B55" s="14">
        <v>46143</v>
      </c>
      <c r="C55" s="15">
        <f t="shared" si="6"/>
        <v>152767857.14285746</v>
      </c>
      <c r="D55" s="15"/>
      <c r="E55" s="30">
        <f t="shared" si="5"/>
        <v>2589285.7142857141</v>
      </c>
      <c r="F55" s="15">
        <f t="shared" si="0"/>
        <v>1069375.0000000021</v>
      </c>
      <c r="G55" s="15">
        <f t="shared" si="1"/>
        <v>3658660.7142857164</v>
      </c>
      <c r="H55" s="15">
        <f t="shared" si="2"/>
        <v>150178571.42857176</v>
      </c>
    </row>
    <row r="56" spans="1:8" x14ac:dyDescent="0.3">
      <c r="A56" s="13">
        <f t="shared" si="4"/>
        <v>30</v>
      </c>
      <c r="B56" s="14">
        <v>46174</v>
      </c>
      <c r="C56" s="15">
        <f t="shared" si="6"/>
        <v>150178571.42857176</v>
      </c>
      <c r="D56" s="15"/>
      <c r="E56" s="30">
        <f t="shared" si="5"/>
        <v>2589285.7142857141</v>
      </c>
      <c r="F56" s="15">
        <f t="shared" si="0"/>
        <v>1051250.0000000023</v>
      </c>
      <c r="G56" s="15">
        <f t="shared" si="1"/>
        <v>3640535.7142857164</v>
      </c>
      <c r="H56" s="15">
        <f t="shared" si="2"/>
        <v>147589285.71428606</v>
      </c>
    </row>
    <row r="57" spans="1:8" x14ac:dyDescent="0.3">
      <c r="A57" s="13">
        <f t="shared" si="4"/>
        <v>31</v>
      </c>
      <c r="B57" s="14">
        <v>46204</v>
      </c>
      <c r="C57" s="15">
        <f t="shared" si="6"/>
        <v>147589285.71428606</v>
      </c>
      <c r="D57" s="15"/>
      <c r="E57" s="30">
        <f t="shared" si="5"/>
        <v>2589285.7142857141</v>
      </c>
      <c r="F57" s="15">
        <f t="shared" si="0"/>
        <v>1033125.0000000023</v>
      </c>
      <c r="G57" s="15">
        <f t="shared" si="1"/>
        <v>3622410.7142857164</v>
      </c>
      <c r="H57" s="15">
        <f t="shared" si="2"/>
        <v>145000000.00000036</v>
      </c>
    </row>
    <row r="58" spans="1:8" x14ac:dyDescent="0.3">
      <c r="A58" s="13">
        <f t="shared" si="4"/>
        <v>32</v>
      </c>
      <c r="B58" s="14">
        <v>46235</v>
      </c>
      <c r="C58" s="15">
        <f t="shared" si="6"/>
        <v>145000000.00000036</v>
      </c>
      <c r="D58" s="15"/>
      <c r="E58" s="30">
        <f t="shared" si="5"/>
        <v>2589285.7142857141</v>
      </c>
      <c r="F58" s="15">
        <f t="shared" si="0"/>
        <v>1015000.0000000027</v>
      </c>
      <c r="G58" s="15">
        <f t="shared" si="1"/>
        <v>3604285.7142857169</v>
      </c>
      <c r="H58" s="15">
        <f t="shared" si="2"/>
        <v>142410714.28571466</v>
      </c>
    </row>
    <row r="59" spans="1:8" x14ac:dyDescent="0.3">
      <c r="A59" s="13">
        <f t="shared" si="4"/>
        <v>33</v>
      </c>
      <c r="B59" s="14">
        <v>46266</v>
      </c>
      <c r="C59" s="15">
        <f t="shared" si="6"/>
        <v>142410714.28571466</v>
      </c>
      <c r="D59" s="15"/>
      <c r="E59" s="30">
        <f t="shared" si="5"/>
        <v>2589285.7142857141</v>
      </c>
      <c r="F59" s="15">
        <f t="shared" si="0"/>
        <v>996875.00000000268</v>
      </c>
      <c r="G59" s="15">
        <f t="shared" si="1"/>
        <v>3586160.7142857169</v>
      </c>
      <c r="H59" s="15">
        <f t="shared" si="2"/>
        <v>139821428.57142895</v>
      </c>
    </row>
    <row r="60" spans="1:8" x14ac:dyDescent="0.3">
      <c r="A60" s="13">
        <f t="shared" si="4"/>
        <v>34</v>
      </c>
      <c r="B60" s="14">
        <v>46296</v>
      </c>
      <c r="C60" s="15">
        <f t="shared" si="6"/>
        <v>139821428.57142895</v>
      </c>
      <c r="D60" s="15"/>
      <c r="E60" s="30">
        <f t="shared" si="5"/>
        <v>2589285.7142857141</v>
      </c>
      <c r="F60" s="15">
        <f t="shared" si="0"/>
        <v>978750.00000000279</v>
      </c>
      <c r="G60" s="15">
        <f t="shared" si="1"/>
        <v>3568035.7142857169</v>
      </c>
      <c r="H60" s="15">
        <f t="shared" si="2"/>
        <v>137232142.85714325</v>
      </c>
    </row>
    <row r="61" spans="1:8" x14ac:dyDescent="0.3">
      <c r="A61" s="13">
        <f t="shared" si="4"/>
        <v>35</v>
      </c>
      <c r="B61" s="14">
        <v>46327</v>
      </c>
      <c r="C61" s="15">
        <f t="shared" si="6"/>
        <v>137232142.85714325</v>
      </c>
      <c r="D61" s="15"/>
      <c r="E61" s="30">
        <f t="shared" si="5"/>
        <v>2589285.7142857141</v>
      </c>
      <c r="F61" s="15">
        <f t="shared" si="0"/>
        <v>960625.00000000279</v>
      </c>
      <c r="G61" s="15">
        <f t="shared" si="1"/>
        <v>3549910.7142857169</v>
      </c>
      <c r="H61" s="15">
        <f t="shared" si="2"/>
        <v>134642857.14285755</v>
      </c>
    </row>
    <row r="62" spans="1:8" x14ac:dyDescent="0.3">
      <c r="A62" s="13">
        <f t="shared" si="4"/>
        <v>36</v>
      </c>
      <c r="B62" s="14">
        <v>46357</v>
      </c>
      <c r="C62" s="15">
        <f t="shared" si="6"/>
        <v>134642857.14285755</v>
      </c>
      <c r="D62" s="15"/>
      <c r="E62" s="30">
        <f t="shared" si="5"/>
        <v>2589285.7142857141</v>
      </c>
      <c r="F62" s="15">
        <f t="shared" si="0"/>
        <v>942500.00000000291</v>
      </c>
      <c r="G62" s="15">
        <f t="shared" si="1"/>
        <v>3531785.7142857169</v>
      </c>
      <c r="H62" s="15">
        <f t="shared" si="2"/>
        <v>132053571.42857184</v>
      </c>
    </row>
    <row r="63" spans="1:8" x14ac:dyDescent="0.3">
      <c r="B63" s="14">
        <v>46388</v>
      </c>
      <c r="C63" s="15">
        <f t="shared" si="6"/>
        <v>132053571.42857184</v>
      </c>
      <c r="D63" s="15"/>
      <c r="E63" s="30">
        <f t="shared" si="5"/>
        <v>2589285.7142857141</v>
      </c>
      <c r="F63" s="15">
        <f t="shared" si="0"/>
        <v>924375.00000000291</v>
      </c>
      <c r="G63" s="15">
        <f t="shared" si="1"/>
        <v>3513660.7142857169</v>
      </c>
      <c r="H63" s="15">
        <f t="shared" si="2"/>
        <v>129464285.71428612</v>
      </c>
    </row>
    <row r="64" spans="1:8" x14ac:dyDescent="0.3">
      <c r="B64" s="14">
        <v>46419</v>
      </c>
      <c r="C64" s="15">
        <f t="shared" si="6"/>
        <v>129464285.71428612</v>
      </c>
      <c r="D64" s="15"/>
      <c r="E64" s="30">
        <f t="shared" si="5"/>
        <v>2589285.7142857141</v>
      </c>
      <c r="F64" s="15">
        <f t="shared" si="0"/>
        <v>906250.00000000279</v>
      </c>
      <c r="G64" s="15">
        <f t="shared" si="1"/>
        <v>3495535.7142857169</v>
      </c>
      <c r="H64" s="15">
        <f t="shared" si="2"/>
        <v>126875000.0000004</v>
      </c>
    </row>
    <row r="65" spans="2:8" x14ac:dyDescent="0.3">
      <c r="B65" s="14">
        <v>46447</v>
      </c>
      <c r="C65" s="15">
        <f t="shared" si="6"/>
        <v>126875000.0000004</v>
      </c>
      <c r="D65" s="15"/>
      <c r="E65" s="30">
        <f t="shared" si="5"/>
        <v>2589285.7142857141</v>
      </c>
      <c r="F65" s="15">
        <f t="shared" si="0"/>
        <v>888125.00000000291</v>
      </c>
      <c r="G65" s="15">
        <f t="shared" si="1"/>
        <v>3477410.7142857169</v>
      </c>
      <c r="H65" s="15">
        <f t="shared" si="2"/>
        <v>124285714.28571469</v>
      </c>
    </row>
    <row r="66" spans="2:8" x14ac:dyDescent="0.3">
      <c r="B66" s="14">
        <v>46478</v>
      </c>
      <c r="C66" s="15">
        <f t="shared" si="6"/>
        <v>124285714.28571469</v>
      </c>
      <c r="D66" s="15"/>
      <c r="E66" s="30">
        <f t="shared" si="5"/>
        <v>2589285.7142857141</v>
      </c>
      <c r="F66" s="15">
        <f t="shared" si="0"/>
        <v>870000.00000000291</v>
      </c>
      <c r="G66" s="15">
        <f t="shared" si="1"/>
        <v>3459285.7142857169</v>
      </c>
      <c r="H66" s="15">
        <f t="shared" si="2"/>
        <v>121696428.57142897</v>
      </c>
    </row>
    <row r="67" spans="2:8" x14ac:dyDescent="0.3">
      <c r="B67" s="14">
        <v>46508</v>
      </c>
      <c r="C67" s="15">
        <f t="shared" si="6"/>
        <v>121696428.57142897</v>
      </c>
      <c r="D67" s="15"/>
      <c r="E67" s="30">
        <f t="shared" si="5"/>
        <v>2589285.7142857141</v>
      </c>
      <c r="F67" s="15">
        <f t="shared" si="0"/>
        <v>851875.00000000279</v>
      </c>
      <c r="G67" s="15">
        <f t="shared" si="1"/>
        <v>3441160.7142857169</v>
      </c>
      <c r="H67" s="15">
        <f t="shared" si="2"/>
        <v>119107142.85714325</v>
      </c>
    </row>
    <row r="68" spans="2:8" x14ac:dyDescent="0.3">
      <c r="B68" s="14">
        <v>46539</v>
      </c>
      <c r="C68" s="15">
        <f t="shared" si="6"/>
        <v>119107142.85714325</v>
      </c>
      <c r="D68" s="15"/>
      <c r="E68" s="30">
        <f t="shared" si="5"/>
        <v>2589285.7142857141</v>
      </c>
      <c r="F68" s="15">
        <f t="shared" si="0"/>
        <v>833750.00000000279</v>
      </c>
      <c r="G68" s="15">
        <f t="shared" si="1"/>
        <v>3423035.7142857169</v>
      </c>
      <c r="H68" s="15">
        <f t="shared" si="2"/>
        <v>116517857.14285754</v>
      </c>
    </row>
    <row r="69" spans="2:8" x14ac:dyDescent="0.3">
      <c r="B69" s="14">
        <v>46569</v>
      </c>
      <c r="C69" s="15">
        <f t="shared" si="6"/>
        <v>116517857.14285754</v>
      </c>
      <c r="D69" s="15"/>
      <c r="E69" s="30">
        <f t="shared" si="5"/>
        <v>2589285.7142857141</v>
      </c>
      <c r="F69" s="15">
        <f t="shared" si="0"/>
        <v>815625.00000000279</v>
      </c>
      <c r="G69" s="15">
        <f t="shared" si="1"/>
        <v>3404910.7142857169</v>
      </c>
      <c r="H69" s="15">
        <f t="shared" si="2"/>
        <v>113928571.42857182</v>
      </c>
    </row>
    <row r="70" spans="2:8" x14ac:dyDescent="0.3">
      <c r="B70" s="14">
        <v>46600</v>
      </c>
      <c r="C70" s="15">
        <f t="shared" si="6"/>
        <v>113928571.42857182</v>
      </c>
      <c r="D70" s="15"/>
      <c r="E70" s="30">
        <f t="shared" si="5"/>
        <v>2589285.7142857141</v>
      </c>
      <c r="F70" s="15">
        <f t="shared" si="0"/>
        <v>797500.00000000279</v>
      </c>
      <c r="G70" s="15">
        <f t="shared" si="1"/>
        <v>3386785.7142857169</v>
      </c>
      <c r="H70" s="15">
        <f t="shared" si="2"/>
        <v>111339285.7142861</v>
      </c>
    </row>
    <row r="71" spans="2:8" x14ac:dyDescent="0.3">
      <c r="B71" s="14">
        <v>46631</v>
      </c>
      <c r="C71" s="15">
        <f t="shared" si="6"/>
        <v>111339285.7142861</v>
      </c>
      <c r="D71" s="15"/>
      <c r="E71" s="30">
        <f t="shared" si="5"/>
        <v>2589285.7142857141</v>
      </c>
      <c r="F71" s="15">
        <f t="shared" ref="F71:F113" si="7">C71*$F$4/100/12</f>
        <v>779375.00000000279</v>
      </c>
      <c r="G71" s="15">
        <f t="shared" ref="G71:G93" si="8">E71+F71</f>
        <v>3368660.7142857169</v>
      </c>
      <c r="H71" s="15">
        <f t="shared" ref="H71:H92" si="9">C71+D71-E71</f>
        <v>108750000.00000039</v>
      </c>
    </row>
    <row r="72" spans="2:8" x14ac:dyDescent="0.3">
      <c r="B72" s="14">
        <v>46661</v>
      </c>
      <c r="C72" s="15">
        <f t="shared" ref="C72:C93" si="10">H71</f>
        <v>108750000.00000039</v>
      </c>
      <c r="D72" s="15"/>
      <c r="E72" s="30">
        <f t="shared" si="5"/>
        <v>2589285.7142857141</v>
      </c>
      <c r="F72" s="15">
        <f t="shared" si="7"/>
        <v>761250.00000000279</v>
      </c>
      <c r="G72" s="15">
        <f t="shared" si="8"/>
        <v>3350535.7142857169</v>
      </c>
      <c r="H72" s="15">
        <f t="shared" si="9"/>
        <v>106160714.28571467</v>
      </c>
    </row>
    <row r="73" spans="2:8" x14ac:dyDescent="0.3">
      <c r="B73" s="14">
        <v>46692</v>
      </c>
      <c r="C73" s="15">
        <f t="shared" si="10"/>
        <v>106160714.28571467</v>
      </c>
      <c r="D73" s="15"/>
      <c r="E73" s="30">
        <f t="shared" si="5"/>
        <v>2589285.7142857141</v>
      </c>
      <c r="F73" s="15">
        <f t="shared" si="7"/>
        <v>743125.00000000268</v>
      </c>
      <c r="G73" s="15">
        <f t="shared" si="8"/>
        <v>3332410.7142857169</v>
      </c>
      <c r="H73" s="15">
        <f t="shared" si="9"/>
        <v>103571428.57142895</v>
      </c>
    </row>
    <row r="74" spans="2:8" x14ac:dyDescent="0.3">
      <c r="B74" s="14">
        <v>46722</v>
      </c>
      <c r="C74" s="15">
        <f t="shared" si="10"/>
        <v>103571428.57142895</v>
      </c>
      <c r="D74" s="15"/>
      <c r="E74" s="30">
        <f t="shared" si="5"/>
        <v>2589285.7142857141</v>
      </c>
      <c r="F74" s="15">
        <f t="shared" si="7"/>
        <v>725000.00000000268</v>
      </c>
      <c r="G74" s="15">
        <f t="shared" si="8"/>
        <v>3314285.7142857169</v>
      </c>
      <c r="H74" s="15">
        <f t="shared" si="9"/>
        <v>100982142.85714324</v>
      </c>
    </row>
    <row r="75" spans="2:8" x14ac:dyDescent="0.3">
      <c r="B75" s="14">
        <v>46753</v>
      </c>
      <c r="C75" s="15">
        <f t="shared" si="10"/>
        <v>100982142.85714324</v>
      </c>
      <c r="D75" s="15"/>
      <c r="E75" s="30">
        <f t="shared" si="5"/>
        <v>2589285.7142857141</v>
      </c>
      <c r="F75" s="15">
        <f t="shared" si="7"/>
        <v>706875.00000000268</v>
      </c>
      <c r="G75" s="15">
        <f t="shared" si="8"/>
        <v>3296160.7142857169</v>
      </c>
      <c r="H75" s="15">
        <f t="shared" si="9"/>
        <v>98392857.142857522</v>
      </c>
    </row>
    <row r="76" spans="2:8" x14ac:dyDescent="0.3">
      <c r="B76" s="14">
        <v>46784</v>
      </c>
      <c r="C76" s="15">
        <f t="shared" si="10"/>
        <v>98392857.142857522</v>
      </c>
      <c r="D76" s="15"/>
      <c r="E76" s="30">
        <f t="shared" si="5"/>
        <v>2589285.7142857141</v>
      </c>
      <c r="F76" s="15">
        <f t="shared" si="7"/>
        <v>688750.00000000268</v>
      </c>
      <c r="G76" s="15">
        <f t="shared" si="8"/>
        <v>3278035.7142857169</v>
      </c>
      <c r="H76" s="15">
        <f t="shared" si="9"/>
        <v>95803571.428571805</v>
      </c>
    </row>
    <row r="77" spans="2:8" x14ac:dyDescent="0.3">
      <c r="B77" s="14">
        <v>46813</v>
      </c>
      <c r="C77" s="15">
        <f t="shared" si="10"/>
        <v>95803571.428571805</v>
      </c>
      <c r="D77" s="15"/>
      <c r="E77" s="30">
        <f t="shared" si="5"/>
        <v>2589285.7142857141</v>
      </c>
      <c r="F77" s="15">
        <f t="shared" si="7"/>
        <v>670625.00000000268</v>
      </c>
      <c r="G77" s="15">
        <f t="shared" si="8"/>
        <v>3259910.7142857169</v>
      </c>
      <c r="H77" s="15">
        <f t="shared" si="9"/>
        <v>93214285.714286089</v>
      </c>
    </row>
    <row r="78" spans="2:8" x14ac:dyDescent="0.3">
      <c r="B78" s="14">
        <v>46844</v>
      </c>
      <c r="C78" s="15">
        <f t="shared" si="10"/>
        <v>93214285.714286089</v>
      </c>
      <c r="D78" s="15"/>
      <c r="E78" s="30">
        <f t="shared" si="5"/>
        <v>2589285.7142857141</v>
      </c>
      <c r="F78" s="15">
        <f t="shared" si="7"/>
        <v>652500.00000000268</v>
      </c>
      <c r="G78" s="15">
        <f t="shared" si="8"/>
        <v>3241785.7142857169</v>
      </c>
      <c r="H78" s="15">
        <f t="shared" si="9"/>
        <v>90625000.000000373</v>
      </c>
    </row>
    <row r="79" spans="2:8" x14ac:dyDescent="0.3">
      <c r="B79" s="14">
        <v>46874</v>
      </c>
      <c r="C79" s="15">
        <f t="shared" si="10"/>
        <v>90625000.000000373</v>
      </c>
      <c r="D79" s="15"/>
      <c r="E79" s="30">
        <f t="shared" si="5"/>
        <v>2589285.7142857141</v>
      </c>
      <c r="F79" s="15">
        <f t="shared" si="7"/>
        <v>634375.00000000268</v>
      </c>
      <c r="G79" s="15">
        <f t="shared" si="8"/>
        <v>3223660.7142857169</v>
      </c>
      <c r="H79" s="15">
        <f t="shared" si="9"/>
        <v>88035714.285714656</v>
      </c>
    </row>
    <row r="80" spans="2:8" x14ac:dyDescent="0.3">
      <c r="B80" s="14">
        <v>46905</v>
      </c>
      <c r="C80" s="15">
        <f t="shared" si="10"/>
        <v>88035714.285714656</v>
      </c>
      <c r="D80" s="15"/>
      <c r="E80" s="30">
        <f t="shared" si="5"/>
        <v>2589285.7142857141</v>
      </c>
      <c r="F80" s="15">
        <f t="shared" si="7"/>
        <v>616250.00000000256</v>
      </c>
      <c r="G80" s="15">
        <f t="shared" si="8"/>
        <v>3205535.7142857164</v>
      </c>
      <c r="H80" s="15">
        <f t="shared" si="9"/>
        <v>85446428.57142894</v>
      </c>
    </row>
    <row r="81" spans="2:8" x14ac:dyDescent="0.3">
      <c r="B81" s="14">
        <v>46935</v>
      </c>
      <c r="C81" s="15">
        <f t="shared" si="10"/>
        <v>85446428.57142894</v>
      </c>
      <c r="D81" s="15"/>
      <c r="E81" s="30">
        <f t="shared" si="5"/>
        <v>2589285.7142857141</v>
      </c>
      <c r="F81" s="15">
        <f t="shared" si="7"/>
        <v>598125.00000000256</v>
      </c>
      <c r="G81" s="15">
        <f t="shared" si="8"/>
        <v>3187410.7142857164</v>
      </c>
      <c r="H81" s="15">
        <f t="shared" si="9"/>
        <v>82857142.857143223</v>
      </c>
    </row>
    <row r="82" spans="2:8" x14ac:dyDescent="0.3">
      <c r="B82" s="14">
        <v>46966</v>
      </c>
      <c r="C82" s="15">
        <f t="shared" si="10"/>
        <v>82857142.857143223</v>
      </c>
      <c r="D82" s="15"/>
      <c r="E82" s="30">
        <f t="shared" si="5"/>
        <v>2589285.7142857141</v>
      </c>
      <c r="F82" s="15">
        <f t="shared" si="7"/>
        <v>580000.00000000256</v>
      </c>
      <c r="G82" s="15">
        <f t="shared" si="8"/>
        <v>3169285.7142857164</v>
      </c>
      <c r="H82" s="15">
        <f t="shared" si="9"/>
        <v>80267857.142857507</v>
      </c>
    </row>
    <row r="83" spans="2:8" x14ac:dyDescent="0.3">
      <c r="B83" s="14">
        <v>46997</v>
      </c>
      <c r="C83" s="15">
        <f t="shared" si="10"/>
        <v>80267857.142857507</v>
      </c>
      <c r="D83" s="15"/>
      <c r="E83" s="30">
        <f t="shared" si="5"/>
        <v>2589285.7142857141</v>
      </c>
      <c r="F83" s="15">
        <f t="shared" si="7"/>
        <v>561875.00000000256</v>
      </c>
      <c r="G83" s="15">
        <f t="shared" si="8"/>
        <v>3151160.7142857164</v>
      </c>
      <c r="H83" s="15">
        <f t="shared" si="9"/>
        <v>77678571.42857179</v>
      </c>
    </row>
    <row r="84" spans="2:8" x14ac:dyDescent="0.3">
      <c r="B84" s="14">
        <v>47027</v>
      </c>
      <c r="C84" s="15">
        <f t="shared" si="10"/>
        <v>77678571.42857179</v>
      </c>
      <c r="D84" s="15"/>
      <c r="E84" s="30">
        <f t="shared" si="5"/>
        <v>2589285.7142857141</v>
      </c>
      <c r="F84" s="15">
        <f t="shared" si="7"/>
        <v>543750.00000000256</v>
      </c>
      <c r="G84" s="15">
        <f t="shared" si="8"/>
        <v>3133035.7142857164</v>
      </c>
      <c r="H84" s="15">
        <f t="shared" si="9"/>
        <v>75089285.714286074</v>
      </c>
    </row>
    <row r="85" spans="2:8" x14ac:dyDescent="0.3">
      <c r="B85" s="14">
        <v>47058</v>
      </c>
      <c r="C85" s="15">
        <f t="shared" si="10"/>
        <v>75089285.714286074</v>
      </c>
      <c r="D85" s="15"/>
      <c r="E85" s="30">
        <f t="shared" si="5"/>
        <v>2589285.7142857141</v>
      </c>
      <c r="F85" s="15">
        <f t="shared" si="7"/>
        <v>525625.00000000256</v>
      </c>
      <c r="G85" s="15">
        <f t="shared" si="8"/>
        <v>3114910.7142857164</v>
      </c>
      <c r="H85" s="15">
        <f t="shared" si="9"/>
        <v>72500000.000000358</v>
      </c>
    </row>
    <row r="86" spans="2:8" x14ac:dyDescent="0.3">
      <c r="B86" s="14">
        <v>47088</v>
      </c>
      <c r="C86" s="15">
        <f t="shared" si="10"/>
        <v>72500000.000000358</v>
      </c>
      <c r="D86" s="15"/>
      <c r="E86" s="30">
        <f t="shared" si="5"/>
        <v>2589285.7142857141</v>
      </c>
      <c r="F86" s="15">
        <f t="shared" si="7"/>
        <v>507500.0000000025</v>
      </c>
      <c r="G86" s="15">
        <f t="shared" si="8"/>
        <v>3096785.7142857164</v>
      </c>
      <c r="H86" s="15">
        <f t="shared" si="9"/>
        <v>69910714.285714641</v>
      </c>
    </row>
    <row r="87" spans="2:8" x14ac:dyDescent="0.3">
      <c r="B87" s="14">
        <v>47119</v>
      </c>
      <c r="C87" s="15">
        <f t="shared" si="10"/>
        <v>69910714.285714641</v>
      </c>
      <c r="D87" s="15"/>
      <c r="E87" s="30">
        <f t="shared" si="5"/>
        <v>2589285.7142857141</v>
      </c>
      <c r="F87" s="15">
        <f t="shared" si="7"/>
        <v>489375.0000000025</v>
      </c>
      <c r="G87" s="15">
        <f t="shared" si="8"/>
        <v>3078660.7142857164</v>
      </c>
      <c r="H87" s="15">
        <f t="shared" si="9"/>
        <v>67321428.571428925</v>
      </c>
    </row>
    <row r="88" spans="2:8" x14ac:dyDescent="0.3">
      <c r="B88" s="14">
        <v>47150</v>
      </c>
      <c r="C88" s="15">
        <f t="shared" si="10"/>
        <v>67321428.571428925</v>
      </c>
      <c r="D88" s="15"/>
      <c r="E88" s="30">
        <f t="shared" si="5"/>
        <v>2589285.7142857141</v>
      </c>
      <c r="F88" s="15">
        <f t="shared" si="7"/>
        <v>471250.0000000025</v>
      </c>
      <c r="G88" s="15">
        <f t="shared" si="8"/>
        <v>3060535.7142857164</v>
      </c>
      <c r="H88" s="15">
        <f t="shared" si="9"/>
        <v>64732142.857143208</v>
      </c>
    </row>
    <row r="89" spans="2:8" x14ac:dyDescent="0.3">
      <c r="B89" s="14">
        <v>47178</v>
      </c>
      <c r="C89" s="15">
        <f t="shared" si="10"/>
        <v>64732142.857143208</v>
      </c>
      <c r="D89" s="15"/>
      <c r="E89" s="30">
        <f t="shared" si="5"/>
        <v>2589285.7142857141</v>
      </c>
      <c r="F89" s="15">
        <f t="shared" si="7"/>
        <v>453125.0000000025</v>
      </c>
      <c r="G89" s="15">
        <f t="shared" si="8"/>
        <v>3042410.7142857164</v>
      </c>
      <c r="H89" s="15">
        <f t="shared" si="9"/>
        <v>62142857.142857492</v>
      </c>
    </row>
    <row r="90" spans="2:8" x14ac:dyDescent="0.3">
      <c r="B90" s="14">
        <v>47209</v>
      </c>
      <c r="C90" s="15">
        <f t="shared" si="10"/>
        <v>62142857.142857492</v>
      </c>
      <c r="D90" s="15"/>
      <c r="E90" s="30">
        <f t="shared" si="5"/>
        <v>2589285.7142857141</v>
      </c>
      <c r="F90" s="15">
        <f t="shared" si="7"/>
        <v>435000.0000000025</v>
      </c>
      <c r="G90" s="15">
        <f t="shared" si="8"/>
        <v>3024285.7142857164</v>
      </c>
      <c r="H90" s="15">
        <f t="shared" si="9"/>
        <v>59553571.428571776</v>
      </c>
    </row>
    <row r="91" spans="2:8" x14ac:dyDescent="0.3">
      <c r="B91" s="14">
        <v>47239</v>
      </c>
      <c r="C91" s="15">
        <f t="shared" si="10"/>
        <v>59553571.428571776</v>
      </c>
      <c r="D91" s="15"/>
      <c r="E91" s="30">
        <f t="shared" si="5"/>
        <v>2589285.7142857141</v>
      </c>
      <c r="F91" s="15">
        <f t="shared" si="7"/>
        <v>416875.00000000239</v>
      </c>
      <c r="G91" s="15">
        <f t="shared" si="8"/>
        <v>3006160.7142857164</v>
      </c>
      <c r="H91" s="15">
        <f t="shared" si="9"/>
        <v>56964285.714286059</v>
      </c>
    </row>
    <row r="92" spans="2:8" x14ac:dyDescent="0.3">
      <c r="B92" s="14">
        <v>47270</v>
      </c>
      <c r="C92" s="15">
        <f t="shared" si="10"/>
        <v>56964285.714286059</v>
      </c>
      <c r="D92" s="15"/>
      <c r="E92" s="30">
        <f t="shared" si="5"/>
        <v>2589285.7142857141</v>
      </c>
      <c r="F92" s="15">
        <f t="shared" si="7"/>
        <v>398750.00000000239</v>
      </c>
      <c r="G92" s="15">
        <f t="shared" si="8"/>
        <v>2988035.7142857164</v>
      </c>
      <c r="H92" s="15">
        <f t="shared" si="9"/>
        <v>54375000.000000343</v>
      </c>
    </row>
    <row r="93" spans="2:8" x14ac:dyDescent="0.3">
      <c r="B93" s="14">
        <v>47300</v>
      </c>
      <c r="C93" s="15">
        <f t="shared" si="10"/>
        <v>54375000.000000343</v>
      </c>
      <c r="D93" s="15"/>
      <c r="E93" s="30">
        <f t="shared" si="5"/>
        <v>2589285.7142857141</v>
      </c>
      <c r="F93" s="15">
        <f t="shared" si="7"/>
        <v>380625.00000000239</v>
      </c>
      <c r="G93" s="15">
        <f t="shared" si="8"/>
        <v>2969910.7142857164</v>
      </c>
      <c r="H93" s="15">
        <f t="shared" ref="H93" si="11">C93-E93</f>
        <v>51785714.285714626</v>
      </c>
    </row>
    <row r="94" spans="2:8" x14ac:dyDescent="0.3">
      <c r="B94" s="14">
        <v>47331</v>
      </c>
      <c r="C94" s="15">
        <f t="shared" ref="C94:C113" si="12">H93</f>
        <v>51785714.285714626</v>
      </c>
      <c r="D94" s="15"/>
      <c r="E94" s="30">
        <f t="shared" si="5"/>
        <v>2589285.7142857141</v>
      </c>
      <c r="F94" s="15">
        <f t="shared" si="7"/>
        <v>362500.00000000239</v>
      </c>
      <c r="G94" s="15">
        <f t="shared" ref="G94:G112" si="13">E94+F94</f>
        <v>2951785.7142857164</v>
      </c>
      <c r="H94" s="15">
        <f t="shared" ref="H94:H112" si="14">C94-E94</f>
        <v>49196428.57142891</v>
      </c>
    </row>
    <row r="95" spans="2:8" x14ac:dyDescent="0.3">
      <c r="B95" s="14">
        <v>47362</v>
      </c>
      <c r="C95" s="15">
        <f t="shared" si="12"/>
        <v>49196428.57142891</v>
      </c>
      <c r="D95" s="15"/>
      <c r="E95" s="30">
        <f t="shared" si="5"/>
        <v>2589285.7142857141</v>
      </c>
      <c r="F95" s="15">
        <f t="shared" si="7"/>
        <v>344375.00000000239</v>
      </c>
      <c r="G95" s="15">
        <f t="shared" si="13"/>
        <v>2933660.7142857164</v>
      </c>
      <c r="H95" s="15">
        <f t="shared" si="14"/>
        <v>46607142.857143193</v>
      </c>
    </row>
    <row r="96" spans="2:8" x14ac:dyDescent="0.3">
      <c r="B96" s="14">
        <v>47392</v>
      </c>
      <c r="C96" s="15">
        <f t="shared" si="12"/>
        <v>46607142.857143193</v>
      </c>
      <c r="D96" s="15"/>
      <c r="E96" s="30">
        <f t="shared" ref="E96:E113" si="15">$E$30</f>
        <v>2589285.7142857141</v>
      </c>
      <c r="F96" s="15">
        <f t="shared" si="7"/>
        <v>326250.00000000239</v>
      </c>
      <c r="G96" s="15">
        <f t="shared" si="13"/>
        <v>2915535.7142857164</v>
      </c>
      <c r="H96" s="15">
        <f t="shared" si="14"/>
        <v>44017857.142857477</v>
      </c>
    </row>
    <row r="97" spans="2:8" x14ac:dyDescent="0.3">
      <c r="B97" s="14">
        <v>47423</v>
      </c>
      <c r="C97" s="15">
        <f t="shared" si="12"/>
        <v>44017857.142857477</v>
      </c>
      <c r="D97" s="15"/>
      <c r="E97" s="30">
        <f t="shared" si="15"/>
        <v>2589285.7142857141</v>
      </c>
      <c r="F97" s="15">
        <f t="shared" si="7"/>
        <v>308125.00000000233</v>
      </c>
      <c r="G97" s="15">
        <f t="shared" si="13"/>
        <v>2897410.7142857164</v>
      </c>
      <c r="H97" s="15">
        <f t="shared" si="14"/>
        <v>41428571.428571761</v>
      </c>
    </row>
    <row r="98" spans="2:8" x14ac:dyDescent="0.3">
      <c r="B98" s="14">
        <v>47453</v>
      </c>
      <c r="C98" s="15">
        <f t="shared" si="12"/>
        <v>41428571.428571761</v>
      </c>
      <c r="D98" s="15"/>
      <c r="E98" s="30">
        <f t="shared" si="15"/>
        <v>2589285.7142857141</v>
      </c>
      <c r="F98" s="15">
        <f t="shared" si="7"/>
        <v>290000.00000000233</v>
      </c>
      <c r="G98" s="15">
        <f t="shared" si="13"/>
        <v>2879285.7142857164</v>
      </c>
      <c r="H98" s="15">
        <f t="shared" si="14"/>
        <v>38839285.714286044</v>
      </c>
    </row>
    <row r="99" spans="2:8" x14ac:dyDescent="0.3">
      <c r="B99" s="14">
        <v>47484</v>
      </c>
      <c r="C99" s="15">
        <f t="shared" si="12"/>
        <v>38839285.714286044</v>
      </c>
      <c r="D99" s="15"/>
      <c r="E99" s="30">
        <f t="shared" si="15"/>
        <v>2589285.7142857141</v>
      </c>
      <c r="F99" s="15">
        <f t="shared" si="7"/>
        <v>271875.00000000233</v>
      </c>
      <c r="G99" s="15">
        <f t="shared" si="13"/>
        <v>2861160.7142857164</v>
      </c>
      <c r="H99" s="15">
        <f t="shared" si="14"/>
        <v>36250000.000000328</v>
      </c>
    </row>
    <row r="100" spans="2:8" x14ac:dyDescent="0.3">
      <c r="B100" s="14">
        <v>47515</v>
      </c>
      <c r="C100" s="15">
        <f t="shared" si="12"/>
        <v>36250000.000000328</v>
      </c>
      <c r="D100" s="15"/>
      <c r="E100" s="30">
        <f t="shared" si="15"/>
        <v>2589285.7142857141</v>
      </c>
      <c r="F100" s="15">
        <f t="shared" si="7"/>
        <v>253750.0000000023</v>
      </c>
      <c r="G100" s="15">
        <f t="shared" si="13"/>
        <v>2843035.7142857164</v>
      </c>
      <c r="H100" s="15">
        <f t="shared" si="14"/>
        <v>33660714.285714611</v>
      </c>
    </row>
    <row r="101" spans="2:8" x14ac:dyDescent="0.3">
      <c r="B101" s="14">
        <v>47543</v>
      </c>
      <c r="C101" s="15">
        <f t="shared" si="12"/>
        <v>33660714.285714611</v>
      </c>
      <c r="D101" s="15"/>
      <c r="E101" s="30">
        <f t="shared" si="15"/>
        <v>2589285.7142857141</v>
      </c>
      <c r="F101" s="15">
        <f t="shared" si="7"/>
        <v>235625.0000000023</v>
      </c>
      <c r="G101" s="15">
        <f t="shared" si="13"/>
        <v>2824910.7142857164</v>
      </c>
      <c r="H101" s="15">
        <f t="shared" si="14"/>
        <v>31071428.571428899</v>
      </c>
    </row>
    <row r="102" spans="2:8" x14ac:dyDescent="0.3">
      <c r="B102" s="14">
        <v>47574</v>
      </c>
      <c r="C102" s="15">
        <f t="shared" si="12"/>
        <v>31071428.571428899</v>
      </c>
      <c r="D102" s="15"/>
      <c r="E102" s="30">
        <f t="shared" si="15"/>
        <v>2589285.7142857141</v>
      </c>
      <c r="F102" s="15">
        <f t="shared" si="7"/>
        <v>217500.00000000233</v>
      </c>
      <c r="G102" s="15">
        <f t="shared" si="13"/>
        <v>2806785.7142857164</v>
      </c>
      <c r="H102" s="15">
        <f t="shared" si="14"/>
        <v>28482142.857143186</v>
      </c>
    </row>
    <row r="103" spans="2:8" x14ac:dyDescent="0.3">
      <c r="B103" s="14">
        <v>47604</v>
      </c>
      <c r="C103" s="15">
        <f t="shared" si="12"/>
        <v>28482142.857143186</v>
      </c>
      <c r="D103" s="15"/>
      <c r="E103" s="30">
        <f t="shared" si="15"/>
        <v>2589285.7142857141</v>
      </c>
      <c r="F103" s="15">
        <f t="shared" si="7"/>
        <v>199375.00000000233</v>
      </c>
      <c r="G103" s="15">
        <f t="shared" si="13"/>
        <v>2788660.7142857164</v>
      </c>
      <c r="H103" s="15">
        <f t="shared" si="14"/>
        <v>25892857.142857473</v>
      </c>
    </row>
    <row r="104" spans="2:8" x14ac:dyDescent="0.3">
      <c r="B104" s="14">
        <v>47635</v>
      </c>
      <c r="C104" s="15">
        <f t="shared" si="12"/>
        <v>25892857.142857473</v>
      </c>
      <c r="D104" s="15"/>
      <c r="E104" s="30">
        <f t="shared" si="15"/>
        <v>2589285.7142857141</v>
      </c>
      <c r="F104" s="15">
        <f t="shared" si="7"/>
        <v>181250.00000000233</v>
      </c>
      <c r="G104" s="15">
        <f t="shared" si="13"/>
        <v>2770535.7142857164</v>
      </c>
      <c r="H104" s="15">
        <f t="shared" si="14"/>
        <v>23303571.428571761</v>
      </c>
    </row>
    <row r="105" spans="2:8" x14ac:dyDescent="0.3">
      <c r="B105" s="14">
        <v>47665</v>
      </c>
      <c r="C105" s="15">
        <f t="shared" si="12"/>
        <v>23303571.428571761</v>
      </c>
      <c r="D105" s="15"/>
      <c r="E105" s="30">
        <f t="shared" si="15"/>
        <v>2589285.7142857141</v>
      </c>
      <c r="F105" s="15">
        <f t="shared" si="7"/>
        <v>163125.00000000233</v>
      </c>
      <c r="G105" s="15">
        <f t="shared" si="13"/>
        <v>2752410.7142857164</v>
      </c>
      <c r="H105" s="15">
        <f t="shared" si="14"/>
        <v>20714285.714286048</v>
      </c>
    </row>
    <row r="106" spans="2:8" x14ac:dyDescent="0.3">
      <c r="B106" s="14">
        <v>47696</v>
      </c>
      <c r="C106" s="15">
        <f t="shared" si="12"/>
        <v>20714285.714286048</v>
      </c>
      <c r="D106" s="15"/>
      <c r="E106" s="30">
        <f t="shared" si="15"/>
        <v>2589285.7142857141</v>
      </c>
      <c r="F106" s="15">
        <f t="shared" si="7"/>
        <v>145000.00000000233</v>
      </c>
      <c r="G106" s="15">
        <f t="shared" si="13"/>
        <v>2734285.7142857164</v>
      </c>
      <c r="H106" s="15">
        <f t="shared" si="14"/>
        <v>18125000.000000335</v>
      </c>
    </row>
    <row r="107" spans="2:8" x14ac:dyDescent="0.3">
      <c r="B107" s="14">
        <v>47727</v>
      </c>
      <c r="C107" s="15">
        <f t="shared" si="12"/>
        <v>18125000.000000335</v>
      </c>
      <c r="D107" s="15"/>
      <c r="E107" s="30">
        <f t="shared" si="15"/>
        <v>2589285.7142857141</v>
      </c>
      <c r="F107" s="15">
        <f t="shared" si="7"/>
        <v>126875.00000000237</v>
      </c>
      <c r="G107" s="15">
        <f t="shared" si="13"/>
        <v>2716160.7142857164</v>
      </c>
      <c r="H107" s="15">
        <f t="shared" si="14"/>
        <v>15535714.285714621</v>
      </c>
    </row>
    <row r="108" spans="2:8" x14ac:dyDescent="0.3">
      <c r="B108" s="14">
        <v>47757</v>
      </c>
      <c r="C108" s="15">
        <f t="shared" si="12"/>
        <v>15535714.285714621</v>
      </c>
      <c r="D108" s="15"/>
      <c r="E108" s="30">
        <f t="shared" si="15"/>
        <v>2589285.7142857141</v>
      </c>
      <c r="F108" s="15">
        <f t="shared" si="7"/>
        <v>108750.00000000234</v>
      </c>
      <c r="G108" s="15">
        <f t="shared" si="13"/>
        <v>2698035.7142857164</v>
      </c>
      <c r="H108" s="15">
        <f t="shared" si="14"/>
        <v>12946428.571428906</v>
      </c>
    </row>
    <row r="109" spans="2:8" x14ac:dyDescent="0.3">
      <c r="B109" s="14">
        <v>47788</v>
      </c>
      <c r="C109" s="15">
        <f t="shared" si="12"/>
        <v>12946428.571428906</v>
      </c>
      <c r="D109" s="15"/>
      <c r="E109" s="30">
        <f t="shared" si="15"/>
        <v>2589285.7142857141</v>
      </c>
      <c r="F109" s="15">
        <f t="shared" si="7"/>
        <v>90625.000000002343</v>
      </c>
      <c r="G109" s="15">
        <f t="shared" si="13"/>
        <v>2679910.7142857164</v>
      </c>
      <c r="H109" s="15">
        <f t="shared" si="14"/>
        <v>10357142.857143192</v>
      </c>
    </row>
    <row r="110" spans="2:8" x14ac:dyDescent="0.3">
      <c r="B110" s="14">
        <v>47818</v>
      </c>
      <c r="C110" s="15">
        <f t="shared" si="12"/>
        <v>10357142.857143192</v>
      </c>
      <c r="D110" s="15"/>
      <c r="E110" s="30">
        <f t="shared" si="15"/>
        <v>2589285.7142857141</v>
      </c>
      <c r="F110" s="15">
        <f t="shared" si="7"/>
        <v>72500.000000002343</v>
      </c>
      <c r="G110" s="15">
        <f t="shared" si="13"/>
        <v>2661785.7142857164</v>
      </c>
      <c r="H110" s="15">
        <f t="shared" si="14"/>
        <v>7767857.1428574771</v>
      </c>
    </row>
    <row r="111" spans="2:8" x14ac:dyDescent="0.3">
      <c r="B111" s="14">
        <v>47849</v>
      </c>
      <c r="C111" s="15">
        <f t="shared" si="12"/>
        <v>7767857.1428574771</v>
      </c>
      <c r="D111" s="15"/>
      <c r="E111" s="30">
        <f t="shared" si="15"/>
        <v>2589285.7142857141</v>
      </c>
      <c r="F111" s="15">
        <f t="shared" si="7"/>
        <v>54375.000000002336</v>
      </c>
      <c r="G111" s="15">
        <f t="shared" si="13"/>
        <v>2643660.7142857164</v>
      </c>
      <c r="H111" s="15">
        <f t="shared" si="14"/>
        <v>5178571.4285717625</v>
      </c>
    </row>
    <row r="112" spans="2:8" x14ac:dyDescent="0.3">
      <c r="B112" s="14">
        <v>47880</v>
      </c>
      <c r="C112" s="15">
        <f t="shared" si="12"/>
        <v>5178571.4285717625</v>
      </c>
      <c r="D112" s="15"/>
      <c r="E112" s="30">
        <f t="shared" si="15"/>
        <v>2589285.7142857141</v>
      </c>
      <c r="F112" s="15">
        <f t="shared" si="7"/>
        <v>36250.000000002343</v>
      </c>
      <c r="G112" s="15">
        <f t="shared" si="13"/>
        <v>2625535.7142857164</v>
      </c>
      <c r="H112" s="15">
        <f t="shared" si="14"/>
        <v>2589285.7142860484</v>
      </c>
    </row>
    <row r="113" spans="2:8" x14ac:dyDescent="0.3">
      <c r="B113" s="14">
        <v>47908</v>
      </c>
      <c r="C113" s="15">
        <f t="shared" si="12"/>
        <v>2589285.7142860484</v>
      </c>
      <c r="D113" s="15"/>
      <c r="E113" s="30">
        <f t="shared" si="15"/>
        <v>2589285.7142857141</v>
      </c>
      <c r="F113" s="15">
        <f t="shared" si="7"/>
        <v>18125.000000002339</v>
      </c>
      <c r="G113" s="15">
        <f>E113+F113</f>
        <v>2607410.7142857164</v>
      </c>
      <c r="H113" s="15">
        <f>C113-E113</f>
        <v>3.3434480428695679E-7</v>
      </c>
    </row>
    <row r="114" spans="2:8" x14ac:dyDescent="0.3">
      <c r="C114" s="2"/>
      <c r="D114" s="2"/>
      <c r="E114" s="2"/>
      <c r="F114" s="2"/>
      <c r="G114" s="2"/>
      <c r="H114" s="2"/>
    </row>
    <row r="115" spans="2:8" x14ac:dyDescent="0.3">
      <c r="C115" s="2"/>
      <c r="D115" s="2"/>
      <c r="E115" s="2"/>
      <c r="F115" s="2"/>
      <c r="G115" s="2"/>
      <c r="H115" s="2"/>
    </row>
    <row r="116" spans="2:8" x14ac:dyDescent="0.3">
      <c r="C116" s="2"/>
      <c r="D116" s="2"/>
      <c r="E116" s="2"/>
      <c r="F116" s="2"/>
      <c r="G116" s="2"/>
      <c r="H116" s="2"/>
    </row>
    <row r="117" spans="2:8" x14ac:dyDescent="0.3">
      <c r="C117" s="2"/>
      <c r="D117" s="2"/>
      <c r="E117" s="2"/>
      <c r="F117" s="2"/>
      <c r="G117" s="2"/>
      <c r="H117" s="2"/>
    </row>
    <row r="118" spans="2:8" x14ac:dyDescent="0.3">
      <c r="C118" s="2"/>
      <c r="D118" s="2"/>
      <c r="E118" s="2"/>
      <c r="F118" s="2"/>
      <c r="G118" s="2"/>
      <c r="H118" s="2"/>
    </row>
    <row r="119" spans="2:8" x14ac:dyDescent="0.3">
      <c r="C119" s="2"/>
      <c r="D119" s="2"/>
      <c r="E119" s="2"/>
      <c r="F119" s="2"/>
      <c r="G119" s="2"/>
      <c r="H119" s="2"/>
    </row>
    <row r="120" spans="2:8" x14ac:dyDescent="0.3">
      <c r="C120" s="2"/>
      <c r="D120" s="2"/>
      <c r="E120" s="2"/>
      <c r="F120" s="2"/>
      <c r="G120" s="2"/>
      <c r="H120" s="2"/>
    </row>
    <row r="121" spans="2:8" x14ac:dyDescent="0.3">
      <c r="C121" s="2"/>
      <c r="D121" s="2"/>
      <c r="E121" s="2"/>
      <c r="F121" s="2"/>
      <c r="G121" s="2"/>
      <c r="H121" s="2"/>
    </row>
    <row r="122" spans="2:8" x14ac:dyDescent="0.3">
      <c r="C122" s="2"/>
      <c r="D122" s="2"/>
      <c r="E122" s="2"/>
      <c r="F122" s="2"/>
      <c r="G122" s="2"/>
      <c r="H122" s="2"/>
    </row>
    <row r="123" spans="2:8" x14ac:dyDescent="0.3">
      <c r="C123" s="2"/>
      <c r="D123" s="2"/>
      <c r="E123" s="2"/>
      <c r="F123" s="2"/>
      <c r="G123" s="2"/>
      <c r="H123" s="2"/>
    </row>
    <row r="124" spans="2:8" x14ac:dyDescent="0.3">
      <c r="C124" s="2"/>
      <c r="D124" s="2"/>
      <c r="E124" s="2"/>
      <c r="F124" s="2"/>
      <c r="G124" s="2"/>
      <c r="H124" s="2"/>
    </row>
    <row r="125" spans="2:8" x14ac:dyDescent="0.3">
      <c r="C125" s="2"/>
      <c r="D125" s="2"/>
      <c r="E125" s="2"/>
      <c r="F125" s="2"/>
      <c r="G125" s="2"/>
      <c r="H125" s="2"/>
    </row>
    <row r="126" spans="2:8" x14ac:dyDescent="0.3">
      <c r="C126" s="2"/>
      <c r="D126" s="2"/>
      <c r="E126" s="2"/>
      <c r="F126" s="2"/>
      <c r="G126" s="2"/>
      <c r="H126" s="2"/>
    </row>
    <row r="127" spans="2:8" x14ac:dyDescent="0.3">
      <c r="C127" s="2"/>
      <c r="D127" s="2"/>
      <c r="E127" s="2"/>
      <c r="F127" s="2"/>
      <c r="G127" s="2"/>
      <c r="H127" s="2"/>
    </row>
    <row r="128" spans="2:8" x14ac:dyDescent="0.3">
      <c r="C128" s="2"/>
      <c r="D128" s="2"/>
      <c r="E128" s="2"/>
      <c r="F128" s="2"/>
      <c r="G128" s="2"/>
      <c r="H128" s="2"/>
    </row>
    <row r="129" spans="3:8" x14ac:dyDescent="0.3">
      <c r="C129" s="2"/>
      <c r="D129" s="2"/>
      <c r="E129" s="2"/>
      <c r="F129" s="2"/>
      <c r="G129" s="2"/>
      <c r="H129" s="2"/>
    </row>
    <row r="130" spans="3:8" x14ac:dyDescent="0.3">
      <c r="C130" s="2"/>
      <c r="D130" s="2"/>
      <c r="E130" s="2"/>
      <c r="F130" s="2"/>
      <c r="G130" s="2"/>
      <c r="H130" s="2"/>
    </row>
    <row r="131" spans="3:8" x14ac:dyDescent="0.3">
      <c r="C131" s="2"/>
      <c r="D131" s="2"/>
      <c r="E131" s="2"/>
      <c r="F131" s="2"/>
      <c r="G131" s="2"/>
      <c r="H131" s="2"/>
    </row>
    <row r="132" spans="3:8" x14ac:dyDescent="0.3">
      <c r="C132" s="2"/>
      <c r="D132" s="2"/>
      <c r="E132" s="2"/>
      <c r="F132" s="2"/>
      <c r="G132" s="2"/>
      <c r="H132" s="2"/>
    </row>
    <row r="133" spans="3:8" x14ac:dyDescent="0.3">
      <c r="C133" s="2"/>
      <c r="D133" s="2"/>
      <c r="E133" s="2"/>
      <c r="F133" s="2"/>
      <c r="G133" s="2"/>
      <c r="H133" s="2"/>
    </row>
    <row r="134" spans="3:8" x14ac:dyDescent="0.3">
      <c r="C134" s="2"/>
      <c r="D134" s="2"/>
      <c r="E134" s="2"/>
      <c r="F134" s="2"/>
      <c r="G134" s="2"/>
      <c r="H134" s="2"/>
    </row>
    <row r="135" spans="3:8" x14ac:dyDescent="0.3">
      <c r="C135" s="2"/>
      <c r="D135" s="2"/>
      <c r="E135" s="2"/>
      <c r="F135" s="2"/>
      <c r="G135" s="2"/>
      <c r="H135" s="2"/>
    </row>
    <row r="136" spans="3:8" x14ac:dyDescent="0.3">
      <c r="C136" s="2"/>
      <c r="D136" s="2"/>
      <c r="E136" s="2"/>
      <c r="F136" s="2"/>
      <c r="G136" s="2"/>
      <c r="H136" s="2"/>
    </row>
    <row r="137" spans="3:8" x14ac:dyDescent="0.3">
      <c r="C137" s="2"/>
      <c r="D137" s="2"/>
      <c r="E137" s="2"/>
      <c r="F137" s="2"/>
      <c r="G137" s="2"/>
      <c r="H137" s="2"/>
    </row>
    <row r="138" spans="3:8" x14ac:dyDescent="0.3">
      <c r="C138" s="2"/>
      <c r="D138" s="2"/>
      <c r="E138" s="2"/>
      <c r="F138" s="2"/>
      <c r="G138" s="2"/>
      <c r="H138" s="2"/>
    </row>
    <row r="139" spans="3:8" x14ac:dyDescent="0.3">
      <c r="C139" s="2"/>
      <c r="D139" s="2"/>
      <c r="E139" s="2"/>
      <c r="F139" s="2"/>
      <c r="G139" s="2"/>
      <c r="H139" s="2"/>
    </row>
    <row r="140" spans="3:8" x14ac:dyDescent="0.3">
      <c r="C140" s="2"/>
      <c r="D140" s="2"/>
      <c r="E140" s="2"/>
      <c r="F140" s="2"/>
      <c r="G140" s="2"/>
      <c r="H140" s="2"/>
    </row>
    <row r="141" spans="3:8" x14ac:dyDescent="0.3">
      <c r="C141" s="2"/>
      <c r="D141" s="2"/>
      <c r="E141" s="2"/>
      <c r="F141" s="2"/>
      <c r="G141" s="2"/>
      <c r="H141" s="2"/>
    </row>
    <row r="142" spans="3:8" x14ac:dyDescent="0.3">
      <c r="C142" s="2"/>
      <c r="D142" s="2"/>
      <c r="E142" s="2"/>
      <c r="F142" s="2"/>
      <c r="G142" s="2"/>
      <c r="H142" s="2"/>
    </row>
    <row r="143" spans="3:8" x14ac:dyDescent="0.3">
      <c r="C143" s="2"/>
      <c r="D143" s="2"/>
      <c r="E143" s="2"/>
      <c r="F143" s="2"/>
      <c r="G143" s="2"/>
      <c r="H143" s="2"/>
    </row>
    <row r="144" spans="3:8" x14ac:dyDescent="0.3">
      <c r="C144" s="2"/>
      <c r="D144" s="2"/>
      <c r="E144" s="2"/>
      <c r="F144" s="2"/>
      <c r="G144" s="2"/>
      <c r="H144" s="2"/>
    </row>
    <row r="145" spans="3:8" x14ac:dyDescent="0.3">
      <c r="C145" s="2"/>
      <c r="D145" s="2"/>
      <c r="E145" s="2"/>
      <c r="F145" s="2"/>
      <c r="G145" s="2"/>
      <c r="H145" s="2"/>
    </row>
    <row r="146" spans="3:8" x14ac:dyDescent="0.3">
      <c r="C146" s="2"/>
      <c r="D146" s="2"/>
      <c r="E146" s="2"/>
      <c r="F146" s="2"/>
      <c r="G146" s="2"/>
      <c r="H146" s="2"/>
    </row>
    <row r="147" spans="3:8" x14ac:dyDescent="0.3">
      <c r="C147" s="2"/>
      <c r="D147" s="2"/>
      <c r="E147" s="2"/>
      <c r="F147" s="2"/>
      <c r="G147" s="2"/>
      <c r="H147" s="2"/>
    </row>
    <row r="148" spans="3:8" x14ac:dyDescent="0.3">
      <c r="C148" s="2"/>
      <c r="D148" s="2"/>
      <c r="E148" s="2"/>
      <c r="F148" s="2"/>
      <c r="G148" s="2"/>
      <c r="H148" s="2"/>
    </row>
    <row r="149" spans="3:8" x14ac:dyDescent="0.3">
      <c r="C149" s="2"/>
      <c r="D149" s="2"/>
      <c r="E149" s="2"/>
      <c r="F149" s="2"/>
      <c r="G149" s="2"/>
      <c r="H149" s="2"/>
    </row>
    <row r="150" spans="3:8" x14ac:dyDescent="0.3">
      <c r="C150" s="2"/>
      <c r="D150" s="2"/>
      <c r="E150" s="2"/>
      <c r="F150" s="2"/>
      <c r="G150" s="2"/>
      <c r="H150" s="2"/>
    </row>
    <row r="151" spans="3:8" x14ac:dyDescent="0.3">
      <c r="C151" s="2"/>
      <c r="D151" s="2"/>
      <c r="E151" s="2"/>
      <c r="F151" s="2"/>
      <c r="G151" s="2"/>
      <c r="H151" s="2"/>
    </row>
    <row r="152" spans="3:8" x14ac:dyDescent="0.3">
      <c r="C152" s="2"/>
      <c r="D152" s="2"/>
      <c r="E152" s="2"/>
      <c r="F152" s="2"/>
      <c r="G152" s="2"/>
      <c r="H152" s="2"/>
    </row>
    <row r="153" spans="3:8" x14ac:dyDescent="0.3">
      <c r="C153" s="2"/>
      <c r="D153" s="2"/>
      <c r="E153" s="2"/>
      <c r="F153" s="2"/>
      <c r="G153" s="2"/>
      <c r="H153" s="2"/>
    </row>
    <row r="154" spans="3:8" x14ac:dyDescent="0.3">
      <c r="C154" s="2"/>
      <c r="D154" s="2"/>
      <c r="E154" s="2"/>
      <c r="F154" s="2"/>
      <c r="G154" s="2"/>
      <c r="H154" s="2"/>
    </row>
    <row r="155" spans="3:8" x14ac:dyDescent="0.3">
      <c r="C155" s="2"/>
      <c r="D155" s="2"/>
      <c r="E155" s="2"/>
      <c r="F155" s="2"/>
      <c r="G155" s="2"/>
      <c r="H155" s="2"/>
    </row>
    <row r="156" spans="3:8" x14ac:dyDescent="0.3">
      <c r="C156" s="2"/>
      <c r="D156" s="2"/>
      <c r="E156" s="2"/>
      <c r="F156" s="2"/>
      <c r="G156" s="2"/>
      <c r="H156" s="2"/>
    </row>
    <row r="157" spans="3:8" x14ac:dyDescent="0.3">
      <c r="C157" s="2"/>
      <c r="D157" s="2"/>
      <c r="E157" s="2"/>
      <c r="F157" s="2"/>
      <c r="G157" s="2"/>
      <c r="H157" s="2"/>
    </row>
    <row r="158" spans="3:8" x14ac:dyDescent="0.3">
      <c r="C158" s="2"/>
      <c r="D158" s="2"/>
      <c r="E158" s="2"/>
      <c r="F158" s="2"/>
      <c r="G158" s="2"/>
      <c r="H158" s="2"/>
    </row>
    <row r="159" spans="3:8" x14ac:dyDescent="0.3">
      <c r="C159" s="2"/>
      <c r="D159" s="2"/>
      <c r="E159" s="2"/>
      <c r="F159" s="2"/>
      <c r="G159" s="2"/>
      <c r="H159" s="2"/>
    </row>
    <row r="160" spans="3:8" x14ac:dyDescent="0.3">
      <c r="C160" s="2"/>
      <c r="D160" s="2"/>
      <c r="E160" s="2"/>
      <c r="F160" s="2"/>
      <c r="G160" s="2"/>
      <c r="H160" s="2"/>
    </row>
    <row r="161" spans="3:8" x14ac:dyDescent="0.3">
      <c r="C161" s="2"/>
      <c r="D161" s="2"/>
      <c r="E161" s="2"/>
      <c r="F161" s="2"/>
      <c r="G161" s="2"/>
      <c r="H161" s="2"/>
    </row>
    <row r="162" spans="3:8" x14ac:dyDescent="0.3">
      <c r="C162" s="2"/>
      <c r="D162" s="2"/>
      <c r="E162" s="2"/>
      <c r="F162" s="2"/>
      <c r="G162" s="2"/>
      <c r="H162" s="2"/>
    </row>
    <row r="163" spans="3:8" x14ac:dyDescent="0.3">
      <c r="C163" s="2"/>
      <c r="D163" s="2"/>
      <c r="E163" s="2"/>
      <c r="F163" s="2"/>
      <c r="G163" s="2"/>
      <c r="H163" s="2"/>
    </row>
    <row r="164" spans="3:8" x14ac:dyDescent="0.3">
      <c r="C164" s="2"/>
      <c r="D164" s="2"/>
      <c r="E164" s="2"/>
      <c r="F164" s="2"/>
      <c r="G164" s="2"/>
      <c r="H164" s="2"/>
    </row>
    <row r="165" spans="3:8" x14ac:dyDescent="0.3">
      <c r="C165" s="2"/>
      <c r="D165" s="2"/>
      <c r="E165" s="2"/>
      <c r="F165" s="2"/>
      <c r="G165" s="2"/>
      <c r="H165" s="2"/>
    </row>
    <row r="166" spans="3:8" x14ac:dyDescent="0.3">
      <c r="C166" s="2"/>
      <c r="D166" s="2"/>
      <c r="E166" s="2"/>
      <c r="F166" s="2"/>
      <c r="G166" s="2"/>
      <c r="H166" s="2"/>
    </row>
    <row r="167" spans="3:8" x14ac:dyDescent="0.3">
      <c r="C167" s="2"/>
      <c r="D167" s="2"/>
      <c r="E167" s="2"/>
      <c r="F167" s="2"/>
      <c r="G167" s="2"/>
      <c r="H167" s="2"/>
    </row>
    <row r="168" spans="3:8" x14ac:dyDescent="0.3">
      <c r="C168" s="2"/>
      <c r="D168" s="2"/>
      <c r="E168" s="2"/>
      <c r="F168" s="2"/>
      <c r="G168" s="2"/>
      <c r="H168" s="2"/>
    </row>
    <row r="169" spans="3:8" x14ac:dyDescent="0.3">
      <c r="C169" s="2"/>
      <c r="D169" s="2"/>
      <c r="E169" s="2"/>
      <c r="F169" s="2"/>
      <c r="G169" s="2"/>
      <c r="H169" s="2"/>
    </row>
    <row r="170" spans="3:8" x14ac:dyDescent="0.3">
      <c r="C170" s="2"/>
      <c r="D170" s="2"/>
      <c r="E170" s="2"/>
      <c r="F170" s="2"/>
      <c r="G170" s="2"/>
      <c r="H170" s="2"/>
    </row>
    <row r="171" spans="3:8" x14ac:dyDescent="0.3">
      <c r="C171" s="2"/>
      <c r="D171" s="2"/>
      <c r="E171" s="2"/>
      <c r="F171" s="2"/>
      <c r="G171" s="2"/>
      <c r="H171" s="2"/>
    </row>
    <row r="172" spans="3:8" x14ac:dyDescent="0.3">
      <c r="C172" s="2"/>
      <c r="D172" s="2"/>
      <c r="E172" s="2"/>
      <c r="F172" s="2"/>
      <c r="G172" s="2"/>
      <c r="H172" s="2"/>
    </row>
    <row r="173" spans="3:8" x14ac:dyDescent="0.3">
      <c r="C173" s="2"/>
      <c r="D173" s="2"/>
      <c r="E173" s="2"/>
      <c r="F173" s="2"/>
      <c r="G173" s="2"/>
      <c r="H173" s="2"/>
    </row>
    <row r="174" spans="3:8" x14ac:dyDescent="0.3">
      <c r="C174" s="2"/>
      <c r="D174" s="2"/>
      <c r="E174" s="2"/>
      <c r="F174" s="2"/>
      <c r="G174" s="2"/>
      <c r="H174" s="2"/>
    </row>
    <row r="175" spans="3:8" x14ac:dyDescent="0.3">
      <c r="C175" s="2"/>
      <c r="D175" s="2"/>
      <c r="E175" s="2"/>
      <c r="F175" s="2"/>
      <c r="G175" s="2"/>
      <c r="H175" s="2"/>
    </row>
    <row r="176" spans="3:8" x14ac:dyDescent="0.3">
      <c r="C176" s="2"/>
      <c r="D176" s="2"/>
      <c r="E176" s="2"/>
      <c r="F176" s="2"/>
      <c r="G176" s="2"/>
      <c r="H176" s="2"/>
    </row>
    <row r="177" spans="3:8" x14ac:dyDescent="0.3">
      <c r="C177" s="2"/>
      <c r="D177" s="2"/>
      <c r="E177" s="2"/>
      <c r="F177" s="2"/>
      <c r="G177" s="2"/>
      <c r="H177" s="2"/>
    </row>
    <row r="178" spans="3:8" x14ac:dyDescent="0.3">
      <c r="C178" s="2"/>
      <c r="D178" s="2"/>
      <c r="E178" s="2"/>
      <c r="F178" s="2"/>
      <c r="G178" s="2"/>
      <c r="H178" s="2"/>
    </row>
    <row r="179" spans="3:8" x14ac:dyDescent="0.3">
      <c r="C179" s="2"/>
      <c r="D179" s="2"/>
      <c r="E179" s="2"/>
      <c r="F179" s="2"/>
      <c r="G179" s="2"/>
      <c r="H179" s="2"/>
    </row>
    <row r="180" spans="3:8" x14ac:dyDescent="0.3">
      <c r="C180" s="2"/>
      <c r="D180" s="2"/>
      <c r="E180" s="2"/>
      <c r="F180" s="2"/>
      <c r="G180" s="2"/>
    </row>
    <row r="181" spans="3:8" x14ac:dyDescent="0.3">
      <c r="C181" s="2"/>
      <c r="D181" s="2"/>
      <c r="E181" s="2"/>
      <c r="F181" s="2"/>
      <c r="G181" s="2"/>
    </row>
    <row r="182" spans="3:8" x14ac:dyDescent="0.3">
      <c r="C182" s="2"/>
      <c r="D182" s="2"/>
      <c r="E182" s="2"/>
      <c r="F182" s="2"/>
      <c r="G182" s="2"/>
    </row>
    <row r="183" spans="3:8" x14ac:dyDescent="0.3">
      <c r="C183" s="2"/>
      <c r="D183" s="2"/>
      <c r="E183" s="2"/>
      <c r="F183" s="2"/>
      <c r="G183" s="2"/>
    </row>
    <row r="184" spans="3:8" x14ac:dyDescent="0.3">
      <c r="C184" s="2"/>
      <c r="D184" s="2"/>
      <c r="E184" s="2"/>
      <c r="F184" s="2"/>
      <c r="G184" s="2"/>
    </row>
    <row r="185" spans="3:8" x14ac:dyDescent="0.3">
      <c r="C185" s="2"/>
      <c r="D185" s="2"/>
      <c r="E185" s="2"/>
      <c r="F185" s="2"/>
      <c r="G185" s="2"/>
    </row>
    <row r="186" spans="3:8" x14ac:dyDescent="0.3">
      <c r="C186" s="2"/>
      <c r="D186" s="2"/>
      <c r="E186" s="2"/>
      <c r="F186" s="2"/>
      <c r="G186" s="2"/>
    </row>
    <row r="187" spans="3:8" x14ac:dyDescent="0.3">
      <c r="C187" s="2"/>
      <c r="D187" s="2"/>
      <c r="E187" s="2"/>
      <c r="F187" s="2"/>
      <c r="G187" s="2"/>
    </row>
    <row r="188" spans="3:8" x14ac:dyDescent="0.3">
      <c r="C188" s="2"/>
      <c r="D188" s="2"/>
      <c r="E188" s="2"/>
      <c r="F188" s="2"/>
      <c r="G188" s="2"/>
    </row>
    <row r="189" spans="3:8" x14ac:dyDescent="0.3">
      <c r="C189" s="2"/>
      <c r="D189" s="2"/>
      <c r="E189" s="2"/>
      <c r="F189" s="2"/>
      <c r="G189" s="2"/>
    </row>
    <row r="190" spans="3:8" x14ac:dyDescent="0.3">
      <c r="C190" s="2"/>
      <c r="D190" s="2"/>
      <c r="E190" s="2"/>
      <c r="F190" s="2"/>
      <c r="G190" s="2"/>
    </row>
    <row r="191" spans="3:8" x14ac:dyDescent="0.3">
      <c r="C191" s="2"/>
      <c r="D191" s="2"/>
      <c r="E191" s="2"/>
      <c r="F191" s="2"/>
      <c r="G191" s="2"/>
    </row>
    <row r="192" spans="3:8" x14ac:dyDescent="0.3">
      <c r="C192" s="2"/>
      <c r="D192" s="2"/>
      <c r="E192" s="2"/>
      <c r="F192" s="2"/>
      <c r="G192" s="2"/>
    </row>
    <row r="193" spans="3:7" x14ac:dyDescent="0.3">
      <c r="C193" s="2"/>
      <c r="D193" s="2"/>
      <c r="E193" s="2"/>
      <c r="F193" s="2"/>
      <c r="G193" s="2"/>
    </row>
    <row r="194" spans="3:7" x14ac:dyDescent="0.3">
      <c r="C194" s="2"/>
      <c r="D194" s="2"/>
      <c r="E194" s="2"/>
      <c r="F194" s="2"/>
      <c r="G194" s="2"/>
    </row>
    <row r="195" spans="3:7" x14ac:dyDescent="0.3">
      <c r="C195" s="2"/>
      <c r="D195" s="2"/>
      <c r="E195" s="2"/>
      <c r="F195" s="2"/>
      <c r="G195" s="2"/>
    </row>
    <row r="196" spans="3:7" x14ac:dyDescent="0.3">
      <c r="C196" s="2"/>
      <c r="D196" s="2"/>
      <c r="E196" s="2"/>
      <c r="F196" s="2"/>
      <c r="G196" s="2"/>
    </row>
    <row r="197" spans="3:7" x14ac:dyDescent="0.3">
      <c r="C197" s="2"/>
      <c r="D197" s="2"/>
      <c r="E197" s="2"/>
      <c r="F197" s="2"/>
      <c r="G197" s="2"/>
    </row>
    <row r="198" spans="3:7" x14ac:dyDescent="0.3">
      <c r="C198" s="2"/>
      <c r="D198" s="2"/>
      <c r="E198" s="2"/>
      <c r="F198" s="2"/>
      <c r="G198" s="2"/>
    </row>
    <row r="199" spans="3:7" x14ac:dyDescent="0.3">
      <c r="C199" s="2"/>
      <c r="D199" s="2"/>
      <c r="E199" s="2"/>
      <c r="F199" s="2"/>
      <c r="G199" s="2"/>
    </row>
    <row r="200" spans="3:7" x14ac:dyDescent="0.3">
      <c r="C200" s="2"/>
      <c r="D200" s="2"/>
      <c r="E200" s="2"/>
      <c r="F200" s="2"/>
      <c r="G200" s="2"/>
    </row>
    <row r="201" spans="3:7" x14ac:dyDescent="0.3">
      <c r="C201" s="2"/>
      <c r="D201" s="2"/>
      <c r="E201" s="2"/>
      <c r="F201" s="2"/>
      <c r="G201" s="2"/>
    </row>
    <row r="202" spans="3:7" x14ac:dyDescent="0.3">
      <c r="C202" s="2"/>
      <c r="D202" s="2"/>
      <c r="E202" s="2"/>
      <c r="F202" s="2"/>
      <c r="G202" s="2"/>
    </row>
    <row r="203" spans="3:7" x14ac:dyDescent="0.3">
      <c r="C203" s="2"/>
      <c r="D203" s="2"/>
      <c r="E203" s="2"/>
      <c r="F203" s="2"/>
      <c r="G203" s="2"/>
    </row>
  </sheetData>
  <conditionalFormatting sqref="B61:B62">
    <cfRule type="timePeriod" dxfId="11" priority="6" timePeriod="lastMonth">
      <formula>AND(MONTH(B61)=MONTH(EDATE(TODAY(),0-1)),YEAR(B61)=YEAR(EDATE(TODAY(),0-1)))</formula>
    </cfRule>
  </conditionalFormatting>
  <conditionalFormatting sqref="B63">
    <cfRule type="timePeriod" dxfId="10" priority="5" timePeriod="lastMonth">
      <formula>AND(MONTH(B63)=MONTH(EDATE(TODAY(),0-1)),YEAR(B63)=YEAR(EDATE(TODAY(),0-1)))</formula>
    </cfRule>
  </conditionalFormatting>
  <conditionalFormatting sqref="B64:B74">
    <cfRule type="timePeriod" dxfId="9" priority="4" timePeriod="lastMonth">
      <formula>AND(MONTH(B64)=MONTH(EDATE(TODAY(),0-1)),YEAR(B64)=YEAR(EDATE(TODAY(),0-1)))</formula>
    </cfRule>
  </conditionalFormatting>
  <conditionalFormatting sqref="B75">
    <cfRule type="timePeriod" dxfId="8" priority="3" timePeriod="lastMonth">
      <formula>AND(MONTH(B75)=MONTH(EDATE(TODAY(),0-1)),YEAR(B75)=YEAR(EDATE(TODAY(),0-1)))</formula>
    </cfRule>
  </conditionalFormatting>
  <conditionalFormatting sqref="B76:B87">
    <cfRule type="timePeriod" dxfId="7" priority="2" timePeriod="lastMonth">
      <formula>AND(MONTH(B76)=MONTH(EDATE(TODAY(),0-1)),YEAR(B76)=YEAR(EDATE(TODAY(),0-1)))</formula>
    </cfRule>
  </conditionalFormatting>
  <conditionalFormatting sqref="B88:B93">
    <cfRule type="timePeriod" dxfId="6" priority="1" timePeriod="lastMonth">
      <formula>AND(MONTH(B88)=MONTH(EDATE(TODAY(),0-1)),YEAR(B88)=YEAR(EDATE(TODAY(),0-1)))</formula>
    </cfRule>
  </conditionalFormatting>
  <pageMargins left="0.7" right="0.7" top="0.75" bottom="0.75" header="0.3" footer="0.3"/>
  <pageSetup paperSize="9" scale="2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4"/>
  <sheetViews>
    <sheetView topLeftCell="B1" workbookViewId="0">
      <selection activeCell="B1" sqref="B1"/>
    </sheetView>
  </sheetViews>
  <sheetFormatPr defaultRowHeight="14.4" x14ac:dyDescent="0.3"/>
  <cols>
    <col min="1" max="1" width="0" hidden="1" customWidth="1"/>
    <col min="3" max="3" width="17" bestFit="1" customWidth="1"/>
    <col min="4" max="4" width="12.109375" bestFit="1" customWidth="1"/>
    <col min="5" max="5" width="13.5546875" bestFit="1" customWidth="1"/>
    <col min="6" max="6" width="13.5546875" customWidth="1"/>
    <col min="7" max="7" width="13.33203125" bestFit="1" customWidth="1"/>
    <col min="9" max="9" width="9.5546875" bestFit="1" customWidth="1"/>
  </cols>
  <sheetData>
    <row r="1" spans="1:7" x14ac:dyDescent="0.3">
      <c r="B1" s="1" t="s">
        <v>72</v>
      </c>
    </row>
    <row r="2" spans="1:7" x14ac:dyDescent="0.3">
      <c r="B2" s="1"/>
    </row>
    <row r="3" spans="1:7" x14ac:dyDescent="0.3">
      <c r="B3" s="1"/>
    </row>
    <row r="4" spans="1:7" x14ac:dyDescent="0.3">
      <c r="A4" s="19" t="s">
        <v>0</v>
      </c>
      <c r="B4" s="18" t="s">
        <v>9</v>
      </c>
      <c r="C4" s="32" t="s">
        <v>6</v>
      </c>
      <c r="D4" s="18" t="s">
        <v>5</v>
      </c>
      <c r="E4" s="18" t="s">
        <v>7</v>
      </c>
      <c r="F4" s="18" t="s">
        <v>10</v>
      </c>
      <c r="G4" s="18" t="s">
        <v>8</v>
      </c>
    </row>
    <row r="5" spans="1:7" x14ac:dyDescent="0.3">
      <c r="A5" s="15">
        <v>1</v>
      </c>
      <c r="B5" s="20">
        <v>44652</v>
      </c>
      <c r="C5" s="15">
        <v>1898052</v>
      </c>
      <c r="D5" s="15">
        <v>108993</v>
      </c>
      <c r="E5" s="15">
        <f t="shared" ref="E5:E22" si="0">D5-F5</f>
        <v>95390.293999999994</v>
      </c>
      <c r="F5" s="15">
        <f t="shared" ref="F5:F23" si="1">C5*8.6/100/12</f>
        <v>13602.705999999998</v>
      </c>
      <c r="G5" s="15">
        <f t="shared" ref="G5:G23" si="2">C5-E5</f>
        <v>1802661.706</v>
      </c>
    </row>
    <row r="6" spans="1:7" x14ac:dyDescent="0.3">
      <c r="A6" s="15">
        <f t="shared" ref="A6:A23" si="3">A5+1</f>
        <v>2</v>
      </c>
      <c r="B6" s="20">
        <v>44682</v>
      </c>
      <c r="C6" s="15">
        <f t="shared" ref="C6:C22" si="4">G5</f>
        <v>1802661.706</v>
      </c>
      <c r="D6" s="15">
        <v>108993</v>
      </c>
      <c r="E6" s="15">
        <f t="shared" si="0"/>
        <v>96073.924440333329</v>
      </c>
      <c r="F6" s="15">
        <f t="shared" si="1"/>
        <v>12919.075559666666</v>
      </c>
      <c r="G6" s="15">
        <f t="shared" si="2"/>
        <v>1706587.7815596666</v>
      </c>
    </row>
    <row r="7" spans="1:7" x14ac:dyDescent="0.3">
      <c r="A7" s="15">
        <f t="shared" si="3"/>
        <v>3</v>
      </c>
      <c r="B7" s="20">
        <v>44713</v>
      </c>
      <c r="C7" s="15">
        <f t="shared" si="4"/>
        <v>1706587.7815596666</v>
      </c>
      <c r="D7" s="15">
        <v>108993</v>
      </c>
      <c r="E7" s="15">
        <f t="shared" si="0"/>
        <v>96762.454232155724</v>
      </c>
      <c r="F7" s="15">
        <f t="shared" si="1"/>
        <v>12230.545767844276</v>
      </c>
      <c r="G7" s="15">
        <f t="shared" si="2"/>
        <v>1609825.3273275108</v>
      </c>
    </row>
    <row r="8" spans="1:7" x14ac:dyDescent="0.3">
      <c r="A8" s="15">
        <f t="shared" si="3"/>
        <v>4</v>
      </c>
      <c r="B8" s="20">
        <v>44743</v>
      </c>
      <c r="C8" s="15">
        <f t="shared" si="4"/>
        <v>1609825.3273275108</v>
      </c>
      <c r="D8" s="15">
        <v>108993</v>
      </c>
      <c r="E8" s="15">
        <f t="shared" si="0"/>
        <v>97455.918487486168</v>
      </c>
      <c r="F8" s="15">
        <f t="shared" si="1"/>
        <v>11537.081512513827</v>
      </c>
      <c r="G8" s="15">
        <f t="shared" si="2"/>
        <v>1512369.4088400246</v>
      </c>
    </row>
    <row r="9" spans="1:7" x14ac:dyDescent="0.3">
      <c r="A9" s="15">
        <f t="shared" si="3"/>
        <v>5</v>
      </c>
      <c r="B9" s="20">
        <v>44774</v>
      </c>
      <c r="C9" s="15">
        <f t="shared" si="4"/>
        <v>1512369.4088400246</v>
      </c>
      <c r="D9" s="15">
        <v>108993</v>
      </c>
      <c r="E9" s="15">
        <f t="shared" si="0"/>
        <v>98154.352569979819</v>
      </c>
      <c r="F9" s="15">
        <f t="shared" si="1"/>
        <v>10838.647430020175</v>
      </c>
      <c r="G9" s="15">
        <f t="shared" si="2"/>
        <v>1414215.0562700448</v>
      </c>
    </row>
    <row r="10" spans="1:7" x14ac:dyDescent="0.3">
      <c r="A10" s="15">
        <f t="shared" si="3"/>
        <v>6</v>
      </c>
      <c r="B10" s="20">
        <v>44805</v>
      </c>
      <c r="C10" s="15">
        <f t="shared" si="4"/>
        <v>1414215.0562700448</v>
      </c>
      <c r="D10" s="15">
        <v>108993</v>
      </c>
      <c r="E10" s="15">
        <f t="shared" si="0"/>
        <v>98857.79209673134</v>
      </c>
      <c r="F10" s="15">
        <f t="shared" si="1"/>
        <v>10135.207903268654</v>
      </c>
      <c r="G10" s="15">
        <f t="shared" si="2"/>
        <v>1315357.2641733135</v>
      </c>
    </row>
    <row r="11" spans="1:7" x14ac:dyDescent="0.3">
      <c r="A11" s="15">
        <f t="shared" si="3"/>
        <v>7</v>
      </c>
      <c r="B11" s="20">
        <v>44835</v>
      </c>
      <c r="C11" s="15">
        <f t="shared" si="4"/>
        <v>1315357.2641733135</v>
      </c>
      <c r="D11" s="15">
        <v>108993</v>
      </c>
      <c r="E11" s="15">
        <f t="shared" si="0"/>
        <v>99566.27294009125</v>
      </c>
      <c r="F11" s="15">
        <f t="shared" si="1"/>
        <v>9426.7270599087478</v>
      </c>
      <c r="G11" s="15">
        <f t="shared" si="2"/>
        <v>1215790.9912332222</v>
      </c>
    </row>
    <row r="12" spans="1:7" x14ac:dyDescent="0.3">
      <c r="A12" s="15">
        <f t="shared" si="3"/>
        <v>8</v>
      </c>
      <c r="B12" s="20">
        <v>44866</v>
      </c>
      <c r="C12" s="15">
        <f t="shared" si="4"/>
        <v>1215790.9912332222</v>
      </c>
      <c r="D12" s="15">
        <v>108993</v>
      </c>
      <c r="E12" s="15">
        <f t="shared" si="0"/>
        <v>100279.83122949523</v>
      </c>
      <c r="F12" s="15">
        <f t="shared" si="1"/>
        <v>8713.1687705047589</v>
      </c>
      <c r="G12" s="15">
        <f t="shared" si="2"/>
        <v>1115511.1600037268</v>
      </c>
    </row>
    <row r="13" spans="1:7" x14ac:dyDescent="0.3">
      <c r="A13" s="15">
        <f t="shared" si="3"/>
        <v>9</v>
      </c>
      <c r="B13" s="20">
        <v>44896</v>
      </c>
      <c r="C13" s="15">
        <f t="shared" si="4"/>
        <v>1115511.1600037268</v>
      </c>
      <c r="D13" s="15">
        <v>108993</v>
      </c>
      <c r="E13" s="15">
        <f t="shared" si="0"/>
        <v>100998.50335330663</v>
      </c>
      <c r="F13" s="15">
        <f t="shared" si="1"/>
        <v>7994.4966466933756</v>
      </c>
      <c r="G13" s="15">
        <f t="shared" si="2"/>
        <v>1014512.6566504202</v>
      </c>
    </row>
    <row r="14" spans="1:7" x14ac:dyDescent="0.3">
      <c r="A14" s="15">
        <f t="shared" si="3"/>
        <v>10</v>
      </c>
      <c r="B14" s="20">
        <v>44927</v>
      </c>
      <c r="C14" s="15">
        <f t="shared" si="4"/>
        <v>1014512.6566504202</v>
      </c>
      <c r="D14" s="15">
        <v>108993</v>
      </c>
      <c r="E14" s="15">
        <f t="shared" si="0"/>
        <v>101722.32596067199</v>
      </c>
      <c r="F14" s="15">
        <f t="shared" si="1"/>
        <v>7270.6740393280115</v>
      </c>
      <c r="G14" s="15">
        <f t="shared" si="2"/>
        <v>912790.33068974817</v>
      </c>
    </row>
    <row r="15" spans="1:7" x14ac:dyDescent="0.3">
      <c r="A15" s="15">
        <f t="shared" si="3"/>
        <v>11</v>
      </c>
      <c r="B15" s="20">
        <v>44958</v>
      </c>
      <c r="C15" s="15">
        <f t="shared" si="4"/>
        <v>912790.33068974817</v>
      </c>
      <c r="D15" s="15">
        <v>108993</v>
      </c>
      <c r="E15" s="15">
        <f t="shared" si="0"/>
        <v>102451.33596339014</v>
      </c>
      <c r="F15" s="15">
        <f t="shared" si="1"/>
        <v>6541.6640366098618</v>
      </c>
      <c r="G15" s="15">
        <f t="shared" si="2"/>
        <v>810338.99472635798</v>
      </c>
    </row>
    <row r="16" spans="1:7" x14ac:dyDescent="0.3">
      <c r="A16" s="15">
        <f t="shared" si="3"/>
        <v>12</v>
      </c>
      <c r="B16" s="20">
        <v>44986</v>
      </c>
      <c r="C16" s="15">
        <f t="shared" si="4"/>
        <v>810338.99472635798</v>
      </c>
      <c r="D16" s="15">
        <v>108993</v>
      </c>
      <c r="E16" s="15">
        <f t="shared" si="0"/>
        <v>103185.57053779444</v>
      </c>
      <c r="F16" s="15">
        <f t="shared" si="1"/>
        <v>5807.429462205565</v>
      </c>
      <c r="G16" s="15">
        <f t="shared" si="2"/>
        <v>707153.4241885636</v>
      </c>
    </row>
    <row r="17" spans="1:7" x14ac:dyDescent="0.3">
      <c r="A17" s="15">
        <f t="shared" si="3"/>
        <v>13</v>
      </c>
      <c r="B17" s="20">
        <v>45017</v>
      </c>
      <c r="C17" s="15">
        <f t="shared" si="4"/>
        <v>707153.4241885636</v>
      </c>
      <c r="D17" s="15">
        <v>108993</v>
      </c>
      <c r="E17" s="15">
        <f t="shared" si="0"/>
        <v>103925.06712664863</v>
      </c>
      <c r="F17" s="15">
        <f t="shared" si="1"/>
        <v>5067.9328733513721</v>
      </c>
      <c r="G17" s="15">
        <f t="shared" si="2"/>
        <v>603228.35706191498</v>
      </c>
    </row>
    <row r="18" spans="1:7" x14ac:dyDescent="0.3">
      <c r="A18" s="15">
        <f t="shared" si="3"/>
        <v>14</v>
      </c>
      <c r="B18" s="20">
        <v>45047</v>
      </c>
      <c r="C18" s="15">
        <f t="shared" si="4"/>
        <v>603228.35706191498</v>
      </c>
      <c r="D18" s="15">
        <v>108993</v>
      </c>
      <c r="E18" s="15">
        <f t="shared" si="0"/>
        <v>104669.86344105628</v>
      </c>
      <c r="F18" s="15">
        <f t="shared" si="1"/>
        <v>4323.1365589437237</v>
      </c>
      <c r="G18" s="15">
        <f t="shared" si="2"/>
        <v>498558.4936208587</v>
      </c>
    </row>
    <row r="19" spans="1:7" x14ac:dyDescent="0.3">
      <c r="A19" s="15">
        <f t="shared" si="3"/>
        <v>15</v>
      </c>
      <c r="B19" s="20">
        <v>45078</v>
      </c>
      <c r="C19" s="15">
        <f t="shared" si="4"/>
        <v>498558.4936208587</v>
      </c>
      <c r="D19" s="15">
        <v>108993</v>
      </c>
      <c r="E19" s="15">
        <f t="shared" si="0"/>
        <v>105419.99746238385</v>
      </c>
      <c r="F19" s="15">
        <f t="shared" si="1"/>
        <v>3573.0025376161539</v>
      </c>
      <c r="G19" s="15">
        <f t="shared" si="2"/>
        <v>393138.49615847482</v>
      </c>
    </row>
    <row r="20" spans="1:7" x14ac:dyDescent="0.3">
      <c r="A20" s="15">
        <f t="shared" si="3"/>
        <v>16</v>
      </c>
      <c r="B20" s="20">
        <v>45108</v>
      </c>
      <c r="C20" s="15">
        <f t="shared" si="4"/>
        <v>393138.49615847482</v>
      </c>
      <c r="D20" s="15">
        <v>108993</v>
      </c>
      <c r="E20" s="15">
        <f t="shared" si="0"/>
        <v>106175.5074441976</v>
      </c>
      <c r="F20" s="15">
        <f t="shared" si="1"/>
        <v>2817.4925558024029</v>
      </c>
      <c r="G20" s="15">
        <f t="shared" si="2"/>
        <v>286962.98871427722</v>
      </c>
    </row>
    <row r="21" spans="1:7" x14ac:dyDescent="0.3">
      <c r="A21" s="15">
        <f t="shared" si="3"/>
        <v>17</v>
      </c>
      <c r="B21" s="20">
        <v>45139</v>
      </c>
      <c r="C21" s="15">
        <f t="shared" si="4"/>
        <v>286962.98871427722</v>
      </c>
      <c r="D21" s="15">
        <v>108993</v>
      </c>
      <c r="E21" s="15">
        <f t="shared" si="0"/>
        <v>106936.43191421435</v>
      </c>
      <c r="F21" s="15">
        <f t="shared" si="1"/>
        <v>2056.5680857856532</v>
      </c>
      <c r="G21" s="15">
        <f t="shared" si="2"/>
        <v>180026.55680006288</v>
      </c>
    </row>
    <row r="22" spans="1:7" x14ac:dyDescent="0.3">
      <c r="A22" s="15">
        <f t="shared" si="3"/>
        <v>18</v>
      </c>
      <c r="B22" s="20">
        <v>45170</v>
      </c>
      <c r="C22" s="15">
        <f t="shared" si="4"/>
        <v>180026.55680006288</v>
      </c>
      <c r="D22" s="15">
        <v>108993</v>
      </c>
      <c r="E22" s="15">
        <f t="shared" si="0"/>
        <v>107702.80967626622</v>
      </c>
      <c r="F22" s="15">
        <f t="shared" si="1"/>
        <v>1290.190323733784</v>
      </c>
      <c r="G22" s="15">
        <f t="shared" si="2"/>
        <v>72323.747123796667</v>
      </c>
    </row>
    <row r="23" spans="1:7" x14ac:dyDescent="0.3">
      <c r="A23" s="15">
        <f t="shared" si="3"/>
        <v>19</v>
      </c>
      <c r="B23" s="20">
        <v>45200</v>
      </c>
      <c r="C23" s="15">
        <f t="shared" ref="C23" si="5">G22</f>
        <v>72323.747123796667</v>
      </c>
      <c r="D23" s="15">
        <v>108993</v>
      </c>
      <c r="E23" s="15">
        <f>D23-F23-36151</f>
        <v>72323.679812279457</v>
      </c>
      <c r="F23" s="15">
        <f t="shared" si="1"/>
        <v>518.32018772054278</v>
      </c>
      <c r="G23" s="15">
        <f t="shared" si="2"/>
        <v>6.731151721032802E-2</v>
      </c>
    </row>
    <row r="24" spans="1:7" x14ac:dyDescent="0.3">
      <c r="A24" s="2"/>
      <c r="C24" s="2"/>
      <c r="D24" s="2"/>
      <c r="E24" s="2"/>
      <c r="F24" s="2"/>
      <c r="G24" s="2"/>
    </row>
    <row r="25" spans="1:7" x14ac:dyDescent="0.3">
      <c r="A25" s="2"/>
      <c r="C25" s="2"/>
      <c r="D25" s="2"/>
      <c r="E25" s="2"/>
      <c r="F25" s="2"/>
      <c r="G25" s="2"/>
    </row>
    <row r="26" spans="1:7" x14ac:dyDescent="0.3">
      <c r="A26" s="2"/>
      <c r="C26" s="2"/>
      <c r="D26" s="2"/>
      <c r="E26" s="2"/>
      <c r="F26" s="2"/>
      <c r="G26" s="2"/>
    </row>
    <row r="27" spans="1:7" x14ac:dyDescent="0.3">
      <c r="A27" s="2"/>
      <c r="C27" s="2"/>
      <c r="D27" s="2"/>
      <c r="E27" s="2"/>
      <c r="F27" s="2"/>
      <c r="G27" s="2"/>
    </row>
    <row r="28" spans="1:7" x14ac:dyDescent="0.3">
      <c r="A28" s="2"/>
      <c r="C28" s="2"/>
      <c r="D28" s="2"/>
      <c r="E28" s="2"/>
      <c r="F28" s="2"/>
      <c r="G28" s="2"/>
    </row>
    <row r="29" spans="1:7" x14ac:dyDescent="0.3">
      <c r="A29" s="2"/>
      <c r="C29" s="2"/>
      <c r="D29" s="2"/>
      <c r="E29" s="2"/>
      <c r="F29" s="2"/>
      <c r="G29" s="2"/>
    </row>
    <row r="30" spans="1:7" x14ac:dyDescent="0.3">
      <c r="A30" s="2"/>
      <c r="C30" s="2"/>
      <c r="D30" s="2"/>
      <c r="E30" s="2"/>
      <c r="F30" s="2"/>
      <c r="G30" s="2"/>
    </row>
    <row r="31" spans="1:7" x14ac:dyDescent="0.3">
      <c r="C31" s="2"/>
      <c r="D31" s="2"/>
      <c r="E31" s="2"/>
      <c r="F31" s="2"/>
      <c r="G31" s="2"/>
    </row>
    <row r="32" spans="1:7" x14ac:dyDescent="0.3">
      <c r="C32" s="3"/>
      <c r="D32" s="3"/>
      <c r="E32" s="3"/>
      <c r="F32" s="3"/>
      <c r="G32" s="3"/>
    </row>
    <row r="33" spans="3:7" x14ac:dyDescent="0.3">
      <c r="C33" s="2"/>
      <c r="D33" s="2"/>
      <c r="E33" s="2"/>
      <c r="F33" s="2"/>
      <c r="G33" s="2"/>
    </row>
    <row r="34" spans="3:7" x14ac:dyDescent="0.3">
      <c r="C34" s="2"/>
      <c r="D34" s="2"/>
      <c r="E34" s="2"/>
      <c r="F34" s="2"/>
      <c r="G34" s="2"/>
    </row>
    <row r="35" spans="3:7" x14ac:dyDescent="0.3">
      <c r="C35" s="2"/>
      <c r="D35" s="2"/>
      <c r="E35" s="2"/>
      <c r="F35" s="2"/>
      <c r="G35" s="2"/>
    </row>
    <row r="36" spans="3:7" x14ac:dyDescent="0.3">
      <c r="C36" s="2"/>
      <c r="D36" s="2"/>
      <c r="E36" s="2"/>
      <c r="F36" s="2"/>
      <c r="G36" s="2"/>
    </row>
    <row r="37" spans="3:7" x14ac:dyDescent="0.3">
      <c r="C37" s="2"/>
      <c r="D37" s="2"/>
      <c r="E37" s="2"/>
      <c r="F37" s="2"/>
      <c r="G37" s="2"/>
    </row>
    <row r="38" spans="3:7" x14ac:dyDescent="0.3">
      <c r="C38" s="2"/>
      <c r="D38" s="2"/>
      <c r="E38" s="2"/>
      <c r="F38" s="2"/>
      <c r="G38" s="2"/>
    </row>
    <row r="39" spans="3:7" x14ac:dyDescent="0.3">
      <c r="C39" s="2"/>
      <c r="D39" s="2"/>
      <c r="E39" s="2"/>
      <c r="F39" s="2"/>
      <c r="G39" s="2"/>
    </row>
    <row r="40" spans="3:7" x14ac:dyDescent="0.3">
      <c r="C40" s="2"/>
      <c r="D40" s="2"/>
      <c r="E40" s="2"/>
      <c r="F40" s="2"/>
      <c r="G40" s="2"/>
    </row>
    <row r="41" spans="3:7" x14ac:dyDescent="0.3">
      <c r="C41" s="2"/>
      <c r="D41" s="2"/>
      <c r="E41" s="2"/>
      <c r="F41" s="2"/>
      <c r="G41" s="2"/>
    </row>
    <row r="42" spans="3:7" x14ac:dyDescent="0.3">
      <c r="C42" s="2"/>
      <c r="D42" s="2"/>
      <c r="E42" s="2"/>
      <c r="F42" s="2"/>
      <c r="G42" s="2"/>
    </row>
    <row r="43" spans="3:7" x14ac:dyDescent="0.3">
      <c r="C43" s="2"/>
      <c r="D43" s="2"/>
      <c r="E43" s="2"/>
      <c r="F43" s="2"/>
      <c r="G43" s="2"/>
    </row>
    <row r="44" spans="3:7" x14ac:dyDescent="0.3">
      <c r="C44" s="2"/>
      <c r="D44" s="2"/>
      <c r="E44" s="2"/>
      <c r="F44" s="2"/>
      <c r="G44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248"/>
  <sheetViews>
    <sheetView topLeftCell="B1" workbookViewId="0">
      <selection activeCell="G132" sqref="G132"/>
    </sheetView>
  </sheetViews>
  <sheetFormatPr defaultRowHeight="14.4" x14ac:dyDescent="0.3"/>
  <cols>
    <col min="1" max="1" width="0" hidden="1" customWidth="1"/>
    <col min="3" max="3" width="17" bestFit="1" customWidth="1"/>
    <col min="4" max="4" width="12.109375" bestFit="1" customWidth="1"/>
    <col min="5" max="5" width="19.5546875" bestFit="1" customWidth="1"/>
    <col min="6" max="6" width="13.5546875" bestFit="1" customWidth="1"/>
    <col min="7" max="7" width="15.6640625" bestFit="1" customWidth="1"/>
    <col min="8" max="8" width="13.33203125" bestFit="1" customWidth="1"/>
    <col min="9" max="9" width="14.88671875" bestFit="1" customWidth="1"/>
    <col min="10" max="10" width="9.5546875" bestFit="1" customWidth="1"/>
  </cols>
  <sheetData>
    <row r="1" spans="2:9" x14ac:dyDescent="0.3">
      <c r="B1" s="26" t="s">
        <v>73</v>
      </c>
      <c r="C1" s="27"/>
    </row>
    <row r="2" spans="2:9" x14ac:dyDescent="0.3">
      <c r="B2" s="26" t="s">
        <v>24</v>
      </c>
      <c r="C2" s="26">
        <v>671126040</v>
      </c>
    </row>
    <row r="3" spans="2:9" x14ac:dyDescent="0.3">
      <c r="B3" s="25"/>
    </row>
    <row r="4" spans="2:9" x14ac:dyDescent="0.3">
      <c r="B4" s="25"/>
    </row>
    <row r="5" spans="2:9" x14ac:dyDescent="0.3">
      <c r="B5" s="18" t="s">
        <v>9</v>
      </c>
      <c r="C5" s="32" t="s">
        <v>6</v>
      </c>
      <c r="D5" s="18" t="s">
        <v>5</v>
      </c>
      <c r="E5" s="18" t="s">
        <v>28</v>
      </c>
      <c r="F5" s="18" t="s">
        <v>50</v>
      </c>
      <c r="G5" s="18" t="s">
        <v>12</v>
      </c>
    </row>
    <row r="6" spans="2:9" x14ac:dyDescent="0.3">
      <c r="B6" s="14">
        <v>44652</v>
      </c>
      <c r="C6" s="15">
        <v>0</v>
      </c>
      <c r="D6" s="15">
        <v>0</v>
      </c>
      <c r="E6" s="15">
        <f t="shared" ref="E6:E69" si="0">D6-F6</f>
        <v>0</v>
      </c>
      <c r="F6" s="15">
        <f>C6*7.6/100/12</f>
        <v>0</v>
      </c>
      <c r="G6" s="15">
        <f t="shared" ref="G6:G69" si="1">C6-E6</f>
        <v>0</v>
      </c>
    </row>
    <row r="7" spans="2:9" x14ac:dyDescent="0.3">
      <c r="B7" s="14">
        <v>44682</v>
      </c>
      <c r="C7" s="15">
        <v>0</v>
      </c>
      <c r="D7" s="15">
        <v>0</v>
      </c>
      <c r="E7" s="15">
        <f>D7-F7</f>
        <v>0</v>
      </c>
      <c r="F7" s="15">
        <f t="shared" ref="F7:F70" si="2">C7*7.6/100/12</f>
        <v>0</v>
      </c>
      <c r="G7" s="15">
        <f t="shared" si="1"/>
        <v>0</v>
      </c>
    </row>
    <row r="8" spans="2:9" x14ac:dyDescent="0.3">
      <c r="B8" s="14">
        <v>44713</v>
      </c>
      <c r="C8" s="15">
        <v>0</v>
      </c>
      <c r="D8" s="15">
        <v>0</v>
      </c>
      <c r="E8" s="15">
        <f t="shared" si="0"/>
        <v>0</v>
      </c>
      <c r="F8" s="15">
        <f t="shared" si="2"/>
        <v>0</v>
      </c>
      <c r="G8" s="15">
        <f t="shared" si="1"/>
        <v>0</v>
      </c>
    </row>
    <row r="9" spans="2:9" x14ac:dyDescent="0.3">
      <c r="B9" s="14">
        <v>44743</v>
      </c>
      <c r="C9" s="15">
        <v>24500000</v>
      </c>
      <c r="D9" s="15">
        <v>198872</v>
      </c>
      <c r="E9" s="15">
        <f t="shared" si="0"/>
        <v>43705.333333333343</v>
      </c>
      <c r="F9" s="15">
        <f>C9*7.6/100/12</f>
        <v>155166.66666666666</v>
      </c>
      <c r="G9" s="15">
        <f>C9-E9</f>
        <v>24456294.666666668</v>
      </c>
      <c r="I9" s="2"/>
    </row>
    <row r="10" spans="2:9" x14ac:dyDescent="0.3">
      <c r="B10" s="14">
        <v>44774</v>
      </c>
      <c r="C10" s="15">
        <f t="shared" ref="C10:C72" si="3">G9</f>
        <v>24456294.666666668</v>
      </c>
      <c r="D10" s="15">
        <v>198872</v>
      </c>
      <c r="E10" s="15">
        <f t="shared" si="0"/>
        <v>43982.133777777781</v>
      </c>
      <c r="F10" s="15">
        <f t="shared" si="2"/>
        <v>154889.86622222222</v>
      </c>
      <c r="G10" s="15">
        <f t="shared" si="1"/>
        <v>24412312.532888889</v>
      </c>
    </row>
    <row r="11" spans="2:9" x14ac:dyDescent="0.3">
      <c r="B11" s="14">
        <v>44805</v>
      </c>
      <c r="C11" s="15">
        <f t="shared" si="3"/>
        <v>24412312.532888889</v>
      </c>
      <c r="D11" s="15">
        <v>198872</v>
      </c>
      <c r="E11" s="15">
        <f t="shared" si="0"/>
        <v>44260.687291703682</v>
      </c>
      <c r="F11" s="15">
        <f t="shared" si="2"/>
        <v>154611.31270829632</v>
      </c>
      <c r="G11" s="15">
        <f t="shared" si="1"/>
        <v>24368051.845597185</v>
      </c>
    </row>
    <row r="12" spans="2:9" x14ac:dyDescent="0.3">
      <c r="B12" s="14">
        <v>44835</v>
      </c>
      <c r="C12" s="15">
        <f t="shared" si="3"/>
        <v>24368051.845597185</v>
      </c>
      <c r="D12" s="15">
        <v>198872</v>
      </c>
      <c r="E12" s="15">
        <f t="shared" si="0"/>
        <v>44541.004977884499</v>
      </c>
      <c r="F12" s="15">
        <f t="shared" si="2"/>
        <v>154330.9950221155</v>
      </c>
      <c r="G12" s="15">
        <f t="shared" si="1"/>
        <v>24323510.8406193</v>
      </c>
    </row>
    <row r="13" spans="2:9" x14ac:dyDescent="0.3">
      <c r="B13" s="14">
        <v>44866</v>
      </c>
      <c r="C13" s="15">
        <f t="shared" si="3"/>
        <v>24323510.8406193</v>
      </c>
      <c r="D13" s="15">
        <v>198872</v>
      </c>
      <c r="E13" s="15">
        <f t="shared" si="0"/>
        <v>44823.098009411129</v>
      </c>
      <c r="F13" s="15">
        <f t="shared" si="2"/>
        <v>154048.90199058887</v>
      </c>
      <c r="G13" s="15">
        <f t="shared" si="1"/>
        <v>24278687.742609888</v>
      </c>
    </row>
    <row r="14" spans="2:9" x14ac:dyDescent="0.3">
      <c r="B14" s="14">
        <v>44896</v>
      </c>
      <c r="C14" s="15">
        <f t="shared" si="3"/>
        <v>24278687.742609888</v>
      </c>
      <c r="D14" s="15">
        <v>198872</v>
      </c>
      <c r="E14" s="15">
        <f t="shared" si="0"/>
        <v>45106.977630137379</v>
      </c>
      <c r="F14" s="15">
        <f t="shared" si="2"/>
        <v>153765.02236986262</v>
      </c>
      <c r="G14" s="15">
        <f t="shared" si="1"/>
        <v>24233580.76497975</v>
      </c>
    </row>
    <row r="15" spans="2:9" x14ac:dyDescent="0.3">
      <c r="B15" s="14">
        <v>44927</v>
      </c>
      <c r="C15" s="15">
        <f t="shared" si="3"/>
        <v>24233580.76497975</v>
      </c>
      <c r="D15" s="15">
        <v>198872</v>
      </c>
      <c r="E15" s="15">
        <f t="shared" si="0"/>
        <v>45392.655155128246</v>
      </c>
      <c r="F15" s="15">
        <f t="shared" si="2"/>
        <v>153479.34484487175</v>
      </c>
      <c r="G15" s="15">
        <f t="shared" si="1"/>
        <v>24188188.10982462</v>
      </c>
    </row>
    <row r="16" spans="2:9" x14ac:dyDescent="0.3">
      <c r="B16" s="14">
        <v>44958</v>
      </c>
      <c r="C16" s="15">
        <f t="shared" si="3"/>
        <v>24188188.10982462</v>
      </c>
      <c r="D16" s="15">
        <v>198872</v>
      </c>
      <c r="E16" s="15">
        <f t="shared" si="0"/>
        <v>45680.141971110745</v>
      </c>
      <c r="F16" s="15">
        <f t="shared" si="2"/>
        <v>153191.85802888926</v>
      </c>
      <c r="G16" s="15">
        <f t="shared" si="1"/>
        <v>24142507.967853509</v>
      </c>
    </row>
    <row r="17" spans="2:7" x14ac:dyDescent="0.3">
      <c r="B17" s="14">
        <v>44986</v>
      </c>
      <c r="C17" s="15">
        <f t="shared" si="3"/>
        <v>24142507.967853509</v>
      </c>
      <c r="D17" s="15">
        <v>198872</v>
      </c>
      <c r="E17" s="15">
        <f t="shared" si="0"/>
        <v>45969.449536927772</v>
      </c>
      <c r="F17" s="15">
        <f t="shared" si="2"/>
        <v>152902.55046307223</v>
      </c>
      <c r="G17" s="15">
        <f t="shared" si="1"/>
        <v>24096538.518316582</v>
      </c>
    </row>
    <row r="18" spans="2:7" x14ac:dyDescent="0.3">
      <c r="B18" s="14">
        <v>45017</v>
      </c>
      <c r="C18" s="15">
        <f t="shared" si="3"/>
        <v>24096538.518316582</v>
      </c>
      <c r="D18" s="15">
        <v>198872</v>
      </c>
      <c r="E18" s="15">
        <f t="shared" si="0"/>
        <v>46260.589383994986</v>
      </c>
      <c r="F18" s="15">
        <f t="shared" si="2"/>
        <v>152611.41061600501</v>
      </c>
      <c r="G18" s="15">
        <f t="shared" si="1"/>
        <v>24050277.928932589</v>
      </c>
    </row>
    <row r="19" spans="2:7" x14ac:dyDescent="0.3">
      <c r="B19" s="14">
        <v>45047</v>
      </c>
      <c r="C19" s="15">
        <f t="shared" si="3"/>
        <v>24050277.928932589</v>
      </c>
      <c r="D19" s="15">
        <v>198872</v>
      </c>
      <c r="E19" s="15">
        <f t="shared" si="0"/>
        <v>46553.573116760264</v>
      </c>
      <c r="F19" s="15">
        <f t="shared" si="2"/>
        <v>152318.42688323974</v>
      </c>
      <c r="G19" s="15">
        <f t="shared" si="1"/>
        <v>24003724.355815828</v>
      </c>
    </row>
    <row r="20" spans="2:7" x14ac:dyDescent="0.3">
      <c r="B20" s="14">
        <v>45078</v>
      </c>
      <c r="C20" s="15">
        <f t="shared" si="3"/>
        <v>24003724.355815828</v>
      </c>
      <c r="D20" s="15">
        <v>198872</v>
      </c>
      <c r="E20" s="15">
        <f t="shared" si="0"/>
        <v>46848.412413166458</v>
      </c>
      <c r="F20" s="15">
        <f t="shared" si="2"/>
        <v>152023.58758683354</v>
      </c>
      <c r="G20" s="15">
        <f t="shared" si="1"/>
        <v>23956875.943402663</v>
      </c>
    </row>
    <row r="21" spans="2:7" x14ac:dyDescent="0.3">
      <c r="B21" s="14">
        <v>45108</v>
      </c>
      <c r="C21" s="15">
        <f t="shared" si="3"/>
        <v>23956875.943402663</v>
      </c>
      <c r="D21" s="15">
        <v>198872</v>
      </c>
      <c r="E21" s="15">
        <f t="shared" si="0"/>
        <v>47145.119025116466</v>
      </c>
      <c r="F21" s="15">
        <f t="shared" si="2"/>
        <v>151726.88097488353</v>
      </c>
      <c r="G21" s="15">
        <f t="shared" si="1"/>
        <v>23909730.824377548</v>
      </c>
    </row>
    <row r="22" spans="2:7" x14ac:dyDescent="0.3">
      <c r="B22" s="14">
        <v>45139</v>
      </c>
      <c r="C22" s="15">
        <f t="shared" si="3"/>
        <v>23909730.824377548</v>
      </c>
      <c r="D22" s="15">
        <v>198872</v>
      </c>
      <c r="E22" s="15">
        <f t="shared" si="0"/>
        <v>47443.704778942192</v>
      </c>
      <c r="F22" s="15">
        <f t="shared" si="2"/>
        <v>151428.29522105781</v>
      </c>
      <c r="G22" s="15">
        <f t="shared" si="1"/>
        <v>23862287.119598605</v>
      </c>
    </row>
    <row r="23" spans="2:7" x14ac:dyDescent="0.3">
      <c r="B23" s="14">
        <v>45170</v>
      </c>
      <c r="C23" s="15">
        <f t="shared" si="3"/>
        <v>23862287.119598605</v>
      </c>
      <c r="D23" s="15">
        <v>198872</v>
      </c>
      <c r="E23" s="15">
        <f t="shared" si="0"/>
        <v>47744.181575875496</v>
      </c>
      <c r="F23" s="15">
        <f t="shared" si="2"/>
        <v>151127.8184241245</v>
      </c>
      <c r="G23" s="15">
        <f t="shared" si="1"/>
        <v>23814542.938022729</v>
      </c>
    </row>
    <row r="24" spans="2:7" x14ac:dyDescent="0.3">
      <c r="B24" s="14">
        <v>45200</v>
      </c>
      <c r="C24" s="15">
        <f t="shared" si="3"/>
        <v>23814542.938022729</v>
      </c>
      <c r="D24" s="15">
        <v>198872</v>
      </c>
      <c r="E24" s="15">
        <f t="shared" si="0"/>
        <v>48046.561392522737</v>
      </c>
      <c r="F24" s="15">
        <f t="shared" si="2"/>
        <v>150825.43860747726</v>
      </c>
      <c r="G24" s="15">
        <f t="shared" si="1"/>
        <v>23766496.376630206</v>
      </c>
    </row>
    <row r="25" spans="2:7" x14ac:dyDescent="0.3">
      <c r="B25" s="14">
        <v>45231</v>
      </c>
      <c r="C25" s="15">
        <f t="shared" si="3"/>
        <v>23766496.376630206</v>
      </c>
      <c r="D25" s="15">
        <v>198872</v>
      </c>
      <c r="E25" s="15">
        <f t="shared" si="0"/>
        <v>48350.856281342043</v>
      </c>
      <c r="F25" s="15">
        <f t="shared" si="2"/>
        <v>150521.14371865796</v>
      </c>
      <c r="G25" s="15">
        <f t="shared" si="1"/>
        <v>23718145.520348862</v>
      </c>
    </row>
    <row r="26" spans="2:7" x14ac:dyDescent="0.3">
      <c r="B26" s="14">
        <v>45261</v>
      </c>
      <c r="C26" s="15">
        <f t="shared" si="3"/>
        <v>23718145.520348862</v>
      </c>
      <c r="D26" s="15">
        <v>198872</v>
      </c>
      <c r="E26" s="15">
        <f t="shared" si="0"/>
        <v>48657.078371123876</v>
      </c>
      <c r="F26" s="15">
        <f t="shared" si="2"/>
        <v>150214.92162887612</v>
      </c>
      <c r="G26" s="15">
        <f t="shared" si="1"/>
        <v>23669488.441977739</v>
      </c>
    </row>
    <row r="27" spans="2:7" x14ac:dyDescent="0.3">
      <c r="B27" s="14">
        <v>45292</v>
      </c>
      <c r="C27" s="15">
        <f t="shared" si="3"/>
        <v>23669488.441977739</v>
      </c>
      <c r="D27" s="15">
        <v>198872</v>
      </c>
      <c r="E27" s="15">
        <f t="shared" si="0"/>
        <v>48965.239867474331</v>
      </c>
      <c r="F27" s="15">
        <f t="shared" si="2"/>
        <v>149906.76013252567</v>
      </c>
      <c r="G27" s="15">
        <f t="shared" si="1"/>
        <v>23620523.202110264</v>
      </c>
    </row>
    <row r="28" spans="2:7" x14ac:dyDescent="0.3">
      <c r="B28" s="14">
        <v>45323</v>
      </c>
      <c r="C28" s="15">
        <f t="shared" si="3"/>
        <v>23620523.202110264</v>
      </c>
      <c r="D28" s="15">
        <v>198872</v>
      </c>
      <c r="E28" s="15">
        <f t="shared" si="0"/>
        <v>49275.35305330166</v>
      </c>
      <c r="F28" s="15">
        <f t="shared" si="2"/>
        <v>149596.64694669834</v>
      </c>
      <c r="G28" s="15">
        <f t="shared" si="1"/>
        <v>23571247.849056963</v>
      </c>
    </row>
    <row r="29" spans="2:7" x14ac:dyDescent="0.3">
      <c r="B29" s="14">
        <v>45352</v>
      </c>
      <c r="C29" s="15">
        <f t="shared" si="3"/>
        <v>23571247.849056963</v>
      </c>
      <c r="D29" s="15">
        <v>198872</v>
      </c>
      <c r="E29" s="15">
        <f t="shared" si="0"/>
        <v>49587.430289305921</v>
      </c>
      <c r="F29" s="15">
        <f t="shared" si="2"/>
        <v>149284.56971069408</v>
      </c>
      <c r="G29" s="15">
        <f t="shared" si="1"/>
        <v>23521660.418767657</v>
      </c>
    </row>
    <row r="30" spans="2:7" x14ac:dyDescent="0.3">
      <c r="B30" s="14">
        <v>45383</v>
      </c>
      <c r="C30" s="15">
        <f t="shared" si="3"/>
        <v>23521660.418767657</v>
      </c>
      <c r="D30" s="15">
        <v>198872</v>
      </c>
      <c r="E30" s="15">
        <f t="shared" si="0"/>
        <v>49901.484014471527</v>
      </c>
      <c r="F30" s="15">
        <f t="shared" si="2"/>
        <v>148970.51598552847</v>
      </c>
      <c r="G30" s="15">
        <f t="shared" si="1"/>
        <v>23471758.934753187</v>
      </c>
    </row>
    <row r="31" spans="2:7" x14ac:dyDescent="0.3">
      <c r="B31" s="14">
        <v>45413</v>
      </c>
      <c r="C31" s="15">
        <f t="shared" si="3"/>
        <v>23471758.934753187</v>
      </c>
      <c r="D31" s="15">
        <v>198872</v>
      </c>
      <c r="E31" s="15">
        <f t="shared" si="0"/>
        <v>50217.526746563177</v>
      </c>
      <c r="F31" s="15">
        <f t="shared" si="2"/>
        <v>148654.47325343682</v>
      </c>
      <c r="G31" s="15">
        <f t="shared" si="1"/>
        <v>23421541.408006623</v>
      </c>
    </row>
    <row r="32" spans="2:7" x14ac:dyDescent="0.3">
      <c r="B32" s="14">
        <v>45444</v>
      </c>
      <c r="C32" s="15">
        <f t="shared" si="3"/>
        <v>23421541.408006623</v>
      </c>
      <c r="D32" s="15">
        <v>198872</v>
      </c>
      <c r="E32" s="15">
        <f t="shared" si="0"/>
        <v>50535.571082624723</v>
      </c>
      <c r="F32" s="15">
        <f t="shared" si="2"/>
        <v>148336.42891737528</v>
      </c>
      <c r="G32" s="15">
        <f t="shared" si="1"/>
        <v>23371005.836923998</v>
      </c>
    </row>
    <row r="33" spans="2:7" x14ac:dyDescent="0.3">
      <c r="B33" s="14">
        <v>45474</v>
      </c>
      <c r="C33" s="15">
        <f t="shared" si="3"/>
        <v>23371005.836923998</v>
      </c>
      <c r="D33" s="15">
        <v>198872</v>
      </c>
      <c r="E33" s="15">
        <f t="shared" si="0"/>
        <v>50855.62969948136</v>
      </c>
      <c r="F33" s="15">
        <f t="shared" si="2"/>
        <v>148016.37030051864</v>
      </c>
      <c r="G33" s="15">
        <f t="shared" si="1"/>
        <v>23320150.207224518</v>
      </c>
    </row>
    <row r="34" spans="2:7" x14ac:dyDescent="0.3">
      <c r="B34" s="14">
        <v>45505</v>
      </c>
      <c r="C34" s="15">
        <f t="shared" si="3"/>
        <v>23320150.207224518</v>
      </c>
      <c r="D34" s="15">
        <v>198872</v>
      </c>
      <c r="E34" s="15">
        <f t="shared" si="0"/>
        <v>51177.715354244719</v>
      </c>
      <c r="F34" s="15">
        <f t="shared" si="2"/>
        <v>147694.28464575528</v>
      </c>
      <c r="G34" s="15">
        <f t="shared" si="1"/>
        <v>23268972.491870273</v>
      </c>
    </row>
    <row r="35" spans="2:7" x14ac:dyDescent="0.3">
      <c r="B35" s="14">
        <v>45536</v>
      </c>
      <c r="C35" s="15">
        <f t="shared" si="3"/>
        <v>23268972.491870273</v>
      </c>
      <c r="D35" s="15">
        <v>198872</v>
      </c>
      <c r="E35" s="15">
        <f t="shared" si="0"/>
        <v>51501.840884821606</v>
      </c>
      <c r="F35" s="15">
        <f t="shared" si="2"/>
        <v>147370.15911517839</v>
      </c>
      <c r="G35" s="15">
        <f t="shared" si="1"/>
        <v>23217470.65098545</v>
      </c>
    </row>
    <row r="36" spans="2:7" x14ac:dyDescent="0.3">
      <c r="B36" s="14">
        <v>45566</v>
      </c>
      <c r="C36" s="15">
        <f t="shared" si="3"/>
        <v>23217470.65098545</v>
      </c>
      <c r="D36" s="15">
        <v>198872</v>
      </c>
      <c r="E36" s="15">
        <f t="shared" si="0"/>
        <v>51828.019210425497</v>
      </c>
      <c r="F36" s="15">
        <f t="shared" si="2"/>
        <v>147043.9807895745</v>
      </c>
      <c r="G36" s="15">
        <f t="shared" si="1"/>
        <v>23165642.631775025</v>
      </c>
    </row>
    <row r="37" spans="2:7" x14ac:dyDescent="0.3">
      <c r="B37" s="14">
        <v>45597</v>
      </c>
      <c r="C37" s="15">
        <f t="shared" si="3"/>
        <v>23165642.631775025</v>
      </c>
      <c r="D37" s="15">
        <v>198872</v>
      </c>
      <c r="E37" s="15">
        <f t="shared" si="0"/>
        <v>52156.263332091534</v>
      </c>
      <c r="F37" s="15">
        <f t="shared" si="2"/>
        <v>146715.73666790847</v>
      </c>
      <c r="G37" s="15">
        <f t="shared" si="1"/>
        <v>23113486.368442934</v>
      </c>
    </row>
    <row r="38" spans="2:7" x14ac:dyDescent="0.3">
      <c r="B38" s="14">
        <v>45627</v>
      </c>
      <c r="C38" s="15">
        <f t="shared" si="3"/>
        <v>23113486.368442934</v>
      </c>
      <c r="D38" s="15">
        <v>198872</v>
      </c>
      <c r="E38" s="15">
        <f t="shared" si="0"/>
        <v>52486.586333194748</v>
      </c>
      <c r="F38" s="15">
        <f t="shared" si="2"/>
        <v>146385.41366680525</v>
      </c>
      <c r="G38" s="15">
        <f t="shared" si="1"/>
        <v>23060999.782109737</v>
      </c>
    </row>
    <row r="39" spans="2:7" x14ac:dyDescent="0.3">
      <c r="B39" s="14">
        <v>45658</v>
      </c>
      <c r="C39" s="15">
        <f t="shared" si="3"/>
        <v>23060999.782109737</v>
      </c>
      <c r="D39" s="15">
        <v>198872</v>
      </c>
      <c r="E39" s="15">
        <f t="shared" si="0"/>
        <v>52819.001379971683</v>
      </c>
      <c r="F39" s="15">
        <f t="shared" si="2"/>
        <v>146052.99862002832</v>
      </c>
      <c r="G39" s="15">
        <f t="shared" si="1"/>
        <v>23008180.780729767</v>
      </c>
    </row>
    <row r="40" spans="2:7" x14ac:dyDescent="0.3">
      <c r="B40" s="14">
        <v>45689</v>
      </c>
      <c r="C40" s="15">
        <f t="shared" si="3"/>
        <v>23008180.780729767</v>
      </c>
      <c r="D40" s="15">
        <v>198872</v>
      </c>
      <c r="E40" s="15">
        <f t="shared" si="0"/>
        <v>53153.521722044825</v>
      </c>
      <c r="F40" s="15">
        <f t="shared" si="2"/>
        <v>145718.47827795518</v>
      </c>
      <c r="G40" s="15">
        <f t="shared" si="1"/>
        <v>22955027.259007722</v>
      </c>
    </row>
    <row r="41" spans="2:7" x14ac:dyDescent="0.3">
      <c r="B41" s="14">
        <v>45717</v>
      </c>
      <c r="C41" s="15">
        <f t="shared" si="3"/>
        <v>22955027.259007722</v>
      </c>
      <c r="D41" s="15">
        <v>198872</v>
      </c>
      <c r="E41" s="15">
        <f t="shared" si="0"/>
        <v>53490.160692951089</v>
      </c>
      <c r="F41" s="15">
        <f t="shared" si="2"/>
        <v>145381.83930704891</v>
      </c>
      <c r="G41" s="15">
        <f t="shared" si="1"/>
        <v>22901537.09831477</v>
      </c>
    </row>
    <row r="42" spans="2:7" x14ac:dyDescent="0.3">
      <c r="B42" s="14">
        <v>45748</v>
      </c>
      <c r="C42" s="15">
        <f t="shared" si="3"/>
        <v>22901537.09831477</v>
      </c>
      <c r="D42" s="15">
        <v>198872</v>
      </c>
      <c r="E42" s="15">
        <f t="shared" si="0"/>
        <v>53828.931710673118</v>
      </c>
      <c r="F42" s="15">
        <f t="shared" si="2"/>
        <v>145043.06828932688</v>
      </c>
      <c r="G42" s="15">
        <f t="shared" si="1"/>
        <v>22847708.166604098</v>
      </c>
    </row>
    <row r="43" spans="2:7" x14ac:dyDescent="0.3">
      <c r="B43" s="14">
        <v>45778</v>
      </c>
      <c r="C43" s="15">
        <f t="shared" si="3"/>
        <v>22847708.166604098</v>
      </c>
      <c r="D43" s="15">
        <v>198872</v>
      </c>
      <c r="E43" s="15">
        <f t="shared" si="0"/>
        <v>54169.84827817406</v>
      </c>
      <c r="F43" s="15">
        <f t="shared" si="2"/>
        <v>144702.15172182594</v>
      </c>
      <c r="G43" s="15">
        <f t="shared" si="1"/>
        <v>22793538.318325926</v>
      </c>
    </row>
    <row r="44" spans="2:7" x14ac:dyDescent="0.3">
      <c r="B44" s="14">
        <v>45809</v>
      </c>
      <c r="C44" s="15">
        <f t="shared" si="3"/>
        <v>22793538.318325926</v>
      </c>
      <c r="D44" s="15">
        <v>198872</v>
      </c>
      <c r="E44" s="15">
        <f t="shared" si="0"/>
        <v>54512.92398393582</v>
      </c>
      <c r="F44" s="15">
        <f t="shared" si="2"/>
        <v>144359.07601606418</v>
      </c>
      <c r="G44" s="15">
        <f t="shared" si="1"/>
        <v>22739025.39434199</v>
      </c>
    </row>
    <row r="45" spans="2:7" x14ac:dyDescent="0.3">
      <c r="B45" s="14">
        <v>45839</v>
      </c>
      <c r="C45" s="15">
        <f t="shared" si="3"/>
        <v>22739025.39434199</v>
      </c>
      <c r="D45" s="15">
        <v>198872</v>
      </c>
      <c r="E45" s="15">
        <f t="shared" si="0"/>
        <v>54858.172502500733</v>
      </c>
      <c r="F45" s="15">
        <f t="shared" si="2"/>
        <v>144013.82749749927</v>
      </c>
      <c r="G45" s="15">
        <f t="shared" si="1"/>
        <v>22684167.221839491</v>
      </c>
    </row>
    <row r="46" spans="2:7" x14ac:dyDescent="0.3">
      <c r="B46" s="14">
        <v>45870</v>
      </c>
      <c r="C46" s="15">
        <f t="shared" si="3"/>
        <v>22684167.221839491</v>
      </c>
      <c r="D46" s="15">
        <v>198872</v>
      </c>
      <c r="E46" s="15">
        <f t="shared" si="0"/>
        <v>55205.607595016569</v>
      </c>
      <c r="F46" s="15">
        <f t="shared" si="2"/>
        <v>143666.39240498343</v>
      </c>
      <c r="G46" s="15">
        <f t="shared" si="1"/>
        <v>22628961.614244476</v>
      </c>
    </row>
    <row r="47" spans="2:7" x14ac:dyDescent="0.3">
      <c r="B47" s="14">
        <v>45901</v>
      </c>
      <c r="C47" s="15">
        <f t="shared" si="3"/>
        <v>22628961.614244476</v>
      </c>
      <c r="D47" s="15">
        <v>198872</v>
      </c>
      <c r="E47" s="15">
        <f t="shared" si="0"/>
        <v>55555.243109784991</v>
      </c>
      <c r="F47" s="15">
        <f t="shared" si="2"/>
        <v>143316.75689021501</v>
      </c>
      <c r="G47" s="15">
        <f t="shared" si="1"/>
        <v>22573406.371134691</v>
      </c>
    </row>
    <row r="48" spans="2:7" x14ac:dyDescent="0.3">
      <c r="B48" s="14">
        <v>45931</v>
      </c>
      <c r="C48" s="15">
        <f t="shared" si="3"/>
        <v>22573406.371134691</v>
      </c>
      <c r="D48" s="15">
        <v>198872</v>
      </c>
      <c r="E48" s="15">
        <f t="shared" si="0"/>
        <v>55907.092982813629</v>
      </c>
      <c r="F48" s="15">
        <f t="shared" si="2"/>
        <v>142964.90701718637</v>
      </c>
      <c r="G48" s="15">
        <f t="shared" si="1"/>
        <v>22517499.278151877</v>
      </c>
    </row>
    <row r="49" spans="2:7" x14ac:dyDescent="0.3">
      <c r="B49" s="14">
        <v>45962</v>
      </c>
      <c r="C49" s="15">
        <f t="shared" si="3"/>
        <v>22517499.278151877</v>
      </c>
      <c r="D49" s="15">
        <v>198872</v>
      </c>
      <c r="E49" s="15">
        <f t="shared" si="0"/>
        <v>56261.171238371462</v>
      </c>
      <c r="F49" s="15">
        <f t="shared" si="2"/>
        <v>142610.82876162854</v>
      </c>
      <c r="G49" s="15">
        <f t="shared" si="1"/>
        <v>22461238.106913507</v>
      </c>
    </row>
    <row r="50" spans="2:7" x14ac:dyDescent="0.3">
      <c r="B50" s="14">
        <v>45992</v>
      </c>
      <c r="C50" s="15">
        <f t="shared" si="3"/>
        <v>22461238.106913507</v>
      </c>
      <c r="D50" s="15">
        <v>198872</v>
      </c>
      <c r="E50" s="15">
        <f t="shared" si="0"/>
        <v>56617.491989547765</v>
      </c>
      <c r="F50" s="15">
        <f t="shared" si="2"/>
        <v>142254.50801045223</v>
      </c>
      <c r="G50" s="15">
        <f t="shared" si="1"/>
        <v>22404620.614923958</v>
      </c>
    </row>
    <row r="51" spans="2:7" x14ac:dyDescent="0.3">
      <c r="B51" s="14">
        <v>46023</v>
      </c>
      <c r="C51" s="15">
        <f t="shared" si="3"/>
        <v>22404620.614923958</v>
      </c>
      <c r="D51" s="15">
        <v>198872</v>
      </c>
      <c r="E51" s="15">
        <f t="shared" si="0"/>
        <v>56976.069438814942</v>
      </c>
      <c r="F51" s="15">
        <f t="shared" si="2"/>
        <v>141895.93056118506</v>
      </c>
      <c r="G51" s="15">
        <f t="shared" si="1"/>
        <v>22347644.545485143</v>
      </c>
    </row>
    <row r="52" spans="2:7" x14ac:dyDescent="0.3">
      <c r="B52" s="14">
        <v>46054</v>
      </c>
      <c r="C52" s="15">
        <f t="shared" si="3"/>
        <v>22347644.545485143</v>
      </c>
      <c r="D52" s="15">
        <v>198872</v>
      </c>
      <c r="E52" s="15">
        <f t="shared" si="0"/>
        <v>57336.917878594104</v>
      </c>
      <c r="F52" s="15">
        <f t="shared" si="2"/>
        <v>141535.0821214059</v>
      </c>
      <c r="G52" s="15">
        <f t="shared" si="1"/>
        <v>22290307.627606548</v>
      </c>
    </row>
    <row r="53" spans="2:7" x14ac:dyDescent="0.3">
      <c r="B53" s="14">
        <v>46082</v>
      </c>
      <c r="C53" s="15">
        <f t="shared" si="3"/>
        <v>22290307.627606548</v>
      </c>
      <c r="D53" s="15">
        <v>198872</v>
      </c>
      <c r="E53" s="15">
        <f t="shared" si="0"/>
        <v>57700.051691825181</v>
      </c>
      <c r="F53" s="15">
        <f t="shared" si="2"/>
        <v>141171.94830817482</v>
      </c>
      <c r="G53" s="15">
        <f t="shared" si="1"/>
        <v>22232607.575914722</v>
      </c>
    </row>
    <row r="54" spans="2:7" x14ac:dyDescent="0.3">
      <c r="B54" s="14">
        <v>46113</v>
      </c>
      <c r="C54" s="15">
        <f t="shared" si="3"/>
        <v>22232607.575914722</v>
      </c>
      <c r="D54" s="15">
        <v>198872</v>
      </c>
      <c r="E54" s="15">
        <f t="shared" si="0"/>
        <v>58065.485352540098</v>
      </c>
      <c r="F54" s="15">
        <f t="shared" si="2"/>
        <v>140806.5146474599</v>
      </c>
      <c r="G54" s="15">
        <f t="shared" si="1"/>
        <v>22174542.090562183</v>
      </c>
    </row>
    <row r="55" spans="2:7" x14ac:dyDescent="0.3">
      <c r="B55" s="14">
        <v>46143</v>
      </c>
      <c r="C55" s="15">
        <f t="shared" si="3"/>
        <v>22174542.090562183</v>
      </c>
      <c r="D55" s="15">
        <v>198872</v>
      </c>
      <c r="E55" s="15">
        <f t="shared" si="0"/>
        <v>58433.233426439518</v>
      </c>
      <c r="F55" s="15">
        <f t="shared" si="2"/>
        <v>140438.76657356048</v>
      </c>
      <c r="G55" s="15">
        <f t="shared" si="1"/>
        <v>22116108.857135743</v>
      </c>
    </row>
    <row r="56" spans="2:7" x14ac:dyDescent="0.3">
      <c r="B56" s="14">
        <v>46174</v>
      </c>
      <c r="C56" s="15">
        <f t="shared" si="3"/>
        <v>22116108.857135743</v>
      </c>
      <c r="D56" s="15">
        <v>198872</v>
      </c>
      <c r="E56" s="15">
        <f t="shared" si="0"/>
        <v>58803.310571473645</v>
      </c>
      <c r="F56" s="15">
        <f t="shared" si="2"/>
        <v>140068.68942852636</v>
      </c>
      <c r="G56" s="15">
        <f t="shared" si="1"/>
        <v>22057305.54656427</v>
      </c>
    </row>
    <row r="57" spans="2:7" x14ac:dyDescent="0.3">
      <c r="B57" s="14">
        <v>46204</v>
      </c>
      <c r="C57" s="15">
        <f t="shared" si="3"/>
        <v>22057305.54656427</v>
      </c>
      <c r="D57" s="15">
        <v>198872</v>
      </c>
      <c r="E57" s="15">
        <f t="shared" si="0"/>
        <v>59175.731538426306</v>
      </c>
      <c r="F57" s="15">
        <f t="shared" si="2"/>
        <v>139696.26846157369</v>
      </c>
      <c r="G57" s="15">
        <f t="shared" si="1"/>
        <v>21998129.815025844</v>
      </c>
    </row>
    <row r="58" spans="2:7" x14ac:dyDescent="0.3">
      <c r="B58" s="14">
        <v>46235</v>
      </c>
      <c r="C58" s="15">
        <f t="shared" si="3"/>
        <v>21998129.815025844</v>
      </c>
      <c r="D58" s="15">
        <v>198872</v>
      </c>
      <c r="E58" s="15">
        <f t="shared" si="0"/>
        <v>59550.511171502993</v>
      </c>
      <c r="F58" s="15">
        <f t="shared" si="2"/>
        <v>139321.48882849701</v>
      </c>
      <c r="G58" s="15">
        <f t="shared" si="1"/>
        <v>21938579.303854339</v>
      </c>
    </row>
    <row r="59" spans="2:7" x14ac:dyDescent="0.3">
      <c r="B59" s="14">
        <v>46266</v>
      </c>
      <c r="C59" s="15">
        <f t="shared" si="3"/>
        <v>21938579.303854339</v>
      </c>
      <c r="D59" s="15">
        <v>198872</v>
      </c>
      <c r="E59" s="15">
        <f t="shared" si="0"/>
        <v>59927.664408922516</v>
      </c>
      <c r="F59" s="15">
        <f t="shared" si="2"/>
        <v>138944.33559107748</v>
      </c>
      <c r="G59" s="15">
        <f t="shared" si="1"/>
        <v>21878651.639445417</v>
      </c>
    </row>
    <row r="60" spans="2:7" x14ac:dyDescent="0.3">
      <c r="B60" s="14">
        <v>46296</v>
      </c>
      <c r="C60" s="15">
        <f t="shared" si="3"/>
        <v>21878651.639445417</v>
      </c>
      <c r="D60" s="15">
        <v>198872</v>
      </c>
      <c r="E60" s="15">
        <f t="shared" si="0"/>
        <v>60307.20628351238</v>
      </c>
      <c r="F60" s="15">
        <f t="shared" si="2"/>
        <v>138564.79371648762</v>
      </c>
      <c r="G60" s="15">
        <f t="shared" si="1"/>
        <v>21818344.433161903</v>
      </c>
    </row>
    <row r="61" spans="2:7" x14ac:dyDescent="0.3">
      <c r="B61" s="14">
        <v>46327</v>
      </c>
      <c r="C61" s="15">
        <f t="shared" si="3"/>
        <v>21818344.433161903</v>
      </c>
      <c r="D61" s="15">
        <v>198872</v>
      </c>
      <c r="E61" s="15">
        <f t="shared" si="0"/>
        <v>60689.151923307945</v>
      </c>
      <c r="F61" s="15">
        <f t="shared" si="2"/>
        <v>138182.84807669205</v>
      </c>
      <c r="G61" s="15">
        <f t="shared" si="1"/>
        <v>21757655.281238597</v>
      </c>
    </row>
    <row r="62" spans="2:7" x14ac:dyDescent="0.3">
      <c r="B62" s="14">
        <v>46357</v>
      </c>
      <c r="C62" s="15">
        <f t="shared" si="3"/>
        <v>21757655.281238597</v>
      </c>
      <c r="D62" s="15">
        <v>198872</v>
      </c>
      <c r="E62" s="15">
        <f t="shared" si="0"/>
        <v>61073.516552155575</v>
      </c>
      <c r="F62" s="15">
        <f t="shared" si="2"/>
        <v>137798.48344784442</v>
      </c>
      <c r="G62" s="15">
        <f t="shared" si="1"/>
        <v>21696581.764686443</v>
      </c>
    </row>
    <row r="63" spans="2:7" x14ac:dyDescent="0.3">
      <c r="B63" s="14">
        <v>46388</v>
      </c>
      <c r="C63" s="15">
        <f t="shared" si="3"/>
        <v>21696581.764686443</v>
      </c>
      <c r="D63" s="15">
        <v>198872</v>
      </c>
      <c r="E63" s="15">
        <f t="shared" si="0"/>
        <v>61460.31549031919</v>
      </c>
      <c r="F63" s="15">
        <f t="shared" si="2"/>
        <v>137411.68450968081</v>
      </c>
      <c r="G63" s="15">
        <f t="shared" si="1"/>
        <v>21635121.449196123</v>
      </c>
    </row>
    <row r="64" spans="2:7" x14ac:dyDescent="0.3">
      <c r="B64" s="14">
        <v>46419</v>
      </c>
      <c r="C64" s="15">
        <f t="shared" si="3"/>
        <v>21635121.449196123</v>
      </c>
      <c r="D64" s="15">
        <v>198872</v>
      </c>
      <c r="E64" s="15">
        <f t="shared" si="0"/>
        <v>61849.564155091211</v>
      </c>
      <c r="F64" s="15">
        <f t="shared" si="2"/>
        <v>137022.43584490879</v>
      </c>
      <c r="G64" s="15">
        <f t="shared" si="1"/>
        <v>21573271.885041032</v>
      </c>
    </row>
    <row r="65" spans="2:7" x14ac:dyDescent="0.3">
      <c r="B65" s="14">
        <v>46447</v>
      </c>
      <c r="C65" s="15">
        <f t="shared" si="3"/>
        <v>21573271.885041032</v>
      </c>
      <c r="D65" s="15">
        <v>198872</v>
      </c>
      <c r="E65" s="15">
        <f t="shared" si="0"/>
        <v>62241.278061406803</v>
      </c>
      <c r="F65" s="15">
        <f t="shared" si="2"/>
        <v>136630.7219385932</v>
      </c>
      <c r="G65" s="15">
        <f t="shared" si="1"/>
        <v>21511030.606979623</v>
      </c>
    </row>
    <row r="66" spans="2:7" x14ac:dyDescent="0.3">
      <c r="B66" s="14">
        <v>46478</v>
      </c>
      <c r="C66" s="15">
        <f t="shared" si="3"/>
        <v>21511030.606979623</v>
      </c>
      <c r="D66" s="15">
        <v>198872</v>
      </c>
      <c r="E66" s="15">
        <f t="shared" si="0"/>
        <v>62635.472822462412</v>
      </c>
      <c r="F66" s="15">
        <f t="shared" si="2"/>
        <v>136236.52717753759</v>
      </c>
      <c r="G66" s="15">
        <f t="shared" si="1"/>
        <v>21448395.134157162</v>
      </c>
    </row>
    <row r="67" spans="2:7" x14ac:dyDescent="0.3">
      <c r="B67" s="14">
        <v>46508</v>
      </c>
      <c r="C67" s="15">
        <f t="shared" si="3"/>
        <v>21448395.134157162</v>
      </c>
      <c r="D67" s="15">
        <v>198872</v>
      </c>
      <c r="E67" s="15">
        <f t="shared" si="0"/>
        <v>63032.16415033798</v>
      </c>
      <c r="F67" s="15">
        <f t="shared" si="2"/>
        <v>135839.83584966202</v>
      </c>
      <c r="G67" s="15">
        <f t="shared" si="1"/>
        <v>21385362.970006824</v>
      </c>
    </row>
    <row r="68" spans="2:7" x14ac:dyDescent="0.3">
      <c r="B68" s="14">
        <v>46539</v>
      </c>
      <c r="C68" s="15">
        <f t="shared" si="3"/>
        <v>21385362.970006824</v>
      </c>
      <c r="D68" s="15">
        <v>198872</v>
      </c>
      <c r="E68" s="15">
        <f t="shared" si="0"/>
        <v>63431.367856623459</v>
      </c>
      <c r="F68" s="15">
        <f t="shared" si="2"/>
        <v>135440.63214337654</v>
      </c>
      <c r="G68" s="15">
        <f t="shared" si="1"/>
        <v>21321931.602150202</v>
      </c>
    </row>
    <row r="69" spans="2:7" x14ac:dyDescent="0.3">
      <c r="B69" s="14">
        <v>46569</v>
      </c>
      <c r="C69" s="15">
        <f t="shared" si="3"/>
        <v>21321931.602150202</v>
      </c>
      <c r="D69" s="15">
        <v>198872</v>
      </c>
      <c r="E69" s="15">
        <f t="shared" si="0"/>
        <v>63833.099853048712</v>
      </c>
      <c r="F69" s="15">
        <f t="shared" si="2"/>
        <v>135038.90014695129</v>
      </c>
      <c r="G69" s="15">
        <f t="shared" si="1"/>
        <v>21258098.502297152</v>
      </c>
    </row>
    <row r="70" spans="2:7" x14ac:dyDescent="0.3">
      <c r="B70" s="14">
        <v>46600</v>
      </c>
      <c r="C70" s="15">
        <f t="shared" si="3"/>
        <v>21258098.502297152</v>
      </c>
      <c r="D70" s="15">
        <v>198872</v>
      </c>
      <c r="E70" s="15">
        <f t="shared" ref="E70:E133" si="4">D70-F70</f>
        <v>64237.376152118057</v>
      </c>
      <c r="F70" s="15">
        <f t="shared" si="2"/>
        <v>134634.62384788194</v>
      </c>
      <c r="G70" s="15">
        <f t="shared" ref="G70:G133" si="5">C70-E70</f>
        <v>21193861.126145035</v>
      </c>
    </row>
    <row r="71" spans="2:7" x14ac:dyDescent="0.3">
      <c r="B71" s="14">
        <v>46631</v>
      </c>
      <c r="C71" s="15">
        <f t="shared" si="3"/>
        <v>21193861.126145035</v>
      </c>
      <c r="D71" s="15">
        <v>198872</v>
      </c>
      <c r="E71" s="15">
        <f t="shared" si="4"/>
        <v>64644.212867748109</v>
      </c>
      <c r="F71" s="15">
        <f t="shared" ref="F71:F134" si="6">C71*7.6/100/12</f>
        <v>134227.78713225189</v>
      </c>
      <c r="G71" s="15">
        <f t="shared" si="5"/>
        <v>21129216.913277287</v>
      </c>
    </row>
    <row r="72" spans="2:7" x14ac:dyDescent="0.3">
      <c r="B72" s="14">
        <v>46661</v>
      </c>
      <c r="C72" s="15">
        <f t="shared" si="3"/>
        <v>21129216.913277287</v>
      </c>
      <c r="D72" s="15">
        <v>198872</v>
      </c>
      <c r="E72" s="15">
        <f t="shared" si="4"/>
        <v>65053.62621591051</v>
      </c>
      <c r="F72" s="15">
        <f t="shared" si="6"/>
        <v>133818.37378408949</v>
      </c>
      <c r="G72" s="15">
        <f t="shared" si="5"/>
        <v>21064163.287061378</v>
      </c>
    </row>
    <row r="73" spans="2:7" x14ac:dyDescent="0.3">
      <c r="B73" s="14">
        <v>46692</v>
      </c>
      <c r="C73" s="15">
        <f t="shared" ref="C73:C136" si="7">G72</f>
        <v>21064163.287061378</v>
      </c>
      <c r="D73" s="15">
        <v>198872</v>
      </c>
      <c r="E73" s="15">
        <f t="shared" si="4"/>
        <v>65465.632515277946</v>
      </c>
      <c r="F73" s="15">
        <f t="shared" si="6"/>
        <v>133406.36748472205</v>
      </c>
      <c r="G73" s="15">
        <f t="shared" si="5"/>
        <v>20998697.654546101</v>
      </c>
    </row>
    <row r="74" spans="2:7" x14ac:dyDescent="0.3">
      <c r="B74" s="14">
        <v>46722</v>
      </c>
      <c r="C74" s="15">
        <f t="shared" si="7"/>
        <v>20998697.654546101</v>
      </c>
      <c r="D74" s="15">
        <v>198872</v>
      </c>
      <c r="E74" s="15">
        <f t="shared" si="4"/>
        <v>65880.248187874706</v>
      </c>
      <c r="F74" s="15">
        <f t="shared" si="6"/>
        <v>132991.75181212529</v>
      </c>
      <c r="G74" s="15">
        <f t="shared" si="5"/>
        <v>20932817.406358227</v>
      </c>
    </row>
    <row r="75" spans="2:7" x14ac:dyDescent="0.3">
      <c r="B75" s="14">
        <v>46753</v>
      </c>
      <c r="C75" s="15">
        <f t="shared" si="7"/>
        <v>20932817.406358227</v>
      </c>
      <c r="D75" s="15">
        <v>198872</v>
      </c>
      <c r="E75" s="15">
        <f t="shared" si="4"/>
        <v>66297.489759731252</v>
      </c>
      <c r="F75" s="15">
        <f t="shared" si="6"/>
        <v>132574.51024026875</v>
      </c>
      <c r="G75" s="15">
        <f t="shared" si="5"/>
        <v>20866519.916598495</v>
      </c>
    </row>
    <row r="76" spans="2:7" x14ac:dyDescent="0.3">
      <c r="B76" s="14">
        <v>46784</v>
      </c>
      <c r="C76" s="15">
        <f t="shared" si="7"/>
        <v>20866519.916598495</v>
      </c>
      <c r="D76" s="15">
        <v>198872</v>
      </c>
      <c r="E76" s="15">
        <f t="shared" si="4"/>
        <v>66717.373861542874</v>
      </c>
      <c r="F76" s="15">
        <f t="shared" si="6"/>
        <v>132154.62613845713</v>
      </c>
      <c r="G76" s="15">
        <f t="shared" si="5"/>
        <v>20799802.542736951</v>
      </c>
    </row>
    <row r="77" spans="2:7" x14ac:dyDescent="0.3">
      <c r="B77" s="14">
        <v>46813</v>
      </c>
      <c r="C77" s="15">
        <f t="shared" si="7"/>
        <v>20799802.542736951</v>
      </c>
      <c r="D77" s="15">
        <v>198872</v>
      </c>
      <c r="E77" s="15">
        <f t="shared" si="4"/>
        <v>67139.917229332641</v>
      </c>
      <c r="F77" s="15">
        <f t="shared" si="6"/>
        <v>131732.08277066736</v>
      </c>
      <c r="G77" s="15">
        <f t="shared" si="5"/>
        <v>20732662.625507619</v>
      </c>
    </row>
    <row r="78" spans="2:7" x14ac:dyDescent="0.3">
      <c r="B78" s="14">
        <v>46844</v>
      </c>
      <c r="C78" s="15">
        <f t="shared" si="7"/>
        <v>20732662.625507619</v>
      </c>
      <c r="D78" s="15">
        <v>198872</v>
      </c>
      <c r="E78" s="15">
        <f t="shared" si="4"/>
        <v>67565.136705118435</v>
      </c>
      <c r="F78" s="15">
        <f t="shared" si="6"/>
        <v>131306.86329488156</v>
      </c>
      <c r="G78" s="15">
        <f t="shared" si="5"/>
        <v>20665097.4888025</v>
      </c>
    </row>
    <row r="79" spans="2:7" x14ac:dyDescent="0.3">
      <c r="B79" s="14">
        <v>46874</v>
      </c>
      <c r="C79" s="15">
        <f t="shared" si="7"/>
        <v>20665097.4888025</v>
      </c>
      <c r="D79" s="15">
        <v>198872</v>
      </c>
      <c r="E79" s="15">
        <f t="shared" si="4"/>
        <v>67993.049237584171</v>
      </c>
      <c r="F79" s="15">
        <f t="shared" si="6"/>
        <v>130878.95076241583</v>
      </c>
      <c r="G79" s="15">
        <f t="shared" si="5"/>
        <v>20597104.439564917</v>
      </c>
    </row>
    <row r="80" spans="2:7" x14ac:dyDescent="0.3">
      <c r="B80" s="14">
        <v>46905</v>
      </c>
      <c r="C80" s="15">
        <f t="shared" si="7"/>
        <v>20597104.439564917</v>
      </c>
      <c r="D80" s="15">
        <v>198872</v>
      </c>
      <c r="E80" s="15">
        <f t="shared" si="4"/>
        <v>68423.671882755531</v>
      </c>
      <c r="F80" s="15">
        <f t="shared" si="6"/>
        <v>130448.32811724447</v>
      </c>
      <c r="G80" s="15">
        <f t="shared" si="5"/>
        <v>20528680.767682161</v>
      </c>
    </row>
    <row r="81" spans="2:7" x14ac:dyDescent="0.3">
      <c r="B81" s="14">
        <v>46935</v>
      </c>
      <c r="C81" s="15">
        <f t="shared" si="7"/>
        <v>20528680.767682161</v>
      </c>
      <c r="D81" s="15">
        <v>198872</v>
      </c>
      <c r="E81" s="15">
        <f t="shared" si="4"/>
        <v>68857.021804679651</v>
      </c>
      <c r="F81" s="15">
        <f t="shared" si="6"/>
        <v>130014.97819532035</v>
      </c>
      <c r="G81" s="15">
        <f t="shared" si="5"/>
        <v>20459823.745877482</v>
      </c>
    </row>
    <row r="82" spans="2:7" x14ac:dyDescent="0.3">
      <c r="B82" s="14">
        <v>46966</v>
      </c>
      <c r="C82" s="15">
        <f t="shared" si="7"/>
        <v>20459823.745877482</v>
      </c>
      <c r="D82" s="15">
        <v>198872</v>
      </c>
      <c r="E82" s="15">
        <f t="shared" si="4"/>
        <v>69293.1162761093</v>
      </c>
      <c r="F82" s="15">
        <f t="shared" si="6"/>
        <v>129578.8837238907</v>
      </c>
      <c r="G82" s="15">
        <f t="shared" si="5"/>
        <v>20390530.629601374</v>
      </c>
    </row>
    <row r="83" spans="2:7" x14ac:dyDescent="0.3">
      <c r="B83" s="14">
        <v>46997</v>
      </c>
      <c r="C83" s="15">
        <f t="shared" si="7"/>
        <v>20390530.629601374</v>
      </c>
      <c r="D83" s="15">
        <v>198872</v>
      </c>
      <c r="E83" s="15">
        <f t="shared" si="4"/>
        <v>69731.972679191313</v>
      </c>
      <c r="F83" s="15">
        <f t="shared" si="6"/>
        <v>129140.02732080869</v>
      </c>
      <c r="G83" s="15">
        <f t="shared" si="5"/>
        <v>20320798.656922184</v>
      </c>
    </row>
    <row r="84" spans="2:7" x14ac:dyDescent="0.3">
      <c r="B84" s="14">
        <v>47027</v>
      </c>
      <c r="C84" s="15">
        <f t="shared" si="7"/>
        <v>20320798.656922184</v>
      </c>
      <c r="D84" s="15">
        <v>198872</v>
      </c>
      <c r="E84" s="15">
        <f t="shared" si="4"/>
        <v>70173.608506159508</v>
      </c>
      <c r="F84" s="15">
        <f t="shared" si="6"/>
        <v>128698.39149384049</v>
      </c>
      <c r="G84" s="15">
        <f t="shared" si="5"/>
        <v>20250625.048416026</v>
      </c>
    </row>
    <row r="85" spans="2:7" x14ac:dyDescent="0.3">
      <c r="B85" s="14">
        <v>47058</v>
      </c>
      <c r="C85" s="15">
        <f t="shared" si="7"/>
        <v>20250625.048416026</v>
      </c>
      <c r="D85" s="15">
        <v>198872</v>
      </c>
      <c r="E85" s="15">
        <f t="shared" si="4"/>
        <v>70618.041360031828</v>
      </c>
      <c r="F85" s="15">
        <f t="shared" si="6"/>
        <v>128253.95863996817</v>
      </c>
      <c r="G85" s="15">
        <f t="shared" si="5"/>
        <v>20180007.007055994</v>
      </c>
    </row>
    <row r="86" spans="2:7" x14ac:dyDescent="0.3">
      <c r="B86" s="14">
        <v>47088</v>
      </c>
      <c r="C86" s="15">
        <f t="shared" si="7"/>
        <v>20180007.007055994</v>
      </c>
      <c r="D86" s="15">
        <v>198872</v>
      </c>
      <c r="E86" s="15">
        <f t="shared" si="4"/>
        <v>71065.288955312048</v>
      </c>
      <c r="F86" s="15">
        <f t="shared" si="6"/>
        <v>127806.71104468795</v>
      </c>
      <c r="G86" s="15">
        <f t="shared" si="5"/>
        <v>20108941.718100682</v>
      </c>
    </row>
    <row r="87" spans="2:7" x14ac:dyDescent="0.3">
      <c r="B87" s="14">
        <v>47119</v>
      </c>
      <c r="C87" s="15">
        <f t="shared" si="7"/>
        <v>20108941.718100682</v>
      </c>
      <c r="D87" s="15">
        <v>198872</v>
      </c>
      <c r="E87" s="15">
        <f t="shared" si="4"/>
        <v>71515.369118695686</v>
      </c>
      <c r="F87" s="15">
        <f t="shared" si="6"/>
        <v>127356.63088130431</v>
      </c>
      <c r="G87" s="15">
        <f t="shared" si="5"/>
        <v>20037426.348981988</v>
      </c>
    </row>
    <row r="88" spans="2:7" x14ac:dyDescent="0.3">
      <c r="B88" s="14">
        <v>47150</v>
      </c>
      <c r="C88" s="15">
        <f t="shared" si="7"/>
        <v>20037426.348981988</v>
      </c>
      <c r="D88" s="15">
        <v>198872</v>
      </c>
      <c r="E88" s="15">
        <f t="shared" si="4"/>
        <v>71968.299789780751</v>
      </c>
      <c r="F88" s="15">
        <f t="shared" si="6"/>
        <v>126903.70021021925</v>
      </c>
      <c r="G88" s="15">
        <f t="shared" si="5"/>
        <v>19965458.049192205</v>
      </c>
    </row>
    <row r="89" spans="2:7" x14ac:dyDescent="0.3">
      <c r="B89" s="14">
        <v>47178</v>
      </c>
      <c r="C89" s="15">
        <f t="shared" si="7"/>
        <v>19965458.049192205</v>
      </c>
      <c r="D89" s="15">
        <v>198872</v>
      </c>
      <c r="E89" s="15">
        <f t="shared" si="4"/>
        <v>72424.099021782706</v>
      </c>
      <c r="F89" s="15">
        <f t="shared" si="6"/>
        <v>126447.90097821729</v>
      </c>
      <c r="G89" s="15">
        <f t="shared" si="5"/>
        <v>19893033.950170424</v>
      </c>
    </row>
    <row r="90" spans="2:7" x14ac:dyDescent="0.3">
      <c r="B90" s="14">
        <v>47209</v>
      </c>
      <c r="C90" s="15">
        <f t="shared" si="7"/>
        <v>19893033.950170424</v>
      </c>
      <c r="D90" s="15">
        <v>198872</v>
      </c>
      <c r="E90" s="15">
        <f t="shared" si="4"/>
        <v>72882.784982253987</v>
      </c>
      <c r="F90" s="15">
        <f t="shared" si="6"/>
        <v>125989.21501774601</v>
      </c>
      <c r="G90" s="15">
        <f t="shared" si="5"/>
        <v>19820151.165188171</v>
      </c>
    </row>
    <row r="91" spans="2:7" x14ac:dyDescent="0.3">
      <c r="B91" s="14">
        <v>47239</v>
      </c>
      <c r="C91" s="15">
        <f t="shared" si="7"/>
        <v>19820151.165188171</v>
      </c>
      <c r="D91" s="15">
        <v>198872</v>
      </c>
      <c r="E91" s="15">
        <f t="shared" si="4"/>
        <v>73344.375953808252</v>
      </c>
      <c r="F91" s="15">
        <f t="shared" si="6"/>
        <v>125527.62404619175</v>
      </c>
      <c r="G91" s="15">
        <f t="shared" si="5"/>
        <v>19746806.789234363</v>
      </c>
    </row>
    <row r="92" spans="2:7" x14ac:dyDescent="0.3">
      <c r="B92" s="14">
        <v>47270</v>
      </c>
      <c r="C92" s="15">
        <f t="shared" si="7"/>
        <v>19746806.789234363</v>
      </c>
      <c r="D92" s="15">
        <v>198872</v>
      </c>
      <c r="E92" s="15">
        <f t="shared" si="4"/>
        <v>73808.890334849028</v>
      </c>
      <c r="F92" s="15">
        <f t="shared" si="6"/>
        <v>125063.10966515097</v>
      </c>
      <c r="G92" s="15">
        <f t="shared" si="5"/>
        <v>19672997.898899514</v>
      </c>
    </row>
    <row r="93" spans="2:7" x14ac:dyDescent="0.3">
      <c r="B93" s="14">
        <v>47300</v>
      </c>
      <c r="C93" s="15">
        <f t="shared" si="7"/>
        <v>19672997.898899514</v>
      </c>
      <c r="D93" s="15">
        <v>198872</v>
      </c>
      <c r="E93" s="15">
        <f t="shared" si="4"/>
        <v>74276.346640303091</v>
      </c>
      <c r="F93" s="15">
        <f t="shared" si="6"/>
        <v>124595.65335969691</v>
      </c>
      <c r="G93" s="15">
        <f t="shared" si="5"/>
        <v>19598721.55225921</v>
      </c>
    </row>
    <row r="94" spans="2:7" x14ac:dyDescent="0.3">
      <c r="B94" s="14">
        <v>47331</v>
      </c>
      <c r="C94" s="15">
        <f t="shared" si="7"/>
        <v>19598721.55225921</v>
      </c>
      <c r="D94" s="15">
        <v>198872</v>
      </c>
      <c r="E94" s="15">
        <f t="shared" si="4"/>
        <v>74746.763502358343</v>
      </c>
      <c r="F94" s="15">
        <f t="shared" si="6"/>
        <v>124125.23649764166</v>
      </c>
      <c r="G94" s="15">
        <f t="shared" si="5"/>
        <v>19523974.788756851</v>
      </c>
    </row>
    <row r="95" spans="2:7" x14ac:dyDescent="0.3">
      <c r="B95" s="14">
        <v>47362</v>
      </c>
      <c r="C95" s="15">
        <f t="shared" si="7"/>
        <v>19523974.788756851</v>
      </c>
      <c r="D95" s="15">
        <v>198872</v>
      </c>
      <c r="E95" s="15">
        <f t="shared" si="4"/>
        <v>75220.159671206624</v>
      </c>
      <c r="F95" s="15">
        <f t="shared" si="6"/>
        <v>123651.84032879338</v>
      </c>
      <c r="G95" s="15">
        <f t="shared" si="5"/>
        <v>19448754.629085645</v>
      </c>
    </row>
    <row r="96" spans="2:7" x14ac:dyDescent="0.3">
      <c r="B96" s="14">
        <v>47392</v>
      </c>
      <c r="C96" s="15">
        <f t="shared" si="7"/>
        <v>19448754.629085645</v>
      </c>
      <c r="D96" s="15">
        <v>198872</v>
      </c>
      <c r="E96" s="15">
        <f t="shared" si="4"/>
        <v>75696.554015790927</v>
      </c>
      <c r="F96" s="15">
        <f t="shared" si="6"/>
        <v>123175.44598420907</v>
      </c>
      <c r="G96" s="15">
        <f t="shared" si="5"/>
        <v>19373058.075069856</v>
      </c>
    </row>
    <row r="97" spans="2:7" x14ac:dyDescent="0.3">
      <c r="B97" s="14">
        <v>47423</v>
      </c>
      <c r="C97" s="15">
        <f t="shared" si="7"/>
        <v>19373058.075069856</v>
      </c>
      <c r="D97" s="15">
        <v>198872</v>
      </c>
      <c r="E97" s="15">
        <f t="shared" si="4"/>
        <v>76175.965524557585</v>
      </c>
      <c r="F97" s="15">
        <f t="shared" si="6"/>
        <v>122696.03447544241</v>
      </c>
      <c r="G97" s="15">
        <f t="shared" si="5"/>
        <v>19296882.109545298</v>
      </c>
    </row>
    <row r="98" spans="2:7" x14ac:dyDescent="0.3">
      <c r="B98" s="14">
        <v>47453</v>
      </c>
      <c r="C98" s="15">
        <f t="shared" si="7"/>
        <v>19296882.109545298</v>
      </c>
      <c r="D98" s="15">
        <v>198872</v>
      </c>
      <c r="E98" s="15">
        <f t="shared" si="4"/>
        <v>76658.413306213115</v>
      </c>
      <c r="F98" s="15">
        <f t="shared" si="6"/>
        <v>122213.58669378689</v>
      </c>
      <c r="G98" s="15">
        <f t="shared" si="5"/>
        <v>19220223.696239084</v>
      </c>
    </row>
    <row r="99" spans="2:7" x14ac:dyDescent="0.3">
      <c r="B99" s="14">
        <v>47484</v>
      </c>
      <c r="C99" s="15">
        <f t="shared" si="7"/>
        <v>19220223.696239084</v>
      </c>
      <c r="D99" s="15">
        <v>198872</v>
      </c>
      <c r="E99" s="15">
        <f t="shared" si="4"/>
        <v>77143.916590485795</v>
      </c>
      <c r="F99" s="15">
        <f t="shared" si="6"/>
        <v>121728.08340951421</v>
      </c>
      <c r="G99" s="15">
        <f t="shared" si="5"/>
        <v>19143079.779648598</v>
      </c>
    </row>
    <row r="100" spans="2:7" x14ac:dyDescent="0.3">
      <c r="B100" s="14">
        <v>47515</v>
      </c>
      <c r="C100" s="15">
        <f t="shared" si="7"/>
        <v>19143079.779648598</v>
      </c>
      <c r="D100" s="15">
        <v>198872</v>
      </c>
      <c r="E100" s="15">
        <f t="shared" si="4"/>
        <v>77632.494728892227</v>
      </c>
      <c r="F100" s="15">
        <f t="shared" si="6"/>
        <v>121239.50527110777</v>
      </c>
      <c r="G100" s="15">
        <f t="shared" si="5"/>
        <v>19065447.284919705</v>
      </c>
    </row>
    <row r="101" spans="2:7" x14ac:dyDescent="0.3">
      <c r="B101" s="14">
        <v>47543</v>
      </c>
      <c r="C101" s="15">
        <f t="shared" si="7"/>
        <v>19065447.284919705</v>
      </c>
      <c r="D101" s="15">
        <v>198872</v>
      </c>
      <c r="E101" s="15">
        <f t="shared" si="4"/>
        <v>78124.167195508533</v>
      </c>
      <c r="F101" s="15">
        <f t="shared" si="6"/>
        <v>120747.83280449147</v>
      </c>
      <c r="G101" s="15">
        <f t="shared" si="5"/>
        <v>18987323.117724195</v>
      </c>
    </row>
    <row r="102" spans="2:7" x14ac:dyDescent="0.3">
      <c r="B102" s="14">
        <v>47574</v>
      </c>
      <c r="C102" s="15">
        <f t="shared" si="7"/>
        <v>18987323.117724195</v>
      </c>
      <c r="D102" s="15">
        <v>198872</v>
      </c>
      <c r="E102" s="15">
        <f t="shared" si="4"/>
        <v>78618.953587746772</v>
      </c>
      <c r="F102" s="15">
        <f t="shared" si="6"/>
        <v>120253.04641225323</v>
      </c>
      <c r="G102" s="15">
        <f t="shared" si="5"/>
        <v>18908704.164136447</v>
      </c>
    </row>
    <row r="103" spans="2:7" x14ac:dyDescent="0.3">
      <c r="B103" s="14">
        <v>47604</v>
      </c>
      <c r="C103" s="15">
        <f t="shared" si="7"/>
        <v>18908704.164136447</v>
      </c>
      <c r="D103" s="15">
        <v>198872</v>
      </c>
      <c r="E103" s="15">
        <f t="shared" si="4"/>
        <v>79116.873627135865</v>
      </c>
      <c r="F103" s="15">
        <f t="shared" si="6"/>
        <v>119755.12637286414</v>
      </c>
      <c r="G103" s="15">
        <f t="shared" si="5"/>
        <v>18829587.29050931</v>
      </c>
    </row>
    <row r="104" spans="2:7" x14ac:dyDescent="0.3">
      <c r="B104" s="14">
        <v>47635</v>
      </c>
      <c r="C104" s="15">
        <f t="shared" si="7"/>
        <v>18829587.29050931</v>
      </c>
      <c r="D104" s="15">
        <v>198872</v>
      </c>
      <c r="E104" s="15">
        <f t="shared" si="4"/>
        <v>79617.947160107724</v>
      </c>
      <c r="F104" s="15">
        <f t="shared" si="6"/>
        <v>119254.05283989228</v>
      </c>
      <c r="G104" s="15">
        <f t="shared" si="5"/>
        <v>18749969.343349203</v>
      </c>
    </row>
    <row r="105" spans="2:7" x14ac:dyDescent="0.3">
      <c r="B105" s="14">
        <v>47665</v>
      </c>
      <c r="C105" s="15">
        <f t="shared" si="7"/>
        <v>18749969.343349203</v>
      </c>
      <c r="D105" s="15">
        <v>198872</v>
      </c>
      <c r="E105" s="15">
        <f t="shared" si="4"/>
        <v>80122.194158788378</v>
      </c>
      <c r="F105" s="15">
        <f t="shared" si="6"/>
        <v>118749.80584121162</v>
      </c>
      <c r="G105" s="15">
        <f t="shared" si="5"/>
        <v>18669847.149190415</v>
      </c>
    </row>
    <row r="106" spans="2:7" x14ac:dyDescent="0.3">
      <c r="B106" s="14">
        <v>47696</v>
      </c>
      <c r="C106" s="15">
        <f t="shared" si="7"/>
        <v>18669847.149190415</v>
      </c>
      <c r="D106" s="15">
        <v>198872</v>
      </c>
      <c r="E106" s="15">
        <f t="shared" si="4"/>
        <v>80629.634721794049</v>
      </c>
      <c r="F106" s="15">
        <f t="shared" si="6"/>
        <v>118242.36527820595</v>
      </c>
      <c r="G106" s="15">
        <f t="shared" si="5"/>
        <v>18589217.514468621</v>
      </c>
    </row>
    <row r="107" spans="2:7" x14ac:dyDescent="0.3">
      <c r="B107" s="14">
        <v>47727</v>
      </c>
      <c r="C107" s="15">
        <f t="shared" si="7"/>
        <v>18589217.514468621</v>
      </c>
      <c r="D107" s="15">
        <v>198872</v>
      </c>
      <c r="E107" s="15">
        <f t="shared" si="4"/>
        <v>81140.289075032066</v>
      </c>
      <c r="F107" s="15">
        <f t="shared" si="6"/>
        <v>117731.71092496793</v>
      </c>
      <c r="G107" s="15">
        <f t="shared" si="5"/>
        <v>18508077.22539359</v>
      </c>
    </row>
    <row r="108" spans="2:7" x14ac:dyDescent="0.3">
      <c r="B108" s="14">
        <v>47757</v>
      </c>
      <c r="C108" s="15">
        <f t="shared" si="7"/>
        <v>18508077.22539359</v>
      </c>
      <c r="D108" s="15">
        <v>198872</v>
      </c>
      <c r="E108" s="15">
        <f t="shared" si="4"/>
        <v>81654.177572507251</v>
      </c>
      <c r="F108" s="15">
        <f t="shared" si="6"/>
        <v>117217.82242749275</v>
      </c>
      <c r="G108" s="15">
        <f t="shared" si="5"/>
        <v>18426423.047821082</v>
      </c>
    </row>
    <row r="109" spans="2:7" x14ac:dyDescent="0.3">
      <c r="B109" s="14">
        <v>47788</v>
      </c>
      <c r="C109" s="15">
        <f t="shared" si="7"/>
        <v>18426423.047821082</v>
      </c>
      <c r="D109" s="15">
        <v>198872</v>
      </c>
      <c r="E109" s="15">
        <f t="shared" si="4"/>
        <v>82171.320697133138</v>
      </c>
      <c r="F109" s="15">
        <f t="shared" si="6"/>
        <v>116700.67930286686</v>
      </c>
      <c r="G109" s="15">
        <f t="shared" si="5"/>
        <v>18344251.72712395</v>
      </c>
    </row>
    <row r="110" spans="2:7" x14ac:dyDescent="0.3">
      <c r="B110" s="14">
        <v>47818</v>
      </c>
      <c r="C110" s="15">
        <f t="shared" si="7"/>
        <v>18344251.72712395</v>
      </c>
      <c r="D110" s="15">
        <v>198872</v>
      </c>
      <c r="E110" s="15">
        <f t="shared" si="4"/>
        <v>82691.739061548316</v>
      </c>
      <c r="F110" s="15">
        <f t="shared" si="6"/>
        <v>116180.26093845168</v>
      </c>
      <c r="G110" s="15">
        <f t="shared" si="5"/>
        <v>18261559.9880624</v>
      </c>
    </row>
    <row r="111" spans="2:7" x14ac:dyDescent="0.3">
      <c r="B111" s="14">
        <v>47849</v>
      </c>
      <c r="C111" s="15">
        <f t="shared" si="7"/>
        <v>18261559.9880624</v>
      </c>
      <c r="D111" s="15">
        <v>198872</v>
      </c>
      <c r="E111" s="15">
        <f t="shared" si="4"/>
        <v>83215.453408938134</v>
      </c>
      <c r="F111" s="15">
        <f t="shared" si="6"/>
        <v>115656.54659106187</v>
      </c>
      <c r="G111" s="15">
        <f t="shared" si="5"/>
        <v>18178344.534653462</v>
      </c>
    </row>
    <row r="112" spans="2:7" x14ac:dyDescent="0.3">
      <c r="B112" s="14">
        <v>47880</v>
      </c>
      <c r="C112" s="15">
        <f t="shared" si="7"/>
        <v>18178344.534653462</v>
      </c>
      <c r="D112" s="15">
        <v>198872</v>
      </c>
      <c r="E112" s="15">
        <f t="shared" si="4"/>
        <v>83742.484613861423</v>
      </c>
      <c r="F112" s="15">
        <f t="shared" si="6"/>
        <v>115129.51538613858</v>
      </c>
      <c r="G112" s="15">
        <f t="shared" si="5"/>
        <v>18094602.050039601</v>
      </c>
    </row>
    <row r="113" spans="2:7" x14ac:dyDescent="0.3">
      <c r="B113" s="14">
        <v>47908</v>
      </c>
      <c r="C113" s="15">
        <f t="shared" si="7"/>
        <v>18094602.050039601</v>
      </c>
      <c r="D113" s="15">
        <v>198872</v>
      </c>
      <c r="E113" s="15">
        <f t="shared" si="4"/>
        <v>84272.853683082547</v>
      </c>
      <c r="F113" s="15">
        <f t="shared" si="6"/>
        <v>114599.14631691745</v>
      </c>
      <c r="G113" s="15">
        <f t="shared" si="5"/>
        <v>18010329.196356516</v>
      </c>
    </row>
    <row r="114" spans="2:7" x14ac:dyDescent="0.3">
      <c r="B114" s="14">
        <v>47939</v>
      </c>
      <c r="C114" s="15">
        <f t="shared" si="7"/>
        <v>18010329.196356516</v>
      </c>
      <c r="D114" s="15">
        <v>198872</v>
      </c>
      <c r="E114" s="15">
        <f t="shared" si="4"/>
        <v>84806.581756408734</v>
      </c>
      <c r="F114" s="15">
        <f t="shared" si="6"/>
        <v>114065.41824359127</v>
      </c>
      <c r="G114" s="15">
        <f t="shared" si="5"/>
        <v>17925522.614600107</v>
      </c>
    </row>
    <row r="115" spans="2:7" x14ac:dyDescent="0.3">
      <c r="B115" s="14">
        <v>47969</v>
      </c>
      <c r="C115" s="15">
        <f t="shared" si="7"/>
        <v>17925522.614600107</v>
      </c>
      <c r="D115" s="15">
        <v>198872</v>
      </c>
      <c r="E115" s="15">
        <f t="shared" si="4"/>
        <v>85343.69010753266</v>
      </c>
      <c r="F115" s="15">
        <f t="shared" si="6"/>
        <v>113528.30989246734</v>
      </c>
      <c r="G115" s="15">
        <f t="shared" si="5"/>
        <v>17840178.924492575</v>
      </c>
    </row>
    <row r="116" spans="2:7" x14ac:dyDescent="0.3">
      <c r="B116" s="14">
        <v>48000</v>
      </c>
      <c r="C116" s="15">
        <f t="shared" si="7"/>
        <v>17840178.924492575</v>
      </c>
      <c r="D116" s="15">
        <v>198872</v>
      </c>
      <c r="E116" s="15">
        <f t="shared" si="4"/>
        <v>85884.200144880379</v>
      </c>
      <c r="F116" s="15">
        <f t="shared" si="6"/>
        <v>112987.79985511962</v>
      </c>
      <c r="G116" s="15">
        <f t="shared" si="5"/>
        <v>17754294.724347696</v>
      </c>
    </row>
    <row r="117" spans="2:7" x14ac:dyDescent="0.3">
      <c r="B117" s="14">
        <v>48030</v>
      </c>
      <c r="C117" s="15">
        <f t="shared" si="7"/>
        <v>17754294.724347696</v>
      </c>
      <c r="D117" s="15">
        <v>198872</v>
      </c>
      <c r="E117" s="15">
        <f t="shared" si="4"/>
        <v>86428.133412464595</v>
      </c>
      <c r="F117" s="15">
        <f t="shared" si="6"/>
        <v>112443.86658753541</v>
      </c>
      <c r="G117" s="15">
        <f t="shared" si="5"/>
        <v>17667866.59093523</v>
      </c>
    </row>
    <row r="118" spans="2:7" x14ac:dyDescent="0.3">
      <c r="B118" s="14">
        <v>48061</v>
      </c>
      <c r="C118" s="15">
        <f t="shared" si="7"/>
        <v>17667866.59093523</v>
      </c>
      <c r="D118" s="15">
        <v>198872</v>
      </c>
      <c r="E118" s="15">
        <f t="shared" si="4"/>
        <v>86975.511590743539</v>
      </c>
      <c r="F118" s="15">
        <f t="shared" si="6"/>
        <v>111896.48840925646</v>
      </c>
      <c r="G118" s="15">
        <f t="shared" si="5"/>
        <v>17580891.079344485</v>
      </c>
    </row>
    <row r="119" spans="2:7" x14ac:dyDescent="0.3">
      <c r="B119" s="14">
        <v>48092</v>
      </c>
      <c r="C119" s="15">
        <f t="shared" si="7"/>
        <v>17580891.079344485</v>
      </c>
      <c r="D119" s="15">
        <v>198872</v>
      </c>
      <c r="E119" s="15">
        <f t="shared" si="4"/>
        <v>87526.356497484943</v>
      </c>
      <c r="F119" s="15">
        <f t="shared" si="6"/>
        <v>111345.64350251506</v>
      </c>
      <c r="G119" s="15">
        <f t="shared" si="5"/>
        <v>17493364.722847</v>
      </c>
    </row>
    <row r="120" spans="2:7" x14ac:dyDescent="0.3">
      <c r="B120" s="14">
        <v>48122</v>
      </c>
      <c r="C120" s="15">
        <f t="shared" si="7"/>
        <v>17493364.722847</v>
      </c>
      <c r="D120" s="15">
        <v>198872</v>
      </c>
      <c r="E120" s="15">
        <f t="shared" si="4"/>
        <v>88080.690088635674</v>
      </c>
      <c r="F120" s="15">
        <f t="shared" si="6"/>
        <v>110791.30991136433</v>
      </c>
      <c r="G120" s="15">
        <f t="shared" si="5"/>
        <v>17405284.032758363</v>
      </c>
    </row>
    <row r="121" spans="2:7" x14ac:dyDescent="0.3">
      <c r="B121" s="14">
        <v>48153</v>
      </c>
      <c r="C121" s="15">
        <f t="shared" si="7"/>
        <v>17405284.032758363</v>
      </c>
      <c r="D121" s="15">
        <v>198872</v>
      </c>
      <c r="E121" s="15">
        <f t="shared" si="4"/>
        <v>88638.534459197035</v>
      </c>
      <c r="F121" s="15">
        <f t="shared" si="6"/>
        <v>110233.46554080296</v>
      </c>
      <c r="G121" s="15">
        <f t="shared" si="5"/>
        <v>17316645.498299167</v>
      </c>
    </row>
    <row r="122" spans="2:7" x14ac:dyDescent="0.3">
      <c r="B122" s="14">
        <v>48183</v>
      </c>
      <c r="C122" s="15">
        <f t="shared" si="7"/>
        <v>17316645.498299167</v>
      </c>
      <c r="D122" s="15">
        <v>198872</v>
      </c>
      <c r="E122" s="15">
        <f t="shared" si="4"/>
        <v>89199.911844105285</v>
      </c>
      <c r="F122" s="15">
        <f t="shared" si="6"/>
        <v>109672.08815589471</v>
      </c>
      <c r="G122" s="15">
        <f t="shared" si="5"/>
        <v>17227445.586455062</v>
      </c>
    </row>
    <row r="123" spans="2:7" x14ac:dyDescent="0.3">
      <c r="B123" s="14">
        <v>48214</v>
      </c>
      <c r="C123" s="15">
        <f t="shared" si="7"/>
        <v>17227445.586455062</v>
      </c>
      <c r="D123" s="15">
        <v>198872</v>
      </c>
      <c r="E123" s="15">
        <f t="shared" si="4"/>
        <v>89764.844619117954</v>
      </c>
      <c r="F123" s="15">
        <f t="shared" si="6"/>
        <v>109107.15538088205</v>
      </c>
      <c r="G123" s="15">
        <f t="shared" si="5"/>
        <v>17137680.741835944</v>
      </c>
    </row>
    <row r="124" spans="2:7" x14ac:dyDescent="0.3">
      <c r="B124" s="14">
        <v>48245</v>
      </c>
      <c r="C124" s="15">
        <f t="shared" si="7"/>
        <v>17137680.741835944</v>
      </c>
      <c r="D124" s="15">
        <v>198872</v>
      </c>
      <c r="E124" s="15">
        <f t="shared" si="4"/>
        <v>90333.355301705698</v>
      </c>
      <c r="F124" s="15">
        <f t="shared" si="6"/>
        <v>108538.6446982943</v>
      </c>
      <c r="G124" s="15">
        <f t="shared" si="5"/>
        <v>17047347.38653424</v>
      </c>
    </row>
    <row r="125" spans="2:7" x14ac:dyDescent="0.3">
      <c r="B125" s="14">
        <v>48274</v>
      </c>
      <c r="C125" s="15">
        <f t="shared" si="7"/>
        <v>17047347.38653424</v>
      </c>
      <c r="D125" s="15">
        <v>198872</v>
      </c>
      <c r="E125" s="15">
        <f t="shared" si="4"/>
        <v>90905.466551949808</v>
      </c>
      <c r="F125" s="15">
        <f t="shared" si="6"/>
        <v>107966.53344805019</v>
      </c>
      <c r="G125" s="15">
        <f t="shared" si="5"/>
        <v>16956441.919982292</v>
      </c>
    </row>
    <row r="126" spans="2:7" x14ac:dyDescent="0.3">
      <c r="B126" s="14">
        <v>48305</v>
      </c>
      <c r="C126" s="15">
        <f t="shared" si="7"/>
        <v>16956441.919982292</v>
      </c>
      <c r="D126" s="15">
        <v>198872</v>
      </c>
      <c r="E126" s="15">
        <f t="shared" si="4"/>
        <v>91481.201173445501</v>
      </c>
      <c r="F126" s="15">
        <f t="shared" si="6"/>
        <v>107390.7988265545</v>
      </c>
      <c r="G126" s="15">
        <f t="shared" si="5"/>
        <v>16864960.718808845</v>
      </c>
    </row>
    <row r="127" spans="2:7" x14ac:dyDescent="0.3">
      <c r="B127" s="14">
        <v>48335</v>
      </c>
      <c r="C127" s="15">
        <f t="shared" si="7"/>
        <v>16864960.718808845</v>
      </c>
      <c r="D127" s="15">
        <v>198872</v>
      </c>
      <c r="E127" s="15">
        <f t="shared" si="4"/>
        <v>92060.582114210643</v>
      </c>
      <c r="F127" s="15">
        <f t="shared" si="6"/>
        <v>106811.41788578936</v>
      </c>
      <c r="G127" s="15">
        <f t="shared" si="5"/>
        <v>16772900.136694634</v>
      </c>
    </row>
    <row r="128" spans="2:7" x14ac:dyDescent="0.3">
      <c r="B128" s="14">
        <v>48366</v>
      </c>
      <c r="C128" s="15">
        <f t="shared" si="7"/>
        <v>16772900.136694634</v>
      </c>
      <c r="D128" s="15">
        <v>198872</v>
      </c>
      <c r="E128" s="15">
        <f t="shared" si="4"/>
        <v>92643.632467600648</v>
      </c>
      <c r="F128" s="15">
        <f t="shared" si="6"/>
        <v>106228.36753239935</v>
      </c>
      <c r="G128" s="15">
        <f t="shared" si="5"/>
        <v>16680256.504227033</v>
      </c>
    </row>
    <row r="129" spans="2:8" x14ac:dyDescent="0.3">
      <c r="B129" s="14">
        <v>48396</v>
      </c>
      <c r="C129" s="15">
        <f t="shared" si="7"/>
        <v>16680256.504227033</v>
      </c>
      <c r="D129" s="15">
        <v>198872</v>
      </c>
      <c r="E129" s="15">
        <f t="shared" si="4"/>
        <v>93230.375473228793</v>
      </c>
      <c r="F129" s="15">
        <f t="shared" si="6"/>
        <v>105641.62452677121</v>
      </c>
      <c r="G129" s="15">
        <f t="shared" si="5"/>
        <v>16587026.128753804</v>
      </c>
    </row>
    <row r="130" spans="2:8" x14ac:dyDescent="0.3">
      <c r="B130" s="14">
        <v>48427</v>
      </c>
      <c r="C130" s="15">
        <f t="shared" si="7"/>
        <v>16587026.128753804</v>
      </c>
      <c r="D130" s="15">
        <v>198872</v>
      </c>
      <c r="E130" s="15">
        <f t="shared" si="4"/>
        <v>93820.834517892581</v>
      </c>
      <c r="F130" s="15">
        <f t="shared" si="6"/>
        <v>105051.16548210742</v>
      </c>
      <c r="G130" s="15">
        <f t="shared" si="5"/>
        <v>16493205.294235911</v>
      </c>
    </row>
    <row r="131" spans="2:8" x14ac:dyDescent="0.3">
      <c r="B131" s="14">
        <v>48458</v>
      </c>
      <c r="C131" s="15">
        <f t="shared" si="7"/>
        <v>16493205.294235911</v>
      </c>
      <c r="D131" s="15">
        <v>198872</v>
      </c>
      <c r="E131" s="15">
        <f t="shared" si="4"/>
        <v>94415.033136505881</v>
      </c>
      <c r="F131" s="15">
        <f t="shared" si="6"/>
        <v>104456.96686349412</v>
      </c>
      <c r="G131" s="15">
        <f t="shared" si="5"/>
        <v>16398790.261099406</v>
      </c>
    </row>
    <row r="132" spans="2:8" x14ac:dyDescent="0.3">
      <c r="B132" s="14">
        <v>48488</v>
      </c>
      <c r="C132" s="15">
        <f t="shared" si="7"/>
        <v>16398790.261099406</v>
      </c>
      <c r="D132" s="15">
        <v>198872</v>
      </c>
      <c r="E132" s="15">
        <f t="shared" si="4"/>
        <v>95012.9950130371</v>
      </c>
      <c r="F132" s="15">
        <f t="shared" si="6"/>
        <v>103859.0049869629</v>
      </c>
      <c r="G132" s="15">
        <f t="shared" si="5"/>
        <v>16303777.266086368</v>
      </c>
    </row>
    <row r="133" spans="2:8" x14ac:dyDescent="0.3">
      <c r="B133" s="14">
        <v>48519</v>
      </c>
      <c r="C133" s="15">
        <f t="shared" si="7"/>
        <v>16303777.266086368</v>
      </c>
      <c r="D133" s="15">
        <v>198872</v>
      </c>
      <c r="E133" s="15">
        <f t="shared" si="4"/>
        <v>95614.743981453008</v>
      </c>
      <c r="F133" s="15">
        <f t="shared" si="6"/>
        <v>103257.25601854699</v>
      </c>
      <c r="G133" s="15">
        <f t="shared" si="5"/>
        <v>16208162.522104915</v>
      </c>
    </row>
    <row r="134" spans="2:8" x14ac:dyDescent="0.3">
      <c r="B134" s="14">
        <v>48549</v>
      </c>
      <c r="C134" s="15">
        <f t="shared" si="7"/>
        <v>16208162.522104915</v>
      </c>
      <c r="D134" s="15">
        <v>198872</v>
      </c>
      <c r="E134" s="15">
        <f t="shared" ref="E134:E138" si="8">D134-F134</f>
        <v>96220.304026668877</v>
      </c>
      <c r="F134" s="15">
        <f t="shared" si="6"/>
        <v>102651.69597333112</v>
      </c>
      <c r="G134" s="15">
        <f t="shared" ref="G134:G137" si="9">C134-E134</f>
        <v>16111942.218078246</v>
      </c>
    </row>
    <row r="135" spans="2:8" x14ac:dyDescent="0.3">
      <c r="B135" s="14">
        <v>48580</v>
      </c>
      <c r="C135" s="15">
        <f t="shared" si="7"/>
        <v>16111942.218078246</v>
      </c>
      <c r="D135" s="15">
        <v>198872</v>
      </c>
      <c r="E135" s="15">
        <f t="shared" si="8"/>
        <v>96829.699285504452</v>
      </c>
      <c r="F135" s="15">
        <f t="shared" ref="F135:F138" si="10">C135*7.6/100/12</f>
        <v>102042.30071449555</v>
      </c>
      <c r="G135" s="15">
        <f t="shared" si="9"/>
        <v>16015112.518792741</v>
      </c>
    </row>
    <row r="136" spans="2:8" x14ac:dyDescent="0.3">
      <c r="B136" s="14">
        <v>48611</v>
      </c>
      <c r="C136" s="15">
        <f t="shared" si="7"/>
        <v>16015112.518792741</v>
      </c>
      <c r="D136" s="15">
        <v>198872</v>
      </c>
      <c r="E136" s="15">
        <f t="shared" si="8"/>
        <v>97442.954047645981</v>
      </c>
      <c r="F136" s="15">
        <f t="shared" si="10"/>
        <v>101429.04595235402</v>
      </c>
      <c r="G136" s="15">
        <f t="shared" si="9"/>
        <v>15917669.564745095</v>
      </c>
      <c r="H136" s="2"/>
    </row>
    <row r="137" spans="2:8" x14ac:dyDescent="0.3">
      <c r="B137" s="14">
        <v>48639</v>
      </c>
      <c r="C137" s="15">
        <f t="shared" ref="C137:C138" si="11">G136</f>
        <v>15917669.564745095</v>
      </c>
      <c r="D137" s="15">
        <v>198872</v>
      </c>
      <c r="E137" s="15">
        <f t="shared" si="8"/>
        <v>98060.092756614395</v>
      </c>
      <c r="F137" s="15">
        <f t="shared" si="10"/>
        <v>100811.90724338561</v>
      </c>
      <c r="G137" s="15">
        <f t="shared" si="9"/>
        <v>15819609.471988481</v>
      </c>
      <c r="H137" s="2"/>
    </row>
    <row r="138" spans="2:8" x14ac:dyDescent="0.3">
      <c r="B138" s="14">
        <v>48670</v>
      </c>
      <c r="C138" s="15">
        <f t="shared" si="11"/>
        <v>15819609.471988481</v>
      </c>
      <c r="D138" s="15">
        <v>198872</v>
      </c>
      <c r="E138" s="15">
        <f t="shared" si="8"/>
        <v>98681.140010739618</v>
      </c>
      <c r="F138" s="15">
        <f t="shared" si="10"/>
        <v>100190.85998926038</v>
      </c>
      <c r="G138" s="15">
        <f>C138-E138</f>
        <v>15720928.331977742</v>
      </c>
      <c r="H138" s="2"/>
    </row>
    <row r="139" spans="2:8" x14ac:dyDescent="0.3">
      <c r="B139" s="14">
        <v>48700</v>
      </c>
      <c r="C139" s="15">
        <f t="shared" ref="C139:C202" si="12">G138</f>
        <v>15720928.331977742</v>
      </c>
      <c r="D139" s="15">
        <v>198872</v>
      </c>
      <c r="E139" s="15">
        <f t="shared" ref="E139:E202" si="13">D139-F139</f>
        <v>99306.120564140976</v>
      </c>
      <c r="F139" s="15">
        <f t="shared" ref="F139:F202" si="14">C139*7.6/100/12</f>
        <v>99565.879435859024</v>
      </c>
      <c r="G139" s="15">
        <f t="shared" ref="G139:G202" si="15">C139-E139</f>
        <v>15621622.211413601</v>
      </c>
      <c r="H139" s="2"/>
    </row>
    <row r="140" spans="2:8" x14ac:dyDescent="0.3">
      <c r="B140" s="14">
        <v>48731</v>
      </c>
      <c r="C140" s="15">
        <f t="shared" si="12"/>
        <v>15621622.211413601</v>
      </c>
      <c r="D140" s="15">
        <v>198872</v>
      </c>
      <c r="E140" s="15">
        <f t="shared" si="13"/>
        <v>99935.059327713854</v>
      </c>
      <c r="F140" s="15">
        <f t="shared" si="14"/>
        <v>98936.940672286146</v>
      </c>
      <c r="G140" s="15">
        <f t="shared" si="15"/>
        <v>15521687.152085887</v>
      </c>
      <c r="H140" s="2"/>
    </row>
    <row r="141" spans="2:8" x14ac:dyDescent="0.3">
      <c r="B141" s="14">
        <v>48761</v>
      </c>
      <c r="C141" s="15">
        <f t="shared" si="12"/>
        <v>15521687.152085887</v>
      </c>
      <c r="D141" s="15">
        <v>198872</v>
      </c>
      <c r="E141" s="15">
        <f t="shared" si="13"/>
        <v>100567.98137012271</v>
      </c>
      <c r="F141" s="15">
        <f t="shared" si="14"/>
        <v>98304.01862987729</v>
      </c>
      <c r="G141" s="15">
        <f t="shared" si="15"/>
        <v>15421119.170715764</v>
      </c>
      <c r="H141" s="2"/>
    </row>
    <row r="142" spans="2:8" x14ac:dyDescent="0.3">
      <c r="B142" s="14">
        <v>48792</v>
      </c>
      <c r="C142" s="15">
        <f t="shared" si="12"/>
        <v>15421119.170715764</v>
      </c>
      <c r="D142" s="15">
        <v>198872</v>
      </c>
      <c r="E142" s="15">
        <f t="shared" si="13"/>
        <v>101204.91191880016</v>
      </c>
      <c r="F142" s="15">
        <f t="shared" si="14"/>
        <v>97667.088081199836</v>
      </c>
      <c r="G142" s="15">
        <f t="shared" si="15"/>
        <v>15319914.258796964</v>
      </c>
      <c r="H142" s="2"/>
    </row>
    <row r="143" spans="2:8" x14ac:dyDescent="0.3">
      <c r="B143" s="14">
        <v>48823</v>
      </c>
      <c r="C143" s="15">
        <f t="shared" si="12"/>
        <v>15319914.258796964</v>
      </c>
      <c r="D143" s="15">
        <v>198872</v>
      </c>
      <c r="E143" s="15">
        <f t="shared" si="13"/>
        <v>101845.87636095256</v>
      </c>
      <c r="F143" s="15">
        <f t="shared" si="14"/>
        <v>97026.123639047437</v>
      </c>
      <c r="G143" s="15">
        <f t="shared" si="15"/>
        <v>15218068.382436011</v>
      </c>
      <c r="H143" s="2"/>
    </row>
    <row r="144" spans="2:8" x14ac:dyDescent="0.3">
      <c r="B144" s="14">
        <v>48853</v>
      </c>
      <c r="C144" s="15">
        <f t="shared" si="12"/>
        <v>15218068.382436011</v>
      </c>
      <c r="D144" s="15">
        <v>198872</v>
      </c>
      <c r="E144" s="15">
        <f t="shared" si="13"/>
        <v>102490.90024457195</v>
      </c>
      <c r="F144" s="15">
        <f t="shared" si="14"/>
        <v>96381.099755428048</v>
      </c>
      <c r="G144" s="15">
        <f t="shared" si="15"/>
        <v>15115577.48219144</v>
      </c>
      <c r="H144" s="2"/>
    </row>
    <row r="145" spans="2:8" x14ac:dyDescent="0.3">
      <c r="B145" s="14">
        <v>48884</v>
      </c>
      <c r="C145" s="15">
        <f t="shared" si="12"/>
        <v>15115577.48219144</v>
      </c>
      <c r="D145" s="15">
        <v>198872</v>
      </c>
      <c r="E145" s="15">
        <f t="shared" si="13"/>
        <v>103140.0092794542</v>
      </c>
      <c r="F145" s="15">
        <f t="shared" si="14"/>
        <v>95731.9907205458</v>
      </c>
      <c r="G145" s="15">
        <f t="shared" si="15"/>
        <v>15012437.472911986</v>
      </c>
      <c r="H145" s="2"/>
    </row>
    <row r="146" spans="2:8" x14ac:dyDescent="0.3">
      <c r="B146" s="14">
        <v>48914</v>
      </c>
      <c r="C146" s="15">
        <f t="shared" si="12"/>
        <v>15012437.472911986</v>
      </c>
      <c r="D146" s="15">
        <v>198872</v>
      </c>
      <c r="E146" s="15">
        <f t="shared" si="13"/>
        <v>103793.2293382241</v>
      </c>
      <c r="F146" s="15">
        <f t="shared" si="14"/>
        <v>95078.770661775896</v>
      </c>
      <c r="G146" s="15">
        <f t="shared" si="15"/>
        <v>14908644.243573761</v>
      </c>
      <c r="H146" s="2"/>
    </row>
    <row r="147" spans="2:8" x14ac:dyDescent="0.3">
      <c r="B147" s="14">
        <v>48945</v>
      </c>
      <c r="C147" s="15">
        <f t="shared" si="12"/>
        <v>14908644.243573761</v>
      </c>
      <c r="D147" s="15">
        <v>198872</v>
      </c>
      <c r="E147" s="15">
        <f t="shared" si="13"/>
        <v>104450.58645736618</v>
      </c>
      <c r="F147" s="15">
        <f t="shared" si="14"/>
        <v>94421.413542633818</v>
      </c>
      <c r="G147" s="15">
        <f t="shared" si="15"/>
        <v>14804193.657116394</v>
      </c>
      <c r="H147" s="2"/>
    </row>
    <row r="148" spans="2:8" x14ac:dyDescent="0.3">
      <c r="B148" s="14">
        <v>48976</v>
      </c>
      <c r="C148" s="15">
        <f t="shared" si="12"/>
        <v>14804193.657116394</v>
      </c>
      <c r="D148" s="15">
        <v>198872</v>
      </c>
      <c r="E148" s="15">
        <f t="shared" si="13"/>
        <v>105112.10683826283</v>
      </c>
      <c r="F148" s="15">
        <f t="shared" si="14"/>
        <v>93759.893161737171</v>
      </c>
      <c r="G148" s="15">
        <f t="shared" si="15"/>
        <v>14699081.550278131</v>
      </c>
      <c r="H148" s="2"/>
    </row>
    <row r="149" spans="2:8" x14ac:dyDescent="0.3">
      <c r="B149" s="14">
        <v>49004</v>
      </c>
      <c r="C149" s="15">
        <f t="shared" si="12"/>
        <v>14699081.550278131</v>
      </c>
      <c r="D149" s="15">
        <v>198872</v>
      </c>
      <c r="E149" s="15">
        <f t="shared" si="13"/>
        <v>105777.81684823851</v>
      </c>
      <c r="F149" s="15">
        <f t="shared" si="14"/>
        <v>93094.183151761492</v>
      </c>
      <c r="G149" s="15">
        <f t="shared" si="15"/>
        <v>14593303.733429892</v>
      </c>
      <c r="H149" s="2"/>
    </row>
    <row r="150" spans="2:8" x14ac:dyDescent="0.3">
      <c r="B150" s="14">
        <v>49035</v>
      </c>
      <c r="C150" s="15">
        <f t="shared" si="12"/>
        <v>14593303.733429892</v>
      </c>
      <c r="D150" s="15">
        <v>198872</v>
      </c>
      <c r="E150" s="15">
        <f t="shared" si="13"/>
        <v>106447.7430216107</v>
      </c>
      <c r="F150" s="15">
        <f t="shared" si="14"/>
        <v>92424.256978389298</v>
      </c>
      <c r="G150" s="15">
        <f t="shared" si="15"/>
        <v>14486855.990408281</v>
      </c>
      <c r="H150" s="2"/>
    </row>
    <row r="151" spans="2:8" x14ac:dyDescent="0.3">
      <c r="B151" s="14">
        <v>49065</v>
      </c>
      <c r="C151" s="15">
        <f t="shared" si="12"/>
        <v>14486855.990408281</v>
      </c>
      <c r="D151" s="15">
        <v>198872</v>
      </c>
      <c r="E151" s="15">
        <f t="shared" si="13"/>
        <v>107121.91206074756</v>
      </c>
      <c r="F151" s="15">
        <f t="shared" si="14"/>
        <v>91750.087939252437</v>
      </c>
      <c r="G151" s="15">
        <f t="shared" si="15"/>
        <v>14379734.078347534</v>
      </c>
      <c r="H151" s="2"/>
    </row>
    <row r="152" spans="2:8" x14ac:dyDescent="0.3">
      <c r="B152" s="14">
        <v>49096</v>
      </c>
      <c r="C152" s="15">
        <f t="shared" si="12"/>
        <v>14379734.078347534</v>
      </c>
      <c r="D152" s="15">
        <v>198872</v>
      </c>
      <c r="E152" s="15">
        <f t="shared" si="13"/>
        <v>107800.3508371323</v>
      </c>
      <c r="F152" s="15">
        <f t="shared" si="14"/>
        <v>91071.649162867703</v>
      </c>
      <c r="G152" s="15">
        <f t="shared" si="15"/>
        <v>14271933.727510402</v>
      </c>
      <c r="H152" s="2"/>
    </row>
    <row r="153" spans="2:8" x14ac:dyDescent="0.3">
      <c r="B153" s="14">
        <v>49126</v>
      </c>
      <c r="C153" s="15">
        <f t="shared" si="12"/>
        <v>14271933.727510402</v>
      </c>
      <c r="D153" s="15">
        <v>198872</v>
      </c>
      <c r="E153" s="15">
        <f t="shared" si="13"/>
        <v>108483.08639243412</v>
      </c>
      <c r="F153" s="15">
        <f t="shared" si="14"/>
        <v>90388.913607565875</v>
      </c>
      <c r="G153" s="15">
        <f t="shared" si="15"/>
        <v>14163450.641117968</v>
      </c>
      <c r="H153" s="2"/>
    </row>
    <row r="154" spans="2:8" x14ac:dyDescent="0.3">
      <c r="B154" s="14">
        <v>49157</v>
      </c>
      <c r="C154" s="15">
        <f t="shared" si="12"/>
        <v>14163450.641117968</v>
      </c>
      <c r="D154" s="15">
        <v>198872</v>
      </c>
      <c r="E154" s="15">
        <f t="shared" si="13"/>
        <v>109170.14593958622</v>
      </c>
      <c r="F154" s="15">
        <f t="shared" si="14"/>
        <v>89701.854060413782</v>
      </c>
      <c r="G154" s="15">
        <f t="shared" si="15"/>
        <v>14054280.495178381</v>
      </c>
      <c r="H154" s="2"/>
    </row>
    <row r="155" spans="2:8" x14ac:dyDescent="0.3">
      <c r="B155" s="14">
        <v>49188</v>
      </c>
      <c r="C155" s="15">
        <f t="shared" si="12"/>
        <v>14054280.495178381</v>
      </c>
      <c r="D155" s="15">
        <v>198872</v>
      </c>
      <c r="E155" s="15">
        <f t="shared" si="13"/>
        <v>109861.55686387025</v>
      </c>
      <c r="F155" s="15">
        <f t="shared" si="14"/>
        <v>89010.443136129747</v>
      </c>
      <c r="G155" s="15">
        <f t="shared" si="15"/>
        <v>13944418.938314511</v>
      </c>
      <c r="H155" s="2"/>
    </row>
    <row r="156" spans="2:8" x14ac:dyDescent="0.3">
      <c r="B156" s="14">
        <v>49218</v>
      </c>
      <c r="C156" s="15">
        <f t="shared" si="12"/>
        <v>13944418.938314511</v>
      </c>
      <c r="D156" s="15">
        <v>198872</v>
      </c>
      <c r="E156" s="15">
        <f t="shared" si="13"/>
        <v>110557.34672400809</v>
      </c>
      <c r="F156" s="15">
        <f t="shared" si="14"/>
        <v>88314.653275991906</v>
      </c>
      <c r="G156" s="15">
        <f t="shared" si="15"/>
        <v>13833861.591590503</v>
      </c>
      <c r="H156" s="2"/>
    </row>
    <row r="157" spans="2:8" x14ac:dyDescent="0.3">
      <c r="B157" s="14">
        <v>49249</v>
      </c>
      <c r="C157" s="15">
        <f t="shared" si="12"/>
        <v>13833861.591590503</v>
      </c>
      <c r="D157" s="15">
        <v>198872</v>
      </c>
      <c r="E157" s="15">
        <f t="shared" si="13"/>
        <v>111257.54325326016</v>
      </c>
      <c r="F157" s="15">
        <f t="shared" si="14"/>
        <v>87614.456746739845</v>
      </c>
      <c r="G157" s="15">
        <f t="shared" si="15"/>
        <v>13722604.048337243</v>
      </c>
      <c r="H157" s="2"/>
    </row>
    <row r="158" spans="2:8" x14ac:dyDescent="0.3">
      <c r="B158" s="14">
        <v>49279</v>
      </c>
      <c r="C158" s="15">
        <f t="shared" si="12"/>
        <v>13722604.048337243</v>
      </c>
      <c r="D158" s="15">
        <v>198872</v>
      </c>
      <c r="E158" s="15">
        <f t="shared" si="13"/>
        <v>111962.1743605308</v>
      </c>
      <c r="F158" s="15">
        <f t="shared" si="14"/>
        <v>86909.8256394692</v>
      </c>
      <c r="G158" s="15">
        <f t="shared" si="15"/>
        <v>13610641.873976713</v>
      </c>
      <c r="H158" s="2"/>
    </row>
    <row r="159" spans="2:8" x14ac:dyDescent="0.3">
      <c r="B159" s="14">
        <v>49310</v>
      </c>
      <c r="C159" s="15">
        <f t="shared" si="12"/>
        <v>13610641.873976713</v>
      </c>
      <c r="D159" s="15">
        <v>198872</v>
      </c>
      <c r="E159" s="15">
        <f t="shared" si="13"/>
        <v>112671.26813148083</v>
      </c>
      <c r="F159" s="15">
        <f t="shared" si="14"/>
        <v>86200.731868519171</v>
      </c>
      <c r="G159" s="15">
        <f t="shared" si="15"/>
        <v>13497970.605845232</v>
      </c>
      <c r="H159" s="2"/>
    </row>
    <row r="160" spans="2:8" x14ac:dyDescent="0.3">
      <c r="B160" s="14">
        <v>49341</v>
      </c>
      <c r="C160" s="15">
        <f t="shared" si="12"/>
        <v>13497970.605845232</v>
      </c>
      <c r="D160" s="15">
        <v>198872</v>
      </c>
      <c r="E160" s="15">
        <f t="shared" si="13"/>
        <v>113384.85282964686</v>
      </c>
      <c r="F160" s="15">
        <f t="shared" si="14"/>
        <v>85487.147170353142</v>
      </c>
      <c r="G160" s="15">
        <f t="shared" si="15"/>
        <v>13384585.753015585</v>
      </c>
      <c r="H160" s="2"/>
    </row>
    <row r="161" spans="2:8" x14ac:dyDescent="0.3">
      <c r="B161" s="14">
        <v>49369</v>
      </c>
      <c r="C161" s="15">
        <f t="shared" si="12"/>
        <v>13384585.753015585</v>
      </c>
      <c r="D161" s="15">
        <v>198872</v>
      </c>
      <c r="E161" s="15">
        <f t="shared" si="13"/>
        <v>114102.95689756797</v>
      </c>
      <c r="F161" s="15">
        <f t="shared" si="14"/>
        <v>84769.043102432028</v>
      </c>
      <c r="G161" s="15">
        <f t="shared" si="15"/>
        <v>13270482.796118017</v>
      </c>
      <c r="H161" s="2"/>
    </row>
    <row r="162" spans="2:8" x14ac:dyDescent="0.3">
      <c r="B162" s="14">
        <v>49400</v>
      </c>
      <c r="C162" s="15">
        <f t="shared" si="12"/>
        <v>13270482.796118017</v>
      </c>
      <c r="D162" s="15">
        <v>198872</v>
      </c>
      <c r="E162" s="15">
        <f t="shared" si="13"/>
        <v>114825.60895791923</v>
      </c>
      <c r="F162" s="15">
        <f t="shared" si="14"/>
        <v>84046.391042080766</v>
      </c>
      <c r="G162" s="15">
        <f t="shared" si="15"/>
        <v>13155657.187160099</v>
      </c>
      <c r="H162" s="2"/>
    </row>
    <row r="163" spans="2:8" x14ac:dyDescent="0.3">
      <c r="B163" s="14">
        <v>49430</v>
      </c>
      <c r="C163" s="15">
        <f t="shared" si="12"/>
        <v>13155657.187160099</v>
      </c>
      <c r="D163" s="15">
        <v>198872</v>
      </c>
      <c r="E163" s="15">
        <f t="shared" si="13"/>
        <v>115552.83781465271</v>
      </c>
      <c r="F163" s="15">
        <f t="shared" si="14"/>
        <v>83319.16218534729</v>
      </c>
      <c r="G163" s="15">
        <f t="shared" si="15"/>
        <v>13040104.349345446</v>
      </c>
      <c r="H163" s="2"/>
    </row>
    <row r="164" spans="2:8" x14ac:dyDescent="0.3">
      <c r="B164" s="14">
        <v>49461</v>
      </c>
      <c r="C164" s="15">
        <f t="shared" si="12"/>
        <v>13040104.349345446</v>
      </c>
      <c r="D164" s="15">
        <v>198872</v>
      </c>
      <c r="E164" s="15">
        <f t="shared" si="13"/>
        <v>116284.67245414552</v>
      </c>
      <c r="F164" s="15">
        <f t="shared" si="14"/>
        <v>82587.327545854481</v>
      </c>
      <c r="G164" s="15">
        <f t="shared" si="15"/>
        <v>12923819.676891301</v>
      </c>
      <c r="H164" s="2"/>
    </row>
    <row r="165" spans="2:8" x14ac:dyDescent="0.3">
      <c r="B165" s="14">
        <v>49491</v>
      </c>
      <c r="C165" s="15">
        <f t="shared" si="12"/>
        <v>12923819.676891301</v>
      </c>
      <c r="D165" s="15">
        <v>198872</v>
      </c>
      <c r="E165" s="15">
        <f t="shared" si="13"/>
        <v>117021.1420463551</v>
      </c>
      <c r="F165" s="15">
        <f t="shared" si="14"/>
        <v>81850.857953644896</v>
      </c>
      <c r="G165" s="15">
        <f t="shared" si="15"/>
        <v>12806798.534844946</v>
      </c>
      <c r="H165" s="2"/>
    </row>
    <row r="166" spans="2:8" x14ac:dyDescent="0.3">
      <c r="B166" s="14">
        <v>49522</v>
      </c>
      <c r="C166" s="15">
        <f t="shared" si="12"/>
        <v>12806798.534844946</v>
      </c>
      <c r="D166" s="15">
        <v>198872</v>
      </c>
      <c r="E166" s="15">
        <f t="shared" si="13"/>
        <v>117762.27594598201</v>
      </c>
      <c r="F166" s="15">
        <f t="shared" si="14"/>
        <v>81109.724054017992</v>
      </c>
      <c r="G166" s="15">
        <f t="shared" si="15"/>
        <v>12689036.258898964</v>
      </c>
      <c r="H166" s="2"/>
    </row>
    <row r="167" spans="2:8" x14ac:dyDescent="0.3">
      <c r="B167" s="14">
        <v>49553</v>
      </c>
      <c r="C167" s="15">
        <f t="shared" si="12"/>
        <v>12689036.258898964</v>
      </c>
      <c r="D167" s="15">
        <v>198872</v>
      </c>
      <c r="E167" s="15">
        <f t="shared" si="13"/>
        <v>118508.1036936399</v>
      </c>
      <c r="F167" s="15">
        <f t="shared" si="14"/>
        <v>80363.896306360097</v>
      </c>
      <c r="G167" s="15">
        <f t="shared" si="15"/>
        <v>12570528.155205324</v>
      </c>
      <c r="H167" s="2"/>
    </row>
    <row r="168" spans="2:8" x14ac:dyDescent="0.3">
      <c r="B168" s="14">
        <v>49583</v>
      </c>
      <c r="C168" s="15">
        <f t="shared" si="12"/>
        <v>12570528.155205324</v>
      </c>
      <c r="D168" s="15">
        <v>198872</v>
      </c>
      <c r="E168" s="15">
        <f t="shared" si="13"/>
        <v>119258.65501703294</v>
      </c>
      <c r="F168" s="15">
        <f t="shared" si="14"/>
        <v>79613.344982967057</v>
      </c>
      <c r="G168" s="15">
        <f t="shared" si="15"/>
        <v>12451269.500188291</v>
      </c>
      <c r="H168" s="2"/>
    </row>
    <row r="169" spans="2:8" x14ac:dyDescent="0.3">
      <c r="B169" s="14">
        <v>49614</v>
      </c>
      <c r="C169" s="15">
        <f t="shared" si="12"/>
        <v>12451269.500188291</v>
      </c>
      <c r="D169" s="15">
        <v>198872</v>
      </c>
      <c r="E169" s="15">
        <f t="shared" si="13"/>
        <v>120013.95983214083</v>
      </c>
      <c r="F169" s="15">
        <f t="shared" si="14"/>
        <v>78858.040167859173</v>
      </c>
      <c r="G169" s="15">
        <f t="shared" si="15"/>
        <v>12331255.54035615</v>
      </c>
      <c r="H169" s="2"/>
    </row>
    <row r="170" spans="2:8" x14ac:dyDescent="0.3">
      <c r="B170" s="14">
        <v>49644</v>
      </c>
      <c r="C170" s="15">
        <f t="shared" si="12"/>
        <v>12331255.54035615</v>
      </c>
      <c r="D170" s="15">
        <v>198872</v>
      </c>
      <c r="E170" s="15">
        <f t="shared" si="13"/>
        <v>120774.04824441105</v>
      </c>
      <c r="F170" s="15">
        <f t="shared" si="14"/>
        <v>78097.951755588947</v>
      </c>
      <c r="G170" s="15">
        <f t="shared" si="15"/>
        <v>12210481.492111739</v>
      </c>
    </row>
    <row r="171" spans="2:8" x14ac:dyDescent="0.3">
      <c r="B171" s="14">
        <v>49675</v>
      </c>
      <c r="C171" s="15">
        <f t="shared" si="12"/>
        <v>12210481.492111739</v>
      </c>
      <c r="D171" s="15">
        <v>198872</v>
      </c>
      <c r="E171" s="15">
        <f t="shared" si="13"/>
        <v>121538.95054995899</v>
      </c>
      <c r="F171" s="15">
        <f t="shared" si="14"/>
        <v>77333.049450041013</v>
      </c>
      <c r="G171" s="15">
        <f t="shared" si="15"/>
        <v>12088942.54156178</v>
      </c>
    </row>
    <row r="172" spans="2:8" x14ac:dyDescent="0.3">
      <c r="B172" s="14">
        <v>49706</v>
      </c>
      <c r="C172" s="15">
        <f t="shared" si="12"/>
        <v>12088942.54156178</v>
      </c>
      <c r="D172" s="15">
        <v>198872</v>
      </c>
      <c r="E172" s="15">
        <f t="shared" si="13"/>
        <v>122308.69723677539</v>
      </c>
      <c r="F172" s="15">
        <f t="shared" si="14"/>
        <v>76563.302763224608</v>
      </c>
      <c r="G172" s="15">
        <f t="shared" si="15"/>
        <v>11966633.844325006</v>
      </c>
    </row>
    <row r="173" spans="2:8" x14ac:dyDescent="0.3">
      <c r="B173" s="14">
        <v>49735</v>
      </c>
      <c r="C173" s="15">
        <f t="shared" si="12"/>
        <v>11966633.844325006</v>
      </c>
      <c r="D173" s="15">
        <v>198872</v>
      </c>
      <c r="E173" s="15">
        <f t="shared" si="13"/>
        <v>123083.31898594163</v>
      </c>
      <c r="F173" s="15">
        <f t="shared" si="14"/>
        <v>75788.681014058369</v>
      </c>
      <c r="G173" s="15">
        <f t="shared" si="15"/>
        <v>11843550.525339065</v>
      </c>
    </row>
    <row r="174" spans="2:8" x14ac:dyDescent="0.3">
      <c r="B174" s="14">
        <v>49766</v>
      </c>
      <c r="C174" s="15">
        <f t="shared" si="12"/>
        <v>11843550.525339065</v>
      </c>
      <c r="D174" s="15">
        <v>198872</v>
      </c>
      <c r="E174" s="15">
        <f t="shared" si="13"/>
        <v>123862.84667285258</v>
      </c>
      <c r="F174" s="15">
        <f t="shared" si="14"/>
        <v>75009.153327147418</v>
      </c>
      <c r="G174" s="15">
        <f t="shared" si="15"/>
        <v>11719687.678666212</v>
      </c>
    </row>
    <row r="175" spans="2:8" x14ac:dyDescent="0.3">
      <c r="B175" s="14">
        <v>49796</v>
      </c>
      <c r="C175" s="15">
        <f t="shared" si="12"/>
        <v>11719687.678666212</v>
      </c>
      <c r="D175" s="15">
        <v>198872</v>
      </c>
      <c r="E175" s="15">
        <f t="shared" si="13"/>
        <v>124647.31136844734</v>
      </c>
      <c r="F175" s="15">
        <f t="shared" si="14"/>
        <v>74224.688631552664</v>
      </c>
      <c r="G175" s="15">
        <f t="shared" si="15"/>
        <v>11595040.367297765</v>
      </c>
    </row>
    <row r="176" spans="2:8" x14ac:dyDescent="0.3">
      <c r="B176" s="14">
        <v>49827</v>
      </c>
      <c r="C176" s="15">
        <f t="shared" si="12"/>
        <v>11595040.367297765</v>
      </c>
      <c r="D176" s="15">
        <v>198872</v>
      </c>
      <c r="E176" s="15">
        <f t="shared" si="13"/>
        <v>125436.74434044749</v>
      </c>
      <c r="F176" s="15">
        <f t="shared" si="14"/>
        <v>73435.255659552509</v>
      </c>
      <c r="G176" s="15">
        <f t="shared" si="15"/>
        <v>11469603.622957317</v>
      </c>
    </row>
    <row r="177" spans="2:7" x14ac:dyDescent="0.3">
      <c r="B177" s="14">
        <v>49857</v>
      </c>
      <c r="C177" s="15">
        <f t="shared" si="12"/>
        <v>11469603.622957317</v>
      </c>
      <c r="D177" s="15">
        <v>198872</v>
      </c>
      <c r="E177" s="15">
        <f t="shared" si="13"/>
        <v>126231.17705460366</v>
      </c>
      <c r="F177" s="15">
        <f t="shared" si="14"/>
        <v>72640.822945396343</v>
      </c>
      <c r="G177" s="15">
        <f t="shared" si="15"/>
        <v>11343372.445902713</v>
      </c>
    </row>
    <row r="178" spans="2:7" x14ac:dyDescent="0.3">
      <c r="B178" s="14">
        <v>49888</v>
      </c>
      <c r="C178" s="15">
        <f t="shared" si="12"/>
        <v>11343372.445902713</v>
      </c>
      <c r="D178" s="15">
        <v>198872</v>
      </c>
      <c r="E178" s="15">
        <f t="shared" si="13"/>
        <v>127030.64117594949</v>
      </c>
      <c r="F178" s="15">
        <f t="shared" si="14"/>
        <v>71841.358824050505</v>
      </c>
      <c r="G178" s="15">
        <f t="shared" si="15"/>
        <v>11216341.804726763</v>
      </c>
    </row>
    <row r="179" spans="2:7" x14ac:dyDescent="0.3">
      <c r="B179" s="14">
        <v>49919</v>
      </c>
      <c r="C179" s="15">
        <f t="shared" si="12"/>
        <v>11216341.804726763</v>
      </c>
      <c r="D179" s="15">
        <v>198872</v>
      </c>
      <c r="E179" s="15">
        <f t="shared" si="13"/>
        <v>127835.16857006383</v>
      </c>
      <c r="F179" s="15">
        <f t="shared" si="14"/>
        <v>71036.831429936166</v>
      </c>
      <c r="G179" s="15">
        <f t="shared" si="15"/>
        <v>11088506.636156699</v>
      </c>
    </row>
    <row r="180" spans="2:7" x14ac:dyDescent="0.3">
      <c r="B180" s="14">
        <v>49949</v>
      </c>
      <c r="C180" s="15">
        <f t="shared" si="12"/>
        <v>11088506.636156699</v>
      </c>
      <c r="D180" s="15">
        <v>198872</v>
      </c>
      <c r="E180" s="15">
        <f t="shared" si="13"/>
        <v>128644.79130434091</v>
      </c>
      <c r="F180" s="15">
        <f t="shared" si="14"/>
        <v>70227.208695659094</v>
      </c>
      <c r="G180" s="15">
        <f t="shared" si="15"/>
        <v>10959861.844852358</v>
      </c>
    </row>
    <row r="181" spans="2:7" x14ac:dyDescent="0.3">
      <c r="B181" s="14">
        <v>49980</v>
      </c>
      <c r="C181" s="15">
        <f t="shared" si="12"/>
        <v>10959861.844852358</v>
      </c>
      <c r="D181" s="15">
        <v>198872</v>
      </c>
      <c r="E181" s="15">
        <f t="shared" si="13"/>
        <v>129459.5416492684</v>
      </c>
      <c r="F181" s="15">
        <f t="shared" si="14"/>
        <v>69412.458350731598</v>
      </c>
      <c r="G181" s="15">
        <f t="shared" si="15"/>
        <v>10830402.303203089</v>
      </c>
    </row>
    <row r="182" spans="2:7" x14ac:dyDescent="0.3">
      <c r="B182" s="14">
        <v>50010</v>
      </c>
      <c r="C182" s="15">
        <f t="shared" si="12"/>
        <v>10830402.303203089</v>
      </c>
      <c r="D182" s="15">
        <v>198872</v>
      </c>
      <c r="E182" s="15">
        <f t="shared" si="13"/>
        <v>130279.45207971377</v>
      </c>
      <c r="F182" s="15">
        <f t="shared" si="14"/>
        <v>68592.547920286233</v>
      </c>
      <c r="G182" s="15">
        <f t="shared" si="15"/>
        <v>10700122.851123376</v>
      </c>
    </row>
    <row r="183" spans="2:7" x14ac:dyDescent="0.3">
      <c r="B183" s="14">
        <v>50041</v>
      </c>
      <c r="C183" s="15">
        <f t="shared" si="12"/>
        <v>10700122.851123376</v>
      </c>
      <c r="D183" s="15">
        <v>198872</v>
      </c>
      <c r="E183" s="15">
        <f t="shared" si="13"/>
        <v>131104.55527621863</v>
      </c>
      <c r="F183" s="15">
        <f t="shared" si="14"/>
        <v>67767.444723781373</v>
      </c>
      <c r="G183" s="15">
        <f t="shared" si="15"/>
        <v>10569018.295847157</v>
      </c>
    </row>
    <row r="184" spans="2:7" x14ac:dyDescent="0.3">
      <c r="B184" s="14">
        <v>50072</v>
      </c>
      <c r="C184" s="15">
        <f t="shared" si="12"/>
        <v>10569018.295847157</v>
      </c>
      <c r="D184" s="15">
        <v>198872</v>
      </c>
      <c r="E184" s="15">
        <f t="shared" si="13"/>
        <v>131934.88412630133</v>
      </c>
      <c r="F184" s="15">
        <f t="shared" si="14"/>
        <v>66937.115873698654</v>
      </c>
      <c r="G184" s="15">
        <f t="shared" si="15"/>
        <v>10437083.411720855</v>
      </c>
    </row>
    <row r="185" spans="2:7" x14ac:dyDescent="0.3">
      <c r="B185" s="14">
        <v>50100</v>
      </c>
      <c r="C185" s="15">
        <f t="shared" si="12"/>
        <v>10437083.411720855</v>
      </c>
      <c r="D185" s="15">
        <v>198872</v>
      </c>
      <c r="E185" s="15">
        <f t="shared" si="13"/>
        <v>132770.47172576794</v>
      </c>
      <c r="F185" s="15">
        <f t="shared" si="14"/>
        <v>66101.528274232071</v>
      </c>
      <c r="G185" s="15">
        <f t="shared" si="15"/>
        <v>10304312.939995088</v>
      </c>
    </row>
    <row r="186" spans="2:7" x14ac:dyDescent="0.3">
      <c r="B186" s="14">
        <v>50131</v>
      </c>
      <c r="C186" s="15">
        <f t="shared" si="12"/>
        <v>10304312.939995088</v>
      </c>
      <c r="D186" s="15">
        <v>198872</v>
      </c>
      <c r="E186" s="15">
        <f t="shared" si="13"/>
        <v>133611.35138003112</v>
      </c>
      <c r="F186" s="15">
        <f t="shared" si="14"/>
        <v>65260.648619968888</v>
      </c>
      <c r="G186" s="15">
        <f t="shared" si="15"/>
        <v>10170701.588615056</v>
      </c>
    </row>
    <row r="187" spans="2:7" x14ac:dyDescent="0.3">
      <c r="B187" s="14">
        <v>50161</v>
      </c>
      <c r="C187" s="15">
        <f t="shared" si="12"/>
        <v>10170701.588615056</v>
      </c>
      <c r="D187" s="15">
        <v>198872</v>
      </c>
      <c r="E187" s="15">
        <f t="shared" si="13"/>
        <v>134457.55660543797</v>
      </c>
      <c r="F187" s="15">
        <f t="shared" si="14"/>
        <v>64414.443394562019</v>
      </c>
      <c r="G187" s="15">
        <f t="shared" si="15"/>
        <v>10036244.032009618</v>
      </c>
    </row>
    <row r="188" spans="2:7" x14ac:dyDescent="0.3">
      <c r="B188" s="14">
        <v>50192</v>
      </c>
      <c r="C188" s="15">
        <f t="shared" si="12"/>
        <v>10036244.032009618</v>
      </c>
      <c r="D188" s="15">
        <v>198872</v>
      </c>
      <c r="E188" s="15">
        <f t="shared" si="13"/>
        <v>135309.12113060575</v>
      </c>
      <c r="F188" s="15">
        <f t="shared" si="14"/>
        <v>63562.878869394248</v>
      </c>
      <c r="G188" s="15">
        <f t="shared" si="15"/>
        <v>9900934.9108790122</v>
      </c>
    </row>
    <row r="189" spans="2:7" x14ac:dyDescent="0.3">
      <c r="B189" s="14">
        <v>50222</v>
      </c>
      <c r="C189" s="15">
        <f t="shared" si="12"/>
        <v>9900934.9108790122</v>
      </c>
      <c r="D189" s="15">
        <v>198872</v>
      </c>
      <c r="E189" s="15">
        <f t="shared" si="13"/>
        <v>136166.07889776627</v>
      </c>
      <c r="F189" s="15">
        <f t="shared" si="14"/>
        <v>62705.921102233733</v>
      </c>
      <c r="G189" s="15">
        <f t="shared" si="15"/>
        <v>9764768.8319812454</v>
      </c>
    </row>
    <row r="190" spans="2:7" x14ac:dyDescent="0.3">
      <c r="B190" s="14">
        <v>50253</v>
      </c>
      <c r="C190" s="15">
        <f t="shared" si="12"/>
        <v>9764768.8319812454</v>
      </c>
      <c r="D190" s="15">
        <v>198872</v>
      </c>
      <c r="E190" s="15">
        <f t="shared" si="13"/>
        <v>137028.4640641188</v>
      </c>
      <c r="F190" s="15">
        <f t="shared" si="14"/>
        <v>61843.535935881206</v>
      </c>
      <c r="G190" s="15">
        <f t="shared" si="15"/>
        <v>9627740.367917126</v>
      </c>
    </row>
    <row r="191" spans="2:7" x14ac:dyDescent="0.3">
      <c r="B191" s="14">
        <v>50284</v>
      </c>
      <c r="C191" s="15">
        <f t="shared" si="12"/>
        <v>9627740.367917126</v>
      </c>
      <c r="D191" s="15">
        <v>198872</v>
      </c>
      <c r="E191" s="15">
        <f t="shared" si="13"/>
        <v>137896.31100319154</v>
      </c>
      <c r="F191" s="15">
        <f t="shared" si="14"/>
        <v>60975.688996808465</v>
      </c>
      <c r="G191" s="15">
        <f t="shared" si="15"/>
        <v>9489844.0569139346</v>
      </c>
    </row>
    <row r="192" spans="2:7" x14ac:dyDescent="0.3">
      <c r="B192" s="14">
        <v>50314</v>
      </c>
      <c r="C192" s="15">
        <f t="shared" si="12"/>
        <v>9489844.0569139346</v>
      </c>
      <c r="D192" s="15">
        <v>198872</v>
      </c>
      <c r="E192" s="15">
        <f t="shared" si="13"/>
        <v>138769.65430621174</v>
      </c>
      <c r="F192" s="15">
        <f t="shared" si="14"/>
        <v>60102.345693788258</v>
      </c>
      <c r="G192" s="15">
        <f t="shared" si="15"/>
        <v>9351074.4026077222</v>
      </c>
    </row>
    <row r="193" spans="2:7" x14ac:dyDescent="0.3">
      <c r="B193" s="14">
        <v>50345</v>
      </c>
      <c r="C193" s="15">
        <f t="shared" si="12"/>
        <v>9351074.4026077222</v>
      </c>
      <c r="D193" s="15">
        <v>198872</v>
      </c>
      <c r="E193" s="15">
        <f t="shared" si="13"/>
        <v>139648.52878348442</v>
      </c>
      <c r="F193" s="15">
        <f t="shared" si="14"/>
        <v>59223.47121651558</v>
      </c>
      <c r="G193" s="15">
        <f t="shared" si="15"/>
        <v>9211425.8738242369</v>
      </c>
    </row>
    <row r="194" spans="2:7" x14ac:dyDescent="0.3">
      <c r="B194" s="14">
        <v>50375</v>
      </c>
      <c r="C194" s="15">
        <f t="shared" si="12"/>
        <v>9211425.8738242369</v>
      </c>
      <c r="D194" s="15">
        <v>198872</v>
      </c>
      <c r="E194" s="15">
        <f t="shared" si="13"/>
        <v>140532.96946577984</v>
      </c>
      <c r="F194" s="15">
        <f t="shared" si="14"/>
        <v>58339.030534220161</v>
      </c>
      <c r="G194" s="15">
        <f t="shared" si="15"/>
        <v>9070892.9043584578</v>
      </c>
    </row>
    <row r="195" spans="2:7" x14ac:dyDescent="0.3">
      <c r="B195" s="14">
        <v>50406</v>
      </c>
      <c r="C195" s="15">
        <f t="shared" si="12"/>
        <v>9070892.9043584578</v>
      </c>
      <c r="D195" s="15">
        <v>198872</v>
      </c>
      <c r="E195" s="15">
        <f t="shared" si="13"/>
        <v>141423.01160572979</v>
      </c>
      <c r="F195" s="15">
        <f t="shared" si="14"/>
        <v>57448.988394270222</v>
      </c>
      <c r="G195" s="15">
        <f t="shared" si="15"/>
        <v>8929469.8927527275</v>
      </c>
    </row>
    <row r="196" spans="2:7" x14ac:dyDescent="0.3">
      <c r="B196" s="14">
        <v>50437</v>
      </c>
      <c r="C196" s="15">
        <f t="shared" si="12"/>
        <v>8929469.8927527275</v>
      </c>
      <c r="D196" s="15">
        <v>198872</v>
      </c>
      <c r="E196" s="15">
        <f t="shared" si="13"/>
        <v>142318.69067923274</v>
      </c>
      <c r="F196" s="15">
        <f t="shared" si="14"/>
        <v>56553.309320767272</v>
      </c>
      <c r="G196" s="15">
        <f t="shared" si="15"/>
        <v>8787151.202073494</v>
      </c>
    </row>
    <row r="197" spans="2:7" x14ac:dyDescent="0.3">
      <c r="B197" s="14">
        <v>50465</v>
      </c>
      <c r="C197" s="15">
        <f t="shared" si="12"/>
        <v>8787151.202073494</v>
      </c>
      <c r="D197" s="15">
        <v>198872</v>
      </c>
      <c r="E197" s="15">
        <f t="shared" si="13"/>
        <v>143220.04238686786</v>
      </c>
      <c r="F197" s="15">
        <f t="shared" si="14"/>
        <v>55651.95761313213</v>
      </c>
      <c r="G197" s="15">
        <f t="shared" si="15"/>
        <v>8643931.1596866269</v>
      </c>
    </row>
    <row r="198" spans="2:7" x14ac:dyDescent="0.3">
      <c r="B198" s="14">
        <v>50496</v>
      </c>
      <c r="C198" s="15">
        <f t="shared" si="12"/>
        <v>8643931.1596866269</v>
      </c>
      <c r="D198" s="15">
        <v>198872</v>
      </c>
      <c r="E198" s="15">
        <f t="shared" si="13"/>
        <v>144127.10265531804</v>
      </c>
      <c r="F198" s="15">
        <f t="shared" si="14"/>
        <v>54744.897344681965</v>
      </c>
      <c r="G198" s="15">
        <f t="shared" si="15"/>
        <v>8499804.0570313092</v>
      </c>
    </row>
    <row r="199" spans="2:7" x14ac:dyDescent="0.3">
      <c r="B199" s="14">
        <v>50526</v>
      </c>
      <c r="C199" s="15">
        <f t="shared" si="12"/>
        <v>8499804.0570313092</v>
      </c>
      <c r="D199" s="15">
        <v>198872</v>
      </c>
      <c r="E199" s="15">
        <f t="shared" si="13"/>
        <v>145039.9076388017</v>
      </c>
      <c r="F199" s="15">
        <f t="shared" si="14"/>
        <v>53832.092361198294</v>
      </c>
      <c r="G199" s="15">
        <f t="shared" si="15"/>
        <v>8354764.149392508</v>
      </c>
    </row>
    <row r="200" spans="2:7" x14ac:dyDescent="0.3">
      <c r="B200" s="14">
        <v>50557</v>
      </c>
      <c r="C200" s="15">
        <f t="shared" si="12"/>
        <v>8354764.149392508</v>
      </c>
      <c r="D200" s="15">
        <v>198872</v>
      </c>
      <c r="E200" s="15">
        <f t="shared" si="13"/>
        <v>145958.49372051412</v>
      </c>
      <c r="F200" s="15">
        <f t="shared" si="14"/>
        <v>52913.506279485882</v>
      </c>
      <c r="G200" s="15">
        <f t="shared" si="15"/>
        <v>8208805.6556719942</v>
      </c>
    </row>
    <row r="201" spans="2:7" x14ac:dyDescent="0.3">
      <c r="B201" s="14">
        <v>50587</v>
      </c>
      <c r="C201" s="15">
        <f t="shared" si="12"/>
        <v>8208805.6556719942</v>
      </c>
      <c r="D201" s="15">
        <v>198872</v>
      </c>
      <c r="E201" s="15">
        <f t="shared" si="13"/>
        <v>146882.89751407737</v>
      </c>
      <c r="F201" s="15">
        <f t="shared" si="14"/>
        <v>51989.102485922624</v>
      </c>
      <c r="G201" s="15">
        <f t="shared" si="15"/>
        <v>8061922.7581579164</v>
      </c>
    </row>
    <row r="202" spans="2:7" x14ac:dyDescent="0.3">
      <c r="B202" s="14">
        <v>50618</v>
      </c>
      <c r="C202" s="15">
        <f t="shared" si="12"/>
        <v>8061922.7581579164</v>
      </c>
      <c r="D202" s="15">
        <v>198872</v>
      </c>
      <c r="E202" s="15">
        <f t="shared" si="13"/>
        <v>147813.15586499986</v>
      </c>
      <c r="F202" s="15">
        <f t="shared" si="14"/>
        <v>51058.844135000138</v>
      </c>
      <c r="G202" s="15">
        <f t="shared" si="15"/>
        <v>7914109.6022929167</v>
      </c>
    </row>
    <row r="203" spans="2:7" x14ac:dyDescent="0.3">
      <c r="B203" s="14">
        <v>50649</v>
      </c>
      <c r="C203" s="15">
        <f t="shared" ref="C203:C248" si="16">G202</f>
        <v>7914109.6022929167</v>
      </c>
      <c r="D203" s="15">
        <v>198872</v>
      </c>
      <c r="E203" s="15">
        <f t="shared" ref="E203:E247" si="17">D203-F203</f>
        <v>148749.30585214487</v>
      </c>
      <c r="F203" s="15">
        <f t="shared" ref="F203:F248" si="18">C203*7.6/100/12</f>
        <v>50122.694147855138</v>
      </c>
      <c r="G203" s="15">
        <f t="shared" ref="G203:G248" si="19">C203-E203</f>
        <v>7765360.2964407718</v>
      </c>
    </row>
    <row r="204" spans="2:7" x14ac:dyDescent="0.3">
      <c r="B204" s="14">
        <v>50679</v>
      </c>
      <c r="C204" s="15">
        <f t="shared" si="16"/>
        <v>7765360.2964407718</v>
      </c>
      <c r="D204" s="15">
        <v>198872</v>
      </c>
      <c r="E204" s="15">
        <f t="shared" si="17"/>
        <v>149691.38478920844</v>
      </c>
      <c r="F204" s="15">
        <f t="shared" si="18"/>
        <v>49180.615210791555</v>
      </c>
      <c r="G204" s="15">
        <f t="shared" si="19"/>
        <v>7615668.9116515629</v>
      </c>
    </row>
    <row r="205" spans="2:7" x14ac:dyDescent="0.3">
      <c r="B205" s="14">
        <v>50710</v>
      </c>
      <c r="C205" s="15">
        <f t="shared" si="16"/>
        <v>7615668.9116515629</v>
      </c>
      <c r="D205" s="15">
        <v>198872</v>
      </c>
      <c r="E205" s="15">
        <f t="shared" si="17"/>
        <v>150639.43022620678</v>
      </c>
      <c r="F205" s="15">
        <f t="shared" si="18"/>
        <v>48232.569773793228</v>
      </c>
      <c r="G205" s="15">
        <f t="shared" si="19"/>
        <v>7465029.4814253561</v>
      </c>
    </row>
    <row r="206" spans="2:7" x14ac:dyDescent="0.3">
      <c r="B206" s="14">
        <v>50740</v>
      </c>
      <c r="C206" s="15">
        <f t="shared" si="16"/>
        <v>7465029.4814253561</v>
      </c>
      <c r="D206" s="15">
        <v>198872</v>
      </c>
      <c r="E206" s="15">
        <f t="shared" si="17"/>
        <v>151593.47995097275</v>
      </c>
      <c r="F206" s="15">
        <f t="shared" si="18"/>
        <v>47278.520049027255</v>
      </c>
      <c r="G206" s="15">
        <f t="shared" si="19"/>
        <v>7313436.0014743833</v>
      </c>
    </row>
    <row r="207" spans="2:7" x14ac:dyDescent="0.3">
      <c r="B207" s="14">
        <v>50771</v>
      </c>
      <c r="C207" s="15">
        <f t="shared" si="16"/>
        <v>7313436.0014743833</v>
      </c>
      <c r="D207" s="15">
        <v>198872</v>
      </c>
      <c r="E207" s="15">
        <f t="shared" si="17"/>
        <v>152553.57199066225</v>
      </c>
      <c r="F207" s="15">
        <f t="shared" si="18"/>
        <v>46318.428009337753</v>
      </c>
      <c r="G207" s="15">
        <f t="shared" si="19"/>
        <v>7160882.429483721</v>
      </c>
    </row>
    <row r="208" spans="2:7" x14ac:dyDescent="0.3">
      <c r="B208" s="14">
        <v>50802</v>
      </c>
      <c r="C208" s="15">
        <f t="shared" si="16"/>
        <v>7160882.429483721</v>
      </c>
      <c r="D208" s="15">
        <v>198872</v>
      </c>
      <c r="E208" s="15">
        <f t="shared" si="17"/>
        <v>153519.74461326978</v>
      </c>
      <c r="F208" s="15">
        <f t="shared" si="18"/>
        <v>45352.255386730227</v>
      </c>
      <c r="G208" s="15">
        <f t="shared" si="19"/>
        <v>7007362.6848704517</v>
      </c>
    </row>
    <row r="209" spans="2:7" x14ac:dyDescent="0.3">
      <c r="B209" s="14">
        <v>50830</v>
      </c>
      <c r="C209" s="15">
        <f t="shared" si="16"/>
        <v>7007362.6848704517</v>
      </c>
      <c r="D209" s="15">
        <v>198872</v>
      </c>
      <c r="E209" s="15">
        <f t="shared" si="17"/>
        <v>154492.03632915381</v>
      </c>
      <c r="F209" s="15">
        <f t="shared" si="18"/>
        <v>44379.963670846191</v>
      </c>
      <c r="G209" s="15">
        <f t="shared" si="19"/>
        <v>6852870.6485412978</v>
      </c>
    </row>
    <row r="210" spans="2:7" x14ac:dyDescent="0.3">
      <c r="B210" s="14">
        <v>50861</v>
      </c>
      <c r="C210" s="15">
        <f t="shared" si="16"/>
        <v>6852870.6485412978</v>
      </c>
      <c r="D210" s="15">
        <v>198872</v>
      </c>
      <c r="E210" s="15">
        <f t="shared" si="17"/>
        <v>155470.48589257177</v>
      </c>
      <c r="F210" s="15">
        <f t="shared" si="18"/>
        <v>43401.514107428222</v>
      </c>
      <c r="G210" s="15">
        <f t="shared" si="19"/>
        <v>6697400.1626487263</v>
      </c>
    </row>
    <row r="211" spans="2:7" x14ac:dyDescent="0.3">
      <c r="B211" s="14">
        <v>50891</v>
      </c>
      <c r="C211" s="15">
        <f t="shared" si="16"/>
        <v>6697400.1626487263</v>
      </c>
      <c r="D211" s="15">
        <v>198872</v>
      </c>
      <c r="E211" s="15">
        <f t="shared" si="17"/>
        <v>156455.13230322473</v>
      </c>
      <c r="F211" s="15">
        <f t="shared" si="18"/>
        <v>42416.867696775262</v>
      </c>
      <c r="G211" s="15">
        <f t="shared" si="19"/>
        <v>6540945.0303455014</v>
      </c>
    </row>
    <row r="212" spans="2:7" x14ac:dyDescent="0.3">
      <c r="B212" s="14">
        <v>50922</v>
      </c>
      <c r="C212" s="15">
        <f t="shared" si="16"/>
        <v>6540945.0303455014</v>
      </c>
      <c r="D212" s="15">
        <v>198872</v>
      </c>
      <c r="E212" s="15">
        <f t="shared" si="17"/>
        <v>157446.01480781182</v>
      </c>
      <c r="F212" s="15">
        <f t="shared" si="18"/>
        <v>41425.985192188171</v>
      </c>
      <c r="G212" s="15">
        <f t="shared" si="19"/>
        <v>6383499.0155376894</v>
      </c>
    </row>
    <row r="213" spans="2:7" x14ac:dyDescent="0.3">
      <c r="B213" s="14">
        <v>50952</v>
      </c>
      <c r="C213" s="15">
        <f t="shared" si="16"/>
        <v>6383499.0155376894</v>
      </c>
      <c r="D213" s="15">
        <v>198872</v>
      </c>
      <c r="E213" s="15">
        <f t="shared" si="17"/>
        <v>158443.17290159463</v>
      </c>
      <c r="F213" s="15">
        <f t="shared" si="18"/>
        <v>40428.827098405367</v>
      </c>
      <c r="G213" s="15">
        <f t="shared" si="19"/>
        <v>6225055.8426360944</v>
      </c>
    </row>
    <row r="214" spans="2:7" x14ac:dyDescent="0.3">
      <c r="B214" s="14">
        <v>50983</v>
      </c>
      <c r="C214" s="15">
        <f t="shared" si="16"/>
        <v>6225055.8426360944</v>
      </c>
      <c r="D214" s="15">
        <v>198872</v>
      </c>
      <c r="E214" s="15">
        <f t="shared" si="17"/>
        <v>159446.64632997141</v>
      </c>
      <c r="F214" s="15">
        <f t="shared" si="18"/>
        <v>39425.353670028599</v>
      </c>
      <c r="G214" s="15">
        <f t="shared" si="19"/>
        <v>6065609.1963061234</v>
      </c>
    </row>
    <row r="215" spans="2:7" x14ac:dyDescent="0.3">
      <c r="B215" s="14">
        <v>51014</v>
      </c>
      <c r="C215" s="15">
        <f t="shared" si="16"/>
        <v>6065609.1963061234</v>
      </c>
      <c r="D215" s="15">
        <v>198872</v>
      </c>
      <c r="E215" s="15">
        <f t="shared" si="17"/>
        <v>160456.47509006123</v>
      </c>
      <c r="F215" s="15">
        <f t="shared" si="18"/>
        <v>38415.52490993878</v>
      </c>
      <c r="G215" s="15">
        <f t="shared" si="19"/>
        <v>5905152.7212160621</v>
      </c>
    </row>
    <row r="216" spans="2:7" x14ac:dyDescent="0.3">
      <c r="B216" s="14">
        <v>51044</v>
      </c>
      <c r="C216" s="15">
        <f t="shared" si="16"/>
        <v>5905152.7212160621</v>
      </c>
      <c r="D216" s="15">
        <v>198872</v>
      </c>
      <c r="E216" s="15">
        <f t="shared" si="17"/>
        <v>161472.69943229828</v>
      </c>
      <c r="F216" s="15">
        <f t="shared" si="18"/>
        <v>37399.300567701728</v>
      </c>
      <c r="G216" s="15">
        <f t="shared" si="19"/>
        <v>5743680.0217837635</v>
      </c>
    </row>
    <row r="217" spans="2:7" x14ac:dyDescent="0.3">
      <c r="B217" s="14">
        <v>51075</v>
      </c>
      <c r="C217" s="15">
        <f t="shared" si="16"/>
        <v>5743680.0217837635</v>
      </c>
      <c r="D217" s="15">
        <v>198872</v>
      </c>
      <c r="E217" s="15">
        <f t="shared" si="17"/>
        <v>162495.35986203616</v>
      </c>
      <c r="F217" s="15">
        <f t="shared" si="18"/>
        <v>36376.640137963834</v>
      </c>
      <c r="G217" s="15">
        <f t="shared" si="19"/>
        <v>5581184.6619217275</v>
      </c>
    </row>
    <row r="218" spans="2:7" x14ac:dyDescent="0.3">
      <c r="B218" s="14">
        <v>51105</v>
      </c>
      <c r="C218" s="15">
        <f t="shared" si="16"/>
        <v>5581184.6619217275</v>
      </c>
      <c r="D218" s="15">
        <v>198872</v>
      </c>
      <c r="E218" s="15">
        <f t="shared" si="17"/>
        <v>163524.4971411624</v>
      </c>
      <c r="F218" s="15">
        <f t="shared" si="18"/>
        <v>35347.502858837608</v>
      </c>
      <c r="G218" s="15">
        <f t="shared" si="19"/>
        <v>5417660.1647805646</v>
      </c>
    </row>
    <row r="219" spans="2:7" x14ac:dyDescent="0.3">
      <c r="B219" s="14">
        <v>51136</v>
      </c>
      <c r="C219" s="15">
        <f t="shared" si="16"/>
        <v>5417660.1647805646</v>
      </c>
      <c r="D219" s="15">
        <v>198872</v>
      </c>
      <c r="E219" s="15">
        <f t="shared" si="17"/>
        <v>164560.1522897231</v>
      </c>
      <c r="F219" s="15">
        <f t="shared" si="18"/>
        <v>34311.84771027691</v>
      </c>
      <c r="G219" s="15">
        <f t="shared" si="19"/>
        <v>5253100.0124908416</v>
      </c>
    </row>
    <row r="220" spans="2:7" x14ac:dyDescent="0.3">
      <c r="B220" s="14">
        <v>51167</v>
      </c>
      <c r="C220" s="15">
        <f t="shared" si="16"/>
        <v>5253100.0124908416</v>
      </c>
      <c r="D220" s="15">
        <v>198872</v>
      </c>
      <c r="E220" s="15">
        <f t="shared" si="17"/>
        <v>165602.366587558</v>
      </c>
      <c r="F220" s="15">
        <f t="shared" si="18"/>
        <v>33269.633412441995</v>
      </c>
      <c r="G220" s="15">
        <f t="shared" si="19"/>
        <v>5087497.6459032837</v>
      </c>
    </row>
    <row r="221" spans="2:7" x14ac:dyDescent="0.3">
      <c r="B221" s="14">
        <v>51196</v>
      </c>
      <c r="C221" s="15">
        <f t="shared" si="16"/>
        <v>5087497.6459032837</v>
      </c>
      <c r="D221" s="15">
        <v>198872</v>
      </c>
      <c r="E221" s="15">
        <f t="shared" si="17"/>
        <v>166651.18157594587</v>
      </c>
      <c r="F221" s="15">
        <f t="shared" si="18"/>
        <v>32220.81842405413</v>
      </c>
      <c r="G221" s="15">
        <f t="shared" si="19"/>
        <v>4920846.4643273382</v>
      </c>
    </row>
    <row r="222" spans="2:7" x14ac:dyDescent="0.3">
      <c r="B222" s="14">
        <v>51227</v>
      </c>
      <c r="C222" s="15">
        <f t="shared" si="16"/>
        <v>4920846.4643273382</v>
      </c>
      <c r="D222" s="15">
        <v>198872</v>
      </c>
      <c r="E222" s="15">
        <f t="shared" si="17"/>
        <v>167706.6390592602</v>
      </c>
      <c r="F222" s="15">
        <f t="shared" si="18"/>
        <v>31165.360940739803</v>
      </c>
      <c r="G222" s="15">
        <f t="shared" si="19"/>
        <v>4753139.8252680777</v>
      </c>
    </row>
    <row r="223" spans="2:7" x14ac:dyDescent="0.3">
      <c r="B223" s="14">
        <v>51257</v>
      </c>
      <c r="C223" s="15">
        <f t="shared" si="16"/>
        <v>4753139.8252680777</v>
      </c>
      <c r="D223" s="15">
        <v>198872</v>
      </c>
      <c r="E223" s="15">
        <f t="shared" si="17"/>
        <v>168768.78110663552</v>
      </c>
      <c r="F223" s="15">
        <f t="shared" si="18"/>
        <v>30103.21889336449</v>
      </c>
      <c r="G223" s="15">
        <f t="shared" si="19"/>
        <v>4584371.0441614417</v>
      </c>
    </row>
    <row r="224" spans="2:7" x14ac:dyDescent="0.3">
      <c r="B224" s="14">
        <v>51288</v>
      </c>
      <c r="C224" s="15">
        <f t="shared" si="16"/>
        <v>4584371.0441614417</v>
      </c>
      <c r="D224" s="15">
        <v>198872</v>
      </c>
      <c r="E224" s="15">
        <f t="shared" si="17"/>
        <v>169837.6500536442</v>
      </c>
      <c r="F224" s="15">
        <f t="shared" si="18"/>
        <v>29034.349946355796</v>
      </c>
      <c r="G224" s="15">
        <f t="shared" si="19"/>
        <v>4414533.3941077972</v>
      </c>
    </row>
    <row r="225" spans="2:7" x14ac:dyDescent="0.3">
      <c r="B225" s="14">
        <v>51318</v>
      </c>
      <c r="C225" s="15">
        <f t="shared" si="16"/>
        <v>4414533.3941077972</v>
      </c>
      <c r="D225" s="15">
        <v>198872</v>
      </c>
      <c r="E225" s="15">
        <f t="shared" si="17"/>
        <v>170913.28850398396</v>
      </c>
      <c r="F225" s="15">
        <f t="shared" si="18"/>
        <v>27958.711496016051</v>
      </c>
      <c r="G225" s="15">
        <f t="shared" si="19"/>
        <v>4243620.1056038132</v>
      </c>
    </row>
    <row r="226" spans="2:7" x14ac:dyDescent="0.3">
      <c r="B226" s="14">
        <v>51349</v>
      </c>
      <c r="C226" s="15">
        <f t="shared" si="16"/>
        <v>4243620.1056038132</v>
      </c>
      <c r="D226" s="15">
        <v>198872</v>
      </c>
      <c r="E226" s="15">
        <f t="shared" si="17"/>
        <v>171995.73933117586</v>
      </c>
      <c r="F226" s="15">
        <f t="shared" si="18"/>
        <v>26876.260668824147</v>
      </c>
      <c r="G226" s="15">
        <f t="shared" si="19"/>
        <v>4071624.3662726372</v>
      </c>
    </row>
    <row r="227" spans="2:7" x14ac:dyDescent="0.3">
      <c r="B227" s="14">
        <v>51380</v>
      </c>
      <c r="C227" s="15">
        <f t="shared" si="16"/>
        <v>4071624.3662726372</v>
      </c>
      <c r="D227" s="15">
        <v>198872</v>
      </c>
      <c r="E227" s="15">
        <f t="shared" si="17"/>
        <v>173085.0456802733</v>
      </c>
      <c r="F227" s="15">
        <f t="shared" si="18"/>
        <v>25786.954319726701</v>
      </c>
      <c r="G227" s="15">
        <f t="shared" si="19"/>
        <v>3898539.3205923638</v>
      </c>
    </row>
    <row r="228" spans="2:7" x14ac:dyDescent="0.3">
      <c r="B228" s="14">
        <v>51410</v>
      </c>
      <c r="C228" s="15">
        <f t="shared" si="16"/>
        <v>3898539.3205923638</v>
      </c>
      <c r="D228" s="15">
        <v>198872</v>
      </c>
      <c r="E228" s="15">
        <f t="shared" si="17"/>
        <v>174181.25096958171</v>
      </c>
      <c r="F228" s="15">
        <f t="shared" si="18"/>
        <v>24690.749030418301</v>
      </c>
      <c r="G228" s="15">
        <f t="shared" si="19"/>
        <v>3724358.0696227821</v>
      </c>
    </row>
    <row r="229" spans="2:7" x14ac:dyDescent="0.3">
      <c r="B229" s="14">
        <v>51441</v>
      </c>
      <c r="C229" s="15">
        <f t="shared" si="16"/>
        <v>3724358.0696227821</v>
      </c>
      <c r="D229" s="15">
        <v>198872</v>
      </c>
      <c r="E229" s="15">
        <f t="shared" si="17"/>
        <v>175284.39889238906</v>
      </c>
      <c r="F229" s="15">
        <f t="shared" si="18"/>
        <v>23587.601107610953</v>
      </c>
      <c r="G229" s="15">
        <f t="shared" si="19"/>
        <v>3549073.6707303929</v>
      </c>
    </row>
    <row r="230" spans="2:7" x14ac:dyDescent="0.3">
      <c r="B230" s="14">
        <v>51471</v>
      </c>
      <c r="C230" s="15">
        <f t="shared" si="16"/>
        <v>3549073.6707303929</v>
      </c>
      <c r="D230" s="15">
        <v>198872</v>
      </c>
      <c r="E230" s="15">
        <f t="shared" si="17"/>
        <v>176394.53341870752</v>
      </c>
      <c r="F230" s="15">
        <f t="shared" si="18"/>
        <v>22477.46658129249</v>
      </c>
      <c r="G230" s="15">
        <f t="shared" si="19"/>
        <v>3372679.1373116854</v>
      </c>
    </row>
    <row r="231" spans="2:7" x14ac:dyDescent="0.3">
      <c r="B231" s="14">
        <v>51502</v>
      </c>
      <c r="C231" s="15">
        <f t="shared" si="16"/>
        <v>3372679.1373116854</v>
      </c>
      <c r="D231" s="15">
        <v>198872</v>
      </c>
      <c r="E231" s="15">
        <f t="shared" si="17"/>
        <v>177511.69879702601</v>
      </c>
      <c r="F231" s="15">
        <f t="shared" si="18"/>
        <v>21360.301202974006</v>
      </c>
      <c r="G231" s="15">
        <f t="shared" si="19"/>
        <v>3195167.4385146592</v>
      </c>
    </row>
    <row r="232" spans="2:7" x14ac:dyDescent="0.3">
      <c r="B232" s="14">
        <v>51533</v>
      </c>
      <c r="C232" s="15">
        <f t="shared" si="16"/>
        <v>3195167.4385146592</v>
      </c>
      <c r="D232" s="15">
        <v>198872</v>
      </c>
      <c r="E232" s="15">
        <f t="shared" si="17"/>
        <v>178635.93955607383</v>
      </c>
      <c r="F232" s="15">
        <f t="shared" si="18"/>
        <v>20236.060443926173</v>
      </c>
      <c r="G232" s="15">
        <f t="shared" si="19"/>
        <v>3016531.4989585853</v>
      </c>
    </row>
    <row r="233" spans="2:7" x14ac:dyDescent="0.3">
      <c r="B233" s="14">
        <v>51561</v>
      </c>
      <c r="C233" s="15">
        <f t="shared" si="16"/>
        <v>3016531.4989585853</v>
      </c>
      <c r="D233" s="15">
        <v>198872</v>
      </c>
      <c r="E233" s="15">
        <f t="shared" si="17"/>
        <v>179767.30050659564</v>
      </c>
      <c r="F233" s="15">
        <f t="shared" si="18"/>
        <v>19104.699493404372</v>
      </c>
      <c r="G233" s="15">
        <f t="shared" si="19"/>
        <v>2836764.1984519898</v>
      </c>
    </row>
    <row r="234" spans="2:7" x14ac:dyDescent="0.3">
      <c r="B234" s="14">
        <v>51592</v>
      </c>
      <c r="C234" s="15">
        <f t="shared" si="16"/>
        <v>2836764.1984519898</v>
      </c>
      <c r="D234" s="15">
        <v>198872</v>
      </c>
      <c r="E234" s="15">
        <f t="shared" si="17"/>
        <v>180905.82674313741</v>
      </c>
      <c r="F234" s="15">
        <f t="shared" si="18"/>
        <v>17966.173256862599</v>
      </c>
      <c r="G234" s="15">
        <f t="shared" si="19"/>
        <v>2655858.3717088522</v>
      </c>
    </row>
    <row r="235" spans="2:7" x14ac:dyDescent="0.3">
      <c r="B235" s="14">
        <v>51622</v>
      </c>
      <c r="C235" s="15">
        <f t="shared" si="16"/>
        <v>2655858.3717088522</v>
      </c>
      <c r="D235" s="15">
        <v>198872</v>
      </c>
      <c r="E235" s="15">
        <f t="shared" si="17"/>
        <v>182051.56364584394</v>
      </c>
      <c r="F235" s="15">
        <f t="shared" si="18"/>
        <v>16820.436354156063</v>
      </c>
      <c r="G235" s="15">
        <f t="shared" si="19"/>
        <v>2473806.8080630084</v>
      </c>
    </row>
    <row r="236" spans="2:7" x14ac:dyDescent="0.3">
      <c r="B236" s="14">
        <v>51653</v>
      </c>
      <c r="C236" s="15">
        <f t="shared" si="16"/>
        <v>2473806.8080630084</v>
      </c>
      <c r="D236" s="15">
        <v>198872</v>
      </c>
      <c r="E236" s="15">
        <f t="shared" si="17"/>
        <v>183204.55688226761</v>
      </c>
      <c r="F236" s="15">
        <f t="shared" si="18"/>
        <v>15667.443117732386</v>
      </c>
      <c r="G236" s="15">
        <f t="shared" si="19"/>
        <v>2290602.2511807405</v>
      </c>
    </row>
    <row r="237" spans="2:7" x14ac:dyDescent="0.3">
      <c r="B237" s="14">
        <v>51683</v>
      </c>
      <c r="C237" s="15">
        <f t="shared" si="16"/>
        <v>2290602.2511807405</v>
      </c>
      <c r="D237" s="15">
        <v>198872</v>
      </c>
      <c r="E237" s="15">
        <f t="shared" si="17"/>
        <v>184364.85240918864</v>
      </c>
      <c r="F237" s="15">
        <f t="shared" si="18"/>
        <v>14507.147590811355</v>
      </c>
      <c r="G237" s="15">
        <f t="shared" si="19"/>
        <v>2106237.3987715519</v>
      </c>
    </row>
    <row r="238" spans="2:7" x14ac:dyDescent="0.3">
      <c r="B238" s="14">
        <v>51714</v>
      </c>
      <c r="C238" s="15">
        <f t="shared" si="16"/>
        <v>2106237.3987715519</v>
      </c>
      <c r="D238" s="15">
        <v>198872</v>
      </c>
      <c r="E238" s="15">
        <f t="shared" si="17"/>
        <v>185532.49647444685</v>
      </c>
      <c r="F238" s="15">
        <f t="shared" si="18"/>
        <v>13339.503525553162</v>
      </c>
      <c r="G238" s="15">
        <f t="shared" si="19"/>
        <v>1920704.9022971052</v>
      </c>
    </row>
    <row r="239" spans="2:7" x14ac:dyDescent="0.3">
      <c r="B239" s="14">
        <v>51745</v>
      </c>
      <c r="C239" s="15">
        <f t="shared" si="16"/>
        <v>1920704.9022971052</v>
      </c>
      <c r="D239" s="15">
        <v>198872</v>
      </c>
      <c r="E239" s="15">
        <f t="shared" si="17"/>
        <v>186707.53561878501</v>
      </c>
      <c r="F239" s="15">
        <f t="shared" si="18"/>
        <v>12164.464381215001</v>
      </c>
      <c r="G239" s="15">
        <f t="shared" si="19"/>
        <v>1733997.3666783201</v>
      </c>
    </row>
    <row r="240" spans="2:7" x14ac:dyDescent="0.3">
      <c r="B240" s="14">
        <v>51775</v>
      </c>
      <c r="C240" s="15">
        <f t="shared" si="16"/>
        <v>1733997.3666783201</v>
      </c>
      <c r="D240" s="15">
        <v>198872</v>
      </c>
      <c r="E240" s="15">
        <f t="shared" si="17"/>
        <v>187890.01667770397</v>
      </c>
      <c r="F240" s="15">
        <f t="shared" si="18"/>
        <v>10981.983322296028</v>
      </c>
      <c r="G240" s="15">
        <f t="shared" si="19"/>
        <v>1546107.3500006162</v>
      </c>
    </row>
    <row r="241" spans="2:7" x14ac:dyDescent="0.3">
      <c r="B241" s="14">
        <v>51806</v>
      </c>
      <c r="C241" s="15">
        <f t="shared" si="16"/>
        <v>1546107.3500006162</v>
      </c>
      <c r="D241" s="15">
        <v>198872</v>
      </c>
      <c r="E241" s="15">
        <f t="shared" si="17"/>
        <v>189079.98678332943</v>
      </c>
      <c r="F241" s="15">
        <f t="shared" si="18"/>
        <v>9792.013216670568</v>
      </c>
      <c r="G241" s="15">
        <f t="shared" si="19"/>
        <v>1357027.3632172868</v>
      </c>
    </row>
    <row r="242" spans="2:7" x14ac:dyDescent="0.3">
      <c r="B242" s="14">
        <v>51836</v>
      </c>
      <c r="C242" s="15">
        <f t="shared" si="16"/>
        <v>1357027.3632172868</v>
      </c>
      <c r="D242" s="15">
        <v>198872</v>
      </c>
      <c r="E242" s="15">
        <f t="shared" si="17"/>
        <v>190277.49336629052</v>
      </c>
      <c r="F242" s="15">
        <f t="shared" si="18"/>
        <v>8594.5066337094831</v>
      </c>
      <c r="G242" s="15">
        <f t="shared" si="19"/>
        <v>1166749.8698509962</v>
      </c>
    </row>
    <row r="243" spans="2:7" x14ac:dyDescent="0.3">
      <c r="B243" s="14">
        <v>51867</v>
      </c>
      <c r="C243" s="15">
        <f t="shared" si="16"/>
        <v>1166749.8698509962</v>
      </c>
      <c r="D243" s="15">
        <v>198872</v>
      </c>
      <c r="E243" s="15">
        <f t="shared" si="17"/>
        <v>191482.58415761037</v>
      </c>
      <c r="F243" s="15">
        <f t="shared" si="18"/>
        <v>7389.4158423896433</v>
      </c>
      <c r="G243" s="15">
        <f t="shared" si="19"/>
        <v>975267.28569338587</v>
      </c>
    </row>
    <row r="244" spans="2:7" x14ac:dyDescent="0.3">
      <c r="B244" s="14">
        <v>51898</v>
      </c>
      <c r="C244" s="15">
        <f t="shared" si="16"/>
        <v>975267.28569338587</v>
      </c>
      <c r="D244" s="15">
        <v>198872</v>
      </c>
      <c r="E244" s="15">
        <f t="shared" si="17"/>
        <v>192695.30719060855</v>
      </c>
      <c r="F244" s="15">
        <f t="shared" si="18"/>
        <v>6176.6928093914439</v>
      </c>
      <c r="G244" s="15">
        <f t="shared" si="19"/>
        <v>782571.97850277729</v>
      </c>
    </row>
    <row r="245" spans="2:7" x14ac:dyDescent="0.3">
      <c r="B245" s="14">
        <v>51926</v>
      </c>
      <c r="C245" s="15">
        <f t="shared" si="16"/>
        <v>782571.97850277729</v>
      </c>
      <c r="D245" s="15">
        <v>198872</v>
      </c>
      <c r="E245" s="15">
        <f t="shared" si="17"/>
        <v>193915.71080281574</v>
      </c>
      <c r="F245" s="15">
        <f t="shared" si="18"/>
        <v>4956.2891971842555</v>
      </c>
      <c r="G245" s="15">
        <f t="shared" si="19"/>
        <v>588656.26769996155</v>
      </c>
    </row>
    <row r="246" spans="2:7" x14ac:dyDescent="0.3">
      <c r="B246" s="14">
        <v>51957</v>
      </c>
      <c r="C246" s="15">
        <f t="shared" si="16"/>
        <v>588656.26769996155</v>
      </c>
      <c r="D246" s="15">
        <v>198872</v>
      </c>
      <c r="E246" s="15">
        <f t="shared" si="17"/>
        <v>195143.84363790025</v>
      </c>
      <c r="F246" s="15">
        <f t="shared" si="18"/>
        <v>3728.1563620997563</v>
      </c>
      <c r="G246" s="15">
        <f t="shared" si="19"/>
        <v>393512.4240620613</v>
      </c>
    </row>
    <row r="247" spans="2:7" x14ac:dyDescent="0.3">
      <c r="B247" s="14">
        <v>51987</v>
      </c>
      <c r="C247" s="15">
        <f t="shared" si="16"/>
        <v>393512.4240620613</v>
      </c>
      <c r="D247" s="15">
        <v>198872</v>
      </c>
      <c r="E247" s="15">
        <f t="shared" si="17"/>
        <v>196379.75464760695</v>
      </c>
      <c r="F247" s="15">
        <f t="shared" si="18"/>
        <v>2492.2453523930549</v>
      </c>
      <c r="G247" s="15">
        <f t="shared" si="19"/>
        <v>197132.66941445434</v>
      </c>
    </row>
    <row r="248" spans="2:7" x14ac:dyDescent="0.3">
      <c r="B248" s="14">
        <v>52018</v>
      </c>
      <c r="C248" s="15">
        <f t="shared" si="16"/>
        <v>197132.66941445434</v>
      </c>
      <c r="D248" s="15">
        <v>198872</v>
      </c>
      <c r="E248" s="15">
        <f>C248</f>
        <v>197132.66941445434</v>
      </c>
      <c r="F248" s="15">
        <f t="shared" si="18"/>
        <v>1248.5069062915441</v>
      </c>
      <c r="G248" s="15">
        <f t="shared" si="19"/>
        <v>0</v>
      </c>
    </row>
  </sheetData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Balance Sheet</vt:lpstr>
      <vt:lpstr>Operating Statement</vt:lpstr>
      <vt:lpstr>Calculation of Depreciation</vt:lpstr>
      <vt:lpstr>Term Loan Summary CMA</vt:lpstr>
      <vt:lpstr>DEBT SERVICE COVERAGE RATIO</vt:lpstr>
      <vt:lpstr>Summary</vt:lpstr>
      <vt:lpstr>New Term Loan</vt:lpstr>
      <vt:lpstr>5. HDFC Car BMW</vt:lpstr>
      <vt:lpstr>HDFC ATS-6040</vt:lpstr>
      <vt:lpstr>7. ICICI Property-8764</vt:lpstr>
      <vt:lpstr>SBI Halol-3679</vt:lpstr>
      <vt:lpstr>3. SBI-5610</vt:lpstr>
      <vt:lpstr>2. SBI Project-9157</vt:lpstr>
      <vt:lpstr>4. SBI Project-1736</vt:lpstr>
      <vt:lpstr>SBI COVID II-1820</vt:lpstr>
      <vt:lpstr>Sheet1</vt:lpstr>
      <vt:lpstr>SBI COVID-6343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2023-02-22T08:58:24Z</dcterms:modified>
</cp:coreProperties>
</file>