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gineer9\Desktop\"/>
    </mc:Choice>
  </mc:AlternateContent>
  <bookViews>
    <workbookView xWindow="0" yWindow="0" windowWidth="17970" windowHeight="6120" tabRatio="800" activeTab="5"/>
  </bookViews>
  <sheets>
    <sheet name="Sheet1" sheetId="1" r:id="rId1"/>
    <sheet name="Inventory-Detailed" sheetId="3" r:id="rId2"/>
    <sheet name="Sanctioned Plan" sheetId="7" r:id="rId3"/>
    <sheet name="Inventory-Detailed (2)" sheetId="5" r:id="rId4"/>
    <sheet name="rough" sheetId="8" r:id="rId5"/>
    <sheet name="COC Breakup (3)" sheetId="11" r:id="rId6"/>
    <sheet name="Valuation" sheetId="10" r:id="rId7"/>
    <sheet name="Valuation (all commercial)" sheetId="12" r:id="rId8"/>
  </sheets>
  <externalReferences>
    <externalReference r:id="rId9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4" i="12" l="1"/>
  <c r="M64" i="12"/>
  <c r="L64" i="12"/>
  <c r="K64" i="12"/>
  <c r="J64" i="12"/>
  <c r="I64" i="12"/>
  <c r="H64" i="12"/>
  <c r="Q24" i="12" l="1"/>
  <c r="O24" i="12"/>
  <c r="D17" i="12"/>
  <c r="D18" i="12"/>
  <c r="G14" i="12"/>
  <c r="P81" i="12"/>
  <c r="S80" i="12"/>
  <c r="S79" i="12"/>
  <c r="F78" i="12"/>
  <c r="G78" i="12" s="1"/>
  <c r="H78" i="12" s="1"/>
  <c r="I78" i="12" s="1"/>
  <c r="J78" i="12" s="1"/>
  <c r="K78" i="12" s="1"/>
  <c r="E78" i="12"/>
  <c r="N71" i="12"/>
  <c r="O70" i="12"/>
  <c r="O69" i="12"/>
  <c r="D65" i="12"/>
  <c r="E65" i="12" s="1"/>
  <c r="O62" i="12"/>
  <c r="O61" i="12"/>
  <c r="E58" i="12"/>
  <c r="E59" i="12" s="1"/>
  <c r="D58" i="12"/>
  <c r="G56" i="12"/>
  <c r="E56" i="12"/>
  <c r="D56" i="12"/>
  <c r="D59" i="12" s="1"/>
  <c r="C46" i="12"/>
  <c r="O41" i="12"/>
  <c r="O40" i="12"/>
  <c r="C39" i="12"/>
  <c r="T32" i="12"/>
  <c r="T35" i="12" s="1"/>
  <c r="D32" i="12"/>
  <c r="E79" i="12" s="1"/>
  <c r="T31" i="12"/>
  <c r="F27" i="12"/>
  <c r="I25" i="12"/>
  <c r="J25" i="12" s="1"/>
  <c r="H25" i="12"/>
  <c r="D24" i="12"/>
  <c r="D25" i="12" s="1"/>
  <c r="D51" i="12" s="1"/>
  <c r="L21" i="12"/>
  <c r="D15" i="12"/>
  <c r="I56" i="12" s="1"/>
  <c r="D14" i="12"/>
  <c r="F14" i="12" s="1"/>
  <c r="D12" i="12"/>
  <c r="I49" i="12" s="1"/>
  <c r="D11" i="12"/>
  <c r="G9" i="12"/>
  <c r="D9" i="12"/>
  <c r="H42" i="12" s="1"/>
  <c r="D8" i="12"/>
  <c r="K6" i="12"/>
  <c r="F10" i="11"/>
  <c r="D10" i="11"/>
  <c r="E10" i="11" s="1"/>
  <c r="G10" i="11"/>
  <c r="H25" i="10"/>
  <c r="I25" i="10" s="1"/>
  <c r="F45" i="11"/>
  <c r="G45" i="11" s="1"/>
  <c r="E45" i="11"/>
  <c r="H45" i="11" s="1"/>
  <c r="D45" i="11"/>
  <c r="F44" i="11"/>
  <c r="G44" i="11" s="1"/>
  <c r="D44" i="11"/>
  <c r="E44" i="11" s="1"/>
  <c r="H44" i="11" s="1"/>
  <c r="G43" i="11"/>
  <c r="F43" i="11"/>
  <c r="F46" i="11" s="1"/>
  <c r="G46" i="11" s="1"/>
  <c r="D43" i="11"/>
  <c r="E43" i="11" s="1"/>
  <c r="H43" i="11" s="1"/>
  <c r="G42" i="11"/>
  <c r="E42" i="11"/>
  <c r="H42" i="11" s="1"/>
  <c r="G41" i="11"/>
  <c r="H41" i="11" s="1"/>
  <c r="E41" i="11"/>
  <c r="L40" i="11"/>
  <c r="K40" i="11"/>
  <c r="G40" i="11"/>
  <c r="E40" i="11"/>
  <c r="H40" i="11" s="1"/>
  <c r="G39" i="11"/>
  <c r="H39" i="11" s="1"/>
  <c r="E39" i="11"/>
  <c r="G38" i="11"/>
  <c r="E38" i="11"/>
  <c r="H38" i="11" s="1"/>
  <c r="H47" i="11" s="1"/>
  <c r="F8" i="11"/>
  <c r="D8" i="11"/>
  <c r="E8" i="11" s="1"/>
  <c r="G7" i="11"/>
  <c r="E7" i="11"/>
  <c r="N6" i="11"/>
  <c r="G6" i="11"/>
  <c r="E6" i="11"/>
  <c r="N5" i="11"/>
  <c r="G5" i="11"/>
  <c r="E5" i="11"/>
  <c r="G4" i="11"/>
  <c r="E4" i="11"/>
  <c r="G3" i="11"/>
  <c r="E3" i="11"/>
  <c r="L21" i="10"/>
  <c r="K6" i="10"/>
  <c r="S80" i="10"/>
  <c r="S79" i="10"/>
  <c r="P81" i="10"/>
  <c r="E78" i="10"/>
  <c r="F78" i="10" s="1"/>
  <c r="G78" i="10" s="1"/>
  <c r="H78" i="10" s="1"/>
  <c r="I78" i="10" s="1"/>
  <c r="J78" i="10" s="1"/>
  <c r="K78" i="10" s="1"/>
  <c r="D65" i="10"/>
  <c r="O62" i="10"/>
  <c r="O61" i="10"/>
  <c r="E58" i="10"/>
  <c r="D58" i="10"/>
  <c r="C46" i="10"/>
  <c r="O41" i="10"/>
  <c r="O40" i="10"/>
  <c r="C39" i="10"/>
  <c r="N71" i="10"/>
  <c r="O70" i="10"/>
  <c r="O69" i="10"/>
  <c r="T32" i="10"/>
  <c r="T35" i="10" s="1"/>
  <c r="D32" i="10"/>
  <c r="T31" i="10"/>
  <c r="F27" i="10"/>
  <c r="D17" i="10"/>
  <c r="D18" i="10" s="1"/>
  <c r="D15" i="10"/>
  <c r="I56" i="10" s="1"/>
  <c r="D14" i="10"/>
  <c r="D16" i="10" s="1"/>
  <c r="D12" i="10"/>
  <c r="E49" i="10" s="1"/>
  <c r="D11" i="10"/>
  <c r="D13" i="10" s="1"/>
  <c r="D9" i="10"/>
  <c r="D42" i="10" s="1"/>
  <c r="D8" i="10"/>
  <c r="G9" i="10" s="1"/>
  <c r="K79" i="12" l="1"/>
  <c r="L78" i="12"/>
  <c r="M78" i="12" s="1"/>
  <c r="F65" i="12"/>
  <c r="L79" i="12"/>
  <c r="E51" i="12"/>
  <c r="F79" i="12"/>
  <c r="G10" i="12"/>
  <c r="I42" i="12"/>
  <c r="F56" i="12"/>
  <c r="G79" i="12"/>
  <c r="D16" i="12"/>
  <c r="D44" i="12"/>
  <c r="D49" i="12"/>
  <c r="D52" i="12" s="1"/>
  <c r="H56" i="12"/>
  <c r="I79" i="12"/>
  <c r="D10" i="12"/>
  <c r="H79" i="12"/>
  <c r="D42" i="12"/>
  <c r="E49" i="12"/>
  <c r="J79" i="12"/>
  <c r="F49" i="12"/>
  <c r="E42" i="12"/>
  <c r="D13" i="12"/>
  <c r="F42" i="12"/>
  <c r="G49" i="12"/>
  <c r="F58" i="12"/>
  <c r="D79" i="12"/>
  <c r="G42" i="12"/>
  <c r="H49" i="12"/>
  <c r="H10" i="11"/>
  <c r="F15" i="10"/>
  <c r="J79" i="10"/>
  <c r="D24" i="10"/>
  <c r="J25" i="10"/>
  <c r="H7" i="11"/>
  <c r="H6" i="11"/>
  <c r="H5" i="11"/>
  <c r="H4" i="11"/>
  <c r="D9" i="11"/>
  <c r="E9" i="11" s="1"/>
  <c r="G8" i="11"/>
  <c r="H8" i="11" s="1"/>
  <c r="H3" i="11"/>
  <c r="F9" i="11"/>
  <c r="G9" i="11" s="1"/>
  <c r="D46" i="11"/>
  <c r="F47" i="11"/>
  <c r="G11" i="10"/>
  <c r="H9" i="10" s="1"/>
  <c r="L78" i="10"/>
  <c r="M78" i="10" s="1"/>
  <c r="N78" i="10" s="1"/>
  <c r="N79" i="10" s="1"/>
  <c r="K79" i="10"/>
  <c r="K50" i="10"/>
  <c r="J50" i="10"/>
  <c r="I50" i="10"/>
  <c r="H50" i="10"/>
  <c r="N50" i="10"/>
  <c r="M50" i="10"/>
  <c r="L50" i="10"/>
  <c r="N57" i="10"/>
  <c r="M57" i="10"/>
  <c r="L57" i="10"/>
  <c r="K57" i="10"/>
  <c r="J57" i="10"/>
  <c r="I57" i="10"/>
  <c r="H57" i="10"/>
  <c r="E59" i="10"/>
  <c r="K63" i="10"/>
  <c r="J63" i="10"/>
  <c r="I63" i="10"/>
  <c r="H63" i="10"/>
  <c r="G63" i="10"/>
  <c r="F63" i="10"/>
  <c r="E63" i="10"/>
  <c r="D21" i="10"/>
  <c r="E42" i="10"/>
  <c r="F49" i="10"/>
  <c r="D10" i="10"/>
  <c r="F14" i="10"/>
  <c r="F16" i="10" s="1"/>
  <c r="F42" i="10"/>
  <c r="G49" i="10"/>
  <c r="F58" i="10"/>
  <c r="E65" i="10"/>
  <c r="D79" i="10"/>
  <c r="G10" i="10"/>
  <c r="G42" i="10"/>
  <c r="H49" i="10"/>
  <c r="D56" i="10"/>
  <c r="D59" i="10" s="1"/>
  <c r="E79" i="10"/>
  <c r="M79" i="10"/>
  <c r="H42" i="10"/>
  <c r="I49" i="10"/>
  <c r="E56" i="10"/>
  <c r="F79" i="10"/>
  <c r="I42" i="10"/>
  <c r="F56" i="10"/>
  <c r="G79" i="10"/>
  <c r="G56" i="10"/>
  <c r="H79" i="10"/>
  <c r="D49" i="10"/>
  <c r="H56" i="10"/>
  <c r="I79" i="10"/>
  <c r="H23" i="7"/>
  <c r="H22" i="7"/>
  <c r="C18" i="7"/>
  <c r="E23" i="7"/>
  <c r="E22" i="7"/>
  <c r="D23" i="7"/>
  <c r="D22" i="7"/>
  <c r="F17" i="7"/>
  <c r="P81" i="8"/>
  <c r="D19" i="7"/>
  <c r="D18" i="7"/>
  <c r="C17" i="7"/>
  <c r="E17" i="7"/>
  <c r="H10" i="8"/>
  <c r="H9" i="8"/>
  <c r="G11" i="8"/>
  <c r="G10" i="8"/>
  <c r="G9" i="8"/>
  <c r="F70" i="8"/>
  <c r="G70" i="8"/>
  <c r="H70" i="8"/>
  <c r="I70" i="8"/>
  <c r="J70" i="8"/>
  <c r="K70" i="8"/>
  <c r="E70" i="8"/>
  <c r="F72" i="8"/>
  <c r="G72" i="8" s="1"/>
  <c r="H72" i="8" s="1"/>
  <c r="I72" i="8" s="1"/>
  <c r="J72" i="8" s="1"/>
  <c r="K72" i="8" s="1"/>
  <c r="L72" i="8" s="1"/>
  <c r="M72" i="8" s="1"/>
  <c r="N72" i="8" s="1"/>
  <c r="E72" i="8"/>
  <c r="E65" i="8"/>
  <c r="F65" i="8" s="1"/>
  <c r="G65" i="8" s="1"/>
  <c r="H65" i="8" s="1"/>
  <c r="I65" i="8" s="1"/>
  <c r="J65" i="8" s="1"/>
  <c r="K65" i="8" s="1"/>
  <c r="L65" i="8" s="1"/>
  <c r="M65" i="8" s="1"/>
  <c r="N65" i="8" s="1"/>
  <c r="E58" i="8"/>
  <c r="F58" i="8" s="1"/>
  <c r="G58" i="8" s="1"/>
  <c r="H58" i="8" s="1"/>
  <c r="I58" i="8" s="1"/>
  <c r="J58" i="8" s="1"/>
  <c r="K58" i="8" s="1"/>
  <c r="L58" i="8" s="1"/>
  <c r="M58" i="8" s="1"/>
  <c r="N58" i="8" s="1"/>
  <c r="F51" i="8"/>
  <c r="G51" i="8" s="1"/>
  <c r="H51" i="8" s="1"/>
  <c r="I51" i="8" s="1"/>
  <c r="J51" i="8" s="1"/>
  <c r="K51" i="8" s="1"/>
  <c r="L51" i="8" s="1"/>
  <c r="M51" i="8" s="1"/>
  <c r="N51" i="8" s="1"/>
  <c r="E51" i="8"/>
  <c r="N43" i="8"/>
  <c r="C15" i="7"/>
  <c r="D17" i="8"/>
  <c r="F15" i="8" s="1"/>
  <c r="O42" i="8"/>
  <c r="E78" i="8"/>
  <c r="F78" i="8" s="1"/>
  <c r="G78" i="8" s="1"/>
  <c r="D72" i="8"/>
  <c r="O69" i="8"/>
  <c r="O68" i="8"/>
  <c r="D65" i="8"/>
  <c r="D58" i="8"/>
  <c r="C53" i="8"/>
  <c r="D51" i="8"/>
  <c r="O48" i="8"/>
  <c r="O47" i="8"/>
  <c r="C46" i="8"/>
  <c r="O41" i="8"/>
  <c r="T32" i="8"/>
  <c r="T35" i="8" s="1"/>
  <c r="D32" i="8"/>
  <c r="E79" i="8" s="1"/>
  <c r="T31" i="8"/>
  <c r="F27" i="8"/>
  <c r="D15" i="8"/>
  <c r="I63" i="8" s="1"/>
  <c r="D14" i="8"/>
  <c r="D12" i="8"/>
  <c r="G56" i="8" s="1"/>
  <c r="D11" i="8"/>
  <c r="D9" i="8"/>
  <c r="F49" i="8" s="1"/>
  <c r="D8" i="8"/>
  <c r="E6" i="7"/>
  <c r="Y103" i="3"/>
  <c r="Y102" i="3"/>
  <c r="Y101" i="3"/>
  <c r="Y100" i="3"/>
  <c r="K43" i="12" l="1"/>
  <c r="J43" i="12"/>
  <c r="I43" i="12"/>
  <c r="H43" i="12"/>
  <c r="L43" i="12"/>
  <c r="N43" i="12"/>
  <c r="M43" i="12"/>
  <c r="E52" i="12"/>
  <c r="F51" i="12"/>
  <c r="M50" i="12"/>
  <c r="L50" i="12"/>
  <c r="K50" i="12"/>
  <c r="I50" i="12"/>
  <c r="N50" i="12"/>
  <c r="J50" i="12"/>
  <c r="H50" i="12"/>
  <c r="D45" i="12"/>
  <c r="E44" i="12"/>
  <c r="G65" i="12"/>
  <c r="I57" i="12"/>
  <c r="H57" i="12"/>
  <c r="M57" i="12"/>
  <c r="J57" i="12"/>
  <c r="N57" i="12"/>
  <c r="L57" i="12"/>
  <c r="K57" i="12"/>
  <c r="N78" i="12"/>
  <c r="N79" i="12" s="1"/>
  <c r="M79" i="12"/>
  <c r="G58" i="12"/>
  <c r="F59" i="12"/>
  <c r="O42" i="12"/>
  <c r="G11" i="12"/>
  <c r="H9" i="12" s="1"/>
  <c r="L79" i="10"/>
  <c r="O42" i="10"/>
  <c r="D25" i="10"/>
  <c r="D51" i="10" s="1"/>
  <c r="E51" i="10" s="1"/>
  <c r="E52" i="10" s="1"/>
  <c r="D44" i="10"/>
  <c r="F11" i="11"/>
  <c r="G11" i="11" s="1"/>
  <c r="D11" i="11"/>
  <c r="D12" i="11" s="1"/>
  <c r="M4" i="11" s="1"/>
  <c r="H9" i="11"/>
  <c r="D47" i="11"/>
  <c r="E46" i="11"/>
  <c r="H46" i="11" s="1"/>
  <c r="N63" i="10"/>
  <c r="M63" i="10"/>
  <c r="L63" i="10"/>
  <c r="D63" i="10"/>
  <c r="O63" i="10" s="1"/>
  <c r="F59" i="10"/>
  <c r="G58" i="10"/>
  <c r="F65" i="10"/>
  <c r="H10" i="10"/>
  <c r="I43" i="10"/>
  <c r="H43" i="10"/>
  <c r="D22" i="10"/>
  <c r="F21" i="10" s="1"/>
  <c r="N43" i="10"/>
  <c r="M43" i="10"/>
  <c r="L43" i="10"/>
  <c r="K43" i="10"/>
  <c r="J43" i="10"/>
  <c r="D10" i="8"/>
  <c r="L50" i="8" s="1"/>
  <c r="D56" i="8"/>
  <c r="D59" i="8" s="1"/>
  <c r="H56" i="8"/>
  <c r="D18" i="8"/>
  <c r="D21" i="8" s="1"/>
  <c r="M70" i="8" s="1"/>
  <c r="D13" i="8"/>
  <c r="K57" i="8" s="1"/>
  <c r="D63" i="8"/>
  <c r="D66" i="8" s="1"/>
  <c r="D16" i="8"/>
  <c r="J64" i="8" s="1"/>
  <c r="G49" i="8"/>
  <c r="F63" i="8"/>
  <c r="F66" i="8" s="1"/>
  <c r="F14" i="8"/>
  <c r="H63" i="8"/>
  <c r="N50" i="8"/>
  <c r="N64" i="8"/>
  <c r="G79" i="8"/>
  <c r="H78" i="8"/>
  <c r="I78" i="8" s="1"/>
  <c r="H49" i="8"/>
  <c r="I56" i="8"/>
  <c r="E63" i="8"/>
  <c r="E66" i="8" s="1"/>
  <c r="F79" i="8"/>
  <c r="I49" i="8"/>
  <c r="G63" i="8"/>
  <c r="D49" i="8"/>
  <c r="D52" i="8" s="1"/>
  <c r="E56" i="8"/>
  <c r="E59" i="8" s="1"/>
  <c r="E49" i="8"/>
  <c r="F56" i="8"/>
  <c r="D79" i="8"/>
  <c r="D10" i="7"/>
  <c r="I5" i="7"/>
  <c r="C8" i="7"/>
  <c r="D5" i="7"/>
  <c r="D6" i="7"/>
  <c r="D3" i="7"/>
  <c r="D4" i="7"/>
  <c r="D7" i="7"/>
  <c r="H65" i="12" l="1"/>
  <c r="F44" i="12"/>
  <c r="E45" i="12"/>
  <c r="G59" i="12"/>
  <c r="H58" i="12"/>
  <c r="F52" i="12"/>
  <c r="G51" i="12"/>
  <c r="O43" i="12"/>
  <c r="H10" i="12"/>
  <c r="F51" i="10"/>
  <c r="E44" i="10"/>
  <c r="D45" i="10"/>
  <c r="D52" i="10"/>
  <c r="F12" i="11"/>
  <c r="E11" i="11"/>
  <c r="H11" i="11" s="1"/>
  <c r="H12" i="11" s="1"/>
  <c r="N4" i="11" s="1"/>
  <c r="N7" i="11" s="1"/>
  <c r="N8" i="11" s="1"/>
  <c r="F22" i="10"/>
  <c r="G65" i="10"/>
  <c r="O43" i="10"/>
  <c r="G51" i="10"/>
  <c r="F52" i="10"/>
  <c r="G64" i="10"/>
  <c r="N64" i="10"/>
  <c r="F64" i="10"/>
  <c r="F66" i="10" s="1"/>
  <c r="M64" i="10"/>
  <c r="E64" i="10"/>
  <c r="E66" i="10" s="1"/>
  <c r="L64" i="10"/>
  <c r="D64" i="10"/>
  <c r="K64" i="10"/>
  <c r="J64" i="10"/>
  <c r="I64" i="10"/>
  <c r="H64" i="10"/>
  <c r="H22" i="10"/>
  <c r="G59" i="10"/>
  <c r="H58" i="10"/>
  <c r="H64" i="8"/>
  <c r="K50" i="8"/>
  <c r="M50" i="8"/>
  <c r="H50" i="8"/>
  <c r="I64" i="8"/>
  <c r="J50" i="8"/>
  <c r="K64" i="8"/>
  <c r="I50" i="8"/>
  <c r="L64" i="8"/>
  <c r="L57" i="8"/>
  <c r="M64" i="8"/>
  <c r="L70" i="8"/>
  <c r="M57" i="8"/>
  <c r="F16" i="8"/>
  <c r="I57" i="8"/>
  <c r="H57" i="8"/>
  <c r="D22" i="8"/>
  <c r="H22" i="8" s="1"/>
  <c r="J57" i="8"/>
  <c r="N57" i="8"/>
  <c r="D70" i="8"/>
  <c r="N70" i="8"/>
  <c r="H79" i="8"/>
  <c r="G66" i="8"/>
  <c r="I79" i="8"/>
  <c r="J78" i="8"/>
  <c r="E52" i="8"/>
  <c r="F59" i="8"/>
  <c r="O49" i="8"/>
  <c r="H7" i="7"/>
  <c r="Y95" i="3"/>
  <c r="T52" i="3"/>
  <c r="J86" i="3"/>
  <c r="T56" i="3"/>
  <c r="S52" i="3"/>
  <c r="S56" i="3"/>
  <c r="R56" i="3"/>
  <c r="D2" i="7"/>
  <c r="I2" i="7" s="1"/>
  <c r="I6" i="7" s="1"/>
  <c r="R41" i="5"/>
  <c r="F125" i="5"/>
  <c r="F123" i="5"/>
  <c r="H122" i="5"/>
  <c r="H121" i="5"/>
  <c r="V118" i="5"/>
  <c r="U117" i="5"/>
  <c r="R117" i="5"/>
  <c r="W112" i="5"/>
  <c r="U110" i="5"/>
  <c r="R110" i="5"/>
  <c r="W102" i="5"/>
  <c r="U100" i="5"/>
  <c r="F6" i="7" s="1"/>
  <c r="R100" i="5"/>
  <c r="W95" i="5"/>
  <c r="U93" i="5"/>
  <c r="E5" i="7" s="1"/>
  <c r="R93" i="5"/>
  <c r="W87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R42" i="5"/>
  <c r="T43" i="5"/>
  <c r="T45" i="5" s="1"/>
  <c r="S43" i="5"/>
  <c r="S45" i="5" s="1"/>
  <c r="H41" i="5"/>
  <c r="G41" i="5"/>
  <c r="AC42" i="5"/>
  <c r="AB42" i="5"/>
  <c r="AA42" i="5"/>
  <c r="Z42" i="5"/>
  <c r="X42" i="5"/>
  <c r="W42" i="5"/>
  <c r="U42" i="5"/>
  <c r="R40" i="5"/>
  <c r="V42" i="5" s="1"/>
  <c r="AC41" i="5"/>
  <c r="AB41" i="5"/>
  <c r="AA41" i="5"/>
  <c r="Z41" i="5"/>
  <c r="X41" i="5"/>
  <c r="W41" i="5"/>
  <c r="U41" i="5"/>
  <c r="R39" i="5"/>
  <c r="V41" i="5" s="1"/>
  <c r="AC40" i="5"/>
  <c r="AB40" i="5"/>
  <c r="AA40" i="5"/>
  <c r="Z40" i="5"/>
  <c r="X40" i="5"/>
  <c r="W40" i="5"/>
  <c r="U40" i="5"/>
  <c r="R38" i="5"/>
  <c r="V40" i="5" s="1"/>
  <c r="AC39" i="5"/>
  <c r="AB39" i="5"/>
  <c r="AA39" i="5"/>
  <c r="Z39" i="5"/>
  <c r="X39" i="5"/>
  <c r="W39" i="5"/>
  <c r="U39" i="5"/>
  <c r="R37" i="5"/>
  <c r="V39" i="5" s="1"/>
  <c r="AC38" i="5"/>
  <c r="AB38" i="5"/>
  <c r="AA38" i="5"/>
  <c r="Z38" i="5"/>
  <c r="W38" i="5"/>
  <c r="V38" i="5"/>
  <c r="U38" i="5"/>
  <c r="R36" i="5"/>
  <c r="X38" i="5" s="1"/>
  <c r="AC37" i="5"/>
  <c r="AB37" i="5"/>
  <c r="AA37" i="5"/>
  <c r="Z37" i="5"/>
  <c r="W37" i="5"/>
  <c r="V37" i="5"/>
  <c r="U37" i="5"/>
  <c r="R35" i="5"/>
  <c r="AC36" i="5"/>
  <c r="AB36" i="5"/>
  <c r="AA36" i="5"/>
  <c r="Z36" i="5"/>
  <c r="W36" i="5"/>
  <c r="V36" i="5"/>
  <c r="U36" i="5"/>
  <c r="R34" i="5"/>
  <c r="X36" i="5" s="1"/>
  <c r="AC35" i="5"/>
  <c r="AB35" i="5"/>
  <c r="AA35" i="5"/>
  <c r="Z35" i="5"/>
  <c r="W35" i="5"/>
  <c r="V35" i="5"/>
  <c r="U35" i="5"/>
  <c r="R33" i="5"/>
  <c r="X35" i="5" s="1"/>
  <c r="AC33" i="5"/>
  <c r="AB33" i="5"/>
  <c r="AA33" i="5"/>
  <c r="Z33" i="5"/>
  <c r="W33" i="5"/>
  <c r="V33" i="5"/>
  <c r="U33" i="5"/>
  <c r="R32" i="5"/>
  <c r="X33" i="5" s="1"/>
  <c r="AC32" i="5"/>
  <c r="AB32" i="5"/>
  <c r="AA32" i="5"/>
  <c r="Z32" i="5"/>
  <c r="X32" i="5"/>
  <c r="W32" i="5"/>
  <c r="U32" i="5"/>
  <c r="R31" i="5"/>
  <c r="V32" i="5" s="1"/>
  <c r="AC31" i="5"/>
  <c r="AB31" i="5"/>
  <c r="AA31" i="5"/>
  <c r="Z31" i="5"/>
  <c r="X31" i="5"/>
  <c r="W31" i="5"/>
  <c r="U31" i="5"/>
  <c r="R30" i="5"/>
  <c r="V31" i="5" s="1"/>
  <c r="AC30" i="5"/>
  <c r="AB30" i="5"/>
  <c r="AA30" i="5"/>
  <c r="Z30" i="5"/>
  <c r="W30" i="5"/>
  <c r="V30" i="5"/>
  <c r="U30" i="5"/>
  <c r="R29" i="5"/>
  <c r="X30" i="5" s="1"/>
  <c r="AC29" i="5"/>
  <c r="AB29" i="5"/>
  <c r="AA29" i="5"/>
  <c r="Z29" i="5"/>
  <c r="X29" i="5"/>
  <c r="W29" i="5"/>
  <c r="V29" i="5"/>
  <c r="U29" i="5"/>
  <c r="R28" i="5"/>
  <c r="AC28" i="5"/>
  <c r="AB28" i="5"/>
  <c r="AA28" i="5"/>
  <c r="Z28" i="5"/>
  <c r="X28" i="5"/>
  <c r="W28" i="5"/>
  <c r="V28" i="5"/>
  <c r="R27" i="5"/>
  <c r="U28" i="5" s="1"/>
  <c r="AC27" i="5"/>
  <c r="AB27" i="5"/>
  <c r="AA27" i="5"/>
  <c r="Z27" i="5"/>
  <c r="X27" i="5"/>
  <c r="W27" i="5"/>
  <c r="V27" i="5"/>
  <c r="R26" i="5"/>
  <c r="U27" i="5" s="1"/>
  <c r="AC26" i="5"/>
  <c r="AB26" i="5"/>
  <c r="AA26" i="5"/>
  <c r="Z26" i="5"/>
  <c r="X26" i="5"/>
  <c r="W26" i="5"/>
  <c r="V26" i="5"/>
  <c r="R25" i="5"/>
  <c r="U26" i="5" s="1"/>
  <c r="AC25" i="5"/>
  <c r="AB25" i="5"/>
  <c r="AA25" i="5"/>
  <c r="Z25" i="5"/>
  <c r="X25" i="5"/>
  <c r="W25" i="5"/>
  <c r="V25" i="5"/>
  <c r="R24" i="5"/>
  <c r="U25" i="5" s="1"/>
  <c r="AC24" i="5"/>
  <c r="AB24" i="5"/>
  <c r="AA24" i="5"/>
  <c r="Z24" i="5"/>
  <c r="X24" i="5"/>
  <c r="W24" i="5"/>
  <c r="U24" i="5"/>
  <c r="R23" i="5"/>
  <c r="V24" i="5" s="1"/>
  <c r="AC23" i="5"/>
  <c r="AB23" i="5"/>
  <c r="AA23" i="5"/>
  <c r="Z23" i="5"/>
  <c r="X23" i="5"/>
  <c r="W23" i="5"/>
  <c r="U23" i="5"/>
  <c r="R22" i="5"/>
  <c r="V23" i="5" s="1"/>
  <c r="AC22" i="5"/>
  <c r="AB22" i="5"/>
  <c r="AA22" i="5"/>
  <c r="Z22" i="5"/>
  <c r="W22" i="5"/>
  <c r="V22" i="5"/>
  <c r="U22" i="5"/>
  <c r="R21" i="5"/>
  <c r="X22" i="5" s="1"/>
  <c r="AC21" i="5"/>
  <c r="AB21" i="5"/>
  <c r="AA21" i="5"/>
  <c r="Z21" i="5"/>
  <c r="X21" i="5"/>
  <c r="V21" i="5"/>
  <c r="U21" i="5"/>
  <c r="R20" i="5"/>
  <c r="W21" i="5" s="1"/>
  <c r="AC20" i="5"/>
  <c r="AB20" i="5"/>
  <c r="AA20" i="5"/>
  <c r="Z20" i="5"/>
  <c r="X20" i="5"/>
  <c r="V20" i="5"/>
  <c r="U20" i="5"/>
  <c r="R19" i="5"/>
  <c r="W20" i="5" s="1"/>
  <c r="AC19" i="5"/>
  <c r="AB19" i="5"/>
  <c r="AA19" i="5"/>
  <c r="Z19" i="5"/>
  <c r="X19" i="5"/>
  <c r="V19" i="5"/>
  <c r="U19" i="5"/>
  <c r="R18" i="5"/>
  <c r="W19" i="5" s="1"/>
  <c r="AC18" i="5"/>
  <c r="AB18" i="5"/>
  <c r="AA18" i="5"/>
  <c r="Z18" i="5"/>
  <c r="X18" i="5"/>
  <c r="V18" i="5"/>
  <c r="U18" i="5"/>
  <c r="R17" i="5"/>
  <c r="W18" i="5" s="1"/>
  <c r="AC17" i="5"/>
  <c r="AB17" i="5"/>
  <c r="AA17" i="5"/>
  <c r="Z17" i="5"/>
  <c r="X17" i="5"/>
  <c r="W17" i="5"/>
  <c r="V17" i="5"/>
  <c r="R16" i="5"/>
  <c r="U17" i="5" s="1"/>
  <c r="AC16" i="5"/>
  <c r="AB16" i="5"/>
  <c r="AA16" i="5"/>
  <c r="Z16" i="5"/>
  <c r="X16" i="5"/>
  <c r="W16" i="5"/>
  <c r="V16" i="5"/>
  <c r="R15" i="5"/>
  <c r="U16" i="5" s="1"/>
  <c r="AC15" i="5"/>
  <c r="AB15" i="5"/>
  <c r="AA15" i="5"/>
  <c r="Z15" i="5"/>
  <c r="X15" i="5"/>
  <c r="W15" i="5"/>
  <c r="V15" i="5"/>
  <c r="R14" i="5"/>
  <c r="U15" i="5" s="1"/>
  <c r="AC14" i="5"/>
  <c r="AB14" i="5"/>
  <c r="AA14" i="5"/>
  <c r="Z14" i="5"/>
  <c r="X14" i="5"/>
  <c r="W14" i="5"/>
  <c r="V14" i="5"/>
  <c r="R13" i="5"/>
  <c r="U14" i="5" s="1"/>
  <c r="AC13" i="5"/>
  <c r="AB13" i="5"/>
  <c r="AA13" i="5"/>
  <c r="Z13" i="5"/>
  <c r="X13" i="5"/>
  <c r="V13" i="5"/>
  <c r="U13" i="5"/>
  <c r="R12" i="5"/>
  <c r="W13" i="5" s="1"/>
  <c r="AC12" i="5"/>
  <c r="AB12" i="5"/>
  <c r="AA12" i="5"/>
  <c r="Z12" i="5"/>
  <c r="X12" i="5"/>
  <c r="V12" i="5"/>
  <c r="U12" i="5"/>
  <c r="R11" i="5"/>
  <c r="W12" i="5" s="1"/>
  <c r="AC11" i="5"/>
  <c r="AB11" i="5"/>
  <c r="AA11" i="5"/>
  <c r="Z11" i="5"/>
  <c r="X11" i="5"/>
  <c r="V11" i="5"/>
  <c r="U11" i="5"/>
  <c r="R10" i="5"/>
  <c r="W11" i="5" s="1"/>
  <c r="AC10" i="5"/>
  <c r="AB10" i="5"/>
  <c r="AA10" i="5"/>
  <c r="Z10" i="5"/>
  <c r="X10" i="5"/>
  <c r="V10" i="5"/>
  <c r="U10" i="5"/>
  <c r="R9" i="5"/>
  <c r="W10" i="5" s="1"/>
  <c r="AC9" i="5"/>
  <c r="AB9" i="5"/>
  <c r="AA9" i="5"/>
  <c r="Z9" i="5"/>
  <c r="X9" i="5"/>
  <c r="V9" i="5"/>
  <c r="U9" i="5"/>
  <c r="R8" i="5"/>
  <c r="W9" i="5" s="1"/>
  <c r="AC8" i="5"/>
  <c r="AB8" i="5"/>
  <c r="AA8" i="5"/>
  <c r="Z8" i="5"/>
  <c r="X8" i="5"/>
  <c r="W8" i="5"/>
  <c r="V8" i="5"/>
  <c r="R7" i="5"/>
  <c r="U8" i="5" s="1"/>
  <c r="AC7" i="5"/>
  <c r="AB7" i="5"/>
  <c r="AA7" i="5"/>
  <c r="Z7" i="5"/>
  <c r="X7" i="5"/>
  <c r="V7" i="5"/>
  <c r="U7" i="5"/>
  <c r="R6" i="5"/>
  <c r="W7" i="5" s="1"/>
  <c r="AC6" i="5"/>
  <c r="AB6" i="5"/>
  <c r="AA6" i="5"/>
  <c r="Z6" i="5"/>
  <c r="X6" i="5"/>
  <c r="V6" i="5"/>
  <c r="U6" i="5"/>
  <c r="R5" i="5"/>
  <c r="W6" i="5" s="1"/>
  <c r="AC5" i="5"/>
  <c r="AB5" i="5"/>
  <c r="AA5" i="5"/>
  <c r="Z5" i="5"/>
  <c r="X5" i="5"/>
  <c r="W5" i="5"/>
  <c r="V5" i="5"/>
  <c r="R4" i="5"/>
  <c r="U5" i="5" s="1"/>
  <c r="AC4" i="5"/>
  <c r="AB4" i="5"/>
  <c r="AA4" i="5"/>
  <c r="Z4" i="5"/>
  <c r="X4" i="5"/>
  <c r="W4" i="5"/>
  <c r="V4" i="5"/>
  <c r="R3" i="5"/>
  <c r="U4" i="5" s="1"/>
  <c r="D5" i="10" l="1"/>
  <c r="G21" i="10" s="1"/>
  <c r="D35" i="10" s="1"/>
  <c r="E71" i="10" s="1"/>
  <c r="D5" i="12"/>
  <c r="I65" i="12"/>
  <c r="G44" i="12"/>
  <c r="F45" i="12"/>
  <c r="H59" i="12"/>
  <c r="I58" i="12"/>
  <c r="G52" i="12"/>
  <c r="H51" i="12"/>
  <c r="F44" i="10"/>
  <c r="E45" i="10"/>
  <c r="E75" i="10" s="1"/>
  <c r="G66" i="10"/>
  <c r="H65" i="10"/>
  <c r="H59" i="10"/>
  <c r="I58" i="10"/>
  <c r="O64" i="10"/>
  <c r="D66" i="10"/>
  <c r="H51" i="10"/>
  <c r="G52" i="10"/>
  <c r="O50" i="8"/>
  <c r="J71" i="8"/>
  <c r="D5" i="8"/>
  <c r="O70" i="8"/>
  <c r="H71" i="8"/>
  <c r="D71" i="8"/>
  <c r="D73" i="8" s="1"/>
  <c r="I71" i="8"/>
  <c r="K71" i="8"/>
  <c r="L71" i="8"/>
  <c r="E71" i="8"/>
  <c r="E73" i="8" s="1"/>
  <c r="E75" i="8" s="1"/>
  <c r="F21" i="8"/>
  <c r="F22" i="8" s="1"/>
  <c r="M71" i="8"/>
  <c r="N71" i="8"/>
  <c r="F71" i="8"/>
  <c r="F73" i="8" s="1"/>
  <c r="G71" i="8"/>
  <c r="G73" i="8" s="1"/>
  <c r="G59" i="8"/>
  <c r="F52" i="8"/>
  <c r="H66" i="8"/>
  <c r="K78" i="8"/>
  <c r="J79" i="8"/>
  <c r="G6" i="7"/>
  <c r="F5" i="7"/>
  <c r="D8" i="7"/>
  <c r="D11" i="7" s="1"/>
  <c r="W118" i="5"/>
  <c r="AC34" i="5"/>
  <c r="Z43" i="5"/>
  <c r="L84" i="5"/>
  <c r="N84" i="5" s="1"/>
  <c r="S54" i="5" s="1"/>
  <c r="R118" i="5"/>
  <c r="AA43" i="5"/>
  <c r="X34" i="5"/>
  <c r="Z34" i="5"/>
  <c r="V43" i="5"/>
  <c r="W43" i="5"/>
  <c r="AA34" i="5"/>
  <c r="AB34" i="5"/>
  <c r="L64" i="5"/>
  <c r="N64" i="5" s="1"/>
  <c r="R50" i="5" s="1"/>
  <c r="U118" i="5"/>
  <c r="AC43" i="5"/>
  <c r="U43" i="5"/>
  <c r="AB43" i="5"/>
  <c r="U34" i="5"/>
  <c r="V34" i="5"/>
  <c r="W34" i="5"/>
  <c r="X37" i="5"/>
  <c r="X43" i="5" s="1"/>
  <c r="D71" i="10" l="1"/>
  <c r="E35" i="10"/>
  <c r="F35" i="10" s="1"/>
  <c r="G22" i="10"/>
  <c r="Q72" i="10" s="1"/>
  <c r="R72" i="10" s="1"/>
  <c r="I59" i="12"/>
  <c r="J58" i="12"/>
  <c r="H44" i="12"/>
  <c r="G45" i="12"/>
  <c r="J65" i="12"/>
  <c r="I51" i="12"/>
  <c r="H52" i="12"/>
  <c r="F45" i="10"/>
  <c r="F75" i="10" s="1"/>
  <c r="G44" i="10"/>
  <c r="D36" i="10"/>
  <c r="E72" i="10" s="1"/>
  <c r="E73" i="10" s="1"/>
  <c r="E76" i="10" s="1"/>
  <c r="E80" i="10" s="1"/>
  <c r="H52" i="10"/>
  <c r="I51" i="10"/>
  <c r="D75" i="10"/>
  <c r="I59" i="10"/>
  <c r="J58" i="10"/>
  <c r="H66" i="10"/>
  <c r="I65" i="10"/>
  <c r="O71" i="8"/>
  <c r="I66" i="8"/>
  <c r="G52" i="8"/>
  <c r="D75" i="8"/>
  <c r="H73" i="8"/>
  <c r="L78" i="8"/>
  <c r="K79" i="8"/>
  <c r="H59" i="8"/>
  <c r="F75" i="8"/>
  <c r="R43" i="5"/>
  <c r="S52" i="5"/>
  <c r="S53" i="5"/>
  <c r="S55" i="5"/>
  <c r="R51" i="5"/>
  <c r="R52" i="5"/>
  <c r="R53" i="5"/>
  <c r="F71" i="10" l="1"/>
  <c r="J51" i="12"/>
  <c r="I52" i="12"/>
  <c r="K65" i="12"/>
  <c r="J59" i="12"/>
  <c r="K58" i="12"/>
  <c r="I44" i="12"/>
  <c r="H45" i="12"/>
  <c r="G45" i="10"/>
  <c r="G75" i="10" s="1"/>
  <c r="H44" i="10"/>
  <c r="E36" i="10"/>
  <c r="F36" i="10" s="1"/>
  <c r="D72" i="10"/>
  <c r="D73" i="10" s="1"/>
  <c r="D76" i="10" s="1"/>
  <c r="K58" i="10"/>
  <c r="J59" i="10"/>
  <c r="G35" i="10"/>
  <c r="G71" i="10"/>
  <c r="J65" i="10"/>
  <c r="I66" i="10"/>
  <c r="I52" i="10"/>
  <c r="J51" i="10"/>
  <c r="H52" i="8"/>
  <c r="H75" i="8" s="1"/>
  <c r="M78" i="8"/>
  <c r="L79" i="8"/>
  <c r="G75" i="8"/>
  <c r="J66" i="8"/>
  <c r="I73" i="8"/>
  <c r="I59" i="8"/>
  <c r="I45" i="12" l="1"/>
  <c r="J44" i="12"/>
  <c r="K59" i="12"/>
  <c r="L58" i="12"/>
  <c r="L65" i="12"/>
  <c r="K51" i="12"/>
  <c r="J52" i="12"/>
  <c r="I44" i="10"/>
  <c r="H45" i="10"/>
  <c r="H75" i="10" s="1"/>
  <c r="F72" i="10"/>
  <c r="F73" i="10" s="1"/>
  <c r="F76" i="10" s="1"/>
  <c r="F80" i="10" s="1"/>
  <c r="D80" i="10"/>
  <c r="K65" i="10"/>
  <c r="J66" i="10"/>
  <c r="J52" i="10"/>
  <c r="K51" i="10"/>
  <c r="G72" i="10"/>
  <c r="G73" i="10" s="1"/>
  <c r="G76" i="10" s="1"/>
  <c r="G80" i="10" s="1"/>
  <c r="G36" i="10"/>
  <c r="H71" i="10"/>
  <c r="H35" i="10"/>
  <c r="I35" i="10" s="1"/>
  <c r="L58" i="10"/>
  <c r="K59" i="10"/>
  <c r="J59" i="8"/>
  <c r="N78" i="8"/>
  <c r="N79" i="8" s="1"/>
  <c r="M79" i="8"/>
  <c r="I52" i="8"/>
  <c r="I75" i="8" s="1"/>
  <c r="J73" i="8"/>
  <c r="K66" i="8"/>
  <c r="E2" i="7"/>
  <c r="F127" i="3"/>
  <c r="F125" i="3"/>
  <c r="H124" i="3"/>
  <c r="H123" i="3"/>
  <c r="W120" i="3"/>
  <c r="V120" i="3"/>
  <c r="U119" i="3"/>
  <c r="R119" i="3"/>
  <c r="W114" i="3"/>
  <c r="U112" i="3"/>
  <c r="R112" i="3"/>
  <c r="R120" i="3" s="1"/>
  <c r="W104" i="3"/>
  <c r="U102" i="3"/>
  <c r="U120" i="3" s="1"/>
  <c r="R102" i="3"/>
  <c r="W97" i="3"/>
  <c r="U95" i="3"/>
  <c r="R95" i="3"/>
  <c r="W89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86" i="3" s="1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66" i="3" s="1"/>
  <c r="S45" i="3"/>
  <c r="R44" i="3"/>
  <c r="T43" i="3"/>
  <c r="T45" i="3" s="1"/>
  <c r="S43" i="3"/>
  <c r="H43" i="3"/>
  <c r="G43" i="3"/>
  <c r="AC42" i="3"/>
  <c r="AB42" i="3"/>
  <c r="AA42" i="3"/>
  <c r="Z42" i="3"/>
  <c r="X42" i="3"/>
  <c r="W42" i="3"/>
  <c r="U42" i="3"/>
  <c r="R42" i="3"/>
  <c r="V42" i="3" s="1"/>
  <c r="AC41" i="3"/>
  <c r="AB41" i="3"/>
  <c r="AA41" i="3"/>
  <c r="Z41" i="3"/>
  <c r="X41" i="3"/>
  <c r="W41" i="3"/>
  <c r="U41" i="3"/>
  <c r="R41" i="3"/>
  <c r="V41" i="3" s="1"/>
  <c r="AC40" i="3"/>
  <c r="AB40" i="3"/>
  <c r="AA40" i="3"/>
  <c r="Z40" i="3"/>
  <c r="X40" i="3"/>
  <c r="W40" i="3"/>
  <c r="V40" i="3"/>
  <c r="U40" i="3"/>
  <c r="R40" i="3"/>
  <c r="AC39" i="3"/>
  <c r="AB39" i="3"/>
  <c r="AA39" i="3"/>
  <c r="Z39" i="3"/>
  <c r="X39" i="3"/>
  <c r="W39" i="3"/>
  <c r="V39" i="3"/>
  <c r="U39" i="3"/>
  <c r="R39" i="3"/>
  <c r="AC38" i="3"/>
  <c r="AB38" i="3"/>
  <c r="AA38" i="3"/>
  <c r="Z38" i="3"/>
  <c r="X38" i="3"/>
  <c r="W38" i="3"/>
  <c r="V38" i="3"/>
  <c r="U38" i="3"/>
  <c r="R38" i="3"/>
  <c r="AC37" i="3"/>
  <c r="AB37" i="3"/>
  <c r="AA37" i="3"/>
  <c r="Z37" i="3"/>
  <c r="X37" i="3"/>
  <c r="W37" i="3"/>
  <c r="V37" i="3"/>
  <c r="U37" i="3"/>
  <c r="R37" i="3"/>
  <c r="AC36" i="3"/>
  <c r="AB36" i="3"/>
  <c r="AA36" i="3"/>
  <c r="Z36" i="3"/>
  <c r="X36" i="3"/>
  <c r="W36" i="3"/>
  <c r="V36" i="3"/>
  <c r="U36" i="3"/>
  <c r="R36" i="3"/>
  <c r="AC35" i="3"/>
  <c r="AC43" i="3" s="1"/>
  <c r="AB35" i="3"/>
  <c r="AB43" i="3" s="1"/>
  <c r="AA35" i="3"/>
  <c r="AA43" i="3" s="1"/>
  <c r="Z35" i="3"/>
  <c r="Z43" i="3" s="1"/>
  <c r="W35" i="3"/>
  <c r="W43" i="3" s="1"/>
  <c r="V35" i="3"/>
  <c r="V43" i="3" s="1"/>
  <c r="U35" i="3"/>
  <c r="U43" i="3" s="1"/>
  <c r="R35" i="3"/>
  <c r="R43" i="3" s="1"/>
  <c r="H34" i="3"/>
  <c r="G34" i="3"/>
  <c r="AC33" i="3"/>
  <c r="AB33" i="3"/>
  <c r="AA33" i="3"/>
  <c r="Z33" i="3"/>
  <c r="X33" i="3"/>
  <c r="W33" i="3"/>
  <c r="V33" i="3"/>
  <c r="U33" i="3"/>
  <c r="R33" i="3"/>
  <c r="AC32" i="3"/>
  <c r="AB32" i="3"/>
  <c r="AA32" i="3"/>
  <c r="Z32" i="3"/>
  <c r="X32" i="3"/>
  <c r="W32" i="3"/>
  <c r="V32" i="3"/>
  <c r="U32" i="3"/>
  <c r="R32" i="3"/>
  <c r="AC31" i="3"/>
  <c r="AB31" i="3"/>
  <c r="AA31" i="3"/>
  <c r="Z31" i="3"/>
  <c r="X31" i="3"/>
  <c r="W31" i="3"/>
  <c r="V31" i="3"/>
  <c r="U31" i="3"/>
  <c r="R31" i="3"/>
  <c r="AC30" i="3"/>
  <c r="AB30" i="3"/>
  <c r="AA30" i="3"/>
  <c r="Z30" i="3"/>
  <c r="X30" i="3"/>
  <c r="W30" i="3"/>
  <c r="V30" i="3"/>
  <c r="U30" i="3"/>
  <c r="R30" i="3"/>
  <c r="AC29" i="3"/>
  <c r="AB29" i="3"/>
  <c r="AA29" i="3"/>
  <c r="Z29" i="3"/>
  <c r="W29" i="3"/>
  <c r="V29" i="3"/>
  <c r="U29" i="3"/>
  <c r="R29" i="3"/>
  <c r="X29" i="3" s="1"/>
  <c r="AC28" i="3"/>
  <c r="AB28" i="3"/>
  <c r="AA28" i="3"/>
  <c r="Z28" i="3"/>
  <c r="X28" i="3"/>
  <c r="W28" i="3"/>
  <c r="V28" i="3"/>
  <c r="R28" i="3"/>
  <c r="U28" i="3" s="1"/>
  <c r="AC27" i="3"/>
  <c r="AB27" i="3"/>
  <c r="AA27" i="3"/>
  <c r="Z27" i="3"/>
  <c r="X27" i="3"/>
  <c r="W27" i="3"/>
  <c r="V27" i="3"/>
  <c r="U27" i="3"/>
  <c r="R27" i="3"/>
  <c r="AC26" i="3"/>
  <c r="AB26" i="3"/>
  <c r="AA26" i="3"/>
  <c r="Z26" i="3"/>
  <c r="X26" i="3"/>
  <c r="W26" i="3"/>
  <c r="V26" i="3"/>
  <c r="U26" i="3"/>
  <c r="R26" i="3"/>
  <c r="AC25" i="3"/>
  <c r="AB25" i="3"/>
  <c r="AA25" i="3"/>
  <c r="Z25" i="3"/>
  <c r="X25" i="3"/>
  <c r="W25" i="3"/>
  <c r="V25" i="3"/>
  <c r="R25" i="3"/>
  <c r="U25" i="3" s="1"/>
  <c r="AC24" i="3"/>
  <c r="AB24" i="3"/>
  <c r="AA24" i="3"/>
  <c r="Z24" i="3"/>
  <c r="X24" i="3"/>
  <c r="W24" i="3"/>
  <c r="V24" i="3"/>
  <c r="U24" i="3"/>
  <c r="R24" i="3"/>
  <c r="AC23" i="3"/>
  <c r="AB23" i="3"/>
  <c r="AA23" i="3"/>
  <c r="Z23" i="3"/>
  <c r="X23" i="3"/>
  <c r="W23" i="3"/>
  <c r="V23" i="3"/>
  <c r="U23" i="3"/>
  <c r="R23" i="3"/>
  <c r="AC22" i="3"/>
  <c r="AB22" i="3"/>
  <c r="AA22" i="3"/>
  <c r="Z22" i="3"/>
  <c r="X22" i="3"/>
  <c r="W22" i="3"/>
  <c r="V22" i="3"/>
  <c r="U22" i="3"/>
  <c r="R22" i="3"/>
  <c r="AC21" i="3"/>
  <c r="AB21" i="3"/>
  <c r="AA21" i="3"/>
  <c r="Z21" i="3"/>
  <c r="X21" i="3"/>
  <c r="V21" i="3"/>
  <c r="U21" i="3"/>
  <c r="R21" i="3"/>
  <c r="W21" i="3" s="1"/>
  <c r="AC20" i="3"/>
  <c r="AB20" i="3"/>
  <c r="AA20" i="3"/>
  <c r="Z20" i="3"/>
  <c r="X20" i="3"/>
  <c r="V20" i="3"/>
  <c r="U20" i="3"/>
  <c r="R20" i="3"/>
  <c r="W20" i="3" s="1"/>
  <c r="AC19" i="3"/>
  <c r="AB19" i="3"/>
  <c r="AA19" i="3"/>
  <c r="Z19" i="3"/>
  <c r="X19" i="3"/>
  <c r="V19" i="3"/>
  <c r="U19" i="3"/>
  <c r="R19" i="3"/>
  <c r="W19" i="3" s="1"/>
  <c r="AC18" i="3"/>
  <c r="AB18" i="3"/>
  <c r="AA18" i="3"/>
  <c r="Z18" i="3"/>
  <c r="X18" i="3"/>
  <c r="V18" i="3"/>
  <c r="U18" i="3"/>
  <c r="R18" i="3"/>
  <c r="W18" i="3" s="1"/>
  <c r="AC17" i="3"/>
  <c r="AB17" i="3"/>
  <c r="AA17" i="3"/>
  <c r="Z17" i="3"/>
  <c r="X17" i="3"/>
  <c r="W17" i="3"/>
  <c r="V17" i="3"/>
  <c r="R17" i="3"/>
  <c r="U17" i="3" s="1"/>
  <c r="AC16" i="3"/>
  <c r="AB16" i="3"/>
  <c r="AA16" i="3"/>
  <c r="Z16" i="3"/>
  <c r="X16" i="3"/>
  <c r="W16" i="3"/>
  <c r="V16" i="3"/>
  <c r="U16" i="3"/>
  <c r="R16" i="3"/>
  <c r="AC15" i="3"/>
  <c r="AB15" i="3"/>
  <c r="AA15" i="3"/>
  <c r="Z15" i="3"/>
  <c r="X15" i="3"/>
  <c r="W15" i="3"/>
  <c r="V15" i="3"/>
  <c r="R15" i="3"/>
  <c r="U15" i="3" s="1"/>
  <c r="AC14" i="3"/>
  <c r="AB14" i="3"/>
  <c r="AA14" i="3"/>
  <c r="Z14" i="3"/>
  <c r="X14" i="3"/>
  <c r="W14" i="3"/>
  <c r="V14" i="3"/>
  <c r="R14" i="3"/>
  <c r="U14" i="3" s="1"/>
  <c r="AC13" i="3"/>
  <c r="AB13" i="3"/>
  <c r="AA13" i="3"/>
  <c r="Z13" i="3"/>
  <c r="X13" i="3"/>
  <c r="V13" i="3"/>
  <c r="U13" i="3"/>
  <c r="R13" i="3"/>
  <c r="W13" i="3" s="1"/>
  <c r="AC12" i="3"/>
  <c r="AB12" i="3"/>
  <c r="AA12" i="3"/>
  <c r="Z12" i="3"/>
  <c r="X12" i="3"/>
  <c r="V12" i="3"/>
  <c r="U12" i="3"/>
  <c r="R12" i="3"/>
  <c r="W12" i="3" s="1"/>
  <c r="AC11" i="3"/>
  <c r="AB11" i="3"/>
  <c r="AA11" i="3"/>
  <c r="Z11" i="3"/>
  <c r="X11" i="3"/>
  <c r="V11" i="3"/>
  <c r="U11" i="3"/>
  <c r="R11" i="3"/>
  <c r="W11" i="3" s="1"/>
  <c r="AC10" i="3"/>
  <c r="AB10" i="3"/>
  <c r="AA10" i="3"/>
  <c r="Z10" i="3"/>
  <c r="X10" i="3"/>
  <c r="V10" i="3"/>
  <c r="U10" i="3"/>
  <c r="R10" i="3"/>
  <c r="W10" i="3" s="1"/>
  <c r="AC9" i="3"/>
  <c r="AB9" i="3"/>
  <c r="AA9" i="3"/>
  <c r="Z9" i="3"/>
  <c r="X9" i="3"/>
  <c r="W9" i="3"/>
  <c r="V9" i="3"/>
  <c r="U9" i="3"/>
  <c r="R9" i="3"/>
  <c r="AC8" i="3"/>
  <c r="AB8" i="3"/>
  <c r="AA8" i="3"/>
  <c r="Z8" i="3"/>
  <c r="X8" i="3"/>
  <c r="W8" i="3"/>
  <c r="V8" i="3"/>
  <c r="U8" i="3"/>
  <c r="R8" i="3"/>
  <c r="AC7" i="3"/>
  <c r="AB7" i="3"/>
  <c r="AA7" i="3"/>
  <c r="Z7" i="3"/>
  <c r="X7" i="3"/>
  <c r="W7" i="3"/>
  <c r="V7" i="3"/>
  <c r="U7" i="3"/>
  <c r="R7" i="3"/>
  <c r="AC6" i="3"/>
  <c r="AB6" i="3"/>
  <c r="AA6" i="3"/>
  <c r="Z6" i="3"/>
  <c r="X6" i="3"/>
  <c r="W6" i="3"/>
  <c r="V6" i="3"/>
  <c r="U6" i="3"/>
  <c r="R6" i="3"/>
  <c r="AC5" i="3"/>
  <c r="AB5" i="3"/>
  <c r="AA5" i="3"/>
  <c r="Z5" i="3"/>
  <c r="X5" i="3"/>
  <c r="W5" i="3"/>
  <c r="V5" i="3"/>
  <c r="R5" i="3"/>
  <c r="U5" i="3" s="1"/>
  <c r="AC4" i="3"/>
  <c r="AC34" i="3" s="1"/>
  <c r="AB4" i="3"/>
  <c r="AB34" i="3" s="1"/>
  <c r="AA4" i="3"/>
  <c r="AA34" i="3" s="1"/>
  <c r="Z4" i="3"/>
  <c r="Z34" i="3" s="1"/>
  <c r="X4" i="3"/>
  <c r="X34" i="3" s="1"/>
  <c r="W4" i="3"/>
  <c r="V4" i="3"/>
  <c r="V34" i="3" s="1"/>
  <c r="R4" i="3"/>
  <c r="U4" i="3" s="1"/>
  <c r="M58" i="12" l="1"/>
  <c r="L59" i="12"/>
  <c r="J45" i="12"/>
  <c r="K44" i="12"/>
  <c r="K52" i="12"/>
  <c r="L51" i="12"/>
  <c r="M65" i="12"/>
  <c r="I45" i="10"/>
  <c r="I75" i="10" s="1"/>
  <c r="J44" i="10"/>
  <c r="I71" i="10"/>
  <c r="J35" i="10"/>
  <c r="K52" i="10"/>
  <c r="L51" i="10"/>
  <c r="K66" i="10"/>
  <c r="L65" i="10"/>
  <c r="L59" i="10"/>
  <c r="M58" i="10"/>
  <c r="H72" i="10"/>
  <c r="H36" i="10"/>
  <c r="J52" i="8"/>
  <c r="J75" i="8" s="1"/>
  <c r="K59" i="8"/>
  <c r="K73" i="8"/>
  <c r="L66" i="8"/>
  <c r="E4" i="7"/>
  <c r="F4" i="7" s="1"/>
  <c r="F2" i="7"/>
  <c r="E3" i="7"/>
  <c r="F3" i="7" s="1"/>
  <c r="N66" i="3"/>
  <c r="U34" i="3"/>
  <c r="W34" i="3"/>
  <c r="N86" i="3"/>
  <c r="X35" i="3"/>
  <c r="X43" i="3" s="1"/>
  <c r="R34" i="3"/>
  <c r="R45" i="3" s="1"/>
  <c r="K45" i="12" l="1"/>
  <c r="L44" i="12"/>
  <c r="N65" i="12"/>
  <c r="N58" i="12"/>
  <c r="N59" i="12" s="1"/>
  <c r="O59" i="12" s="1"/>
  <c r="M59" i="12"/>
  <c r="L52" i="12"/>
  <c r="M51" i="12"/>
  <c r="J45" i="10"/>
  <c r="J75" i="10" s="1"/>
  <c r="K44" i="10"/>
  <c r="I36" i="10"/>
  <c r="I72" i="10"/>
  <c r="I73" i="10" s="1"/>
  <c r="I76" i="10" s="1"/>
  <c r="I80" i="10" s="1"/>
  <c r="M59" i="10"/>
  <c r="N58" i="10"/>
  <c r="N59" i="10" s="1"/>
  <c r="O59" i="10" s="1"/>
  <c r="L52" i="10"/>
  <c r="M51" i="10"/>
  <c r="L66" i="10"/>
  <c r="M65" i="10"/>
  <c r="H73" i="10"/>
  <c r="J71" i="10"/>
  <c r="K35" i="10"/>
  <c r="N66" i="8"/>
  <c r="M66" i="8"/>
  <c r="L73" i="8"/>
  <c r="K52" i="8"/>
  <c r="K75" i="8" s="1"/>
  <c r="L59" i="8"/>
  <c r="F8" i="7"/>
  <c r="G8" i="7" s="1"/>
  <c r="E8" i="7"/>
  <c r="F9" i="7" s="1"/>
  <c r="S54" i="3"/>
  <c r="S53" i="3"/>
  <c r="S55" i="3"/>
  <c r="R54" i="3"/>
  <c r="R53" i="3"/>
  <c r="R55" i="3"/>
  <c r="R52" i="3"/>
  <c r="L45" i="12" l="1"/>
  <c r="M44" i="12"/>
  <c r="M52" i="12"/>
  <c r="N51" i="12"/>
  <c r="N52" i="12" s="1"/>
  <c r="O52" i="12" s="1"/>
  <c r="K45" i="10"/>
  <c r="K75" i="10" s="1"/>
  <c r="L44" i="10"/>
  <c r="M52" i="10"/>
  <c r="N51" i="10"/>
  <c r="N52" i="10" s="1"/>
  <c r="H76" i="10"/>
  <c r="J36" i="10"/>
  <c r="J72" i="10"/>
  <c r="J73" i="10" s="1"/>
  <c r="K71" i="10"/>
  <c r="L35" i="10"/>
  <c r="M66" i="10"/>
  <c r="N65" i="10"/>
  <c r="N66" i="10" s="1"/>
  <c r="L52" i="8"/>
  <c r="L75" i="8" s="1"/>
  <c r="O66" i="8"/>
  <c r="M59" i="8"/>
  <c r="N59" i="8"/>
  <c r="M73" i="8"/>
  <c r="N73" i="8"/>
  <c r="L10" i="1"/>
  <c r="C19" i="1"/>
  <c r="C18" i="1"/>
  <c r="C10" i="1"/>
  <c r="D2" i="1"/>
  <c r="N44" i="12" l="1"/>
  <c r="N45" i="12" s="1"/>
  <c r="O45" i="12" s="1"/>
  <c r="M45" i="12"/>
  <c r="M44" i="10"/>
  <c r="L45" i="10"/>
  <c r="O52" i="10"/>
  <c r="J76" i="10"/>
  <c r="J80" i="10" s="1"/>
  <c r="O66" i="10"/>
  <c r="H80" i="10"/>
  <c r="L71" i="10"/>
  <c r="M35" i="10"/>
  <c r="K36" i="10"/>
  <c r="K72" i="10"/>
  <c r="K73" i="10" s="1"/>
  <c r="K76" i="10" s="1"/>
  <c r="O59" i="8"/>
  <c r="N52" i="8"/>
  <c r="N75" i="8" s="1"/>
  <c r="M52" i="8"/>
  <c r="M75" i="8" s="1"/>
  <c r="O73" i="8"/>
  <c r="L75" i="10" l="1"/>
  <c r="M45" i="10"/>
  <c r="M75" i="10" s="1"/>
  <c r="N44" i="10"/>
  <c r="N45" i="10" s="1"/>
  <c r="N75" i="10" s="1"/>
  <c r="N76" i="10" s="1"/>
  <c r="N80" i="10" s="1"/>
  <c r="K80" i="10"/>
  <c r="M71" i="10"/>
  <c r="O35" i="10"/>
  <c r="L72" i="10"/>
  <c r="O72" i="10" s="1"/>
  <c r="L36" i="10"/>
  <c r="O71" i="10"/>
  <c r="N76" i="8"/>
  <c r="O75" i="8"/>
  <c r="O52" i="8"/>
  <c r="O45" i="10" l="1"/>
  <c r="O75" i="10"/>
  <c r="M72" i="10"/>
  <c r="M73" i="10" s="1"/>
  <c r="M76" i="10" s="1"/>
  <c r="M80" i="10" s="1"/>
  <c r="M36" i="10"/>
  <c r="L73" i="10"/>
  <c r="G21" i="8"/>
  <c r="D35" i="8" s="1"/>
  <c r="E43" i="8" s="1"/>
  <c r="G22" i="8"/>
  <c r="D36" i="8" s="1"/>
  <c r="E44" i="8" s="1"/>
  <c r="N80" i="8"/>
  <c r="N72" i="10" l="1"/>
  <c r="O36" i="10"/>
  <c r="L76" i="10"/>
  <c r="O73" i="10"/>
  <c r="D44" i="8"/>
  <c r="E36" i="8"/>
  <c r="F44" i="8" s="1"/>
  <c r="E35" i="8"/>
  <c r="F43" i="8" s="1"/>
  <c r="D43" i="8"/>
  <c r="Q44" i="8"/>
  <c r="R44" i="8" s="1"/>
  <c r="O38" i="10" l="1"/>
  <c r="O67" i="10" s="1"/>
  <c r="O32" i="10"/>
  <c r="L80" i="10"/>
  <c r="D81" i="10" s="1"/>
  <c r="D84" i="10" s="1"/>
  <c r="O76" i="10"/>
  <c r="F35" i="8"/>
  <c r="G43" i="8" s="1"/>
  <c r="F36" i="8"/>
  <c r="G44" i="8" s="1"/>
  <c r="D45" i="8"/>
  <c r="E45" i="8" l="1"/>
  <c r="E76" i="8" s="1"/>
  <c r="E80" i="8" s="1"/>
  <c r="G36" i="8"/>
  <c r="H44" i="8" s="1"/>
  <c r="G35" i="8"/>
  <c r="H43" i="8" s="1"/>
  <c r="F45" i="8"/>
  <c r="F76" i="8" s="1"/>
  <c r="F80" i="8" s="1"/>
  <c r="D76" i="8"/>
  <c r="H36" i="8" l="1"/>
  <c r="I44" i="8" s="1"/>
  <c r="H35" i="8"/>
  <c r="D80" i="8"/>
  <c r="G45" i="8" l="1"/>
  <c r="G76" i="8" s="1"/>
  <c r="I35" i="8"/>
  <c r="I36" i="8"/>
  <c r="J44" i="8" s="1"/>
  <c r="H45" i="8"/>
  <c r="H76" i="8" s="1"/>
  <c r="H80" i="8" s="1"/>
  <c r="J36" i="8" l="1"/>
  <c r="K44" i="8" s="1"/>
  <c r="J35" i="8"/>
  <c r="I43" i="8"/>
  <c r="G80" i="8"/>
  <c r="I45" i="8" l="1"/>
  <c r="K35" i="8"/>
  <c r="J43" i="8"/>
  <c r="K36" i="8"/>
  <c r="L44" i="8" s="1"/>
  <c r="L36" i="8" l="1"/>
  <c r="M44" i="8" s="1"/>
  <c r="J45" i="8"/>
  <c r="J76" i="8" s="1"/>
  <c r="J80" i="8" s="1"/>
  <c r="L35" i="8"/>
  <c r="K43" i="8"/>
  <c r="K45" i="8" s="1"/>
  <c r="K76" i="8" s="1"/>
  <c r="K80" i="8" s="1"/>
  <c r="I76" i="8"/>
  <c r="M35" i="8" l="1"/>
  <c r="L43" i="8"/>
  <c r="I80" i="8"/>
  <c r="M36" i="8"/>
  <c r="N44" i="8" s="1"/>
  <c r="O44" i="8"/>
  <c r="O36" i="8" l="1"/>
  <c r="O38" i="8" s="1"/>
  <c r="O39" i="8" s="1"/>
  <c r="L45" i="8"/>
  <c r="O43" i="8"/>
  <c r="M43" i="8"/>
  <c r="O35" i="8"/>
  <c r="O32" i="8" l="1"/>
  <c r="M45" i="8"/>
  <c r="M76" i="8" s="1"/>
  <c r="M80" i="8" s="1"/>
  <c r="L76" i="8"/>
  <c r="O45" i="8"/>
  <c r="L80" i="8" l="1"/>
  <c r="D81" i="8" s="1"/>
  <c r="O76" i="8"/>
  <c r="F15" i="12"/>
  <c r="F16" i="12" s="1"/>
  <c r="E63" i="12"/>
  <c r="D19" i="12"/>
  <c r="D22" i="12" s="1"/>
  <c r="G63" i="12" l="1"/>
  <c r="K63" i="12"/>
  <c r="E64" i="12"/>
  <c r="E66" i="12" s="1"/>
  <c r="E75" i="12" s="1"/>
  <c r="F63" i="12"/>
  <c r="H63" i="12"/>
  <c r="H66" i="12" s="1"/>
  <c r="H75" i="12" s="1"/>
  <c r="I63" i="12"/>
  <c r="J63" i="12"/>
  <c r="F64" i="12"/>
  <c r="D64" i="12"/>
  <c r="G64" i="12"/>
  <c r="D21" i="12"/>
  <c r="G66" i="12" l="1"/>
  <c r="G75" i="12" s="1"/>
  <c r="J66" i="12"/>
  <c r="J75" i="12" s="1"/>
  <c r="O64" i="12"/>
  <c r="K66" i="12"/>
  <c r="K75" i="12" s="1"/>
  <c r="H22" i="12"/>
  <c r="L63" i="12"/>
  <c r="L66" i="12" s="1"/>
  <c r="L75" i="12" s="1"/>
  <c r="F21" i="12"/>
  <c r="D63" i="12"/>
  <c r="D66" i="12" s="1"/>
  <c r="M63" i="12"/>
  <c r="M66" i="12" s="1"/>
  <c r="M75" i="12" s="1"/>
  <c r="N63" i="12"/>
  <c r="N66" i="12" s="1"/>
  <c r="N75" i="12" s="1"/>
  <c r="N76" i="12" s="1"/>
  <c r="N80" i="12" s="1"/>
  <c r="F66" i="12"/>
  <c r="F75" i="12" s="1"/>
  <c r="I66" i="12"/>
  <c r="I75" i="12" s="1"/>
  <c r="O66" i="12" l="1"/>
  <c r="D75" i="12"/>
  <c r="F22" i="12"/>
  <c r="G22" i="12" s="1"/>
  <c r="G21" i="12"/>
  <c r="D35" i="12" s="1"/>
  <c r="O63" i="12"/>
  <c r="D71" i="12" l="1"/>
  <c r="E71" i="12"/>
  <c r="E35" i="12"/>
  <c r="D36" i="12"/>
  <c r="Q72" i="12"/>
  <c r="R72" i="12" s="1"/>
  <c r="O75" i="12"/>
  <c r="F35" i="12" l="1"/>
  <c r="F71" i="12"/>
  <c r="D72" i="12"/>
  <c r="E36" i="12"/>
  <c r="E72" i="12"/>
  <c r="E73" i="12" s="1"/>
  <c r="E76" i="12" s="1"/>
  <c r="E80" i="12" s="1"/>
  <c r="F36" i="12" l="1"/>
  <c r="F72" i="12"/>
  <c r="F73" i="12" s="1"/>
  <c r="F76" i="12" s="1"/>
  <c r="F80" i="12" s="1"/>
  <c r="D73" i="12"/>
  <c r="G35" i="12"/>
  <c r="G71" i="12"/>
  <c r="H35" i="12" l="1"/>
  <c r="I35" i="12" s="1"/>
  <c r="H71" i="12"/>
  <c r="D76" i="12"/>
  <c r="G72" i="12"/>
  <c r="G36" i="12"/>
  <c r="J35" i="12" l="1"/>
  <c r="I71" i="12"/>
  <c r="D80" i="12"/>
  <c r="H72" i="12"/>
  <c r="H73" i="12" s="1"/>
  <c r="H76" i="12" s="1"/>
  <c r="H80" i="12" s="1"/>
  <c r="H36" i="12"/>
  <c r="G73" i="12"/>
  <c r="G76" i="12" l="1"/>
  <c r="I36" i="12"/>
  <c r="I72" i="12"/>
  <c r="I73" i="12" s="1"/>
  <c r="K35" i="12"/>
  <c r="J71" i="12"/>
  <c r="I76" i="12" l="1"/>
  <c r="I80" i="12" s="1"/>
  <c r="J36" i="12"/>
  <c r="J72" i="12"/>
  <c r="G80" i="12"/>
  <c r="J73" i="12"/>
  <c r="J76" i="12" s="1"/>
  <c r="J80" i="12" s="1"/>
  <c r="L35" i="12"/>
  <c r="K71" i="12"/>
  <c r="K72" i="12" l="1"/>
  <c r="K73" i="12" s="1"/>
  <c r="K36" i="12"/>
  <c r="L71" i="12"/>
  <c r="M35" i="12"/>
  <c r="K76" i="12" l="1"/>
  <c r="M71" i="12"/>
  <c r="O35" i="12"/>
  <c r="L72" i="12"/>
  <c r="O72" i="12" s="1"/>
  <c r="L36" i="12"/>
  <c r="O71" i="12"/>
  <c r="M36" i="12" l="1"/>
  <c r="M72" i="12"/>
  <c r="M73" i="12" s="1"/>
  <c r="M76" i="12" s="1"/>
  <c r="M80" i="12" s="1"/>
  <c r="L73" i="12"/>
  <c r="K80" i="12"/>
  <c r="L76" i="12" l="1"/>
  <c r="O73" i="12"/>
  <c r="N72" i="12"/>
  <c r="O36" i="12"/>
  <c r="O38" i="12" l="1"/>
  <c r="O67" i="12" s="1"/>
  <c r="O32" i="12"/>
  <c r="L80" i="12"/>
  <c r="D81" i="12" s="1"/>
  <c r="D84" i="12" s="1"/>
  <c r="O76" i="12"/>
</calcChain>
</file>

<file path=xl/sharedStrings.xml><?xml version="1.0" encoding="utf-8"?>
<sst xmlns="http://schemas.openxmlformats.org/spreadsheetml/2006/main" count="1093" uniqueCount="275">
  <si>
    <t>in Rs. Cr.</t>
  </si>
  <si>
    <t>Project Hard Cost</t>
  </si>
  <si>
    <t>Project Soft Cost</t>
  </si>
  <si>
    <t>Land Cost</t>
  </si>
  <si>
    <t>Premium for Commercial Area</t>
  </si>
  <si>
    <t>Building Civil Cost</t>
  </si>
  <si>
    <t>Marketing Cost</t>
  </si>
  <si>
    <t>Head Office Expenses</t>
  </si>
  <si>
    <t>Site Office Expenses</t>
  </si>
  <si>
    <t>Interest During Construction</t>
  </si>
  <si>
    <t>Preliminary Expenses</t>
  </si>
  <si>
    <t>Cost Considered for Phases 2, 3 &amp; 4</t>
  </si>
  <si>
    <t>Total Cost of Project</t>
  </si>
  <si>
    <t>Particulars</t>
  </si>
  <si>
    <t>Amount 
(INR Crore)</t>
  </si>
  <si>
    <t>26 tower</t>
  </si>
  <si>
    <t>EWS</t>
  </si>
  <si>
    <t>LIG</t>
  </si>
  <si>
    <t>Figures</t>
  </si>
  <si>
    <t>Unit</t>
  </si>
  <si>
    <r>
      <rPr>
        <sz val="11"/>
        <rFont val="Calibri"/>
        <family val="1"/>
      </rPr>
      <t>%</t>
    </r>
  </si>
  <si>
    <t>Company Risk Premium</t>
  </si>
  <si>
    <r>
      <rPr>
        <sz val="11"/>
        <rFont val="Calibri"/>
        <family val="1"/>
      </rPr>
      <t>Discount Rate</t>
    </r>
  </si>
  <si>
    <t>Year</t>
  </si>
  <si>
    <t>Year-0</t>
  </si>
  <si>
    <t>Year-1</t>
  </si>
  <si>
    <t>Year-2</t>
  </si>
  <si>
    <t>Year-3</t>
  </si>
  <si>
    <t>Year-4</t>
  </si>
  <si>
    <t>Year-5</t>
  </si>
  <si>
    <t>Month</t>
  </si>
  <si>
    <t>Discount Period</t>
  </si>
  <si>
    <t>Discount Factor</t>
  </si>
  <si>
    <t>PV of Cash Inflows</t>
  </si>
  <si>
    <t>NPV</t>
  </si>
  <si>
    <t>SQ. FT.</t>
  </si>
  <si>
    <t>Total Saleable Area</t>
  </si>
  <si>
    <t xml:space="preserve">Residential </t>
  </si>
  <si>
    <t>S. No.</t>
  </si>
  <si>
    <t>Typology</t>
  </si>
  <si>
    <t>Phase</t>
  </si>
  <si>
    <t>Tower</t>
  </si>
  <si>
    <t>Type</t>
  </si>
  <si>
    <t>Unit nos.</t>
  </si>
  <si>
    <t>Total Unit nos.</t>
  </si>
  <si>
    <t>RERA Carpet Area
(Sft)</t>
  </si>
  <si>
    <t>Wall Area (sqft)</t>
  </si>
  <si>
    <t xml:space="preserve">Unit area (sqft) </t>
  </si>
  <si>
    <t xml:space="preserve">Balcony Area  (sqft) </t>
  </si>
  <si>
    <t>Usable area  (sqft)</t>
  </si>
  <si>
    <t>Total common area loading</t>
  </si>
  <si>
    <t>Saleable area (sqft)</t>
  </si>
  <si>
    <t>Loading =  common area / saleable area</t>
  </si>
  <si>
    <t>UNIT /SALEABLE AREA</t>
  </si>
  <si>
    <t>Saleable Area_Tower</t>
  </si>
  <si>
    <t>Phase 1</t>
  </si>
  <si>
    <t>Phase 2</t>
  </si>
  <si>
    <t>Phase 3</t>
  </si>
  <si>
    <t>Phase 4</t>
  </si>
  <si>
    <t>4
 (1+2+3)</t>
  </si>
  <si>
    <t>6 
(4+5)</t>
  </si>
  <si>
    <t>7
 (5/6)</t>
  </si>
  <si>
    <t>8
 (4/6)</t>
  </si>
  <si>
    <t xml:space="preserve">9(6*Unit) </t>
  </si>
  <si>
    <t>1BHK</t>
  </si>
  <si>
    <t>10 core</t>
  </si>
  <si>
    <t>TO2</t>
  </si>
  <si>
    <t>A</t>
  </si>
  <si>
    <t>12 core</t>
  </si>
  <si>
    <t>TO3</t>
  </si>
  <si>
    <t xml:space="preserve">8 core </t>
  </si>
  <si>
    <t>TO4</t>
  </si>
  <si>
    <t>TO5</t>
  </si>
  <si>
    <t>2BHK(Q) - A</t>
  </si>
  <si>
    <t>TO1</t>
  </si>
  <si>
    <t xml:space="preserve">12 core </t>
  </si>
  <si>
    <t>TO6</t>
  </si>
  <si>
    <t>2 BHK (K) - A</t>
  </si>
  <si>
    <t>T09</t>
  </si>
  <si>
    <t>2 BHK (K) - B</t>
  </si>
  <si>
    <t>B</t>
  </si>
  <si>
    <t>T10</t>
  </si>
  <si>
    <t>T23</t>
  </si>
  <si>
    <t>T24</t>
  </si>
  <si>
    <t>2.5 BHK - A</t>
  </si>
  <si>
    <t>T07</t>
  </si>
  <si>
    <t>2.5 BHK - B</t>
  </si>
  <si>
    <t>T08</t>
  </si>
  <si>
    <t>T15</t>
  </si>
  <si>
    <t>T18</t>
  </si>
  <si>
    <t>T21</t>
  </si>
  <si>
    <t>T25</t>
  </si>
  <si>
    <t>T26</t>
  </si>
  <si>
    <t>T11</t>
  </si>
  <si>
    <t>T16</t>
  </si>
  <si>
    <t>T17</t>
  </si>
  <si>
    <t>T22</t>
  </si>
  <si>
    <t xml:space="preserve">10 core </t>
  </si>
  <si>
    <t>T12</t>
  </si>
  <si>
    <t xml:space="preserve">3 BHK </t>
  </si>
  <si>
    <t xml:space="preserve">4 core </t>
  </si>
  <si>
    <t>T13</t>
  </si>
  <si>
    <t xml:space="preserve"> 3 BHK</t>
  </si>
  <si>
    <t xml:space="preserve">3.5 BHK </t>
  </si>
  <si>
    <t>3.5 BHK</t>
  </si>
  <si>
    <t>T14</t>
  </si>
  <si>
    <t>T19</t>
  </si>
  <si>
    <t>T20</t>
  </si>
  <si>
    <t>3 BHK</t>
  </si>
  <si>
    <t>Total - Developer's Portion</t>
  </si>
  <si>
    <t xml:space="preserve">* BALCONY IS CONSIDERED 100% IN ABOVE CALCULATION </t>
  </si>
  <si>
    <t>EWS/LIG</t>
  </si>
  <si>
    <t xml:space="preserve">INVENTORY - EWS </t>
  </si>
  <si>
    <t>Tower No.</t>
  </si>
  <si>
    <t xml:space="preserve"> Floor</t>
  </si>
  <si>
    <t>Unit Per Floor</t>
  </si>
  <si>
    <t xml:space="preserve">Unit Areas </t>
  </si>
  <si>
    <t>Unit Type</t>
  </si>
  <si>
    <t xml:space="preserve">Carpet Area </t>
  </si>
  <si>
    <t>Unit Area</t>
  </si>
  <si>
    <t>Balcony</t>
  </si>
  <si>
    <t>Total unit Area</t>
  </si>
  <si>
    <t>Common Area</t>
  </si>
  <si>
    <t>Saleable Area</t>
  </si>
  <si>
    <t>Total Area</t>
  </si>
  <si>
    <t xml:space="preserve">EWS </t>
  </si>
  <si>
    <t>GF</t>
  </si>
  <si>
    <t xml:space="preserve">EWS 1 BHK </t>
  </si>
  <si>
    <t>EWS Area</t>
  </si>
  <si>
    <t>LIG Area</t>
  </si>
  <si>
    <t xml:space="preserve">1st Floor </t>
  </si>
  <si>
    <t xml:space="preserve">2nd Floor </t>
  </si>
  <si>
    <t xml:space="preserve">3rd Floor </t>
  </si>
  <si>
    <t xml:space="preserve">Phase 3 </t>
  </si>
  <si>
    <t xml:space="preserve">4th fLoor </t>
  </si>
  <si>
    <t>5th Floor</t>
  </si>
  <si>
    <t>6th Floor</t>
  </si>
  <si>
    <t>7th Floor</t>
  </si>
  <si>
    <t>8th Floor</t>
  </si>
  <si>
    <t>9th Floor</t>
  </si>
  <si>
    <t>10th Floor</t>
  </si>
  <si>
    <t>11th Floor</t>
  </si>
  <si>
    <t>12th Floor</t>
  </si>
  <si>
    <t>13th Floor</t>
  </si>
  <si>
    <t>14th Floor</t>
  </si>
  <si>
    <t>Avg Saelable area per unit EWS</t>
  </si>
  <si>
    <t xml:space="preserve">INVENTORY - LIG </t>
  </si>
  <si>
    <t>Total_Saleable</t>
  </si>
  <si>
    <t>LIG01</t>
  </si>
  <si>
    <t xml:space="preserve">LIG </t>
  </si>
  <si>
    <t>Developers' Flats</t>
  </si>
  <si>
    <t>Commercial</t>
  </si>
  <si>
    <t>Avg Saelable area per unit LIG</t>
  </si>
  <si>
    <t>Club - P1</t>
  </si>
  <si>
    <t>BAR</t>
  </si>
  <si>
    <t>Built-UP</t>
  </si>
  <si>
    <t>Ground Floor</t>
  </si>
  <si>
    <t>First Floor</t>
  </si>
  <si>
    <t>Second Floor</t>
  </si>
  <si>
    <t xml:space="preserve">Third Floor </t>
  </si>
  <si>
    <t>terrace Floor</t>
  </si>
  <si>
    <t>Machine room</t>
  </si>
  <si>
    <t xml:space="preserve">Total </t>
  </si>
  <si>
    <t>Commercial Block 2  Phase 1</t>
  </si>
  <si>
    <t>Lower Ground Floor</t>
  </si>
  <si>
    <t xml:space="preserve">Terrace Floor </t>
  </si>
  <si>
    <t xml:space="preserve">Machine room </t>
  </si>
  <si>
    <t>Commercial Block 3 Phase 3</t>
  </si>
  <si>
    <t>Third Floor</t>
  </si>
  <si>
    <t>Fourth Floor A</t>
  </si>
  <si>
    <t>Fourth Floor B</t>
  </si>
  <si>
    <t>Commercial Block 1 Phase 4</t>
  </si>
  <si>
    <t>Terrace Floor (restraunt)</t>
  </si>
  <si>
    <t>Total commercial area</t>
  </si>
  <si>
    <t>sft</t>
  </si>
  <si>
    <t xml:space="preserve">Basement Residential </t>
  </si>
  <si>
    <t>sqm</t>
  </si>
  <si>
    <t xml:space="preserve">sft </t>
  </si>
  <si>
    <t xml:space="preserve">Basement Commercial </t>
  </si>
  <si>
    <t xml:space="preserve">sqm </t>
  </si>
  <si>
    <t>Commercial-Built-up Area</t>
  </si>
  <si>
    <t>Sq. ft.</t>
  </si>
  <si>
    <t>Market Rates</t>
  </si>
  <si>
    <t>2850 / sq. ft.</t>
  </si>
  <si>
    <t>Rs. per sq. ft.</t>
  </si>
  <si>
    <t>Year-6</t>
  </si>
  <si>
    <t>Year-7</t>
  </si>
  <si>
    <t>FY2022-23</t>
  </si>
  <si>
    <t>FY2023-24</t>
  </si>
  <si>
    <t>FY2024-25</t>
  </si>
  <si>
    <t>FY2025-26</t>
  </si>
  <si>
    <t>FY2026-27</t>
  </si>
  <si>
    <t>FY2027-28</t>
  </si>
  <si>
    <t>FY2028-29</t>
  </si>
  <si>
    <t>FY2029-30</t>
  </si>
  <si>
    <t>Cash Out-flow</t>
  </si>
  <si>
    <t>Cost of the Project</t>
  </si>
  <si>
    <t>Sale Price (in Rs. /Sq. ft.)</t>
  </si>
  <si>
    <t>Inflow-EWS (in Rs. Cr.)</t>
  </si>
  <si>
    <t>I</t>
  </si>
  <si>
    <t>Inflow-LIG (in Rs. Cr.)</t>
  </si>
  <si>
    <t>Inflow-Developers' Flats (in Rs. Cr.)</t>
  </si>
  <si>
    <t>Inflow-Commercial (in Rs. Cr.)</t>
  </si>
  <si>
    <t>p1 9</t>
  </si>
  <si>
    <t>tower</t>
  </si>
  <si>
    <t>10-12 cr.</t>
  </si>
  <si>
    <t xml:space="preserve">Sr. No. </t>
  </si>
  <si>
    <t xml:space="preserve">Description </t>
  </si>
  <si>
    <r>
      <t xml:space="preserve">Average Cost for Residential                          </t>
    </r>
    <r>
      <rPr>
        <b/>
        <i/>
        <sz val="10"/>
        <color theme="0"/>
        <rFont val="Calibri"/>
        <family val="2"/>
        <scheme val="minor"/>
      </rPr>
      <t>(per sq.ft.)</t>
    </r>
  </si>
  <si>
    <t>T1
= Average Cost
x FAR Area</t>
  </si>
  <si>
    <r>
      <t xml:space="preserve">Average Cost for commercial                         </t>
    </r>
    <r>
      <rPr>
        <b/>
        <i/>
        <sz val="10"/>
        <color theme="0"/>
        <rFont val="Calibri"/>
        <family val="2"/>
        <scheme val="minor"/>
      </rPr>
      <t>(per sq.ft.)</t>
    </r>
  </si>
  <si>
    <t>T2
= Average Cost
x FAR Area</t>
  </si>
  <si>
    <t>GRAND TOTAL
(T1+ T2)</t>
  </si>
  <si>
    <t>i</t>
  </si>
  <si>
    <t>Basic structure construction cost</t>
  </si>
  <si>
    <t>ii</t>
  </si>
  <si>
    <t>Project sanctioning/ approval, Architectural, structural stability Fees, etc.</t>
  </si>
  <si>
    <t>iii</t>
  </si>
  <si>
    <t>Finishing Work (Flooring, white washing, fittings &amp; fixtures, etc.)</t>
  </si>
  <si>
    <t>iv</t>
  </si>
  <si>
    <r>
      <t xml:space="preserve">MEP Works </t>
    </r>
    <r>
      <rPr>
        <i/>
        <sz val="11"/>
        <color theme="1"/>
        <rFont val="Calibri"/>
        <family val="2"/>
        <scheme val="minor"/>
      </rPr>
      <t>(Mechanical, Electrical &amp; Plumbing)</t>
    </r>
  </si>
  <si>
    <t>v</t>
  </si>
  <si>
    <t>Internal &amp; External Development charges</t>
  </si>
  <si>
    <t>vi</t>
  </si>
  <si>
    <t xml:space="preserve">Other expenses (Firefighting, intercom &amp; etc.) @ 1.5% of total cost (i+ii+iii+iv+v)             </t>
  </si>
  <si>
    <t>vii</t>
  </si>
  <si>
    <t xml:space="preserve">Pre-operative &amp; Administrative expenses @ 5% of total cost  (i+ii+iii+iv+v+vi)           </t>
  </si>
  <si>
    <t>viii</t>
  </si>
  <si>
    <t>Marketing &amp; Selling charges @ 3% of Rs.2,000/- &amp; Rs.7,000/-</t>
  </si>
  <si>
    <t>ix</t>
  </si>
  <si>
    <t>Institutional Borrowing for 03 years @ 12.5% on 75% of total cost (i+ii+iii+iv+v+vi+vii+viii)</t>
  </si>
  <si>
    <t>ACTUAL COC</t>
  </si>
  <si>
    <t>RESI</t>
  </si>
  <si>
    <t>COMM</t>
  </si>
  <si>
    <t>Inflation</t>
  </si>
  <si>
    <t xml:space="preserve">Cost of Construction and associated expenses </t>
  </si>
  <si>
    <t>Year-8</t>
  </si>
  <si>
    <t>FY2030-31</t>
  </si>
  <si>
    <t>core</t>
  </si>
  <si>
    <t>Row Labels</t>
  </si>
  <si>
    <t>Grand Total</t>
  </si>
  <si>
    <t>Sum of Saleable Area_Tower</t>
  </si>
  <si>
    <t>Community Center (EWS/LIG)</t>
  </si>
  <si>
    <t>BUA-Residential</t>
  </si>
  <si>
    <t>Rs. Cr.</t>
  </si>
  <si>
    <t>Phase-1</t>
  </si>
  <si>
    <t>Phase-2, 3 &amp; 4</t>
  </si>
  <si>
    <t>Total</t>
  </si>
  <si>
    <t>Year-9</t>
  </si>
  <si>
    <t>Year-10</t>
  </si>
  <si>
    <t>FY2031-32</t>
  </si>
  <si>
    <t>FY2032-33</t>
  </si>
  <si>
    <t>Construction-Phase 1</t>
  </si>
  <si>
    <t>Construction-Phase 2, 3 &amp; 4</t>
  </si>
  <si>
    <t>Cost of Construction-Phase 1</t>
  </si>
  <si>
    <t>Cost of Construction-Phase 2, 3 &amp; 4</t>
  </si>
  <si>
    <t>Occupancy-Phase 1</t>
  </si>
  <si>
    <t>Occupancy-Phase 2, 3 &amp; 4</t>
  </si>
  <si>
    <t>Saleable Area-Phase 1</t>
  </si>
  <si>
    <t>Saleable Area-Phase 2, 3 &amp; 4</t>
  </si>
  <si>
    <t>Total Inflow</t>
  </si>
  <si>
    <t>Net Cash Flow</t>
  </si>
  <si>
    <t xml:space="preserve">Club </t>
  </si>
  <si>
    <t>Residential</t>
  </si>
  <si>
    <t>Nifty fifty 15 year CAGR</t>
  </si>
  <si>
    <t>Marketing &amp; Selling charges @ 3% of Rs.2,800/- &amp; Rs.7,500/-</t>
  </si>
  <si>
    <t>Total Commercial</t>
  </si>
  <si>
    <t>Inflation on sale price per year</t>
  </si>
  <si>
    <t>Inflation on construction cost</t>
  </si>
  <si>
    <t>per year</t>
  </si>
  <si>
    <t>Developers</t>
  </si>
  <si>
    <t xml:space="preserve">              </t>
  </si>
  <si>
    <t>Inflation in rates as per Guidelines</t>
  </si>
  <si>
    <t>Total-Outflow</t>
  </si>
  <si>
    <t>Fair Value after subtracting Developer's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</si>
</sst>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₹&quot;\ #,##0.00;[Red]&quot;₹&quot;\ \-#,##0.00"/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-* #,##0.00_-;\-* #,##0.00_-;_-* &quot;-&quot;??_-;_-@_-"/>
    <numFmt numFmtId="166" formatCode="_-* #,##0_-;\-* #,##0_-;_-* &quot;-&quot;??_-;_-@_-"/>
    <numFmt numFmtId="167" formatCode="_(* #,##0.00_);_(* \(#,##0.00\);_(* &quot;-&quot;??_);_(@_)"/>
    <numFmt numFmtId="168" formatCode="_ &quot;₹&quot;\ * #,##0_ ;_ &quot;₹&quot;\ * \-#,##0_ ;_ &quot;₹&quot;\ * &quot;-&quot;??_ ;_ @_ "/>
    <numFmt numFmtId="169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name val="Calibri"/>
      <family val="1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i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1" applyNumberFormat="0" applyFill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8">
    <xf numFmtId="0" fontId="0" fillId="0" borderId="0" xfId="0"/>
    <xf numFmtId="0" fontId="3" fillId="0" borderId="2" xfId="0" applyFont="1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43" fontId="0" fillId="0" borderId="2" xfId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/>
    </xf>
    <xf numFmtId="43" fontId="3" fillId="3" borderId="2" xfId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right" vertical="center"/>
    </xf>
    <xf numFmtId="43" fontId="3" fillId="5" borderId="2" xfId="1" applyFont="1" applyFill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/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17" fontId="2" fillId="2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3" fillId="6" borderId="2" xfId="0" applyFont="1" applyFill="1" applyBorder="1"/>
    <xf numFmtId="0" fontId="0" fillId="6" borderId="2" xfId="0" applyFill="1" applyBorder="1"/>
    <xf numFmtId="9" fontId="0" fillId="0" borderId="2" xfId="2" applyFont="1" applyBorder="1"/>
    <xf numFmtId="0" fontId="0" fillId="6" borderId="2" xfId="0" applyFill="1" applyBorder="1" applyAlignment="1"/>
    <xf numFmtId="9" fontId="0" fillId="0" borderId="2" xfId="2" applyFont="1" applyBorder="1" applyAlignment="1"/>
    <xf numFmtId="0" fontId="5" fillId="2" borderId="2" xfId="5" applyFont="1" applyFill="1" applyBorder="1" applyAlignment="1">
      <alignment vertical="center" wrapText="1"/>
    </xf>
    <xf numFmtId="0" fontId="5" fillId="2" borderId="2" xfId="5" applyFont="1" applyFill="1" applyBorder="1" applyAlignment="1">
      <alignment vertical="center"/>
    </xf>
    <xf numFmtId="164" fontId="8" fillId="0" borderId="2" xfId="4" applyNumberFormat="1" applyFont="1" applyFill="1" applyBorder="1" applyAlignment="1">
      <alignment vertical="top" shrinkToFit="1"/>
    </xf>
    <xf numFmtId="0" fontId="6" fillId="0" borderId="2" xfId="5" applyFont="1" applyFill="1" applyBorder="1" applyAlignment="1">
      <alignment vertical="top"/>
    </xf>
    <xf numFmtId="9" fontId="8" fillId="0" borderId="2" xfId="5" applyNumberFormat="1" applyFont="1" applyFill="1" applyBorder="1" applyAlignment="1">
      <alignment vertical="top" shrinkToFit="1"/>
    </xf>
    <xf numFmtId="164" fontId="0" fillId="0" borderId="2" xfId="0" applyNumberFormat="1" applyBorder="1"/>
    <xf numFmtId="43" fontId="0" fillId="0" borderId="2" xfId="4" applyFont="1" applyBorder="1"/>
    <xf numFmtId="9" fontId="0" fillId="0" borderId="0" xfId="0" applyNumberFormat="1"/>
    <xf numFmtId="0" fontId="6" fillId="0" borderId="2" xfId="5" applyFont="1" applyFill="1" applyBorder="1" applyAlignment="1">
      <alignment vertical="top" wrapText="1"/>
    </xf>
    <xf numFmtId="10" fontId="8" fillId="0" borderId="2" xfId="2" applyNumberFormat="1" applyFont="1" applyFill="1" applyBorder="1" applyAlignment="1">
      <alignment vertical="top" shrinkToFit="1"/>
    </xf>
    <xf numFmtId="0" fontId="0" fillId="7" borderId="0" xfId="0" applyFill="1" applyAlignment="1">
      <alignment wrapText="1"/>
    </xf>
    <xf numFmtId="0" fontId="0" fillId="0" borderId="0" xfId="0" applyAlignment="1">
      <alignment wrapText="1"/>
    </xf>
    <xf numFmtId="166" fontId="0" fillId="0" borderId="0" xfId="7" applyNumberFormat="1" applyFont="1" applyAlignment="1">
      <alignment wrapText="1"/>
    </xf>
    <xf numFmtId="166" fontId="0" fillId="6" borderId="2" xfId="7" applyNumberFormat="1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2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9" fontId="0" fillId="0" borderId="0" xfId="0" applyNumberFormat="1" applyAlignment="1">
      <alignment wrapText="1"/>
    </xf>
    <xf numFmtId="0" fontId="3" fillId="0" borderId="1" xfId="3" applyAlignment="1">
      <alignment wrapText="1"/>
    </xf>
    <xf numFmtId="2" fontId="3" fillId="0" borderId="1" xfId="3" applyNumberFormat="1" applyAlignment="1">
      <alignment wrapText="1"/>
    </xf>
    <xf numFmtId="166" fontId="3" fillId="0" borderId="1" xfId="7" applyNumberFormat="1" applyFont="1" applyBorder="1" applyAlignment="1">
      <alignment wrapText="1"/>
    </xf>
    <xf numFmtId="10" fontId="3" fillId="0" borderId="1" xfId="3" applyNumberFormat="1" applyAlignment="1">
      <alignment wrapText="1"/>
    </xf>
    <xf numFmtId="9" fontId="3" fillId="0" borderId="1" xfId="3" applyNumberFormat="1" applyAlignment="1">
      <alignment wrapText="1"/>
    </xf>
    <xf numFmtId="165" fontId="3" fillId="0" borderId="1" xfId="7" applyFont="1" applyBorder="1" applyAlignment="1">
      <alignment wrapText="1"/>
    </xf>
    <xf numFmtId="165" fontId="3" fillId="0" borderId="0" xfId="7" applyFont="1" applyFill="1" applyBorder="1" applyAlignment="1">
      <alignment wrapText="1"/>
    </xf>
    <xf numFmtId="166" fontId="3" fillId="0" borderId="1" xfId="7" applyNumberFormat="1" applyFont="1" applyBorder="1" applyAlignment="1">
      <alignment vertical="top" wrapText="1"/>
    </xf>
    <xf numFmtId="165" fontId="3" fillId="0" borderId="1" xfId="7" applyFont="1" applyBorder="1" applyAlignment="1">
      <alignment vertical="top" wrapText="1"/>
    </xf>
    <xf numFmtId="0" fontId="0" fillId="6" borderId="2" xfId="0" applyFill="1" applyBorder="1" applyAlignment="1">
      <alignment wrapText="1"/>
    </xf>
    <xf numFmtId="166" fontId="0" fillId="6" borderId="2" xfId="7" applyNumberFormat="1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167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165" fontId="3" fillId="0" borderId="0" xfId="0" applyNumberFormat="1" applyFont="1" applyAlignment="1">
      <alignment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66" fontId="3" fillId="5" borderId="2" xfId="7" applyNumberFormat="1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166" fontId="3" fillId="5" borderId="6" xfId="7" applyNumberFormat="1" applyFont="1" applyFill="1" applyBorder="1" applyAlignment="1">
      <alignment vertical="center" wrapText="1"/>
    </xf>
    <xf numFmtId="166" fontId="3" fillId="5" borderId="7" xfId="7" applyNumberFormat="1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166" fontId="0" fillId="9" borderId="9" xfId="7" applyNumberFormat="1" applyFont="1" applyFill="1" applyBorder="1" applyAlignment="1">
      <alignment vertical="center" wrapText="1"/>
    </xf>
    <xf numFmtId="165" fontId="1" fillId="0" borderId="10" xfId="7" applyFont="1" applyBorder="1" applyAlignment="1">
      <alignment vertical="center" wrapText="1"/>
    </xf>
    <xf numFmtId="165" fontId="1" fillId="0" borderId="9" xfId="7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66" fontId="1" fillId="9" borderId="2" xfId="7" applyNumberFormat="1" applyFont="1" applyFill="1" applyBorder="1" applyAlignment="1">
      <alignment vertical="center" wrapText="1"/>
    </xf>
    <xf numFmtId="165" fontId="1" fillId="0" borderId="15" xfId="7" applyFont="1" applyBorder="1" applyAlignment="1">
      <alignment vertical="center" wrapText="1"/>
    </xf>
    <xf numFmtId="165" fontId="1" fillId="0" borderId="2" xfId="7" applyFont="1" applyBorder="1" applyAlignment="1">
      <alignment vertical="center" wrapText="1"/>
    </xf>
    <xf numFmtId="166" fontId="3" fillId="4" borderId="2" xfId="7" applyNumberFormat="1" applyFont="1" applyFill="1" applyBorder="1" applyAlignment="1">
      <alignment vertical="center" wrapText="1"/>
    </xf>
    <xf numFmtId="165" fontId="3" fillId="4" borderId="15" xfId="7" applyFont="1" applyFill="1" applyBorder="1" applyAlignment="1">
      <alignment vertical="center" wrapText="1"/>
    </xf>
    <xf numFmtId="165" fontId="3" fillId="4" borderId="2" xfId="7" applyFont="1" applyFill="1" applyBorder="1" applyAlignment="1">
      <alignment vertical="center" wrapText="1"/>
    </xf>
    <xf numFmtId="0" fontId="3" fillId="5" borderId="20" xfId="0" applyFont="1" applyFill="1" applyBorder="1" applyAlignment="1">
      <alignment horizontal="center" vertical="center" wrapText="1"/>
    </xf>
    <xf numFmtId="165" fontId="1" fillId="0" borderId="2" xfId="7" applyFont="1" applyFill="1" applyBorder="1" applyAlignment="1">
      <alignment vertical="center" wrapText="1"/>
    </xf>
    <xf numFmtId="165" fontId="1" fillId="4" borderId="2" xfId="7" applyFont="1" applyFill="1" applyBorder="1" applyAlignment="1">
      <alignment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166" fontId="1" fillId="9" borderId="9" xfId="7" applyNumberFormat="1" applyFont="1" applyFill="1" applyBorder="1" applyAlignment="1">
      <alignment vertical="center" wrapText="1"/>
    </xf>
    <xf numFmtId="165" fontId="1" fillId="0" borderId="9" xfId="7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65" fontId="1" fillId="4" borderId="0" xfId="7" applyFont="1" applyFill="1" applyBorder="1" applyAlignment="1">
      <alignment vertical="center" wrapText="1"/>
    </xf>
    <xf numFmtId="166" fontId="3" fillId="4" borderId="2" xfId="7" applyNumberFormat="1" applyFont="1" applyFill="1" applyBorder="1" applyAlignment="1">
      <alignment horizontal="center" vertical="center" wrapText="1"/>
    </xf>
    <xf numFmtId="167" fontId="3" fillId="4" borderId="3" xfId="0" applyNumberFormat="1" applyFont="1" applyFill="1" applyBorder="1" applyAlignment="1">
      <alignment horizontal="center" vertical="center" wrapText="1"/>
    </xf>
    <xf numFmtId="166" fontId="3" fillId="4" borderId="5" xfId="7" applyNumberFormat="1" applyFont="1" applyFill="1" applyBorder="1" applyAlignment="1">
      <alignment vertical="center" wrapText="1"/>
    </xf>
    <xf numFmtId="166" fontId="3" fillId="4" borderId="23" xfId="7" applyNumberFormat="1" applyFont="1" applyFill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0" fillId="0" borderId="1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165" fontId="0" fillId="0" borderId="0" xfId="7" applyFont="1" applyAlignment="1">
      <alignment wrapText="1"/>
    </xf>
    <xf numFmtId="0" fontId="11" fillId="0" borderId="2" xfId="5" applyFont="1" applyFill="1" applyBorder="1" applyAlignment="1">
      <alignment vertical="top" wrapText="1"/>
    </xf>
    <xf numFmtId="164" fontId="12" fillId="0" borderId="2" xfId="4" applyNumberFormat="1" applyFont="1" applyFill="1" applyBorder="1" applyAlignment="1">
      <alignment vertical="top" shrinkToFit="1"/>
    </xf>
    <xf numFmtId="0" fontId="7" fillId="0" borderId="2" xfId="5" applyFont="1" applyFill="1" applyBorder="1" applyAlignment="1">
      <alignment vertical="top"/>
    </xf>
    <xf numFmtId="43" fontId="3" fillId="0" borderId="2" xfId="4" applyFont="1" applyBorder="1"/>
    <xf numFmtId="0" fontId="2" fillId="11" borderId="2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68" fontId="0" fillId="6" borderId="2" xfId="8" applyNumberFormat="1" applyFont="1" applyFill="1" applyBorder="1" applyAlignment="1">
      <alignment horizontal="right" vertical="center"/>
    </xf>
    <xf numFmtId="168" fontId="0" fillId="0" borderId="2" xfId="8" applyNumberFormat="1" applyFont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168" fontId="0" fillId="6" borderId="13" xfId="8" applyNumberFormat="1" applyFont="1" applyFill="1" applyBorder="1" applyAlignment="1">
      <alignment horizontal="right" vertical="center"/>
    </xf>
    <xf numFmtId="168" fontId="0" fillId="0" borderId="13" xfId="8" applyNumberFormat="1" applyFont="1" applyBorder="1" applyAlignment="1">
      <alignment vertical="center"/>
    </xf>
    <xf numFmtId="0" fontId="0" fillId="0" borderId="15" xfId="0" applyBorder="1" applyAlignment="1">
      <alignment horizontal="left" vertical="center" wrapText="1"/>
    </xf>
    <xf numFmtId="168" fontId="0" fillId="14" borderId="2" xfId="8" applyNumberFormat="1" applyFont="1" applyFill="1" applyBorder="1" applyAlignment="1">
      <alignment horizontal="right" vertical="center"/>
    </xf>
    <xf numFmtId="168" fontId="0" fillId="0" borderId="2" xfId="8" applyNumberFormat="1" applyFont="1" applyFill="1" applyBorder="1" applyAlignment="1">
      <alignment horizontal="right" vertical="center"/>
    </xf>
    <xf numFmtId="10" fontId="0" fillId="0" borderId="0" xfId="0" applyNumberFormat="1" applyAlignment="1">
      <alignment horizontal="center" vertical="center"/>
    </xf>
    <xf numFmtId="0" fontId="0" fillId="0" borderId="15" xfId="0" applyBorder="1" applyAlignment="1">
      <alignment vertical="center" wrapText="1"/>
    </xf>
    <xf numFmtId="9" fontId="0" fillId="0" borderId="0" xfId="0" applyNumberFormat="1" applyAlignment="1">
      <alignment horizontal="center" vertical="center"/>
    </xf>
    <xf numFmtId="164" fontId="0" fillId="0" borderId="0" xfId="1" applyNumberFormat="1" applyFont="1"/>
    <xf numFmtId="0" fontId="0" fillId="13" borderId="1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5" xfId="0" applyFill="1" applyBorder="1" applyAlignment="1">
      <alignment vertical="center" wrapText="1"/>
    </xf>
    <xf numFmtId="168" fontId="14" fillId="0" borderId="9" xfId="8" applyNumberFormat="1" applyFont="1" applyBorder="1" applyAlignment="1">
      <alignment horizontal="right"/>
    </xf>
    <xf numFmtId="168" fontId="14" fillId="0" borderId="9" xfId="0" applyNumberFormat="1" applyFont="1" applyBorder="1"/>
    <xf numFmtId="0" fontId="15" fillId="0" borderId="0" xfId="0" applyFont="1" applyBorder="1" applyAlignment="1">
      <alignment vertical="center"/>
    </xf>
    <xf numFmtId="0" fontId="0" fillId="15" borderId="0" xfId="0" applyFill="1"/>
    <xf numFmtId="168" fontId="0" fillId="0" borderId="2" xfId="0" applyNumberFormat="1" applyBorder="1" applyAlignment="1">
      <alignment horizontal="center" vertical="center"/>
    </xf>
    <xf numFmtId="43" fontId="0" fillId="0" borderId="0" xfId="1" applyFont="1"/>
    <xf numFmtId="0" fontId="16" fillId="0" borderId="2" xfId="0" applyFont="1" applyFill="1" applyBorder="1" applyAlignment="1">
      <alignment vertical="center" wrapText="1"/>
    </xf>
    <xf numFmtId="43" fontId="16" fillId="0" borderId="2" xfId="1" applyFont="1" applyFill="1" applyBorder="1" applyAlignment="1">
      <alignment vertical="center" wrapText="1"/>
    </xf>
    <xf numFmtId="43" fontId="0" fillId="0" borderId="2" xfId="1" applyFont="1" applyBorder="1"/>
    <xf numFmtId="164" fontId="0" fillId="0" borderId="2" xfId="1" applyNumberFormat="1" applyFont="1" applyBorder="1"/>
    <xf numFmtId="0" fontId="0" fillId="7" borderId="0" xfId="0" applyFill="1" applyAlignment="1">
      <alignment vertical="center" wrapText="1"/>
    </xf>
    <xf numFmtId="166" fontId="0" fillId="0" borderId="0" xfId="7" applyNumberFormat="1" applyFont="1" applyAlignment="1">
      <alignment vertical="center" wrapText="1"/>
    </xf>
    <xf numFmtId="2" fontId="0" fillId="0" borderId="0" xfId="0" applyNumberFormat="1" applyAlignment="1">
      <alignment vertical="center" wrapText="1"/>
    </xf>
    <xf numFmtId="10" fontId="0" fillId="0" borderId="0" xfId="0" applyNumberFormat="1" applyAlignment="1">
      <alignment vertical="center" wrapText="1"/>
    </xf>
    <xf numFmtId="9" fontId="0" fillId="0" borderId="0" xfId="0" applyNumberFormat="1" applyAlignment="1">
      <alignment vertical="center" wrapText="1"/>
    </xf>
    <xf numFmtId="0" fontId="3" fillId="0" borderId="1" xfId="3" applyAlignment="1">
      <alignment vertical="center" wrapText="1"/>
    </xf>
    <xf numFmtId="166" fontId="3" fillId="0" borderId="1" xfId="7" applyNumberFormat="1" applyFont="1" applyBorder="1" applyAlignment="1">
      <alignment vertical="center" wrapText="1"/>
    </xf>
    <xf numFmtId="2" fontId="3" fillId="0" borderId="1" xfId="3" applyNumberFormat="1" applyAlignment="1">
      <alignment vertical="center" wrapText="1"/>
    </xf>
    <xf numFmtId="165" fontId="3" fillId="0" borderId="1" xfId="7" applyFont="1" applyBorder="1" applyAlignment="1">
      <alignment vertical="center" wrapText="1"/>
    </xf>
    <xf numFmtId="165" fontId="3" fillId="0" borderId="0" xfId="7" applyFont="1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166" fontId="0" fillId="6" borderId="2" xfId="7" applyNumberFormat="1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 wrapText="1"/>
    </xf>
    <xf numFmtId="166" fontId="3" fillId="6" borderId="2" xfId="7" applyNumberFormat="1" applyFont="1" applyFill="1" applyBorder="1" applyAlignment="1">
      <alignment vertical="center" wrapText="1"/>
    </xf>
    <xf numFmtId="166" fontId="0" fillId="0" borderId="2" xfId="7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167" fontId="0" fillId="0" borderId="0" xfId="0" applyNumberFormat="1" applyAlignment="1">
      <alignment vertical="center" wrapText="1"/>
    </xf>
    <xf numFmtId="165" fontId="0" fillId="0" borderId="0" xfId="0" applyNumberForma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65" fontId="0" fillId="0" borderId="0" xfId="7" applyFont="1" applyAlignment="1">
      <alignment vertical="center" wrapText="1"/>
    </xf>
    <xf numFmtId="43" fontId="0" fillId="0" borderId="0" xfId="0" applyNumberFormat="1"/>
    <xf numFmtId="43" fontId="3" fillId="0" borderId="0" xfId="1" applyFont="1"/>
    <xf numFmtId="164" fontId="3" fillId="0" borderId="0" xfId="1" applyNumberFormat="1" applyFont="1"/>
    <xf numFmtId="0" fontId="3" fillId="6" borderId="2" xfId="0" applyFont="1" applyFill="1" applyBorder="1" applyAlignment="1">
      <alignment horizontal="center" vertical="center" wrapText="1"/>
    </xf>
    <xf numFmtId="166" fontId="3" fillId="6" borderId="2" xfId="7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3" fillId="0" borderId="0" xfId="1" applyNumberFormat="1" applyFont="1" applyAlignment="1">
      <alignment vertical="center" wrapText="1"/>
    </xf>
    <xf numFmtId="164" fontId="3" fillId="0" borderId="1" xfId="1" applyNumberFormat="1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166" fontId="3" fillId="0" borderId="0" xfId="7" applyNumberFormat="1" applyFont="1" applyAlignment="1">
      <alignment horizontal="center" vertical="center" wrapText="1"/>
    </xf>
    <xf numFmtId="0" fontId="6" fillId="0" borderId="2" xfId="5" applyFont="1" applyFill="1" applyBorder="1" applyAlignment="1">
      <alignment horizontal="right" vertical="top" wrapText="1"/>
    </xf>
    <xf numFmtId="164" fontId="8" fillId="0" borderId="2" xfId="4" applyNumberFormat="1" applyFont="1" applyFill="1" applyBorder="1" applyAlignment="1">
      <alignment horizontal="right" vertical="top" shrinkToFit="1"/>
    </xf>
    <xf numFmtId="43" fontId="3" fillId="6" borderId="2" xfId="1" applyFont="1" applyFill="1" applyBorder="1" applyAlignment="1">
      <alignment horizontal="center" vertical="center" wrapText="1"/>
    </xf>
    <xf numFmtId="43" fontId="3" fillId="0" borderId="0" xfId="1" applyFont="1" applyAlignment="1">
      <alignment vertical="center" wrapText="1"/>
    </xf>
    <xf numFmtId="164" fontId="0" fillId="0" borderId="2" xfId="1" applyNumberFormat="1" applyFont="1" applyBorder="1" applyAlignment="1">
      <alignment vertical="center" wrapText="1"/>
    </xf>
    <xf numFmtId="166" fontId="0" fillId="0" borderId="0" xfId="0" applyNumberFormat="1" applyAlignment="1">
      <alignment wrapText="1"/>
    </xf>
    <xf numFmtId="0" fontId="11" fillId="0" borderId="2" xfId="5" applyFont="1" applyFill="1" applyBorder="1" applyAlignment="1">
      <alignment horizontal="left" vertical="top" wrapText="1"/>
    </xf>
    <xf numFmtId="10" fontId="0" fillId="0" borderId="0" xfId="2" applyNumberFormat="1" applyFont="1"/>
    <xf numFmtId="10" fontId="0" fillId="0" borderId="0" xfId="0" applyNumberFormat="1"/>
    <xf numFmtId="43" fontId="3" fillId="0" borderId="2" xfId="2" applyNumberFormat="1" applyFont="1" applyBorder="1"/>
    <xf numFmtId="43" fontId="3" fillId="0" borderId="2" xfId="1" applyFont="1" applyBorder="1"/>
    <xf numFmtId="0" fontId="3" fillId="0" borderId="2" xfId="0" applyFont="1" applyBorder="1" applyAlignment="1">
      <alignment horizontal="right"/>
    </xf>
    <xf numFmtId="164" fontId="0" fillId="0" borderId="0" xfId="0" applyNumberFormat="1"/>
    <xf numFmtId="0" fontId="3" fillId="0" borderId="2" xfId="0" applyFont="1" applyFill="1" applyBorder="1"/>
    <xf numFmtId="164" fontId="0" fillId="6" borderId="2" xfId="1" applyNumberFormat="1" applyFont="1" applyFill="1" applyBorder="1" applyAlignment="1">
      <alignment horizontal="right" vertical="center"/>
    </xf>
    <xf numFmtId="8" fontId="0" fillId="0" borderId="0" xfId="0" applyNumberFormat="1"/>
    <xf numFmtId="0" fontId="7" fillId="0" borderId="2" xfId="5" applyFont="1" applyFill="1" applyBorder="1" applyAlignment="1">
      <alignment vertical="top" wrapText="1"/>
    </xf>
    <xf numFmtId="8" fontId="1" fillId="0" borderId="2" xfId="4" applyNumberFormat="1" applyFont="1" applyBorder="1"/>
    <xf numFmtId="0" fontId="3" fillId="12" borderId="2" xfId="0" applyFont="1" applyFill="1" applyBorder="1" applyAlignment="1">
      <alignment horizontal="center" vertical="center"/>
    </xf>
    <xf numFmtId="9" fontId="0" fillId="0" borderId="0" xfId="2" applyFont="1"/>
    <xf numFmtId="43" fontId="0" fillId="0" borderId="2" xfId="0" applyNumberFormat="1" applyBorder="1"/>
    <xf numFmtId="43" fontId="8" fillId="0" borderId="2" xfId="1" applyFont="1" applyFill="1" applyBorder="1" applyAlignment="1">
      <alignment vertical="top" shrinkToFit="1"/>
    </xf>
    <xf numFmtId="169" fontId="0" fillId="0" borderId="2" xfId="2" applyNumberFormat="1" applyFont="1" applyBorder="1"/>
    <xf numFmtId="43" fontId="0" fillId="0" borderId="0" xfId="1" applyNumberFormat="1" applyFont="1"/>
    <xf numFmtId="0" fontId="17" fillId="0" borderId="2" xfId="0" applyFont="1" applyFill="1" applyBorder="1"/>
    <xf numFmtId="43" fontId="17" fillId="0" borderId="2" xfId="4" applyFont="1" applyBorder="1"/>
    <xf numFmtId="9" fontId="0" fillId="6" borderId="2" xfId="2" applyFont="1" applyFill="1" applyBorder="1"/>
    <xf numFmtId="0" fontId="3" fillId="16" borderId="2" xfId="0" applyFont="1" applyFill="1" applyBorder="1" applyAlignment="1">
      <alignment horizontal="right"/>
    </xf>
    <xf numFmtId="43" fontId="3" fillId="16" borderId="2" xfId="2" applyNumberFormat="1" applyFont="1" applyFill="1" applyBorder="1"/>
    <xf numFmtId="43" fontId="3" fillId="16" borderId="2" xfId="1" applyFont="1" applyFill="1" applyBorder="1"/>
    <xf numFmtId="0" fontId="3" fillId="16" borderId="2" xfId="0" applyFont="1" applyFill="1" applyBorder="1"/>
    <xf numFmtId="43" fontId="3" fillId="16" borderId="2" xfId="4" applyFont="1" applyFill="1" applyBorder="1"/>
    <xf numFmtId="164" fontId="2" fillId="11" borderId="2" xfId="1" applyNumberFormat="1" applyFont="1" applyFill="1" applyBorder="1" applyAlignment="1">
      <alignment horizontal="center" vertical="center" wrapText="1"/>
    </xf>
    <xf numFmtId="164" fontId="14" fillId="0" borderId="9" xfId="1" applyNumberFormat="1" applyFont="1" applyBorder="1" applyAlignment="1">
      <alignment horizontal="right"/>
    </xf>
    <xf numFmtId="164" fontId="0" fillId="15" borderId="0" xfId="1" applyNumberFormat="1" applyFont="1" applyFill="1"/>
    <xf numFmtId="164" fontId="0" fillId="0" borderId="2" xfId="1" applyNumberFormat="1" applyFont="1" applyBorder="1" applyAlignment="1">
      <alignment vertical="center"/>
    </xf>
    <xf numFmtId="43" fontId="14" fillId="0" borderId="0" xfId="1" applyFont="1"/>
    <xf numFmtId="0" fontId="0" fillId="7" borderId="0" xfId="0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6" fontId="1" fillId="0" borderId="13" xfId="7" applyNumberFormat="1" applyFont="1" applyBorder="1" applyAlignment="1">
      <alignment horizontal="center" vertical="center" wrapText="1"/>
    </xf>
    <xf numFmtId="166" fontId="1" fillId="0" borderId="16" xfId="7" applyNumberFormat="1" applyFont="1" applyBorder="1" applyAlignment="1">
      <alignment horizontal="center" vertical="center" wrapText="1"/>
    </xf>
    <xf numFmtId="166" fontId="1" fillId="0" borderId="9" xfId="7" applyNumberFormat="1" applyFont="1" applyBorder="1" applyAlignment="1">
      <alignment horizontal="center" vertical="center" wrapText="1"/>
    </xf>
    <xf numFmtId="166" fontId="0" fillId="0" borderId="14" xfId="7" applyNumberFormat="1" applyFont="1" applyBorder="1" applyAlignment="1">
      <alignment horizontal="center" vertical="center" wrapText="1"/>
    </xf>
    <xf numFmtId="166" fontId="0" fillId="0" borderId="17" xfId="7" applyNumberFormat="1" applyFont="1" applyBorder="1" applyAlignment="1">
      <alignment horizontal="center" vertical="center" wrapText="1"/>
    </xf>
    <xf numFmtId="166" fontId="0" fillId="0" borderId="19" xfId="7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0" fillId="10" borderId="21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10" borderId="18" xfId="0" applyFill="1" applyBorder="1" applyAlignment="1">
      <alignment horizontal="center" vertical="center" wrapText="1"/>
    </xf>
    <xf numFmtId="166" fontId="1" fillId="0" borderId="13" xfId="7" applyNumberFormat="1" applyFont="1" applyFill="1" applyBorder="1" applyAlignment="1">
      <alignment horizontal="center" vertical="center" wrapText="1"/>
    </xf>
    <xf numFmtId="166" fontId="1" fillId="0" borderId="16" xfId="7" applyNumberFormat="1" applyFont="1" applyFill="1" applyBorder="1" applyAlignment="1">
      <alignment horizontal="center" vertical="center" wrapText="1"/>
    </xf>
    <xf numFmtId="166" fontId="1" fillId="0" borderId="9" xfId="7" applyNumberFormat="1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14" fillId="0" borderId="15" xfId="0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0" fontId="3" fillId="12" borderId="2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</cellXfs>
  <cellStyles count="10">
    <cellStyle name="Comma" xfId="1" builtinId="3"/>
    <cellStyle name="Comma 2" xfId="4"/>
    <cellStyle name="Comma 3" xfId="7"/>
    <cellStyle name="Comma 4" xfId="9"/>
    <cellStyle name="Currency" xfId="8" builtinId="4"/>
    <cellStyle name="Normal" xfId="0" builtinId="0"/>
    <cellStyle name="Normal 2" xfId="5"/>
    <cellStyle name="Normal 3" xfId="6"/>
    <cellStyle name="Percent" xfId="2" builtinId="5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47</xdr:row>
      <xdr:rowOff>169332</xdr:rowOff>
    </xdr:from>
    <xdr:to>
      <xdr:col>8</xdr:col>
      <xdr:colOff>593523</xdr:colOff>
      <xdr:row>65</xdr:row>
      <xdr:rowOff>178427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0767" y="12332757"/>
          <a:ext cx="10068781" cy="417152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gineer7.RKASSO/Desktop/Q%20&amp;%20Del/PL%20113%20-%20Refre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 Rates"/>
      <sheetName val="Project Valuation (DCF) - COPY"/>
      <sheetName val="COC Breakup"/>
      <sheetName val="P&amp;L"/>
      <sheetName val="Sold-Unsold Inventory"/>
      <sheetName val="Comparable"/>
      <sheetName val="Original COC BREAKUP -Air India"/>
      <sheetName val="ROUGH - Valuation using DCF"/>
    </sheetNames>
    <sheetDataSet>
      <sheetData sheetId="0"/>
      <sheetData sheetId="1">
        <row r="8">
          <cell r="B8">
            <v>3877019.39</v>
          </cell>
        </row>
        <row r="9">
          <cell r="B9">
            <v>10764</v>
          </cell>
        </row>
        <row r="17">
          <cell r="B17">
            <v>0.90415882569854999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"/>
  <sheetViews>
    <sheetView workbookViewId="0">
      <selection activeCell="B17" sqref="B17"/>
    </sheetView>
  </sheetViews>
  <sheetFormatPr defaultRowHeight="15" x14ac:dyDescent="0.25"/>
  <cols>
    <col min="1" max="1" width="11.5703125" style="2" bestFit="1" customWidth="1"/>
    <col min="2" max="2" width="32.42578125" style="2" bestFit="1" customWidth="1"/>
    <col min="3" max="3" width="10.85546875" style="2" bestFit="1" customWidth="1"/>
    <col min="4" max="6" width="9.140625" style="2"/>
    <col min="7" max="7" width="15.28515625" style="2" bestFit="1" customWidth="1"/>
    <col min="8" max="8" width="10.7109375" style="2" bestFit="1" customWidth="1"/>
    <col min="9" max="16384" width="9.140625" style="2"/>
  </cols>
  <sheetData>
    <row r="2" spans="1:15" x14ac:dyDescent="0.25">
      <c r="A2" s="2" t="s">
        <v>1</v>
      </c>
      <c r="B2" s="2">
        <v>218.54</v>
      </c>
      <c r="C2" s="2" t="s">
        <v>0</v>
      </c>
      <c r="D2" s="2">
        <f>SUM(B2:B3)</f>
        <v>290.99</v>
      </c>
    </row>
    <row r="3" spans="1:15" x14ac:dyDescent="0.25">
      <c r="A3" s="2" t="s">
        <v>2</v>
      </c>
      <c r="B3" s="2">
        <v>72.45</v>
      </c>
      <c r="C3" s="2" t="s">
        <v>0</v>
      </c>
    </row>
    <row r="6" spans="1:15" ht="30" x14ac:dyDescent="0.25">
      <c r="B6" s="5" t="s">
        <v>13</v>
      </c>
      <c r="C6" s="6" t="s">
        <v>14</v>
      </c>
    </row>
    <row r="7" spans="1:15" x14ac:dyDescent="0.25">
      <c r="B7" s="3" t="s">
        <v>3</v>
      </c>
      <c r="C7" s="4">
        <v>4.47</v>
      </c>
    </row>
    <row r="8" spans="1:15" x14ac:dyDescent="0.25">
      <c r="B8" s="3" t="s">
        <v>4</v>
      </c>
      <c r="C8" s="4">
        <v>0.95</v>
      </c>
    </row>
    <row r="9" spans="1:15" x14ac:dyDescent="0.25">
      <c r="B9" s="3" t="s">
        <v>5</v>
      </c>
      <c r="C9" s="4">
        <v>213.12</v>
      </c>
      <c r="G9" s="2" t="s">
        <v>15</v>
      </c>
      <c r="I9" s="2" t="s">
        <v>16</v>
      </c>
      <c r="J9" s="2" t="s">
        <v>17</v>
      </c>
    </row>
    <row r="10" spans="1:15" x14ac:dyDescent="0.25">
      <c r="B10" s="7" t="s">
        <v>1</v>
      </c>
      <c r="C10" s="8">
        <f>SUM(C7:C9)</f>
        <v>218.54</v>
      </c>
      <c r="I10" s="2">
        <v>1296</v>
      </c>
      <c r="J10" s="2">
        <v>322</v>
      </c>
      <c r="K10" s="2">
        <v>113000</v>
      </c>
      <c r="L10" s="11">
        <f>K10/4047</f>
        <v>27.921917469730666</v>
      </c>
    </row>
    <row r="11" spans="1:15" x14ac:dyDescent="0.25">
      <c r="B11" s="3"/>
      <c r="C11" s="4"/>
      <c r="G11" s="11">
        <v>26.96</v>
      </c>
    </row>
    <row r="12" spans="1:15" x14ac:dyDescent="0.25">
      <c r="B12" s="3" t="s">
        <v>6</v>
      </c>
      <c r="C12" s="4">
        <v>16.440000000000001</v>
      </c>
      <c r="G12" s="13">
        <v>109112.16</v>
      </c>
    </row>
    <row r="13" spans="1:15" x14ac:dyDescent="0.25">
      <c r="B13" s="3" t="s">
        <v>7</v>
      </c>
      <c r="C13" s="4">
        <v>2.2000000000000002</v>
      </c>
      <c r="G13" s="12">
        <v>1800</v>
      </c>
      <c r="N13" s="2" t="s">
        <v>203</v>
      </c>
      <c r="O13" s="2" t="s">
        <v>204</v>
      </c>
    </row>
    <row r="14" spans="1:15" x14ac:dyDescent="0.25">
      <c r="B14" s="3" t="s">
        <v>8</v>
      </c>
      <c r="C14" s="4">
        <v>1</v>
      </c>
    </row>
    <row r="15" spans="1:15" x14ac:dyDescent="0.25">
      <c r="B15" s="3" t="s">
        <v>9</v>
      </c>
      <c r="C15" s="4">
        <v>34.83</v>
      </c>
    </row>
    <row r="16" spans="1:15" x14ac:dyDescent="0.25">
      <c r="B16" s="3" t="s">
        <v>10</v>
      </c>
      <c r="C16" s="4">
        <v>5</v>
      </c>
      <c r="M16" s="2" t="s">
        <v>205</v>
      </c>
    </row>
    <row r="17" spans="2:8" x14ac:dyDescent="0.25">
      <c r="B17" s="3" t="s">
        <v>11</v>
      </c>
      <c r="C17" s="4">
        <v>12.98</v>
      </c>
      <c r="F17" s="2" t="s">
        <v>36</v>
      </c>
      <c r="G17" s="12">
        <v>1374000</v>
      </c>
      <c r="H17" s="2" t="s">
        <v>35</v>
      </c>
    </row>
    <row r="18" spans="2:8" x14ac:dyDescent="0.25">
      <c r="B18" s="7" t="s">
        <v>2</v>
      </c>
      <c r="C18" s="8">
        <f>SUM(C12:C17)</f>
        <v>72.45</v>
      </c>
    </row>
    <row r="19" spans="2:8" x14ac:dyDescent="0.25">
      <c r="B19" s="9" t="s">
        <v>12</v>
      </c>
      <c r="C19" s="10">
        <f>C18+C10</f>
        <v>290.99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C127"/>
  <sheetViews>
    <sheetView topLeftCell="A69" zoomScale="70" zoomScaleNormal="70" workbookViewId="0">
      <selection activeCell="U120" sqref="U120"/>
    </sheetView>
  </sheetViews>
  <sheetFormatPr defaultRowHeight="15" x14ac:dyDescent="0.25"/>
  <cols>
    <col min="1" max="1" width="37.28515625" style="35" customWidth="1"/>
    <col min="2" max="2" width="24.85546875" style="35" customWidth="1"/>
    <col min="3" max="4" width="9.140625" style="35"/>
    <col min="5" max="5" width="18.5703125" style="35" customWidth="1"/>
    <col min="6" max="6" width="12.85546875" style="35" bestFit="1" customWidth="1"/>
    <col min="7" max="7" width="9.140625" style="35"/>
    <col min="8" max="8" width="8.7109375" style="35" customWidth="1"/>
    <col min="9" max="9" width="14" style="35" customWidth="1"/>
    <col min="10" max="10" width="13.28515625" style="35" customWidth="1"/>
    <col min="11" max="11" width="5.28515625" style="35" customWidth="1"/>
    <col min="12" max="12" width="20.85546875" style="36" hidden="1" customWidth="1"/>
    <col min="13" max="13" width="10.85546875" style="35" hidden="1" customWidth="1"/>
    <col min="14" max="14" width="15.85546875" style="35" hidden="1" customWidth="1"/>
    <col min="15" max="15" width="14.140625" style="35" hidden="1" customWidth="1"/>
    <col min="16" max="17" width="8.7109375" style="35" hidden="1" customWidth="1"/>
    <col min="18" max="18" width="22.140625" style="36" bestFit="1" customWidth="1"/>
    <col min="19" max="19" width="15" style="35" bestFit="1" customWidth="1"/>
    <col min="20" max="20" width="17.42578125" style="35" customWidth="1"/>
    <col min="21" max="21" width="13" style="36" bestFit="1" customWidth="1"/>
    <col min="22" max="22" width="15.85546875" style="36" bestFit="1" customWidth="1"/>
    <col min="23" max="23" width="13" style="36" bestFit="1" customWidth="1"/>
    <col min="24" max="24" width="15.85546875" style="36" bestFit="1" customWidth="1"/>
    <col min="25" max="16384" width="9.140625" style="35"/>
  </cols>
  <sheetData>
    <row r="1" spans="1:29" x14ac:dyDescent="0.25">
      <c r="A1" s="199" t="s">
        <v>37</v>
      </c>
      <c r="B1" s="199"/>
      <c r="C1" s="199"/>
      <c r="D1" s="199"/>
      <c r="E1" s="199"/>
      <c r="F1" s="199"/>
      <c r="G1" s="34"/>
      <c r="H1" s="34"/>
    </row>
    <row r="2" spans="1:29" ht="90" x14ac:dyDescent="0.25">
      <c r="A2" s="35" t="s">
        <v>38</v>
      </c>
      <c r="B2" s="35" t="s">
        <v>39</v>
      </c>
      <c r="D2" s="35" t="s">
        <v>40</v>
      </c>
      <c r="E2" s="35" t="s">
        <v>41</v>
      </c>
      <c r="F2" s="35" t="s">
        <v>42</v>
      </c>
      <c r="G2" s="35" t="s">
        <v>43</v>
      </c>
      <c r="H2" s="35" t="s">
        <v>44</v>
      </c>
      <c r="I2" s="35" t="s">
        <v>45</v>
      </c>
      <c r="J2" s="35" t="s">
        <v>46</v>
      </c>
      <c r="K2" s="35" t="s">
        <v>47</v>
      </c>
      <c r="L2" s="36" t="s">
        <v>48</v>
      </c>
      <c r="M2" s="35" t="s">
        <v>49</v>
      </c>
      <c r="N2" s="35" t="s">
        <v>50</v>
      </c>
      <c r="O2" s="35" t="s">
        <v>51</v>
      </c>
      <c r="P2" s="35" t="s">
        <v>52</v>
      </c>
      <c r="Q2" s="35" t="s">
        <v>53</v>
      </c>
      <c r="R2" s="36" t="s">
        <v>54</v>
      </c>
      <c r="U2" s="37" t="s">
        <v>55</v>
      </c>
      <c r="V2" s="37" t="s">
        <v>56</v>
      </c>
      <c r="W2" s="37" t="s">
        <v>57</v>
      </c>
      <c r="X2" s="37" t="s">
        <v>58</v>
      </c>
      <c r="Z2" s="38" t="s">
        <v>55</v>
      </c>
      <c r="AA2" s="38" t="s">
        <v>56</v>
      </c>
      <c r="AB2" s="38" t="s">
        <v>57</v>
      </c>
      <c r="AC2" s="38" t="s">
        <v>58</v>
      </c>
    </row>
    <row r="3" spans="1:29" ht="30" x14ac:dyDescent="0.25">
      <c r="I3" s="35">
        <v>1</v>
      </c>
      <c r="J3" s="35">
        <v>2</v>
      </c>
      <c r="L3" s="36">
        <v>3</v>
      </c>
      <c r="M3" s="35" t="s">
        <v>59</v>
      </c>
      <c r="N3" s="35">
        <v>5</v>
      </c>
      <c r="O3" s="35" t="s">
        <v>60</v>
      </c>
      <c r="P3" s="35" t="s">
        <v>61</v>
      </c>
      <c r="Q3" s="35" t="s">
        <v>62</v>
      </c>
      <c r="R3" s="36" t="s">
        <v>63</v>
      </c>
      <c r="U3" s="37">
        <v>1</v>
      </c>
      <c r="V3" s="37">
        <v>2</v>
      </c>
      <c r="W3" s="37">
        <v>3</v>
      </c>
      <c r="X3" s="37">
        <v>4</v>
      </c>
      <c r="Z3" s="38">
        <v>1</v>
      </c>
      <c r="AA3" s="38">
        <v>2</v>
      </c>
      <c r="AB3" s="38">
        <v>3</v>
      </c>
      <c r="AC3" s="38">
        <v>4</v>
      </c>
    </row>
    <row r="4" spans="1:29" x14ac:dyDescent="0.25">
      <c r="A4" s="35">
        <v>1</v>
      </c>
      <c r="B4" s="35" t="s">
        <v>64</v>
      </c>
      <c r="C4" s="35" t="s">
        <v>65</v>
      </c>
      <c r="D4" s="35">
        <v>1</v>
      </c>
      <c r="E4" s="35" t="s">
        <v>66</v>
      </c>
      <c r="F4" s="35" t="s">
        <v>67</v>
      </c>
      <c r="G4" s="35">
        <v>146</v>
      </c>
      <c r="H4" s="35">
        <v>146</v>
      </c>
      <c r="I4" s="39">
        <v>321.41303999999997</v>
      </c>
      <c r="J4" s="39">
        <v>32.830199999999991</v>
      </c>
      <c r="K4" s="39">
        <v>0</v>
      </c>
      <c r="L4" s="36">
        <v>95.691959999999995</v>
      </c>
      <c r="M4" s="39">
        <v>449.93519999999995</v>
      </c>
      <c r="N4" s="39">
        <v>153.047776221498</v>
      </c>
      <c r="O4" s="39">
        <v>602.98297622149835</v>
      </c>
      <c r="P4" s="40">
        <v>0.25381773989798001</v>
      </c>
      <c r="Q4" s="41">
        <v>0.74261181604551996</v>
      </c>
      <c r="R4" s="36">
        <f>O4*G4</f>
        <v>88035.514528338754</v>
      </c>
      <c r="U4" s="36">
        <f>IF($D4=U$3,$R4,0)</f>
        <v>88035.514528338754</v>
      </c>
      <c r="V4" s="36">
        <f t="shared" ref="V4:X19" si="0">IF($D4=V$3,$R4,0)</f>
        <v>0</v>
      </c>
      <c r="W4" s="36">
        <f t="shared" si="0"/>
        <v>0</v>
      </c>
      <c r="X4" s="36">
        <f t="shared" si="0"/>
        <v>0</v>
      </c>
      <c r="Z4" s="35">
        <f>IF($D4=Z$3,$G4,0)</f>
        <v>146</v>
      </c>
      <c r="AA4" s="35">
        <f>IF($D4=AA$3,$G4,0)</f>
        <v>0</v>
      </c>
      <c r="AB4" s="35">
        <f>IF($D4=AB$3,$G4,0)</f>
        <v>0</v>
      </c>
      <c r="AC4" s="35">
        <f t="shared" ref="AC4:AC19" si="1">IF($D4=AC$3,$G4,0)</f>
        <v>0</v>
      </c>
    </row>
    <row r="5" spans="1:29" x14ac:dyDescent="0.25">
      <c r="B5" s="35" t="s">
        <v>64</v>
      </c>
      <c r="C5" s="35" t="s">
        <v>68</v>
      </c>
      <c r="D5" s="35">
        <v>1</v>
      </c>
      <c r="E5" s="35" t="s">
        <v>69</v>
      </c>
      <c r="F5" s="35" t="s">
        <v>67</v>
      </c>
      <c r="G5" s="35">
        <v>176</v>
      </c>
      <c r="H5" s="35">
        <v>176</v>
      </c>
      <c r="I5" s="39">
        <v>321.41303999999997</v>
      </c>
      <c r="J5" s="39">
        <v>32.830199999999991</v>
      </c>
      <c r="K5" s="39">
        <v>63.292319999999997</v>
      </c>
      <c r="L5" s="36">
        <v>95.691959999999995</v>
      </c>
      <c r="M5" s="39">
        <v>449.93519999999995</v>
      </c>
      <c r="N5" s="39">
        <v>153.04777622149837</v>
      </c>
      <c r="O5" s="39">
        <v>602.98297622149835</v>
      </c>
      <c r="P5" s="40">
        <v>0.2538177398979804</v>
      </c>
      <c r="Q5" s="41">
        <v>0.74261181604552007</v>
      </c>
      <c r="R5" s="36">
        <f t="shared" ref="R5:R44" si="2">O5*G5</f>
        <v>106125.00381498371</v>
      </c>
      <c r="U5" s="36">
        <f t="shared" ref="U5:X33" si="3">IF($D5=U$3,$R5,0)</f>
        <v>106125.00381498371</v>
      </c>
      <c r="V5" s="36">
        <f t="shared" si="0"/>
        <v>0</v>
      </c>
      <c r="W5" s="36">
        <f t="shared" si="0"/>
        <v>0</v>
      </c>
      <c r="X5" s="36">
        <f t="shared" si="0"/>
        <v>0</v>
      </c>
      <c r="Z5" s="35">
        <f t="shared" ref="Z5:AC33" si="4">IF($D5=Z$3,$G5,0)</f>
        <v>176</v>
      </c>
      <c r="AA5" s="35">
        <f t="shared" si="4"/>
        <v>0</v>
      </c>
      <c r="AB5" s="35">
        <f t="shared" si="4"/>
        <v>0</v>
      </c>
      <c r="AC5" s="35">
        <f t="shared" si="1"/>
        <v>0</v>
      </c>
    </row>
    <row r="6" spans="1:29" x14ac:dyDescent="0.25">
      <c r="B6" s="35" t="s">
        <v>64</v>
      </c>
      <c r="C6" s="35" t="s">
        <v>70</v>
      </c>
      <c r="D6" s="35">
        <v>3</v>
      </c>
      <c r="E6" s="35" t="s">
        <v>71</v>
      </c>
      <c r="F6" s="35" t="s">
        <v>67</v>
      </c>
      <c r="G6" s="35">
        <v>116</v>
      </c>
      <c r="H6" s="35">
        <v>116</v>
      </c>
      <c r="I6" s="39">
        <v>321.41303999999997</v>
      </c>
      <c r="J6" s="39">
        <v>32.830199999999991</v>
      </c>
      <c r="K6" s="39">
        <v>63.292319999999997</v>
      </c>
      <c r="L6" s="36">
        <v>95.691959999999995</v>
      </c>
      <c r="M6" s="39">
        <v>449.93519999999995</v>
      </c>
      <c r="N6" s="39">
        <v>153.04777622149837</v>
      </c>
      <c r="O6" s="39">
        <v>602.98297622149835</v>
      </c>
      <c r="P6" s="40">
        <v>0.2538177398979804</v>
      </c>
      <c r="Q6" s="41">
        <v>0.74261181604552007</v>
      </c>
      <c r="R6" s="36">
        <f t="shared" si="2"/>
        <v>69946.025241693802</v>
      </c>
      <c r="U6" s="36">
        <f t="shared" si="3"/>
        <v>0</v>
      </c>
      <c r="V6" s="36">
        <f t="shared" si="0"/>
        <v>0</v>
      </c>
      <c r="W6" s="36">
        <f t="shared" si="0"/>
        <v>69946.025241693802</v>
      </c>
      <c r="X6" s="36">
        <f t="shared" si="0"/>
        <v>0</v>
      </c>
      <c r="Z6" s="35">
        <f t="shared" si="4"/>
        <v>0</v>
      </c>
      <c r="AA6" s="35">
        <f t="shared" si="4"/>
        <v>0</v>
      </c>
      <c r="AB6" s="35">
        <f t="shared" si="4"/>
        <v>116</v>
      </c>
      <c r="AC6" s="35">
        <f t="shared" si="1"/>
        <v>0</v>
      </c>
    </row>
    <row r="7" spans="1:29" x14ac:dyDescent="0.25">
      <c r="B7" s="35" t="s">
        <v>64</v>
      </c>
      <c r="C7" s="35" t="s">
        <v>68</v>
      </c>
      <c r="D7" s="35">
        <v>3</v>
      </c>
      <c r="E7" s="35" t="s">
        <v>72</v>
      </c>
      <c r="F7" s="35" t="s">
        <v>67</v>
      </c>
      <c r="G7" s="35">
        <v>176</v>
      </c>
      <c r="H7" s="35">
        <v>176</v>
      </c>
      <c r="I7" s="39">
        <v>321.41303999999997</v>
      </c>
      <c r="J7" s="39">
        <v>32.830199999999991</v>
      </c>
      <c r="K7" s="39">
        <v>63.292319999999997</v>
      </c>
      <c r="L7" s="36">
        <v>95.691959999999995</v>
      </c>
      <c r="M7" s="39">
        <v>449.93519999999995</v>
      </c>
      <c r="N7" s="39">
        <v>153.04777622149837</v>
      </c>
      <c r="O7" s="39">
        <v>602.98297622149835</v>
      </c>
      <c r="P7" s="40">
        <v>0.2538177398979804</v>
      </c>
      <c r="Q7" s="41">
        <v>0.74261181604552007</v>
      </c>
      <c r="R7" s="36">
        <f t="shared" si="2"/>
        <v>106125.00381498371</v>
      </c>
      <c r="U7" s="36">
        <f t="shared" si="3"/>
        <v>0</v>
      </c>
      <c r="V7" s="36">
        <f t="shared" si="0"/>
        <v>0</v>
      </c>
      <c r="W7" s="36">
        <f t="shared" si="0"/>
        <v>106125.00381498371</v>
      </c>
      <c r="X7" s="36">
        <f t="shared" si="0"/>
        <v>0</v>
      </c>
      <c r="Z7" s="35">
        <f t="shared" si="4"/>
        <v>0</v>
      </c>
      <c r="AA7" s="35">
        <f t="shared" si="4"/>
        <v>0</v>
      </c>
      <c r="AB7" s="35">
        <f t="shared" si="4"/>
        <v>176</v>
      </c>
      <c r="AC7" s="35">
        <f t="shared" si="1"/>
        <v>0</v>
      </c>
    </row>
    <row r="8" spans="1:29" x14ac:dyDescent="0.25">
      <c r="A8" s="35">
        <v>2</v>
      </c>
      <c r="B8" s="35" t="s">
        <v>73</v>
      </c>
      <c r="C8" s="35" t="s">
        <v>70</v>
      </c>
      <c r="D8" s="35">
        <v>1</v>
      </c>
      <c r="E8" s="35" t="s">
        <v>74</v>
      </c>
      <c r="F8" s="35" t="s">
        <v>67</v>
      </c>
      <c r="G8" s="35">
        <v>116</v>
      </c>
      <c r="H8" s="35">
        <v>116</v>
      </c>
      <c r="I8" s="39">
        <v>595.89503999999999</v>
      </c>
      <c r="J8" s="39">
        <v>39.611519999999928</v>
      </c>
      <c r="K8" s="39"/>
      <c r="L8" s="36">
        <v>138.85559999999998</v>
      </c>
      <c r="M8" s="39">
        <v>774.3621599999999</v>
      </c>
      <c r="N8" s="39">
        <v>216.71419781141938</v>
      </c>
      <c r="O8" s="39">
        <v>991.07635781141926</v>
      </c>
      <c r="P8" s="40">
        <v>0.21866549040680019</v>
      </c>
      <c r="Q8" s="41">
        <v>0.79427000576314533</v>
      </c>
      <c r="R8" s="36">
        <f t="shared" si="2"/>
        <v>114964.85750612464</v>
      </c>
      <c r="U8" s="36">
        <f t="shared" si="3"/>
        <v>114964.85750612464</v>
      </c>
      <c r="V8" s="36">
        <f t="shared" si="0"/>
        <v>0</v>
      </c>
      <c r="W8" s="36">
        <f t="shared" si="0"/>
        <v>0</v>
      </c>
      <c r="X8" s="36">
        <f t="shared" si="0"/>
        <v>0</v>
      </c>
      <c r="Z8" s="35">
        <f t="shared" si="4"/>
        <v>116</v>
      </c>
      <c r="AA8" s="35">
        <f t="shared" si="4"/>
        <v>0</v>
      </c>
      <c r="AB8" s="35">
        <f t="shared" si="4"/>
        <v>0</v>
      </c>
      <c r="AC8" s="35">
        <f t="shared" si="1"/>
        <v>0</v>
      </c>
    </row>
    <row r="9" spans="1:29" x14ac:dyDescent="0.25">
      <c r="B9" s="35" t="s">
        <v>73</v>
      </c>
      <c r="C9" s="35" t="s">
        <v>75</v>
      </c>
      <c r="D9" s="35">
        <v>3</v>
      </c>
      <c r="E9" s="35" t="s">
        <v>76</v>
      </c>
      <c r="F9" s="35" t="s">
        <v>67</v>
      </c>
      <c r="G9" s="35">
        <v>176</v>
      </c>
      <c r="H9" s="35">
        <v>176</v>
      </c>
      <c r="I9" s="39">
        <v>595.89503999999999</v>
      </c>
      <c r="J9" s="39">
        <v>39.611519999999928</v>
      </c>
      <c r="K9" s="39"/>
      <c r="L9" s="36">
        <v>138.85559999999998</v>
      </c>
      <c r="M9" s="39">
        <v>774.3621599999999</v>
      </c>
      <c r="N9" s="39">
        <v>216.71419781141938</v>
      </c>
      <c r="O9" s="39">
        <v>991.07635781141926</v>
      </c>
      <c r="P9" s="40">
        <v>0.21866549040680019</v>
      </c>
      <c r="Q9" s="41">
        <v>0.79427000576314533</v>
      </c>
      <c r="R9" s="36">
        <f t="shared" si="2"/>
        <v>174429.43897480977</v>
      </c>
      <c r="U9" s="36">
        <f t="shared" si="3"/>
        <v>0</v>
      </c>
      <c r="V9" s="36">
        <f t="shared" si="0"/>
        <v>0</v>
      </c>
      <c r="W9" s="36">
        <f t="shared" si="0"/>
        <v>174429.43897480977</v>
      </c>
      <c r="X9" s="36">
        <f t="shared" si="0"/>
        <v>0</v>
      </c>
      <c r="Z9" s="35">
        <f t="shared" si="4"/>
        <v>0</v>
      </c>
      <c r="AA9" s="35">
        <f t="shared" si="4"/>
        <v>0</v>
      </c>
      <c r="AB9" s="35">
        <f t="shared" si="4"/>
        <v>176</v>
      </c>
      <c r="AC9" s="35">
        <f t="shared" si="1"/>
        <v>0</v>
      </c>
    </row>
    <row r="10" spans="1:29" x14ac:dyDescent="0.25">
      <c r="A10" s="35">
        <v>3</v>
      </c>
      <c r="B10" s="35" t="s">
        <v>77</v>
      </c>
      <c r="C10" s="35" t="s">
        <v>70</v>
      </c>
      <c r="D10" s="35">
        <v>3</v>
      </c>
      <c r="E10" s="35" t="s">
        <v>78</v>
      </c>
      <c r="F10" s="35" t="s">
        <v>67</v>
      </c>
      <c r="G10" s="35">
        <v>101</v>
      </c>
      <c r="H10" s="35">
        <v>116</v>
      </c>
      <c r="I10" s="39">
        <v>644.44067999999993</v>
      </c>
      <c r="J10" s="39">
        <v>43.594200000000001</v>
      </c>
      <c r="K10" s="39"/>
      <c r="L10" s="36">
        <v>139.39379999999997</v>
      </c>
      <c r="M10" s="39">
        <v>827.42867999999987</v>
      </c>
      <c r="N10" s="39">
        <v>221.93261143554258</v>
      </c>
      <c r="O10" s="39">
        <v>1049.3612914355424</v>
      </c>
      <c r="P10" s="40">
        <v>0.21149304176441971</v>
      </c>
      <c r="Q10" s="41">
        <v>0.80165289506702919</v>
      </c>
      <c r="R10" s="36">
        <f t="shared" si="2"/>
        <v>105985.49043498978</v>
      </c>
      <c r="U10" s="36">
        <f t="shared" si="3"/>
        <v>0</v>
      </c>
      <c r="V10" s="36">
        <f t="shared" si="0"/>
        <v>0</v>
      </c>
      <c r="W10" s="36">
        <f t="shared" si="0"/>
        <v>105985.49043498978</v>
      </c>
      <c r="X10" s="36">
        <f t="shared" si="0"/>
        <v>0</v>
      </c>
      <c r="Z10" s="35">
        <f t="shared" si="4"/>
        <v>0</v>
      </c>
      <c r="AA10" s="35">
        <f t="shared" si="4"/>
        <v>0</v>
      </c>
      <c r="AB10" s="35">
        <f t="shared" si="4"/>
        <v>101</v>
      </c>
      <c r="AC10" s="35">
        <f t="shared" si="1"/>
        <v>0</v>
      </c>
    </row>
    <row r="11" spans="1:29" x14ac:dyDescent="0.25">
      <c r="B11" s="35" t="s">
        <v>79</v>
      </c>
      <c r="D11" s="35">
        <v>3</v>
      </c>
      <c r="F11" s="35" t="s">
        <v>80</v>
      </c>
      <c r="G11" s="35">
        <v>15</v>
      </c>
      <c r="I11" s="39">
        <v>645.83999999999992</v>
      </c>
      <c r="J11" s="39">
        <v>50.590800000000058</v>
      </c>
      <c r="K11" s="39"/>
      <c r="L11" s="36">
        <v>152.20295999999999</v>
      </c>
      <c r="M11" s="39">
        <v>848.63375999999994</v>
      </c>
      <c r="N11" s="39">
        <v>227.6202300712655</v>
      </c>
      <c r="O11" s="39">
        <v>1076.2539900712654</v>
      </c>
      <c r="P11" s="40">
        <v>0.21149304176441971</v>
      </c>
      <c r="Q11" s="41">
        <v>0.80165289506702919</v>
      </c>
      <c r="R11" s="36">
        <f t="shared" si="2"/>
        <v>16143.809851068982</v>
      </c>
      <c r="U11" s="36">
        <f t="shared" si="3"/>
        <v>0</v>
      </c>
      <c r="V11" s="36">
        <f t="shared" si="0"/>
        <v>0</v>
      </c>
      <c r="W11" s="36">
        <f t="shared" si="0"/>
        <v>16143.809851068982</v>
      </c>
      <c r="X11" s="36">
        <f t="shared" si="0"/>
        <v>0</v>
      </c>
      <c r="Z11" s="35">
        <f t="shared" si="4"/>
        <v>0</v>
      </c>
      <c r="AA11" s="35">
        <f t="shared" si="4"/>
        <v>0</v>
      </c>
      <c r="AB11" s="35">
        <f t="shared" si="4"/>
        <v>15</v>
      </c>
      <c r="AC11" s="35">
        <f t="shared" si="1"/>
        <v>0</v>
      </c>
    </row>
    <row r="12" spans="1:29" x14ac:dyDescent="0.25">
      <c r="B12" s="35" t="s">
        <v>77</v>
      </c>
      <c r="C12" s="35" t="s">
        <v>70</v>
      </c>
      <c r="D12" s="35">
        <v>3</v>
      </c>
      <c r="E12" s="35" t="s">
        <v>81</v>
      </c>
      <c r="F12" s="35" t="s">
        <v>67</v>
      </c>
      <c r="G12" s="35">
        <v>101</v>
      </c>
      <c r="H12" s="35">
        <v>116</v>
      </c>
      <c r="I12" s="39">
        <v>644.44067999999993</v>
      </c>
      <c r="J12" s="39">
        <v>43.594200000000001</v>
      </c>
      <c r="K12" s="39"/>
      <c r="L12" s="36">
        <v>139.39379999999997</v>
      </c>
      <c r="M12" s="39">
        <v>827.42867999999987</v>
      </c>
      <c r="N12" s="39">
        <v>221.93261143554258</v>
      </c>
      <c r="O12" s="39">
        <v>1049.3612914355424</v>
      </c>
      <c r="P12" s="40">
        <v>0.21149304176441971</v>
      </c>
      <c r="Q12" s="41">
        <v>0.80165289506702919</v>
      </c>
      <c r="R12" s="36">
        <f t="shared" si="2"/>
        <v>105985.49043498978</v>
      </c>
      <c r="U12" s="36">
        <f t="shared" si="3"/>
        <v>0</v>
      </c>
      <c r="V12" s="36">
        <f t="shared" si="0"/>
        <v>0</v>
      </c>
      <c r="W12" s="36">
        <f t="shared" si="0"/>
        <v>105985.49043498978</v>
      </c>
      <c r="X12" s="36">
        <f t="shared" si="0"/>
        <v>0</v>
      </c>
      <c r="Z12" s="35">
        <f t="shared" si="4"/>
        <v>0</v>
      </c>
      <c r="AA12" s="35">
        <f t="shared" si="4"/>
        <v>0</v>
      </c>
      <c r="AB12" s="35">
        <f t="shared" si="4"/>
        <v>101</v>
      </c>
      <c r="AC12" s="35">
        <f t="shared" si="1"/>
        <v>0</v>
      </c>
    </row>
    <row r="13" spans="1:29" x14ac:dyDescent="0.25">
      <c r="B13" s="35" t="s">
        <v>79</v>
      </c>
      <c r="D13" s="35">
        <v>3</v>
      </c>
      <c r="F13" s="35" t="s">
        <v>80</v>
      </c>
      <c r="G13" s="35">
        <v>15</v>
      </c>
      <c r="I13" s="39">
        <v>645.83999999999992</v>
      </c>
      <c r="J13" s="39">
        <v>50.590800000000058</v>
      </c>
      <c r="K13" s="39"/>
      <c r="L13" s="36">
        <v>152.20295999999999</v>
      </c>
      <c r="M13" s="39">
        <v>848.63375999999994</v>
      </c>
      <c r="N13" s="39">
        <v>227.6202300712655</v>
      </c>
      <c r="O13" s="39">
        <v>1076.2539900712654</v>
      </c>
      <c r="P13" s="40">
        <v>0.21149304176441971</v>
      </c>
      <c r="Q13" s="41">
        <v>0.80165289506702919</v>
      </c>
      <c r="R13" s="36">
        <f t="shared" si="2"/>
        <v>16143.809851068982</v>
      </c>
      <c r="U13" s="36">
        <f t="shared" si="3"/>
        <v>0</v>
      </c>
      <c r="V13" s="36">
        <f t="shared" si="0"/>
        <v>0</v>
      </c>
      <c r="W13" s="36">
        <f t="shared" si="0"/>
        <v>16143.809851068982</v>
      </c>
      <c r="X13" s="36">
        <f t="shared" si="0"/>
        <v>0</v>
      </c>
      <c r="Z13" s="35">
        <f t="shared" si="4"/>
        <v>0</v>
      </c>
      <c r="AA13" s="35">
        <f t="shared" si="4"/>
        <v>0</v>
      </c>
      <c r="AB13" s="35">
        <f t="shared" si="4"/>
        <v>15</v>
      </c>
      <c r="AC13" s="35">
        <f t="shared" si="1"/>
        <v>0</v>
      </c>
    </row>
    <row r="14" spans="1:29" x14ac:dyDescent="0.25">
      <c r="B14" s="35" t="s">
        <v>77</v>
      </c>
      <c r="C14" s="35" t="s">
        <v>70</v>
      </c>
      <c r="D14" s="35">
        <v>1</v>
      </c>
      <c r="E14" s="35" t="s">
        <v>82</v>
      </c>
      <c r="F14" s="35" t="s">
        <v>67</v>
      </c>
      <c r="G14" s="35">
        <v>101</v>
      </c>
      <c r="H14" s="35">
        <v>116</v>
      </c>
      <c r="I14" s="39">
        <v>644.44067999999993</v>
      </c>
      <c r="J14" s="39">
        <v>43.594200000000001</v>
      </c>
      <c r="K14" s="39"/>
      <c r="L14" s="36">
        <v>139.39379999999997</v>
      </c>
      <c r="M14" s="39">
        <v>827.42867999999987</v>
      </c>
      <c r="N14" s="39">
        <v>221.93261143554258</v>
      </c>
      <c r="O14" s="39">
        <v>1049.3612914355424</v>
      </c>
      <c r="P14" s="40">
        <v>0.21149304176441971</v>
      </c>
      <c r="Q14" s="41">
        <v>0.80165289506702919</v>
      </c>
      <c r="R14" s="36">
        <f t="shared" si="2"/>
        <v>105985.49043498978</v>
      </c>
      <c r="U14" s="36">
        <f t="shared" si="3"/>
        <v>105985.49043498978</v>
      </c>
      <c r="V14" s="36">
        <f t="shared" si="0"/>
        <v>0</v>
      </c>
      <c r="W14" s="36">
        <f t="shared" si="0"/>
        <v>0</v>
      </c>
      <c r="X14" s="36">
        <f t="shared" si="0"/>
        <v>0</v>
      </c>
      <c r="Z14" s="35">
        <f t="shared" si="4"/>
        <v>101</v>
      </c>
      <c r="AA14" s="35">
        <f t="shared" si="4"/>
        <v>0</v>
      </c>
      <c r="AB14" s="35">
        <f t="shared" si="4"/>
        <v>0</v>
      </c>
      <c r="AC14" s="35">
        <f t="shared" si="1"/>
        <v>0</v>
      </c>
    </row>
    <row r="15" spans="1:29" x14ac:dyDescent="0.25">
      <c r="B15" s="35" t="s">
        <v>79</v>
      </c>
      <c r="D15" s="35">
        <v>1</v>
      </c>
      <c r="F15" s="35" t="s">
        <v>80</v>
      </c>
      <c r="G15" s="35">
        <v>15</v>
      </c>
      <c r="I15" s="39">
        <v>645.83999999999992</v>
      </c>
      <c r="J15" s="39">
        <v>50.590800000000058</v>
      </c>
      <c r="K15" s="39"/>
      <c r="L15" s="36">
        <v>152.20295999999999</v>
      </c>
      <c r="M15" s="39">
        <v>848.63375999999994</v>
      </c>
      <c r="N15" s="39">
        <v>227.6202300712655</v>
      </c>
      <c r="O15" s="39">
        <v>1076.2539900712654</v>
      </c>
      <c r="P15" s="40">
        <v>0.21149304176441971</v>
      </c>
      <c r="Q15" s="41">
        <v>0.80165289506702919</v>
      </c>
      <c r="R15" s="36">
        <f t="shared" si="2"/>
        <v>16143.809851068982</v>
      </c>
      <c r="U15" s="36">
        <f t="shared" si="3"/>
        <v>16143.809851068982</v>
      </c>
      <c r="V15" s="36">
        <f t="shared" si="0"/>
        <v>0</v>
      </c>
      <c r="W15" s="36">
        <f t="shared" si="0"/>
        <v>0</v>
      </c>
      <c r="X15" s="36">
        <f t="shared" si="0"/>
        <v>0</v>
      </c>
      <c r="Z15" s="35">
        <f t="shared" si="4"/>
        <v>15</v>
      </c>
      <c r="AA15" s="35">
        <f t="shared" si="4"/>
        <v>0</v>
      </c>
      <c r="AB15" s="35">
        <f t="shared" si="4"/>
        <v>0</v>
      </c>
      <c r="AC15" s="35">
        <f t="shared" si="1"/>
        <v>0</v>
      </c>
    </row>
    <row r="16" spans="1:29" x14ac:dyDescent="0.25">
      <c r="B16" s="35" t="s">
        <v>77</v>
      </c>
      <c r="C16" s="35" t="s">
        <v>70</v>
      </c>
      <c r="D16" s="35">
        <v>1</v>
      </c>
      <c r="E16" s="35" t="s">
        <v>83</v>
      </c>
      <c r="F16" s="35" t="s">
        <v>67</v>
      </c>
      <c r="G16" s="35">
        <v>101</v>
      </c>
      <c r="H16" s="35">
        <v>116</v>
      </c>
      <c r="I16" s="39">
        <v>644.44067999999993</v>
      </c>
      <c r="J16" s="39">
        <v>43.594200000000001</v>
      </c>
      <c r="K16" s="39"/>
      <c r="L16" s="36">
        <v>139.39379999999997</v>
      </c>
      <c r="M16" s="39">
        <v>827.42867999999987</v>
      </c>
      <c r="N16" s="39">
        <v>221.93261143554258</v>
      </c>
      <c r="O16" s="39">
        <v>1049.3612914355424</v>
      </c>
      <c r="P16" s="40">
        <v>0.21149304176441971</v>
      </c>
      <c r="Q16" s="41">
        <v>0.80165289506702919</v>
      </c>
      <c r="R16" s="36">
        <f t="shared" si="2"/>
        <v>105985.49043498978</v>
      </c>
      <c r="U16" s="36">
        <f t="shared" si="3"/>
        <v>105985.49043498978</v>
      </c>
      <c r="V16" s="36">
        <f t="shared" si="0"/>
        <v>0</v>
      </c>
      <c r="W16" s="36">
        <f t="shared" si="0"/>
        <v>0</v>
      </c>
      <c r="X16" s="36">
        <f t="shared" si="0"/>
        <v>0</v>
      </c>
      <c r="Z16" s="35">
        <f t="shared" si="4"/>
        <v>101</v>
      </c>
      <c r="AA16" s="35">
        <f t="shared" si="4"/>
        <v>0</v>
      </c>
      <c r="AB16" s="35">
        <f t="shared" si="4"/>
        <v>0</v>
      </c>
      <c r="AC16" s="35">
        <f t="shared" si="1"/>
        <v>0</v>
      </c>
    </row>
    <row r="17" spans="1:29" x14ac:dyDescent="0.25">
      <c r="B17" s="35" t="s">
        <v>79</v>
      </c>
      <c r="D17" s="35">
        <v>1</v>
      </c>
      <c r="F17" s="35" t="s">
        <v>80</v>
      </c>
      <c r="G17" s="35">
        <v>15</v>
      </c>
      <c r="I17" s="39">
        <v>645.83999999999992</v>
      </c>
      <c r="J17" s="39">
        <v>50.590800000000058</v>
      </c>
      <c r="K17" s="39"/>
      <c r="L17" s="36">
        <v>152.20295999999999</v>
      </c>
      <c r="M17" s="39">
        <v>848.63375999999994</v>
      </c>
      <c r="N17" s="39">
        <v>227.6202300712655</v>
      </c>
      <c r="O17" s="39">
        <v>1076.2539900712654</v>
      </c>
      <c r="P17" s="40">
        <v>0.21149304176441971</v>
      </c>
      <c r="Q17" s="41">
        <v>0.80165289506702919</v>
      </c>
      <c r="R17" s="36">
        <f t="shared" si="2"/>
        <v>16143.809851068982</v>
      </c>
      <c r="U17" s="36">
        <f t="shared" si="3"/>
        <v>16143.809851068982</v>
      </c>
      <c r="V17" s="36">
        <f t="shared" si="0"/>
        <v>0</v>
      </c>
      <c r="W17" s="36">
        <f t="shared" si="0"/>
        <v>0</v>
      </c>
      <c r="X17" s="36">
        <f t="shared" si="0"/>
        <v>0</v>
      </c>
      <c r="Z17" s="35">
        <f t="shared" si="4"/>
        <v>15</v>
      </c>
      <c r="AA17" s="35">
        <f t="shared" si="4"/>
        <v>0</v>
      </c>
      <c r="AB17" s="35">
        <f t="shared" si="4"/>
        <v>0</v>
      </c>
      <c r="AC17" s="35">
        <f t="shared" si="1"/>
        <v>0</v>
      </c>
    </row>
    <row r="18" spans="1:29" x14ac:dyDescent="0.25">
      <c r="A18" s="35">
        <v>3</v>
      </c>
      <c r="B18" s="35" t="s">
        <v>84</v>
      </c>
      <c r="C18" s="35" t="s">
        <v>70</v>
      </c>
      <c r="D18" s="35">
        <v>3</v>
      </c>
      <c r="E18" s="35" t="s">
        <v>85</v>
      </c>
      <c r="F18" s="35" t="s">
        <v>67</v>
      </c>
      <c r="G18" s="35">
        <v>101</v>
      </c>
      <c r="H18" s="35">
        <v>116</v>
      </c>
      <c r="I18" s="39">
        <v>644.11775999999998</v>
      </c>
      <c r="J18" s="39">
        <v>55.111679999999865</v>
      </c>
      <c r="K18" s="39"/>
      <c r="L18" s="36">
        <v>168.67187999999999</v>
      </c>
      <c r="M18" s="39">
        <v>867.90131999999983</v>
      </c>
      <c r="N18" s="39">
        <v>234.52631548616688</v>
      </c>
      <c r="O18" s="39">
        <v>1102.4276354861668</v>
      </c>
      <c r="P18" s="40">
        <v>0.21273624493524385</v>
      </c>
      <c r="Q18" s="41">
        <v>0.80104071825441325</v>
      </c>
      <c r="R18" s="36">
        <f t="shared" si="2"/>
        <v>111345.19118410285</v>
      </c>
      <c r="U18" s="36">
        <f t="shared" si="3"/>
        <v>0</v>
      </c>
      <c r="V18" s="36">
        <f t="shared" si="0"/>
        <v>0</v>
      </c>
      <c r="W18" s="36">
        <f t="shared" si="0"/>
        <v>111345.19118410285</v>
      </c>
      <c r="X18" s="36">
        <f t="shared" si="0"/>
        <v>0</v>
      </c>
      <c r="Z18" s="35">
        <f t="shared" si="4"/>
        <v>0</v>
      </c>
      <c r="AA18" s="35">
        <f t="shared" si="4"/>
        <v>0</v>
      </c>
      <c r="AB18" s="35">
        <f t="shared" si="4"/>
        <v>101</v>
      </c>
      <c r="AC18" s="35">
        <f t="shared" si="1"/>
        <v>0</v>
      </c>
    </row>
    <row r="19" spans="1:29" x14ac:dyDescent="0.25">
      <c r="B19" s="35" t="s">
        <v>86</v>
      </c>
      <c r="D19" s="35">
        <v>3</v>
      </c>
      <c r="F19" s="35" t="s">
        <v>80</v>
      </c>
      <c r="G19" s="35">
        <v>15</v>
      </c>
      <c r="I19" s="39">
        <v>645.62471999999991</v>
      </c>
      <c r="J19" s="39">
        <v>53.604720000000157</v>
      </c>
      <c r="K19" s="39"/>
      <c r="L19" s="36">
        <v>198.05759999999998</v>
      </c>
      <c r="M19" s="39">
        <v>897.28704000000005</v>
      </c>
      <c r="N19" s="39">
        <v>242.46699316540835</v>
      </c>
      <c r="O19" s="39">
        <v>1139.7540331654084</v>
      </c>
      <c r="P19" s="40">
        <v>0.21273624493524385</v>
      </c>
      <c r="Q19" s="41">
        <v>0.80104071825441336</v>
      </c>
      <c r="R19" s="36">
        <f t="shared" si="2"/>
        <v>17096.310497481125</v>
      </c>
      <c r="U19" s="36">
        <f t="shared" si="3"/>
        <v>0</v>
      </c>
      <c r="V19" s="36">
        <f t="shared" si="0"/>
        <v>0</v>
      </c>
      <c r="W19" s="36">
        <f t="shared" si="0"/>
        <v>17096.310497481125</v>
      </c>
      <c r="X19" s="36">
        <f t="shared" si="0"/>
        <v>0</v>
      </c>
      <c r="Z19" s="35">
        <f t="shared" si="4"/>
        <v>0</v>
      </c>
      <c r="AA19" s="35">
        <f t="shared" si="4"/>
        <v>0</v>
      </c>
      <c r="AB19" s="35">
        <f t="shared" si="4"/>
        <v>15</v>
      </c>
      <c r="AC19" s="35">
        <f t="shared" si="1"/>
        <v>0</v>
      </c>
    </row>
    <row r="20" spans="1:29" x14ac:dyDescent="0.25">
      <c r="B20" s="35" t="s">
        <v>84</v>
      </c>
      <c r="C20" s="35" t="s">
        <v>70</v>
      </c>
      <c r="D20" s="35">
        <v>3</v>
      </c>
      <c r="E20" s="35" t="s">
        <v>87</v>
      </c>
      <c r="F20" s="35" t="s">
        <v>67</v>
      </c>
      <c r="G20" s="35">
        <v>101</v>
      </c>
      <c r="H20" s="35">
        <v>116</v>
      </c>
      <c r="I20" s="39">
        <v>644.11775999999998</v>
      </c>
      <c r="J20" s="39">
        <v>55.111679999999865</v>
      </c>
      <c r="K20" s="39"/>
      <c r="L20" s="36">
        <v>168.67187999999999</v>
      </c>
      <c r="M20" s="39">
        <v>867.90131999999983</v>
      </c>
      <c r="N20" s="39">
        <v>234.52631548616688</v>
      </c>
      <c r="O20" s="39">
        <v>1102.4276354861668</v>
      </c>
      <c r="P20" s="40">
        <v>0.21273624493524385</v>
      </c>
      <c r="Q20" s="41">
        <v>0.80104071825441325</v>
      </c>
      <c r="R20" s="36">
        <f t="shared" si="2"/>
        <v>111345.19118410285</v>
      </c>
      <c r="U20" s="36">
        <f t="shared" si="3"/>
        <v>0</v>
      </c>
      <c r="V20" s="36">
        <f t="shared" si="3"/>
        <v>0</v>
      </c>
      <c r="W20" s="36">
        <f t="shared" si="3"/>
        <v>111345.19118410285</v>
      </c>
      <c r="X20" s="36">
        <f t="shared" si="3"/>
        <v>0</v>
      </c>
      <c r="Z20" s="35">
        <f t="shared" si="4"/>
        <v>0</v>
      </c>
      <c r="AA20" s="35">
        <f t="shared" si="4"/>
        <v>0</v>
      </c>
      <c r="AB20" s="35">
        <f t="shared" si="4"/>
        <v>101</v>
      </c>
      <c r="AC20" s="35">
        <f t="shared" si="4"/>
        <v>0</v>
      </c>
    </row>
    <row r="21" spans="1:29" x14ac:dyDescent="0.25">
      <c r="B21" s="35" t="s">
        <v>86</v>
      </c>
      <c r="D21" s="35">
        <v>3</v>
      </c>
      <c r="F21" s="35" t="s">
        <v>80</v>
      </c>
      <c r="G21" s="35">
        <v>15</v>
      </c>
      <c r="I21" s="39">
        <v>645.62471999999991</v>
      </c>
      <c r="J21" s="39">
        <v>53.604720000000157</v>
      </c>
      <c r="K21" s="39"/>
      <c r="L21" s="36">
        <v>198.05759999999998</v>
      </c>
      <c r="M21" s="39">
        <v>897.28704000000005</v>
      </c>
      <c r="N21" s="39">
        <v>242.46699316540835</v>
      </c>
      <c r="O21" s="39">
        <v>1139.7540331654084</v>
      </c>
      <c r="P21" s="40">
        <v>0.21273624493524385</v>
      </c>
      <c r="Q21" s="41">
        <v>0.80104071825441336</v>
      </c>
      <c r="R21" s="36">
        <f t="shared" si="2"/>
        <v>17096.310497481125</v>
      </c>
      <c r="U21" s="36">
        <f t="shared" si="3"/>
        <v>0</v>
      </c>
      <c r="V21" s="36">
        <f t="shared" si="3"/>
        <v>0</v>
      </c>
      <c r="W21" s="36">
        <f t="shared" si="3"/>
        <v>17096.310497481125</v>
      </c>
      <c r="X21" s="36">
        <f t="shared" si="3"/>
        <v>0</v>
      </c>
      <c r="Z21" s="35">
        <f t="shared" si="4"/>
        <v>0</v>
      </c>
      <c r="AA21" s="35">
        <f t="shared" si="4"/>
        <v>0</v>
      </c>
      <c r="AB21" s="35">
        <f t="shared" si="4"/>
        <v>15</v>
      </c>
      <c r="AC21" s="35">
        <f t="shared" si="4"/>
        <v>0</v>
      </c>
    </row>
    <row r="22" spans="1:29" x14ac:dyDescent="0.25">
      <c r="B22" s="35" t="s">
        <v>84</v>
      </c>
      <c r="C22" s="35" t="s">
        <v>70</v>
      </c>
      <c r="D22" s="35">
        <v>4</v>
      </c>
      <c r="E22" s="35" t="s">
        <v>88</v>
      </c>
      <c r="F22" s="35" t="s">
        <v>67</v>
      </c>
      <c r="G22" s="35">
        <v>116</v>
      </c>
      <c r="H22" s="35">
        <v>116</v>
      </c>
      <c r="I22" s="39">
        <v>644.11775999999998</v>
      </c>
      <c r="J22" s="39">
        <v>55.111679999999865</v>
      </c>
      <c r="K22" s="39"/>
      <c r="L22" s="36">
        <v>168.67187999999999</v>
      </c>
      <c r="M22" s="39">
        <v>867.90131999999983</v>
      </c>
      <c r="N22" s="39">
        <v>234.52631548616688</v>
      </c>
      <c r="O22" s="39">
        <v>1102.4276354861668</v>
      </c>
      <c r="P22" s="40">
        <v>0.21273624493524385</v>
      </c>
      <c r="Q22" s="41">
        <v>0.80104071825441325</v>
      </c>
      <c r="R22" s="36">
        <f t="shared" si="2"/>
        <v>127881.60571639534</v>
      </c>
      <c r="U22" s="36">
        <f t="shared" si="3"/>
        <v>0</v>
      </c>
      <c r="V22" s="36">
        <f t="shared" si="3"/>
        <v>0</v>
      </c>
      <c r="W22" s="36">
        <f t="shared" si="3"/>
        <v>0</v>
      </c>
      <c r="X22" s="36">
        <f t="shared" si="3"/>
        <v>127881.60571639534</v>
      </c>
      <c r="Z22" s="35">
        <f t="shared" si="4"/>
        <v>0</v>
      </c>
      <c r="AA22" s="35">
        <f t="shared" si="4"/>
        <v>0</v>
      </c>
      <c r="AB22" s="35">
        <f t="shared" si="4"/>
        <v>0</v>
      </c>
      <c r="AC22" s="35">
        <f t="shared" si="4"/>
        <v>116</v>
      </c>
    </row>
    <row r="23" spans="1:29" x14ac:dyDescent="0.25">
      <c r="B23" s="35" t="s">
        <v>84</v>
      </c>
      <c r="C23" s="35" t="s">
        <v>70</v>
      </c>
      <c r="D23" s="35">
        <v>2</v>
      </c>
      <c r="E23" s="35" t="s">
        <v>89</v>
      </c>
      <c r="F23" s="35" t="s">
        <v>67</v>
      </c>
      <c r="G23" s="35">
        <v>116</v>
      </c>
      <c r="H23" s="35">
        <v>116</v>
      </c>
      <c r="I23" s="39">
        <v>644.11775999999998</v>
      </c>
      <c r="J23" s="39">
        <v>55.111679999999865</v>
      </c>
      <c r="K23" s="39"/>
      <c r="L23" s="36">
        <v>168.67187999999999</v>
      </c>
      <c r="M23" s="39">
        <v>867.90131999999983</v>
      </c>
      <c r="N23" s="39">
        <v>234.52631548616688</v>
      </c>
      <c r="O23" s="39">
        <v>1102.4276354861668</v>
      </c>
      <c r="P23" s="40">
        <v>0.21273624493524385</v>
      </c>
      <c r="Q23" s="41">
        <v>0.80104071825441325</v>
      </c>
      <c r="R23" s="36">
        <f t="shared" si="2"/>
        <v>127881.60571639534</v>
      </c>
      <c r="U23" s="36">
        <f t="shared" si="3"/>
        <v>0</v>
      </c>
      <c r="V23" s="36">
        <f t="shared" si="3"/>
        <v>127881.60571639534</v>
      </c>
      <c r="W23" s="36">
        <f t="shared" si="3"/>
        <v>0</v>
      </c>
      <c r="X23" s="36">
        <f t="shared" si="3"/>
        <v>0</v>
      </c>
      <c r="Z23" s="35">
        <f t="shared" si="4"/>
        <v>0</v>
      </c>
      <c r="AA23" s="35">
        <f t="shared" si="4"/>
        <v>116</v>
      </c>
      <c r="AB23" s="35">
        <f t="shared" si="4"/>
        <v>0</v>
      </c>
      <c r="AC23" s="35">
        <f t="shared" si="4"/>
        <v>0</v>
      </c>
    </row>
    <row r="24" spans="1:29" x14ac:dyDescent="0.25">
      <c r="B24" s="35" t="s">
        <v>84</v>
      </c>
      <c r="C24" s="35" t="s">
        <v>70</v>
      </c>
      <c r="D24" s="35">
        <v>2</v>
      </c>
      <c r="E24" s="35" t="s">
        <v>90</v>
      </c>
      <c r="F24" s="35" t="s">
        <v>67</v>
      </c>
      <c r="G24" s="35">
        <v>116</v>
      </c>
      <c r="H24" s="35">
        <v>116</v>
      </c>
      <c r="I24" s="39">
        <v>644.11775999999998</v>
      </c>
      <c r="J24" s="39">
        <v>55.111679999999865</v>
      </c>
      <c r="K24" s="39"/>
      <c r="L24" s="36">
        <v>168.67187999999999</v>
      </c>
      <c r="M24" s="39">
        <v>867.90131999999983</v>
      </c>
      <c r="N24" s="39">
        <v>234.52631548616688</v>
      </c>
      <c r="O24" s="39">
        <v>1102.4276354861668</v>
      </c>
      <c r="P24" s="40">
        <v>0.21273624493524385</v>
      </c>
      <c r="Q24" s="41">
        <v>0.80104071825441325</v>
      </c>
      <c r="R24" s="36">
        <f t="shared" si="2"/>
        <v>127881.60571639534</v>
      </c>
      <c r="U24" s="36">
        <f t="shared" si="3"/>
        <v>0</v>
      </c>
      <c r="V24" s="36">
        <f t="shared" si="3"/>
        <v>127881.60571639534</v>
      </c>
      <c r="W24" s="36">
        <f t="shared" si="3"/>
        <v>0</v>
      </c>
      <c r="X24" s="36">
        <f t="shared" si="3"/>
        <v>0</v>
      </c>
      <c r="Z24" s="35">
        <f t="shared" si="4"/>
        <v>0</v>
      </c>
      <c r="AA24" s="35">
        <f t="shared" si="4"/>
        <v>116</v>
      </c>
      <c r="AB24" s="35">
        <f t="shared" si="4"/>
        <v>0</v>
      </c>
      <c r="AC24" s="35">
        <f t="shared" si="4"/>
        <v>0</v>
      </c>
    </row>
    <row r="25" spans="1:29" x14ac:dyDescent="0.25">
      <c r="B25" s="35" t="s">
        <v>84</v>
      </c>
      <c r="C25" s="35" t="s">
        <v>70</v>
      </c>
      <c r="D25" s="35">
        <v>1</v>
      </c>
      <c r="E25" s="35" t="s">
        <v>91</v>
      </c>
      <c r="F25" s="35" t="s">
        <v>67</v>
      </c>
      <c r="G25" s="35">
        <v>101</v>
      </c>
      <c r="H25" s="35">
        <v>116</v>
      </c>
      <c r="I25" s="39">
        <v>644.11775999999998</v>
      </c>
      <c r="J25" s="39">
        <v>55.111679999999865</v>
      </c>
      <c r="K25" s="39"/>
      <c r="L25" s="36">
        <v>168.67187999999999</v>
      </c>
      <c r="M25" s="39">
        <v>867.90131999999983</v>
      </c>
      <c r="N25" s="39">
        <v>234.52631548616688</v>
      </c>
      <c r="O25" s="39">
        <v>1102.4276354861668</v>
      </c>
      <c r="P25" s="40">
        <v>0.21273624493524385</v>
      </c>
      <c r="Q25" s="41">
        <v>0.80104071825441325</v>
      </c>
      <c r="R25" s="36">
        <f t="shared" si="2"/>
        <v>111345.19118410285</v>
      </c>
      <c r="U25" s="36">
        <f t="shared" si="3"/>
        <v>111345.19118410285</v>
      </c>
      <c r="V25" s="36">
        <f t="shared" si="3"/>
        <v>0</v>
      </c>
      <c r="W25" s="36">
        <f t="shared" si="3"/>
        <v>0</v>
      </c>
      <c r="X25" s="36">
        <f t="shared" si="3"/>
        <v>0</v>
      </c>
      <c r="Z25" s="35">
        <f t="shared" si="4"/>
        <v>101</v>
      </c>
      <c r="AA25" s="35">
        <f t="shared" si="4"/>
        <v>0</v>
      </c>
      <c r="AB25" s="35">
        <f t="shared" si="4"/>
        <v>0</v>
      </c>
      <c r="AC25" s="35">
        <f t="shared" si="4"/>
        <v>0</v>
      </c>
    </row>
    <row r="26" spans="1:29" x14ac:dyDescent="0.25">
      <c r="B26" s="35" t="s">
        <v>86</v>
      </c>
      <c r="D26" s="35">
        <v>1</v>
      </c>
      <c r="F26" s="35" t="s">
        <v>80</v>
      </c>
      <c r="G26" s="35">
        <v>15</v>
      </c>
      <c r="I26" s="39">
        <v>645.62471999999991</v>
      </c>
      <c r="J26" s="39">
        <v>53.604720000000157</v>
      </c>
      <c r="K26" s="39"/>
      <c r="L26" s="36">
        <v>198.05759999999998</v>
      </c>
      <c r="M26" s="39">
        <v>897.28704000000005</v>
      </c>
      <c r="N26" s="39">
        <v>242.46699316540835</v>
      </c>
      <c r="O26" s="39">
        <v>1139.7540331654084</v>
      </c>
      <c r="P26" s="40">
        <v>0.21273624493524385</v>
      </c>
      <c r="Q26" s="41">
        <v>0.80104071825441336</v>
      </c>
      <c r="R26" s="36">
        <f t="shared" si="2"/>
        <v>17096.310497481125</v>
      </c>
      <c r="U26" s="36">
        <f t="shared" si="3"/>
        <v>17096.310497481125</v>
      </c>
      <c r="V26" s="36">
        <f t="shared" si="3"/>
        <v>0</v>
      </c>
      <c r="W26" s="36">
        <f t="shared" si="3"/>
        <v>0</v>
      </c>
      <c r="X26" s="36">
        <f t="shared" si="3"/>
        <v>0</v>
      </c>
      <c r="Z26" s="35">
        <f t="shared" si="4"/>
        <v>15</v>
      </c>
      <c r="AA26" s="35">
        <f t="shared" si="4"/>
        <v>0</v>
      </c>
      <c r="AB26" s="35">
        <f t="shared" si="4"/>
        <v>0</v>
      </c>
      <c r="AC26" s="35">
        <f t="shared" si="4"/>
        <v>0</v>
      </c>
    </row>
    <row r="27" spans="1:29" x14ac:dyDescent="0.25">
      <c r="B27" s="35" t="s">
        <v>84</v>
      </c>
      <c r="C27" s="35" t="s">
        <v>70</v>
      </c>
      <c r="D27" s="35">
        <v>1</v>
      </c>
      <c r="E27" s="35" t="s">
        <v>92</v>
      </c>
      <c r="F27" s="35" t="s">
        <v>67</v>
      </c>
      <c r="G27" s="35">
        <v>101</v>
      </c>
      <c r="H27" s="35">
        <v>116</v>
      </c>
      <c r="I27" s="39">
        <v>644.11775999999998</v>
      </c>
      <c r="J27" s="39">
        <v>55.111679999999865</v>
      </c>
      <c r="K27" s="39"/>
      <c r="L27" s="36">
        <v>168.67187999999999</v>
      </c>
      <c r="M27" s="39">
        <v>867.90131999999983</v>
      </c>
      <c r="N27" s="39">
        <v>234.52631548616688</v>
      </c>
      <c r="O27" s="39">
        <v>1102.4276354861668</v>
      </c>
      <c r="P27" s="40">
        <v>0.21273624493524385</v>
      </c>
      <c r="Q27" s="41">
        <v>0.80104071825441325</v>
      </c>
      <c r="R27" s="36">
        <f t="shared" si="2"/>
        <v>111345.19118410285</v>
      </c>
      <c r="U27" s="36">
        <f t="shared" si="3"/>
        <v>111345.19118410285</v>
      </c>
      <c r="V27" s="36">
        <f t="shared" si="3"/>
        <v>0</v>
      </c>
      <c r="W27" s="36">
        <f t="shared" si="3"/>
        <v>0</v>
      </c>
      <c r="X27" s="36">
        <f t="shared" si="3"/>
        <v>0</v>
      </c>
      <c r="Z27" s="35">
        <f t="shared" si="4"/>
        <v>101</v>
      </c>
      <c r="AA27" s="35">
        <f t="shared" si="4"/>
        <v>0</v>
      </c>
      <c r="AB27" s="35">
        <f t="shared" si="4"/>
        <v>0</v>
      </c>
      <c r="AC27" s="35">
        <f t="shared" si="4"/>
        <v>0</v>
      </c>
    </row>
    <row r="28" spans="1:29" x14ac:dyDescent="0.25">
      <c r="B28" s="35" t="s">
        <v>86</v>
      </c>
      <c r="D28" s="35">
        <v>1</v>
      </c>
      <c r="F28" s="35" t="s">
        <v>80</v>
      </c>
      <c r="G28" s="35">
        <v>15</v>
      </c>
      <c r="I28" s="39">
        <v>645.62471999999991</v>
      </c>
      <c r="J28" s="39">
        <v>53.604720000000157</v>
      </c>
      <c r="K28" s="39"/>
      <c r="L28" s="36">
        <v>198.05759999999998</v>
      </c>
      <c r="M28" s="39">
        <v>897.28704000000005</v>
      </c>
      <c r="N28" s="39">
        <v>242.46699316540835</v>
      </c>
      <c r="O28" s="39">
        <v>1139.7540331654084</v>
      </c>
      <c r="P28" s="40">
        <v>0.21273624493524385</v>
      </c>
      <c r="Q28" s="41">
        <v>0.80104071825441336</v>
      </c>
      <c r="R28" s="36">
        <f t="shared" si="2"/>
        <v>17096.310497481125</v>
      </c>
      <c r="U28" s="36">
        <f t="shared" si="3"/>
        <v>17096.310497481125</v>
      </c>
      <c r="V28" s="36">
        <f t="shared" si="3"/>
        <v>0</v>
      </c>
      <c r="W28" s="36">
        <f t="shared" si="3"/>
        <v>0</v>
      </c>
      <c r="X28" s="36">
        <f t="shared" si="3"/>
        <v>0</v>
      </c>
      <c r="Z28" s="35">
        <f t="shared" si="4"/>
        <v>15</v>
      </c>
      <c r="AA28" s="35">
        <f t="shared" si="4"/>
        <v>0</v>
      </c>
      <c r="AB28" s="35">
        <f t="shared" si="4"/>
        <v>0</v>
      </c>
      <c r="AC28" s="35">
        <f t="shared" si="4"/>
        <v>0</v>
      </c>
    </row>
    <row r="29" spans="1:29" x14ac:dyDescent="0.25">
      <c r="B29" s="35" t="s">
        <v>84</v>
      </c>
      <c r="C29" s="35" t="s">
        <v>68</v>
      </c>
      <c r="D29" s="35">
        <v>4</v>
      </c>
      <c r="E29" s="35" t="s">
        <v>93</v>
      </c>
      <c r="F29" s="35" t="s">
        <v>67</v>
      </c>
      <c r="G29" s="35">
        <v>176</v>
      </c>
      <c r="H29" s="35">
        <v>176</v>
      </c>
      <c r="I29" s="39">
        <v>644.11775999999998</v>
      </c>
      <c r="J29" s="39">
        <v>55.111679999999865</v>
      </c>
      <c r="K29" s="39"/>
      <c r="L29" s="36">
        <v>168.67187999999999</v>
      </c>
      <c r="M29" s="39">
        <v>867.90131999999983</v>
      </c>
      <c r="N29" s="39">
        <v>234.52631548616688</v>
      </c>
      <c r="O29" s="39">
        <v>1102.4276354861668</v>
      </c>
      <c r="P29" s="40">
        <v>0.21273624493524385</v>
      </c>
      <c r="Q29" s="41">
        <v>0.80104071825441325</v>
      </c>
      <c r="R29" s="36">
        <f t="shared" si="2"/>
        <v>194027.26384556535</v>
      </c>
      <c r="U29" s="36">
        <f t="shared" si="3"/>
        <v>0</v>
      </c>
      <c r="V29" s="36">
        <f t="shared" si="3"/>
        <v>0</v>
      </c>
      <c r="W29" s="36">
        <f t="shared" si="3"/>
        <v>0</v>
      </c>
      <c r="X29" s="36">
        <f t="shared" si="3"/>
        <v>194027.26384556535</v>
      </c>
      <c r="Z29" s="35">
        <f t="shared" si="4"/>
        <v>0</v>
      </c>
      <c r="AA29" s="35">
        <f t="shared" si="4"/>
        <v>0</v>
      </c>
      <c r="AB29" s="35">
        <f t="shared" si="4"/>
        <v>0</v>
      </c>
      <c r="AC29" s="35">
        <f t="shared" si="4"/>
        <v>176</v>
      </c>
    </row>
    <row r="30" spans="1:29" x14ac:dyDescent="0.25">
      <c r="B30" s="35" t="s">
        <v>84</v>
      </c>
      <c r="C30" s="35" t="s">
        <v>68</v>
      </c>
      <c r="D30" s="35">
        <v>4</v>
      </c>
      <c r="E30" s="35" t="s">
        <v>94</v>
      </c>
      <c r="F30" s="35" t="s">
        <v>67</v>
      </c>
      <c r="G30" s="35">
        <v>176</v>
      </c>
      <c r="H30" s="35">
        <v>176</v>
      </c>
      <c r="I30" s="39">
        <v>644.11775999999998</v>
      </c>
      <c r="J30" s="39">
        <v>55.111679999999865</v>
      </c>
      <c r="K30" s="39"/>
      <c r="L30" s="36">
        <v>168.67187999999999</v>
      </c>
      <c r="M30" s="39">
        <v>867.90131999999983</v>
      </c>
      <c r="N30" s="39">
        <v>234.52631548616688</v>
      </c>
      <c r="O30" s="39">
        <v>1102.4276354861668</v>
      </c>
      <c r="P30" s="40">
        <v>0.21273624493524385</v>
      </c>
      <c r="Q30" s="41">
        <v>0.80104071825441325</v>
      </c>
      <c r="R30" s="36">
        <f t="shared" si="2"/>
        <v>194027.26384556535</v>
      </c>
      <c r="U30" s="36">
        <f t="shared" si="3"/>
        <v>0</v>
      </c>
      <c r="V30" s="36">
        <f t="shared" si="3"/>
        <v>0</v>
      </c>
      <c r="W30" s="36">
        <f t="shared" si="3"/>
        <v>0</v>
      </c>
      <c r="X30" s="36">
        <f t="shared" si="3"/>
        <v>194027.26384556535</v>
      </c>
      <c r="Z30" s="35">
        <f t="shared" si="4"/>
        <v>0</v>
      </c>
      <c r="AA30" s="35">
        <f t="shared" si="4"/>
        <v>0</v>
      </c>
      <c r="AB30" s="35">
        <f t="shared" si="4"/>
        <v>0</v>
      </c>
      <c r="AC30" s="35">
        <f t="shared" si="4"/>
        <v>176</v>
      </c>
    </row>
    <row r="31" spans="1:29" x14ac:dyDescent="0.25">
      <c r="B31" s="35" t="s">
        <v>84</v>
      </c>
      <c r="C31" s="35" t="s">
        <v>68</v>
      </c>
      <c r="D31" s="35">
        <v>2</v>
      </c>
      <c r="E31" s="35" t="s">
        <v>95</v>
      </c>
      <c r="F31" s="35" t="s">
        <v>67</v>
      </c>
      <c r="G31" s="35">
        <v>176</v>
      </c>
      <c r="H31" s="35">
        <v>176</v>
      </c>
      <c r="I31" s="39">
        <v>644.11775999999998</v>
      </c>
      <c r="J31" s="39">
        <v>55.111679999999865</v>
      </c>
      <c r="K31" s="39"/>
      <c r="L31" s="36">
        <v>168.67187999999999</v>
      </c>
      <c r="M31" s="39">
        <v>867.90131999999983</v>
      </c>
      <c r="N31" s="39">
        <v>234.52631548616688</v>
      </c>
      <c r="O31" s="39">
        <v>1102.4276354861668</v>
      </c>
      <c r="P31" s="40">
        <v>0.21273624493524385</v>
      </c>
      <c r="Q31" s="41">
        <v>0.80104071825441325</v>
      </c>
      <c r="R31" s="36">
        <f t="shared" si="2"/>
        <v>194027.26384556535</v>
      </c>
      <c r="U31" s="36">
        <f t="shared" si="3"/>
        <v>0</v>
      </c>
      <c r="V31" s="36">
        <f t="shared" si="3"/>
        <v>194027.26384556535</v>
      </c>
      <c r="W31" s="36">
        <f t="shared" si="3"/>
        <v>0</v>
      </c>
      <c r="X31" s="36">
        <f t="shared" si="3"/>
        <v>0</v>
      </c>
      <c r="Z31" s="35">
        <f t="shared" si="4"/>
        <v>0</v>
      </c>
      <c r="AA31" s="35">
        <f t="shared" si="4"/>
        <v>176</v>
      </c>
      <c r="AB31" s="35">
        <f t="shared" si="4"/>
        <v>0</v>
      </c>
      <c r="AC31" s="35">
        <f t="shared" si="4"/>
        <v>0</v>
      </c>
    </row>
    <row r="32" spans="1:29" x14ac:dyDescent="0.25">
      <c r="B32" s="35" t="s">
        <v>84</v>
      </c>
      <c r="C32" s="35" t="s">
        <v>68</v>
      </c>
      <c r="D32" s="35">
        <v>2</v>
      </c>
      <c r="E32" s="35" t="s">
        <v>96</v>
      </c>
      <c r="F32" s="35" t="s">
        <v>67</v>
      </c>
      <c r="G32" s="35">
        <v>176</v>
      </c>
      <c r="H32" s="35">
        <v>176</v>
      </c>
      <c r="I32" s="39">
        <v>644.11775999999998</v>
      </c>
      <c r="J32" s="39">
        <v>55.111679999999865</v>
      </c>
      <c r="K32" s="39"/>
      <c r="L32" s="36">
        <v>168.67187999999999</v>
      </c>
      <c r="M32" s="39">
        <v>867.90131999999983</v>
      </c>
      <c r="N32" s="39">
        <v>234.52631548616688</v>
      </c>
      <c r="O32" s="39">
        <v>1102.4276354861668</v>
      </c>
      <c r="P32" s="40">
        <v>0.21273624493524385</v>
      </c>
      <c r="Q32" s="41">
        <v>0.80104071825441325</v>
      </c>
      <c r="R32" s="36">
        <f t="shared" si="2"/>
        <v>194027.26384556535</v>
      </c>
      <c r="U32" s="36">
        <f t="shared" si="3"/>
        <v>0</v>
      </c>
      <c r="V32" s="36">
        <f t="shared" si="3"/>
        <v>194027.26384556535</v>
      </c>
      <c r="W32" s="36">
        <f t="shared" si="3"/>
        <v>0</v>
      </c>
      <c r="X32" s="36">
        <f t="shared" si="3"/>
        <v>0</v>
      </c>
      <c r="Z32" s="35">
        <f t="shared" si="4"/>
        <v>0</v>
      </c>
      <c r="AA32" s="35">
        <f t="shared" si="4"/>
        <v>176</v>
      </c>
      <c r="AB32" s="35">
        <f t="shared" si="4"/>
        <v>0</v>
      </c>
      <c r="AC32" s="35">
        <f t="shared" si="4"/>
        <v>0</v>
      </c>
    </row>
    <row r="33" spans="1:29" x14ac:dyDescent="0.25">
      <c r="B33" s="35" t="s">
        <v>84</v>
      </c>
      <c r="C33" s="35" t="s">
        <v>97</v>
      </c>
      <c r="D33" s="35">
        <v>4</v>
      </c>
      <c r="E33" s="35" t="s">
        <v>98</v>
      </c>
      <c r="F33" s="35" t="s">
        <v>67</v>
      </c>
      <c r="G33" s="35">
        <v>146</v>
      </c>
      <c r="H33" s="35">
        <v>146</v>
      </c>
      <c r="I33" s="39">
        <v>644.11775999999998</v>
      </c>
      <c r="J33" s="39">
        <v>55.111679999999865</v>
      </c>
      <c r="K33" s="39"/>
      <c r="L33" s="36">
        <v>168.67187999999999</v>
      </c>
      <c r="M33" s="39">
        <v>867.90131999999983</v>
      </c>
      <c r="N33" s="39">
        <v>234.52631548616688</v>
      </c>
      <c r="O33" s="39">
        <v>1102.4276354861668</v>
      </c>
      <c r="P33" s="40">
        <v>0.21273624493524385</v>
      </c>
      <c r="Q33" s="41">
        <v>0.80104071825441325</v>
      </c>
      <c r="R33" s="36">
        <f t="shared" si="2"/>
        <v>160954.43478098034</v>
      </c>
      <c r="U33" s="36">
        <f t="shared" si="3"/>
        <v>0</v>
      </c>
      <c r="V33" s="36">
        <f t="shared" si="3"/>
        <v>0</v>
      </c>
      <c r="W33" s="36">
        <f t="shared" si="3"/>
        <v>0</v>
      </c>
      <c r="X33" s="36">
        <f t="shared" si="3"/>
        <v>160954.43478098034</v>
      </c>
      <c r="Z33" s="35">
        <f t="shared" si="4"/>
        <v>0</v>
      </c>
      <c r="AA33" s="35">
        <f t="shared" si="4"/>
        <v>0</v>
      </c>
      <c r="AB33" s="35">
        <f t="shared" si="4"/>
        <v>0</v>
      </c>
      <c r="AC33" s="35">
        <f t="shared" si="4"/>
        <v>146</v>
      </c>
    </row>
    <row r="34" spans="1:29" s="42" customFormat="1" ht="15.75" thickBot="1" x14ac:dyDescent="0.3">
      <c r="G34" s="42">
        <f>SUM(G4:G33)</f>
        <v>3032</v>
      </c>
      <c r="H34" s="42">
        <f>SUM(H4:H33)</f>
        <v>3032</v>
      </c>
      <c r="I34" s="43"/>
      <c r="J34" s="43"/>
      <c r="K34" s="43"/>
      <c r="L34" s="44"/>
      <c r="M34" s="43"/>
      <c r="N34" s="43"/>
      <c r="O34" s="43"/>
      <c r="P34" s="45"/>
      <c r="Q34" s="46"/>
      <c r="R34" s="44">
        <f>SUM(R4:R33)</f>
        <v>2982617.3590639331</v>
      </c>
      <c r="U34" s="44">
        <f>SUM(U4:U33)</f>
        <v>810266.97978473268</v>
      </c>
      <c r="V34" s="44">
        <f t="shared" ref="V34:X34" si="5">SUM(V4:V33)</f>
        <v>643817.73912392138</v>
      </c>
      <c r="W34" s="44">
        <f t="shared" si="5"/>
        <v>851642.0719667729</v>
      </c>
      <c r="X34" s="44">
        <f t="shared" si="5"/>
        <v>676890.56818850641</v>
      </c>
      <c r="Z34" s="42">
        <f>SUM(Z4:Z33)</f>
        <v>902</v>
      </c>
      <c r="AA34" s="42">
        <f t="shared" ref="AA34:AC34" si="6">SUM(AA4:AA33)</f>
        <v>584</v>
      </c>
      <c r="AB34" s="42">
        <f t="shared" si="6"/>
        <v>932</v>
      </c>
      <c r="AC34" s="42">
        <f t="shared" si="6"/>
        <v>614</v>
      </c>
    </row>
    <row r="35" spans="1:29" ht="15.75" thickTop="1" x14ac:dyDescent="0.25">
      <c r="A35" s="35">
        <v>4</v>
      </c>
      <c r="B35" s="35" t="s">
        <v>99</v>
      </c>
      <c r="C35" s="35" t="s">
        <v>100</v>
      </c>
      <c r="D35" s="35">
        <v>4</v>
      </c>
      <c r="E35" s="35" t="s">
        <v>101</v>
      </c>
      <c r="F35" s="35" t="s">
        <v>102</v>
      </c>
      <c r="G35" s="35">
        <v>28</v>
      </c>
      <c r="H35" s="35">
        <v>56</v>
      </c>
      <c r="I35" s="39">
        <v>1012.4618399999999</v>
      </c>
      <c r="J35" s="39">
        <v>61.247159999999894</v>
      </c>
      <c r="K35" s="39"/>
      <c r="L35" s="36">
        <v>197.08883999999998</v>
      </c>
      <c r="M35" s="39">
        <v>1270.7978399999997</v>
      </c>
      <c r="N35" s="39">
        <v>309.35567803553488</v>
      </c>
      <c r="O35" s="39">
        <v>1580.1535180355345</v>
      </c>
      <c r="P35" s="40">
        <v>0.1957757107171014</v>
      </c>
      <c r="Q35" s="41">
        <v>0.81636254150688903</v>
      </c>
      <c r="R35" s="36">
        <f t="shared" si="2"/>
        <v>44244.298504994964</v>
      </c>
      <c r="U35" s="36">
        <f>IF($D35=U$3,$R35,0)</f>
        <v>0</v>
      </c>
      <c r="V35" s="36">
        <f t="shared" ref="V35:X42" si="7">IF($D35=V$3,$R35,0)</f>
        <v>0</v>
      </c>
      <c r="W35" s="36">
        <f t="shared" si="7"/>
        <v>0</v>
      </c>
      <c r="X35" s="36">
        <f t="shared" si="7"/>
        <v>44244.298504994964</v>
      </c>
      <c r="Z35" s="35">
        <f>IF($D35=Z$3,$G35,0)</f>
        <v>0</v>
      </c>
      <c r="AA35" s="35">
        <f t="shared" ref="AA35:AC42" si="8">IF($D35=AA$3,$G35,0)</f>
        <v>0</v>
      </c>
      <c r="AB35" s="35">
        <f t="shared" si="8"/>
        <v>0</v>
      </c>
      <c r="AC35" s="35">
        <f t="shared" si="8"/>
        <v>28</v>
      </c>
    </row>
    <row r="36" spans="1:29" x14ac:dyDescent="0.25">
      <c r="B36" s="35" t="s">
        <v>103</v>
      </c>
      <c r="D36" s="35">
        <v>4</v>
      </c>
      <c r="F36" s="35" t="s">
        <v>104</v>
      </c>
      <c r="G36" s="35">
        <v>28</v>
      </c>
      <c r="I36" s="39">
        <v>1167.5710799999999</v>
      </c>
      <c r="J36" s="39">
        <v>65.768040000000155</v>
      </c>
      <c r="K36" s="39"/>
      <c r="L36" s="36">
        <v>277.49592000000001</v>
      </c>
      <c r="M36" s="39">
        <v>1510.8350400000002</v>
      </c>
      <c r="N36" s="39">
        <v>367.78894603648729</v>
      </c>
      <c r="O36" s="39">
        <v>1878.6239860364874</v>
      </c>
      <c r="P36" s="40">
        <v>0.1957757107171014</v>
      </c>
      <c r="Q36" s="41">
        <v>0.81636254150688903</v>
      </c>
      <c r="R36" s="36">
        <f t="shared" si="2"/>
        <v>52601.471609021646</v>
      </c>
      <c r="U36" s="36">
        <f t="shared" ref="U36:U42" si="9">IF($D36=U$3,$R36,0)</f>
        <v>0</v>
      </c>
      <c r="V36" s="36">
        <f t="shared" si="7"/>
        <v>0</v>
      </c>
      <c r="W36" s="36">
        <f t="shared" si="7"/>
        <v>0</v>
      </c>
      <c r="X36" s="36">
        <f t="shared" si="7"/>
        <v>52601.471609021646</v>
      </c>
      <c r="Z36" s="35">
        <f t="shared" ref="Z36:Z42" si="10">IF($D36=Z$3,$G36,0)</f>
        <v>0</v>
      </c>
      <c r="AA36" s="35">
        <f t="shared" si="8"/>
        <v>0</v>
      </c>
      <c r="AB36" s="35">
        <f t="shared" si="8"/>
        <v>0</v>
      </c>
      <c r="AC36" s="35">
        <f t="shared" si="8"/>
        <v>28</v>
      </c>
    </row>
    <row r="37" spans="1:29" x14ac:dyDescent="0.25">
      <c r="B37" s="35" t="s">
        <v>99</v>
      </c>
      <c r="C37" s="35" t="s">
        <v>100</v>
      </c>
      <c r="D37" s="35">
        <v>4</v>
      </c>
      <c r="E37" s="35" t="s">
        <v>105</v>
      </c>
      <c r="F37" s="35" t="s">
        <v>102</v>
      </c>
      <c r="G37" s="35">
        <v>28</v>
      </c>
      <c r="H37" s="35">
        <v>56</v>
      </c>
      <c r="I37" s="39">
        <v>1012.4618399999999</v>
      </c>
      <c r="J37" s="39">
        <v>61.247159999999894</v>
      </c>
      <c r="K37" s="39"/>
      <c r="L37" s="36">
        <v>197.08883999999998</v>
      </c>
      <c r="M37" s="39">
        <v>1270.7978399999997</v>
      </c>
      <c r="N37" s="39">
        <v>309.35567803553488</v>
      </c>
      <c r="O37" s="39">
        <v>1580.1535180355345</v>
      </c>
      <c r="P37" s="40">
        <v>0.1957757107171014</v>
      </c>
      <c r="Q37" s="41">
        <v>0.81636254150688903</v>
      </c>
      <c r="R37" s="36">
        <f t="shared" si="2"/>
        <v>44244.298504994964</v>
      </c>
      <c r="U37" s="36">
        <f t="shared" si="9"/>
        <v>0</v>
      </c>
      <c r="V37" s="36">
        <f t="shared" si="7"/>
        <v>0</v>
      </c>
      <c r="W37" s="36">
        <f t="shared" si="7"/>
        <v>0</v>
      </c>
      <c r="X37" s="36">
        <f t="shared" si="7"/>
        <v>44244.298504994964</v>
      </c>
      <c r="Z37" s="35">
        <f t="shared" si="10"/>
        <v>0</v>
      </c>
      <c r="AA37" s="35">
        <f t="shared" si="8"/>
        <v>0</v>
      </c>
      <c r="AB37" s="35">
        <f t="shared" si="8"/>
        <v>0</v>
      </c>
      <c r="AC37" s="35">
        <f t="shared" si="8"/>
        <v>28</v>
      </c>
    </row>
    <row r="38" spans="1:29" x14ac:dyDescent="0.25">
      <c r="B38" s="35" t="s">
        <v>103</v>
      </c>
      <c r="D38" s="35">
        <v>4</v>
      </c>
      <c r="F38" s="35" t="s">
        <v>104</v>
      </c>
      <c r="G38" s="35">
        <v>28</v>
      </c>
      <c r="I38" s="39">
        <v>1167.5710799999999</v>
      </c>
      <c r="J38" s="39">
        <v>65.768040000000155</v>
      </c>
      <c r="K38" s="39"/>
      <c r="L38" s="36">
        <v>277.49592000000001</v>
      </c>
      <c r="M38" s="39">
        <v>1510.8350400000002</v>
      </c>
      <c r="N38" s="39">
        <v>367.78894603648729</v>
      </c>
      <c r="O38" s="39">
        <v>1878.6239860364874</v>
      </c>
      <c r="P38" s="40">
        <v>0.1957757107171014</v>
      </c>
      <c r="Q38" s="41">
        <v>0.81636254150688903</v>
      </c>
      <c r="R38" s="36">
        <f t="shared" si="2"/>
        <v>52601.471609021646</v>
      </c>
      <c r="U38" s="36">
        <f t="shared" si="9"/>
        <v>0</v>
      </c>
      <c r="V38" s="36">
        <f t="shared" si="7"/>
        <v>0</v>
      </c>
      <c r="W38" s="36">
        <f t="shared" si="7"/>
        <v>0</v>
      </c>
      <c r="X38" s="36">
        <f t="shared" si="7"/>
        <v>52601.471609021646</v>
      </c>
      <c r="Z38" s="35">
        <f t="shared" si="10"/>
        <v>0</v>
      </c>
      <c r="AA38" s="35">
        <f t="shared" si="8"/>
        <v>0</v>
      </c>
      <c r="AB38" s="35">
        <f t="shared" si="8"/>
        <v>0</v>
      </c>
      <c r="AC38" s="35">
        <f t="shared" si="8"/>
        <v>28</v>
      </c>
    </row>
    <row r="39" spans="1:29" x14ac:dyDescent="0.25">
      <c r="B39" s="35" t="s">
        <v>99</v>
      </c>
      <c r="C39" s="35" t="s">
        <v>100</v>
      </c>
      <c r="D39" s="35">
        <v>2</v>
      </c>
      <c r="E39" s="35" t="s">
        <v>106</v>
      </c>
      <c r="F39" s="35" t="s">
        <v>102</v>
      </c>
      <c r="G39" s="35">
        <v>28</v>
      </c>
      <c r="H39" s="35">
        <v>56</v>
      </c>
      <c r="I39" s="39">
        <v>1012.4618399999999</v>
      </c>
      <c r="J39" s="39">
        <v>61.247159999999894</v>
      </c>
      <c r="K39" s="39"/>
      <c r="L39" s="36">
        <v>197.08883999999998</v>
      </c>
      <c r="M39" s="39">
        <v>1270.7978399999997</v>
      </c>
      <c r="N39" s="39">
        <v>309.35567803553488</v>
      </c>
      <c r="O39" s="39">
        <v>1580.1535180355345</v>
      </c>
      <c r="P39" s="40">
        <v>0.1957757107171014</v>
      </c>
      <c r="Q39" s="41">
        <v>0.81636254150688903</v>
      </c>
      <c r="R39" s="36">
        <f t="shared" si="2"/>
        <v>44244.298504994964</v>
      </c>
      <c r="U39" s="36">
        <f t="shared" si="9"/>
        <v>0</v>
      </c>
      <c r="V39" s="36">
        <f t="shared" si="7"/>
        <v>44244.298504994964</v>
      </c>
      <c r="W39" s="36">
        <f t="shared" si="7"/>
        <v>0</v>
      </c>
      <c r="X39" s="36">
        <f t="shared" si="7"/>
        <v>0</v>
      </c>
      <c r="Z39" s="35">
        <f t="shared" si="10"/>
        <v>0</v>
      </c>
      <c r="AA39" s="35">
        <f t="shared" si="8"/>
        <v>28</v>
      </c>
      <c r="AB39" s="35">
        <f t="shared" si="8"/>
        <v>0</v>
      </c>
      <c r="AC39" s="35">
        <f t="shared" si="8"/>
        <v>0</v>
      </c>
    </row>
    <row r="40" spans="1:29" x14ac:dyDescent="0.25">
      <c r="B40" s="35" t="s">
        <v>103</v>
      </c>
      <c r="D40" s="35">
        <v>2</v>
      </c>
      <c r="F40" s="35" t="s">
        <v>104</v>
      </c>
      <c r="G40" s="35">
        <v>28</v>
      </c>
      <c r="I40" s="39">
        <v>1167.5710799999999</v>
      </c>
      <c r="J40" s="39">
        <v>65.768040000000155</v>
      </c>
      <c r="K40" s="39"/>
      <c r="L40" s="36">
        <v>277.49592000000001</v>
      </c>
      <c r="M40" s="39">
        <v>1510.8350400000002</v>
      </c>
      <c r="N40" s="39">
        <v>367.78894603648729</v>
      </c>
      <c r="O40" s="39">
        <v>1878.6239860364874</v>
      </c>
      <c r="P40" s="40">
        <v>0.1957757107171014</v>
      </c>
      <c r="Q40" s="41">
        <v>0.81636254150688903</v>
      </c>
      <c r="R40" s="36">
        <f t="shared" si="2"/>
        <v>52601.471609021646</v>
      </c>
      <c r="U40" s="36">
        <f t="shared" si="9"/>
        <v>0</v>
      </c>
      <c r="V40" s="36">
        <f t="shared" si="7"/>
        <v>52601.471609021646</v>
      </c>
      <c r="W40" s="36">
        <f t="shared" si="7"/>
        <v>0</v>
      </c>
      <c r="X40" s="36">
        <f t="shared" si="7"/>
        <v>0</v>
      </c>
      <c r="Z40" s="35">
        <f t="shared" si="10"/>
        <v>0</v>
      </c>
      <c r="AA40" s="35">
        <f t="shared" si="8"/>
        <v>28</v>
      </c>
      <c r="AB40" s="35">
        <f t="shared" si="8"/>
        <v>0</v>
      </c>
      <c r="AC40" s="35">
        <f t="shared" si="8"/>
        <v>0</v>
      </c>
    </row>
    <row r="41" spans="1:29" x14ac:dyDescent="0.25">
      <c r="B41" s="35" t="s">
        <v>99</v>
      </c>
      <c r="C41" s="35" t="s">
        <v>100</v>
      </c>
      <c r="D41" s="35">
        <v>2</v>
      </c>
      <c r="E41" s="35" t="s">
        <v>107</v>
      </c>
      <c r="F41" s="35" t="s">
        <v>108</v>
      </c>
      <c r="G41" s="35">
        <v>28</v>
      </c>
      <c r="H41" s="35">
        <v>56</v>
      </c>
      <c r="I41" s="39">
        <v>1012.4618399999999</v>
      </c>
      <c r="J41" s="39">
        <v>61.247159999999894</v>
      </c>
      <c r="K41" s="39"/>
      <c r="L41" s="36">
        <v>197.08883999999998</v>
      </c>
      <c r="M41" s="39">
        <v>1270.7978399999997</v>
      </c>
      <c r="N41" s="39">
        <v>309.35567803553488</v>
      </c>
      <c r="O41" s="39">
        <v>1580.1535180355345</v>
      </c>
      <c r="P41" s="40">
        <v>0.1957757107171014</v>
      </c>
      <c r="Q41" s="41">
        <v>0.81636254150688903</v>
      </c>
      <c r="R41" s="36">
        <f t="shared" si="2"/>
        <v>44244.298504994964</v>
      </c>
      <c r="U41" s="36">
        <f t="shared" si="9"/>
        <v>0</v>
      </c>
      <c r="V41" s="36">
        <f t="shared" si="7"/>
        <v>44244.298504994964</v>
      </c>
      <c r="W41" s="36">
        <f t="shared" si="7"/>
        <v>0</v>
      </c>
      <c r="X41" s="36">
        <f t="shared" si="7"/>
        <v>0</v>
      </c>
      <c r="Z41" s="35">
        <f t="shared" si="10"/>
        <v>0</v>
      </c>
      <c r="AA41" s="35">
        <f t="shared" si="8"/>
        <v>28</v>
      </c>
      <c r="AB41" s="35">
        <f t="shared" si="8"/>
        <v>0</v>
      </c>
      <c r="AC41" s="35">
        <f t="shared" si="8"/>
        <v>0</v>
      </c>
    </row>
    <row r="42" spans="1:29" x14ac:dyDescent="0.25">
      <c r="B42" s="35" t="s">
        <v>103</v>
      </c>
      <c r="D42" s="35">
        <v>2</v>
      </c>
      <c r="F42" s="35" t="s">
        <v>104</v>
      </c>
      <c r="G42" s="35">
        <v>28</v>
      </c>
      <c r="I42" s="39">
        <v>1167.5710799999999</v>
      </c>
      <c r="J42" s="39">
        <v>65.768040000000155</v>
      </c>
      <c r="K42" s="39"/>
      <c r="L42" s="36">
        <v>277.49592000000001</v>
      </c>
      <c r="M42" s="39">
        <v>1510.8350400000002</v>
      </c>
      <c r="N42" s="39">
        <v>367.78894603648729</v>
      </c>
      <c r="O42" s="39">
        <v>1878.6239860364874</v>
      </c>
      <c r="P42" s="40">
        <v>0.1957757107171014</v>
      </c>
      <c r="Q42" s="41">
        <v>0.81636254150688903</v>
      </c>
      <c r="R42" s="36">
        <f t="shared" si="2"/>
        <v>52601.471609021646</v>
      </c>
      <c r="U42" s="36">
        <f t="shared" si="9"/>
        <v>0</v>
      </c>
      <c r="V42" s="36">
        <f t="shared" si="7"/>
        <v>52601.471609021646</v>
      </c>
      <c r="W42" s="36">
        <f t="shared" si="7"/>
        <v>0</v>
      </c>
      <c r="X42" s="36">
        <f t="shared" si="7"/>
        <v>0</v>
      </c>
      <c r="Z42" s="35">
        <f t="shared" si="10"/>
        <v>0</v>
      </c>
      <c r="AA42" s="35">
        <f t="shared" si="8"/>
        <v>28</v>
      </c>
      <c r="AB42" s="35">
        <f t="shared" si="8"/>
        <v>0</v>
      </c>
      <c r="AC42" s="35">
        <f t="shared" si="8"/>
        <v>0</v>
      </c>
    </row>
    <row r="43" spans="1:29" ht="15.75" thickBot="1" x14ac:dyDescent="0.3">
      <c r="A43" s="42" t="s">
        <v>109</v>
      </c>
      <c r="B43" s="42"/>
      <c r="C43" s="42"/>
      <c r="D43" s="42"/>
      <c r="E43" s="42"/>
      <c r="F43" s="42"/>
      <c r="G43" s="42">
        <f>SUM(G35:G42)</f>
        <v>224</v>
      </c>
      <c r="H43" s="42">
        <f>SUM(H35:H42)</f>
        <v>224</v>
      </c>
      <c r="I43" s="42"/>
      <c r="J43" s="42"/>
      <c r="K43" s="42"/>
      <c r="L43" s="44"/>
      <c r="M43" s="42"/>
      <c r="N43" s="43"/>
      <c r="O43" s="43"/>
      <c r="P43" s="42"/>
      <c r="Q43" s="42"/>
      <c r="R43" s="44">
        <f>SUM(R35:R42)</f>
        <v>387383.08045606641</v>
      </c>
      <c r="S43" s="47">
        <f t="shared" ref="S43:X43" si="11">SUM(S35:S42)</f>
        <v>0</v>
      </c>
      <c r="T43" s="47">
        <f t="shared" si="11"/>
        <v>0</v>
      </c>
      <c r="U43" s="44">
        <f t="shared" si="11"/>
        <v>0</v>
      </c>
      <c r="V43" s="44">
        <f t="shared" si="11"/>
        <v>193691.54022803321</v>
      </c>
      <c r="W43" s="44">
        <f t="shared" si="11"/>
        <v>0</v>
      </c>
      <c r="X43" s="44">
        <f t="shared" si="11"/>
        <v>193691.54022803321</v>
      </c>
      <c r="Z43" s="48">
        <f>SUM(Z35:Z42)</f>
        <v>0</v>
      </c>
      <c r="AA43" s="48">
        <f t="shared" ref="AA43:AC43" si="12">SUM(AA35:AA42)</f>
        <v>112</v>
      </c>
      <c r="AB43" s="48">
        <f t="shared" si="12"/>
        <v>0</v>
      </c>
      <c r="AC43" s="48">
        <f t="shared" si="12"/>
        <v>112</v>
      </c>
    </row>
    <row r="44" spans="1:29" ht="60.75" thickTop="1" x14ac:dyDescent="0.25">
      <c r="L44" s="36" t="s">
        <v>110</v>
      </c>
      <c r="R44" s="36">
        <f t="shared" si="2"/>
        <v>0</v>
      </c>
    </row>
    <row r="45" spans="1:29" ht="15.75" thickBot="1" x14ac:dyDescent="0.3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4"/>
      <c r="M45" s="42"/>
      <c r="N45" s="42"/>
      <c r="O45" s="42"/>
      <c r="P45" s="42"/>
      <c r="Q45" s="42"/>
      <c r="R45" s="49">
        <f>R34+R43</f>
        <v>3370000.4395199995</v>
      </c>
      <c r="S45" s="50">
        <f t="shared" ref="S45:T45" si="13">S34+S43</f>
        <v>0</v>
      </c>
      <c r="T45" s="50">
        <f t="shared" si="13"/>
        <v>0</v>
      </c>
      <c r="U45" s="49"/>
      <c r="V45" s="49"/>
      <c r="W45" s="49"/>
      <c r="X45" s="49"/>
    </row>
    <row r="46" spans="1:29" ht="15.75" thickTop="1" x14ac:dyDescent="0.25"/>
    <row r="47" spans="1:29" x14ac:dyDescent="0.25">
      <c r="A47" s="200" t="s">
        <v>111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</row>
    <row r="48" spans="1:29" x14ac:dyDescent="0.25">
      <c r="A48" s="35" t="s">
        <v>112</v>
      </c>
    </row>
    <row r="49" spans="1:20" ht="30" x14ac:dyDescent="0.25">
      <c r="A49" s="51" t="s">
        <v>113</v>
      </c>
      <c r="B49" s="51" t="s">
        <v>114</v>
      </c>
      <c r="C49" s="51" t="s">
        <v>115</v>
      </c>
      <c r="D49" s="51"/>
      <c r="E49" s="51" t="s">
        <v>116</v>
      </c>
      <c r="F49" s="51"/>
      <c r="G49" s="51"/>
      <c r="H49" s="51"/>
      <c r="I49" s="51"/>
      <c r="J49" s="51"/>
      <c r="K49" s="51"/>
      <c r="L49" s="52"/>
    </row>
    <row r="50" spans="1:20" ht="30" x14ac:dyDescent="0.25">
      <c r="A50" s="51"/>
      <c r="B50" s="51"/>
      <c r="C50" s="51"/>
      <c r="D50" s="51"/>
      <c r="E50" s="51" t="s">
        <v>117</v>
      </c>
      <c r="F50" s="51" t="s">
        <v>118</v>
      </c>
      <c r="G50" s="51" t="s">
        <v>119</v>
      </c>
      <c r="H50" s="51" t="s">
        <v>120</v>
      </c>
      <c r="I50" s="51" t="s">
        <v>121</v>
      </c>
      <c r="J50" s="51" t="s">
        <v>122</v>
      </c>
      <c r="K50" s="51" t="s">
        <v>123</v>
      </c>
      <c r="L50" s="52" t="s">
        <v>124</v>
      </c>
    </row>
    <row r="51" spans="1:20" x14ac:dyDescent="0.25">
      <c r="A51" s="35" t="s">
        <v>125</v>
      </c>
      <c r="B51" s="35" t="s">
        <v>126</v>
      </c>
      <c r="C51" s="35">
        <v>78</v>
      </c>
      <c r="E51" s="35" t="s">
        <v>127</v>
      </c>
      <c r="F51" s="35">
        <v>321.62831999999997</v>
      </c>
      <c r="G51" s="35">
        <v>355.10436000000004</v>
      </c>
      <c r="H51" s="35">
        <v>18.40644</v>
      </c>
      <c r="I51" s="35">
        <v>373.51080000000002</v>
      </c>
      <c r="J51" s="35">
        <v>136.30119244542558</v>
      </c>
      <c r="K51" s="35">
        <v>509.81199244542563</v>
      </c>
      <c r="L51" s="36">
        <f>K51*C51</f>
        <v>39765.335410743202</v>
      </c>
      <c r="O51" s="138"/>
      <c r="P51" s="155" t="s">
        <v>16</v>
      </c>
      <c r="Q51" s="155" t="s">
        <v>17</v>
      </c>
      <c r="R51" s="156" t="s">
        <v>128</v>
      </c>
      <c r="S51" s="155" t="s">
        <v>129</v>
      </c>
    </row>
    <row r="52" spans="1:20" x14ac:dyDescent="0.25">
      <c r="A52" s="35" t="s">
        <v>125</v>
      </c>
      <c r="B52" s="35" t="s">
        <v>130</v>
      </c>
      <c r="C52" s="35">
        <v>87</v>
      </c>
      <c r="E52" s="35" t="s">
        <v>127</v>
      </c>
      <c r="F52" s="35">
        <v>321.62831999999997</v>
      </c>
      <c r="G52" s="35">
        <v>355.10436000000004</v>
      </c>
      <c r="H52" s="35">
        <v>18.40644</v>
      </c>
      <c r="I52" s="35">
        <v>373.51080000000002</v>
      </c>
      <c r="J52" s="35">
        <v>136.30119244542558</v>
      </c>
      <c r="K52" s="35">
        <v>509.81199244542563</v>
      </c>
      <c r="L52" s="36">
        <f t="shared" ref="L52:L65" si="14">K52*C52</f>
        <v>44353.643342752031</v>
      </c>
      <c r="O52" s="69" t="s">
        <v>55</v>
      </c>
      <c r="P52" s="69">
        <v>336</v>
      </c>
      <c r="Q52" s="69">
        <v>120</v>
      </c>
      <c r="R52" s="142">
        <f>P52*$N$66</f>
        <v>171296.82946166297</v>
      </c>
      <c r="S52" s="142">
        <f>Q52*$N$86</f>
        <v>90454.76222263166</v>
      </c>
      <c r="T52" s="157">
        <f>SUM(R52:S52)</f>
        <v>261751.59168429463</v>
      </c>
    </row>
    <row r="53" spans="1:20" x14ac:dyDescent="0.25">
      <c r="A53" s="35" t="s">
        <v>125</v>
      </c>
      <c r="B53" s="35" t="s">
        <v>131</v>
      </c>
      <c r="C53" s="35">
        <v>87</v>
      </c>
      <c r="E53" s="35" t="s">
        <v>127</v>
      </c>
      <c r="F53" s="35">
        <v>321.62831999999997</v>
      </c>
      <c r="G53" s="35">
        <v>355.10436000000004</v>
      </c>
      <c r="H53" s="35">
        <v>18.40644</v>
      </c>
      <c r="I53" s="35">
        <v>373.51080000000002</v>
      </c>
      <c r="J53" s="35">
        <v>136.30119244542558</v>
      </c>
      <c r="K53" s="35">
        <v>509.81199244542563</v>
      </c>
      <c r="L53" s="36">
        <f t="shared" si="14"/>
        <v>44353.643342752031</v>
      </c>
      <c r="O53" s="69" t="s">
        <v>56</v>
      </c>
      <c r="P53" s="69">
        <v>240</v>
      </c>
      <c r="Q53" s="69">
        <v>202</v>
      </c>
      <c r="R53" s="142">
        <f t="shared" ref="R53:R55" si="15">P53*$N$66</f>
        <v>122354.87818690212</v>
      </c>
      <c r="S53" s="142">
        <f t="shared" ref="S53:S55" si="16">Q53*$N$86</f>
        <v>152265.51640809665</v>
      </c>
    </row>
    <row r="54" spans="1:20" x14ac:dyDescent="0.25">
      <c r="A54" s="35" t="s">
        <v>125</v>
      </c>
      <c r="B54" s="35" t="s">
        <v>132</v>
      </c>
      <c r="C54" s="35">
        <v>87</v>
      </c>
      <c r="E54" s="35" t="s">
        <v>127</v>
      </c>
      <c r="F54" s="35">
        <v>321.62831999999997</v>
      </c>
      <c r="G54" s="35">
        <v>355.10436000000004</v>
      </c>
      <c r="H54" s="35">
        <v>18.40644</v>
      </c>
      <c r="I54" s="35">
        <v>373.51080000000002</v>
      </c>
      <c r="J54" s="35">
        <v>136.30119244542558</v>
      </c>
      <c r="K54" s="35">
        <v>509.81199244542563</v>
      </c>
      <c r="L54" s="36">
        <f t="shared" si="14"/>
        <v>44353.643342752031</v>
      </c>
      <c r="O54" s="69" t="s">
        <v>133</v>
      </c>
      <c r="P54" s="69">
        <v>480</v>
      </c>
      <c r="Q54" s="69">
        <v>0</v>
      </c>
      <c r="R54" s="142">
        <f t="shared" si="15"/>
        <v>244709.75637380424</v>
      </c>
      <c r="S54" s="142">
        <f t="shared" si="16"/>
        <v>0</v>
      </c>
    </row>
    <row r="55" spans="1:20" x14ac:dyDescent="0.25">
      <c r="A55" s="35" t="s">
        <v>125</v>
      </c>
      <c r="B55" s="35" t="s">
        <v>134</v>
      </c>
      <c r="C55" s="35">
        <v>87</v>
      </c>
      <c r="E55" s="35" t="s">
        <v>127</v>
      </c>
      <c r="F55" s="35">
        <v>321.62831999999997</v>
      </c>
      <c r="G55" s="35">
        <v>355.10436000000004</v>
      </c>
      <c r="H55" s="35">
        <v>18.40644</v>
      </c>
      <c r="I55" s="35">
        <v>373.51080000000002</v>
      </c>
      <c r="J55" s="35">
        <v>136.30119244542558</v>
      </c>
      <c r="K55" s="35">
        <v>509.81199244542563</v>
      </c>
      <c r="L55" s="36">
        <f t="shared" si="14"/>
        <v>44353.643342752031</v>
      </c>
      <c r="O55" s="69" t="s">
        <v>58</v>
      </c>
      <c r="P55" s="69">
        <v>240</v>
      </c>
      <c r="Q55" s="69">
        <v>0</v>
      </c>
      <c r="R55" s="142">
        <f t="shared" si="15"/>
        <v>122354.87818690212</v>
      </c>
      <c r="S55" s="142">
        <f t="shared" si="16"/>
        <v>0</v>
      </c>
    </row>
    <row r="56" spans="1:20" x14ac:dyDescent="0.25">
      <c r="A56" s="35" t="s">
        <v>125</v>
      </c>
      <c r="B56" s="35" t="s">
        <v>135</v>
      </c>
      <c r="C56" s="35">
        <v>87</v>
      </c>
      <c r="E56" s="35" t="s">
        <v>127</v>
      </c>
      <c r="F56" s="35">
        <v>321.62831999999997</v>
      </c>
      <c r="G56" s="35">
        <v>355.10436000000004</v>
      </c>
      <c r="H56" s="35">
        <v>18.40644</v>
      </c>
      <c r="I56" s="35">
        <v>373.51080000000002</v>
      </c>
      <c r="J56" s="35">
        <v>136.30119244542558</v>
      </c>
      <c r="K56" s="35">
        <v>509.81199244542563</v>
      </c>
      <c r="L56" s="36">
        <f t="shared" si="14"/>
        <v>44353.643342752031</v>
      </c>
      <c r="O56" s="84"/>
      <c r="P56" s="84"/>
      <c r="Q56" s="84"/>
      <c r="R56" s="158">
        <f>SUM(R52:R55)</f>
        <v>660716.3422092715</v>
      </c>
      <c r="S56" s="158">
        <f t="shared" ref="S56" si="17">SUM(S52:S55)</f>
        <v>242720.27863072831</v>
      </c>
      <c r="T56" s="157">
        <f>SUM(R56:S56)</f>
        <v>903436.62083999976</v>
      </c>
    </row>
    <row r="57" spans="1:20" x14ac:dyDescent="0.25">
      <c r="A57" s="35" t="s">
        <v>125</v>
      </c>
      <c r="B57" s="35" t="s">
        <v>136</v>
      </c>
      <c r="C57" s="35">
        <v>87</v>
      </c>
      <c r="E57" s="35" t="s">
        <v>127</v>
      </c>
      <c r="F57" s="35">
        <v>321.62831999999997</v>
      </c>
      <c r="G57" s="35">
        <v>355.10436000000004</v>
      </c>
      <c r="H57" s="35">
        <v>18.40644</v>
      </c>
      <c r="I57" s="35">
        <v>373.51080000000002</v>
      </c>
      <c r="J57" s="35">
        <v>136.30119244542558</v>
      </c>
      <c r="K57" s="35">
        <v>509.81199244542563</v>
      </c>
      <c r="L57" s="36">
        <f t="shared" si="14"/>
        <v>44353.643342752031</v>
      </c>
    </row>
    <row r="58" spans="1:20" x14ac:dyDescent="0.25">
      <c r="A58" s="35" t="s">
        <v>125</v>
      </c>
      <c r="B58" s="35" t="s">
        <v>137</v>
      </c>
      <c r="C58" s="35">
        <v>87</v>
      </c>
      <c r="E58" s="35" t="s">
        <v>127</v>
      </c>
      <c r="F58" s="35">
        <v>321.62831999999997</v>
      </c>
      <c r="G58" s="35">
        <v>355.10436000000004</v>
      </c>
      <c r="H58" s="35">
        <v>18.40644</v>
      </c>
      <c r="I58" s="35">
        <v>373.51080000000002</v>
      </c>
      <c r="J58" s="35">
        <v>136.30119244542558</v>
      </c>
      <c r="K58" s="35">
        <v>509.81199244542563</v>
      </c>
      <c r="L58" s="36">
        <f t="shared" si="14"/>
        <v>44353.643342752031</v>
      </c>
    </row>
    <row r="59" spans="1:20" x14ac:dyDescent="0.25">
      <c r="A59" s="35" t="s">
        <v>125</v>
      </c>
      <c r="B59" s="35" t="s">
        <v>138</v>
      </c>
      <c r="C59" s="35">
        <v>87</v>
      </c>
      <c r="E59" s="35" t="s">
        <v>127</v>
      </c>
      <c r="F59" s="35">
        <v>321.62831999999997</v>
      </c>
      <c r="G59" s="35">
        <v>355.10436000000004</v>
      </c>
      <c r="H59" s="35">
        <v>18.40644</v>
      </c>
      <c r="I59" s="35">
        <v>373.51080000000002</v>
      </c>
      <c r="J59" s="35">
        <v>136.30119244542558</v>
      </c>
      <c r="K59" s="35">
        <v>509.81199244542563</v>
      </c>
      <c r="L59" s="36">
        <f t="shared" si="14"/>
        <v>44353.643342752031</v>
      </c>
    </row>
    <row r="60" spans="1:20" ht="45" x14ac:dyDescent="0.25">
      <c r="A60" s="35" t="s">
        <v>125</v>
      </c>
      <c r="B60" s="35" t="s">
        <v>139</v>
      </c>
      <c r="C60" s="35">
        <v>87</v>
      </c>
      <c r="E60" s="35" t="s">
        <v>127</v>
      </c>
      <c r="F60" s="35">
        <v>321.62831999999997</v>
      </c>
      <c r="G60" s="35">
        <v>355.10436000000004</v>
      </c>
      <c r="H60" s="35">
        <v>18.40644</v>
      </c>
      <c r="I60" s="35">
        <v>373.51080000000002</v>
      </c>
      <c r="J60" s="35">
        <v>136.30119244542558</v>
      </c>
      <c r="K60" s="35">
        <v>509.81199244542563</v>
      </c>
      <c r="L60" s="36">
        <f t="shared" si="14"/>
        <v>44353.643342752031</v>
      </c>
      <c r="R60" s="164" t="s">
        <v>239</v>
      </c>
      <c r="S60" s="164" t="s">
        <v>241</v>
      </c>
    </row>
    <row r="61" spans="1:20" x14ac:dyDescent="0.25">
      <c r="A61" s="35" t="s">
        <v>125</v>
      </c>
      <c r="B61" s="35" t="s">
        <v>140</v>
      </c>
      <c r="C61" s="35">
        <v>87</v>
      </c>
      <c r="E61" s="35" t="s">
        <v>127</v>
      </c>
      <c r="F61" s="35">
        <v>321.62831999999997</v>
      </c>
      <c r="G61" s="35">
        <v>355.10436000000004</v>
      </c>
      <c r="H61" s="35">
        <v>18.40644</v>
      </c>
      <c r="I61" s="35">
        <v>373.51080000000002</v>
      </c>
      <c r="J61" s="35">
        <v>136.30119244542558</v>
      </c>
      <c r="K61" s="35">
        <v>509.81199244542563</v>
      </c>
      <c r="L61" s="36">
        <f t="shared" si="14"/>
        <v>44353.643342752031</v>
      </c>
      <c r="R61" s="166">
        <v>1</v>
      </c>
      <c r="S61" s="166">
        <v>810266.97978473268</v>
      </c>
    </row>
    <row r="62" spans="1:20" x14ac:dyDescent="0.25">
      <c r="A62" s="35" t="s">
        <v>125</v>
      </c>
      <c r="B62" s="35" t="s">
        <v>141</v>
      </c>
      <c r="C62" s="35">
        <v>87</v>
      </c>
      <c r="E62" s="35" t="s">
        <v>127</v>
      </c>
      <c r="F62" s="35">
        <v>321.62831999999997</v>
      </c>
      <c r="G62" s="35">
        <v>355.10436000000004</v>
      </c>
      <c r="H62" s="35">
        <v>18.40644</v>
      </c>
      <c r="I62" s="35">
        <v>373.51080000000002</v>
      </c>
      <c r="J62" s="35">
        <v>136.30119244542558</v>
      </c>
      <c r="K62" s="35">
        <v>509.81199244542563</v>
      </c>
      <c r="L62" s="36">
        <f t="shared" si="14"/>
        <v>44353.643342752031</v>
      </c>
      <c r="R62" s="166">
        <v>2</v>
      </c>
      <c r="S62" s="166">
        <v>837509.27935195458</v>
      </c>
    </row>
    <row r="63" spans="1:20" x14ac:dyDescent="0.25">
      <c r="A63" s="35" t="s">
        <v>125</v>
      </c>
      <c r="B63" s="35" t="s">
        <v>142</v>
      </c>
      <c r="C63" s="35">
        <v>87</v>
      </c>
      <c r="E63" s="35" t="s">
        <v>127</v>
      </c>
      <c r="F63" s="35">
        <v>321.62831999999997</v>
      </c>
      <c r="G63" s="35">
        <v>355.10436000000004</v>
      </c>
      <c r="H63" s="35">
        <v>18.40644</v>
      </c>
      <c r="I63" s="35">
        <v>373.51080000000002</v>
      </c>
      <c r="J63" s="35">
        <v>136.30119244542558</v>
      </c>
      <c r="K63" s="35">
        <v>509.81199244542563</v>
      </c>
      <c r="L63" s="36">
        <f t="shared" si="14"/>
        <v>44353.643342752031</v>
      </c>
      <c r="R63" s="166">
        <v>3</v>
      </c>
      <c r="S63" s="166">
        <v>851642.0719667729</v>
      </c>
    </row>
    <row r="64" spans="1:20" x14ac:dyDescent="0.25">
      <c r="A64" s="35" t="s">
        <v>125</v>
      </c>
      <c r="B64" s="35" t="s">
        <v>143</v>
      </c>
      <c r="C64" s="35">
        <v>87</v>
      </c>
      <c r="E64" s="35" t="s">
        <v>127</v>
      </c>
      <c r="F64" s="35">
        <v>321.62831999999997</v>
      </c>
      <c r="G64" s="35">
        <v>355.10436000000004</v>
      </c>
      <c r="H64" s="35">
        <v>18.40644</v>
      </c>
      <c r="I64" s="35">
        <v>373.51080000000002</v>
      </c>
      <c r="J64" s="35">
        <v>136.30119244542558</v>
      </c>
      <c r="K64" s="35">
        <v>509.81199244542563</v>
      </c>
      <c r="L64" s="36">
        <f t="shared" si="14"/>
        <v>44353.643342752031</v>
      </c>
      <c r="R64" s="166">
        <v>4</v>
      </c>
      <c r="S64" s="166">
        <v>870582.10841653962</v>
      </c>
    </row>
    <row r="65" spans="1:24" x14ac:dyDescent="0.25">
      <c r="A65" s="35" t="s">
        <v>125</v>
      </c>
      <c r="B65" s="35" t="s">
        <v>144</v>
      </c>
      <c r="C65" s="35">
        <v>87</v>
      </c>
      <c r="E65" s="35" t="s">
        <v>127</v>
      </c>
      <c r="F65" s="35">
        <v>321.62831999999997</v>
      </c>
      <c r="G65" s="35">
        <v>355.10436000000004</v>
      </c>
      <c r="H65" s="35">
        <v>18.40644</v>
      </c>
      <c r="I65" s="35">
        <v>373.51080000000002</v>
      </c>
      <c r="J65" s="35">
        <v>136.30119244542558</v>
      </c>
      <c r="K65" s="35">
        <v>509.81199244542563</v>
      </c>
      <c r="L65" s="36">
        <f t="shared" si="14"/>
        <v>44353.643342752031</v>
      </c>
      <c r="R65" s="165" t="s">
        <v>240</v>
      </c>
      <c r="S65" s="158">
        <v>3370000.4395199995</v>
      </c>
    </row>
    <row r="66" spans="1:24" ht="75.75" thickBot="1" x14ac:dyDescent="0.3">
      <c r="A66" s="42"/>
      <c r="B66" s="42"/>
      <c r="C66" s="42">
        <v>1296</v>
      </c>
      <c r="D66" s="42"/>
      <c r="E66" s="42"/>
      <c r="F66" s="42"/>
      <c r="G66" s="42"/>
      <c r="H66" s="42"/>
      <c r="I66" s="42">
        <v>484069.99680000002</v>
      </c>
      <c r="J66" s="42"/>
      <c r="K66" s="42"/>
      <c r="L66" s="44">
        <f>SUM(L51:L65)</f>
        <v>660716.3422092715</v>
      </c>
      <c r="N66" s="54">
        <f>L66/C66</f>
        <v>509.81199244542552</v>
      </c>
      <c r="O66" s="55" t="s">
        <v>145</v>
      </c>
    </row>
    <row r="67" spans="1:24" ht="15.75" thickTop="1" x14ac:dyDescent="0.25"/>
    <row r="68" spans="1:24" x14ac:dyDescent="0.25">
      <c r="A68" s="201" t="s">
        <v>146</v>
      </c>
      <c r="B68" s="201"/>
      <c r="C68" s="201"/>
      <c r="D68" s="201"/>
      <c r="E68" s="201"/>
      <c r="F68" s="201"/>
      <c r="G68" s="201"/>
      <c r="H68" s="201"/>
      <c r="I68" s="201"/>
      <c r="J68" s="201"/>
      <c r="K68" s="201"/>
      <c r="L68" s="201"/>
    </row>
    <row r="69" spans="1:24" ht="30" x14ac:dyDescent="0.25">
      <c r="A69" s="35" t="s">
        <v>113</v>
      </c>
      <c r="B69" s="35" t="s">
        <v>114</v>
      </c>
      <c r="C69" s="35" t="s">
        <v>115</v>
      </c>
      <c r="E69" s="35" t="s">
        <v>116</v>
      </c>
    </row>
    <row r="70" spans="1:24" s="160" customFormat="1" ht="30" x14ac:dyDescent="0.25">
      <c r="E70" s="160" t="s">
        <v>117</v>
      </c>
      <c r="F70" s="160" t="s">
        <v>118</v>
      </c>
      <c r="G70" s="160" t="s">
        <v>119</v>
      </c>
      <c r="H70" s="160" t="s">
        <v>120</v>
      </c>
      <c r="I70" s="160" t="s">
        <v>121</v>
      </c>
      <c r="J70" s="160" t="s">
        <v>122</v>
      </c>
      <c r="K70" s="160" t="s">
        <v>123</v>
      </c>
      <c r="L70" s="161" t="s">
        <v>147</v>
      </c>
      <c r="R70" s="161"/>
      <c r="U70" s="161"/>
      <c r="V70" s="161"/>
      <c r="W70" s="161"/>
      <c r="X70" s="161"/>
    </row>
    <row r="71" spans="1:24" x14ac:dyDescent="0.25">
      <c r="A71" s="35" t="s">
        <v>148</v>
      </c>
      <c r="B71" s="35" t="s">
        <v>126</v>
      </c>
      <c r="C71" s="35">
        <v>14</v>
      </c>
      <c r="E71" s="35" t="s">
        <v>149</v>
      </c>
      <c r="F71" s="39">
        <v>486.96335999999997</v>
      </c>
      <c r="G71" s="39">
        <v>532.60271999999998</v>
      </c>
      <c r="H71" s="39">
        <v>63.507599999999996</v>
      </c>
      <c r="I71" s="39">
        <v>596.11032</v>
      </c>
      <c r="J71" s="56">
        <v>157.67936518859756</v>
      </c>
      <c r="K71" s="39">
        <v>753.78968518859756</v>
      </c>
      <c r="L71" s="36">
        <f>K71*C71</f>
        <v>10553.055592640365</v>
      </c>
    </row>
    <row r="72" spans="1:24" x14ac:dyDescent="0.25">
      <c r="A72" s="35" t="s">
        <v>148</v>
      </c>
      <c r="B72" s="35" t="s">
        <v>130</v>
      </c>
      <c r="C72" s="35">
        <v>22</v>
      </c>
      <c r="E72" s="35" t="s">
        <v>149</v>
      </c>
      <c r="F72" s="39">
        <v>486.96335999999997</v>
      </c>
      <c r="G72" s="39">
        <v>538.52292</v>
      </c>
      <c r="H72" s="39">
        <v>63.507599999999996</v>
      </c>
      <c r="I72" s="39">
        <v>596.11032</v>
      </c>
      <c r="J72" s="56">
        <v>157.67936518859756</v>
      </c>
      <c r="K72" s="39">
        <v>753.78968518859756</v>
      </c>
      <c r="L72" s="36">
        <f t="shared" ref="L72:L85" si="18">K72*C72</f>
        <v>16583.373074149145</v>
      </c>
    </row>
    <row r="73" spans="1:24" x14ac:dyDescent="0.25">
      <c r="A73" s="35" t="s">
        <v>148</v>
      </c>
      <c r="B73" s="35" t="s">
        <v>131</v>
      </c>
      <c r="C73" s="35">
        <v>22</v>
      </c>
      <c r="E73" s="35" t="s">
        <v>149</v>
      </c>
      <c r="F73" s="39">
        <v>486.96335999999997</v>
      </c>
      <c r="G73" s="39">
        <v>538.52292</v>
      </c>
      <c r="H73" s="39">
        <v>63.507599999999996</v>
      </c>
      <c r="I73" s="39">
        <v>596.11032</v>
      </c>
      <c r="J73" s="56">
        <v>157.67936518859756</v>
      </c>
      <c r="K73" s="39">
        <v>753.78968518859756</v>
      </c>
      <c r="L73" s="36">
        <f t="shared" si="18"/>
        <v>16583.373074149145</v>
      </c>
    </row>
    <row r="74" spans="1:24" x14ac:dyDescent="0.25">
      <c r="A74" s="35" t="s">
        <v>148</v>
      </c>
      <c r="B74" s="35" t="s">
        <v>132</v>
      </c>
      <c r="C74" s="35">
        <v>22</v>
      </c>
      <c r="E74" s="35" t="s">
        <v>149</v>
      </c>
      <c r="F74" s="39">
        <v>486.96335999999997</v>
      </c>
      <c r="G74" s="39">
        <v>538.52292</v>
      </c>
      <c r="H74" s="39">
        <v>63.507599999999996</v>
      </c>
      <c r="I74" s="39">
        <v>596.11032</v>
      </c>
      <c r="J74" s="56">
        <v>157.67936518859756</v>
      </c>
      <c r="K74" s="39">
        <v>753.78968518859756</v>
      </c>
      <c r="L74" s="36">
        <f t="shared" si="18"/>
        <v>16583.373074149145</v>
      </c>
    </row>
    <row r="75" spans="1:24" x14ac:dyDescent="0.25">
      <c r="A75" s="35" t="s">
        <v>148</v>
      </c>
      <c r="B75" s="35" t="s">
        <v>134</v>
      </c>
      <c r="C75" s="35">
        <v>22</v>
      </c>
      <c r="E75" s="35" t="s">
        <v>149</v>
      </c>
      <c r="F75" s="39">
        <v>486.96335999999997</v>
      </c>
      <c r="G75" s="39">
        <v>538.52292</v>
      </c>
      <c r="H75" s="39">
        <v>63.507599999999996</v>
      </c>
      <c r="I75" s="39">
        <v>596.11032</v>
      </c>
      <c r="J75" s="56">
        <v>157.67936518859756</v>
      </c>
      <c r="K75" s="39">
        <v>753.78968518859756</v>
      </c>
      <c r="L75" s="36">
        <f t="shared" si="18"/>
        <v>16583.373074149145</v>
      </c>
    </row>
    <row r="76" spans="1:24" x14ac:dyDescent="0.25">
      <c r="A76" s="35" t="s">
        <v>148</v>
      </c>
      <c r="B76" s="35" t="s">
        <v>135</v>
      </c>
      <c r="C76" s="35">
        <v>22</v>
      </c>
      <c r="E76" s="35" t="s">
        <v>149</v>
      </c>
      <c r="F76" s="39">
        <v>486.96335999999997</v>
      </c>
      <c r="G76" s="39">
        <v>538.52292</v>
      </c>
      <c r="H76" s="39">
        <v>63.507599999999996</v>
      </c>
      <c r="I76" s="39">
        <v>596.11032</v>
      </c>
      <c r="J76" s="56">
        <v>157.67936518859756</v>
      </c>
      <c r="K76" s="39">
        <v>753.78968518859756</v>
      </c>
      <c r="L76" s="36">
        <f t="shared" si="18"/>
        <v>16583.373074149145</v>
      </c>
    </row>
    <row r="77" spans="1:24" x14ac:dyDescent="0.25">
      <c r="A77" s="35" t="s">
        <v>148</v>
      </c>
      <c r="B77" s="35" t="s">
        <v>136</v>
      </c>
      <c r="C77" s="35">
        <v>22</v>
      </c>
      <c r="E77" s="35" t="s">
        <v>149</v>
      </c>
      <c r="F77" s="39">
        <v>486.96335999999997</v>
      </c>
      <c r="G77" s="39">
        <v>538.52292</v>
      </c>
      <c r="H77" s="39">
        <v>63.507599999999996</v>
      </c>
      <c r="I77" s="39">
        <v>596.11032</v>
      </c>
      <c r="J77" s="56">
        <v>157.67936518859756</v>
      </c>
      <c r="K77" s="39">
        <v>753.78968518859756</v>
      </c>
      <c r="L77" s="36">
        <f t="shared" si="18"/>
        <v>16583.373074149145</v>
      </c>
    </row>
    <row r="78" spans="1:24" x14ac:dyDescent="0.25">
      <c r="A78" s="35" t="s">
        <v>148</v>
      </c>
      <c r="B78" s="35" t="s">
        <v>137</v>
      </c>
      <c r="C78" s="35">
        <v>22</v>
      </c>
      <c r="E78" s="35" t="s">
        <v>149</v>
      </c>
      <c r="F78" s="39">
        <v>486.96335999999997</v>
      </c>
      <c r="G78" s="39">
        <v>538.52292</v>
      </c>
      <c r="H78" s="39">
        <v>63.507599999999996</v>
      </c>
      <c r="I78" s="39">
        <v>596.11032</v>
      </c>
      <c r="J78" s="56">
        <v>157.67936518859756</v>
      </c>
      <c r="K78" s="39">
        <v>753.78968518859756</v>
      </c>
      <c r="L78" s="36">
        <f t="shared" si="18"/>
        <v>16583.373074149145</v>
      </c>
    </row>
    <row r="79" spans="1:24" x14ac:dyDescent="0.25">
      <c r="A79" s="35" t="s">
        <v>148</v>
      </c>
      <c r="B79" s="35" t="s">
        <v>138</v>
      </c>
      <c r="C79" s="35">
        <v>22</v>
      </c>
      <c r="E79" s="35" t="s">
        <v>149</v>
      </c>
      <c r="F79" s="39">
        <v>486.96335999999997</v>
      </c>
      <c r="G79" s="39">
        <v>538.52292</v>
      </c>
      <c r="H79" s="39">
        <v>63.507599999999996</v>
      </c>
      <c r="I79" s="39">
        <v>596.11032</v>
      </c>
      <c r="J79" s="56">
        <v>157.67936518859756</v>
      </c>
      <c r="K79" s="39">
        <v>753.78968518859756</v>
      </c>
      <c r="L79" s="36">
        <f t="shared" si="18"/>
        <v>16583.373074149145</v>
      </c>
    </row>
    <row r="80" spans="1:24" x14ac:dyDescent="0.25">
      <c r="A80" s="35" t="s">
        <v>148</v>
      </c>
      <c r="B80" s="35" t="s">
        <v>139</v>
      </c>
      <c r="C80" s="35">
        <v>22</v>
      </c>
      <c r="E80" s="35" t="s">
        <v>149</v>
      </c>
      <c r="F80" s="39">
        <v>486.96335999999997</v>
      </c>
      <c r="G80" s="39">
        <v>538.52292</v>
      </c>
      <c r="H80" s="39">
        <v>63.507599999999996</v>
      </c>
      <c r="I80" s="39">
        <v>596.11032</v>
      </c>
      <c r="J80" s="56">
        <v>157.67936518859756</v>
      </c>
      <c r="K80" s="39">
        <v>753.78968518859756</v>
      </c>
      <c r="L80" s="36">
        <f t="shared" si="18"/>
        <v>16583.373074149145</v>
      </c>
    </row>
    <row r="81" spans="1:25" x14ac:dyDescent="0.25">
      <c r="A81" s="35" t="s">
        <v>148</v>
      </c>
      <c r="B81" s="35" t="s">
        <v>140</v>
      </c>
      <c r="C81" s="35">
        <v>22</v>
      </c>
      <c r="E81" s="35" t="s">
        <v>149</v>
      </c>
      <c r="F81" s="39">
        <v>486.96335999999997</v>
      </c>
      <c r="G81" s="39">
        <v>538.52292</v>
      </c>
      <c r="H81" s="39">
        <v>63.507599999999996</v>
      </c>
      <c r="I81" s="39">
        <v>596.11032</v>
      </c>
      <c r="J81" s="56">
        <v>157.67936518859756</v>
      </c>
      <c r="K81" s="39">
        <v>753.78968518859756</v>
      </c>
      <c r="L81" s="36">
        <f t="shared" si="18"/>
        <v>16583.373074149145</v>
      </c>
    </row>
    <row r="82" spans="1:25" x14ac:dyDescent="0.25">
      <c r="A82" s="35" t="s">
        <v>148</v>
      </c>
      <c r="B82" s="35" t="s">
        <v>141</v>
      </c>
      <c r="C82" s="35">
        <v>22</v>
      </c>
      <c r="E82" s="35" t="s">
        <v>149</v>
      </c>
      <c r="F82" s="39">
        <v>486.96335999999997</v>
      </c>
      <c r="G82" s="39">
        <v>538.52292</v>
      </c>
      <c r="H82" s="39">
        <v>63.507599999999996</v>
      </c>
      <c r="I82" s="39">
        <v>596.11032</v>
      </c>
      <c r="J82" s="56">
        <v>157.67936518859756</v>
      </c>
      <c r="K82" s="39">
        <v>753.78968518859756</v>
      </c>
      <c r="L82" s="36">
        <f t="shared" si="18"/>
        <v>16583.373074149145</v>
      </c>
    </row>
    <row r="83" spans="1:25" x14ac:dyDescent="0.25">
      <c r="A83" s="35" t="s">
        <v>148</v>
      </c>
      <c r="B83" s="35" t="s">
        <v>142</v>
      </c>
      <c r="C83" s="35">
        <v>22</v>
      </c>
      <c r="E83" s="35" t="s">
        <v>149</v>
      </c>
      <c r="F83" s="39">
        <v>486.96335999999997</v>
      </c>
      <c r="G83" s="39">
        <v>538.52292</v>
      </c>
      <c r="H83" s="39">
        <v>63.507599999999996</v>
      </c>
      <c r="I83" s="39">
        <v>596.11032</v>
      </c>
      <c r="J83" s="56">
        <v>157.67936518859756</v>
      </c>
      <c r="K83" s="39">
        <v>753.78968518859756</v>
      </c>
      <c r="L83" s="36">
        <f t="shared" si="18"/>
        <v>16583.373074149145</v>
      </c>
    </row>
    <row r="84" spans="1:25" x14ac:dyDescent="0.25">
      <c r="A84" s="35" t="s">
        <v>148</v>
      </c>
      <c r="B84" s="35" t="s">
        <v>143</v>
      </c>
      <c r="C84" s="35">
        <v>22</v>
      </c>
      <c r="E84" s="35" t="s">
        <v>149</v>
      </c>
      <c r="F84" s="39">
        <v>486.96335999999997</v>
      </c>
      <c r="G84" s="39">
        <v>538.52292</v>
      </c>
      <c r="H84" s="39">
        <v>63.507599999999996</v>
      </c>
      <c r="I84" s="39">
        <v>596.11032</v>
      </c>
      <c r="J84" s="56">
        <v>157.67936518859756</v>
      </c>
      <c r="K84" s="39">
        <v>753.78968518859756</v>
      </c>
      <c r="L84" s="36">
        <f t="shared" si="18"/>
        <v>16583.373074149145</v>
      </c>
    </row>
    <row r="85" spans="1:25" x14ac:dyDescent="0.25">
      <c r="A85" s="35" t="s">
        <v>148</v>
      </c>
      <c r="B85" s="35" t="s">
        <v>144</v>
      </c>
      <c r="C85" s="35">
        <v>22</v>
      </c>
      <c r="E85" s="35" t="s">
        <v>149</v>
      </c>
      <c r="F85" s="39">
        <v>486.96335999999997</v>
      </c>
      <c r="G85" s="39">
        <v>538.52292</v>
      </c>
      <c r="H85" s="39">
        <v>63.507599999999996</v>
      </c>
      <c r="I85" s="39">
        <v>596.11032</v>
      </c>
      <c r="J85" s="56">
        <v>157.67936518859756</v>
      </c>
      <c r="K85" s="39">
        <v>753.78968518859756</v>
      </c>
      <c r="L85" s="36">
        <f t="shared" si="18"/>
        <v>16583.373074149145</v>
      </c>
    </row>
    <row r="86" spans="1:25" ht="60.75" thickBot="1" x14ac:dyDescent="0.3">
      <c r="A86" s="42"/>
      <c r="B86" s="42"/>
      <c r="C86" s="42">
        <v>322</v>
      </c>
      <c r="D86" s="42"/>
      <c r="E86" s="42"/>
      <c r="F86" s="42"/>
      <c r="G86" s="42"/>
      <c r="H86" s="42"/>
      <c r="I86" s="159">
        <v>191947.52304</v>
      </c>
      <c r="J86" s="159">
        <f>SUM(J71:J85)</f>
        <v>2365.1904778289627</v>
      </c>
      <c r="K86" s="42"/>
      <c r="L86" s="44">
        <f>SUM(L71:L85)</f>
        <v>242720.27863072831</v>
      </c>
      <c r="M86" s="57"/>
      <c r="N86" s="58">
        <f>L86/C86</f>
        <v>753.78968518859722</v>
      </c>
      <c r="O86" s="55" t="s">
        <v>152</v>
      </c>
    </row>
    <row r="87" spans="1:25" ht="16.5" thickTop="1" thickBot="1" x14ac:dyDescent="0.3"/>
    <row r="88" spans="1:25" x14ac:dyDescent="0.25">
      <c r="A88" s="202" t="s">
        <v>153</v>
      </c>
      <c r="B88" s="203"/>
      <c r="C88" s="203"/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  <c r="P88" s="203"/>
      <c r="Q88" s="204"/>
      <c r="R88" s="61" t="s">
        <v>154</v>
      </c>
      <c r="S88" s="62"/>
      <c r="T88" s="62"/>
      <c r="U88" s="61" t="s">
        <v>155</v>
      </c>
      <c r="V88" s="63"/>
      <c r="W88" s="64"/>
    </row>
    <row r="89" spans="1:25" x14ac:dyDescent="0.25">
      <c r="A89" s="205"/>
      <c r="B89" s="65" t="s">
        <v>156</v>
      </c>
      <c r="C89" s="207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209"/>
      <c r="R89" s="66">
        <v>676.11</v>
      </c>
      <c r="S89" s="67"/>
      <c r="T89" s="68"/>
      <c r="U89" s="66">
        <v>676.11</v>
      </c>
      <c r="V89" s="210">
        <v>699.2</v>
      </c>
      <c r="W89" s="213">
        <f>V89</f>
        <v>699.2</v>
      </c>
    </row>
    <row r="90" spans="1:25" x14ac:dyDescent="0.25">
      <c r="A90" s="205"/>
      <c r="B90" s="69" t="s">
        <v>157</v>
      </c>
      <c r="C90" s="216"/>
      <c r="D90" s="217"/>
      <c r="E90" s="217"/>
      <c r="F90" s="217"/>
      <c r="G90" s="217"/>
      <c r="H90" s="217"/>
      <c r="I90" s="217"/>
      <c r="J90" s="217"/>
      <c r="K90" s="217"/>
      <c r="L90" s="217"/>
      <c r="M90" s="217"/>
      <c r="N90" s="217"/>
      <c r="O90" s="217"/>
      <c r="P90" s="217"/>
      <c r="Q90" s="218"/>
      <c r="R90" s="70">
        <v>523.87</v>
      </c>
      <c r="S90" s="71"/>
      <c r="T90" s="72"/>
      <c r="U90" s="70">
        <v>523.87</v>
      </c>
      <c r="V90" s="211"/>
      <c r="W90" s="214"/>
    </row>
    <row r="91" spans="1:25" x14ac:dyDescent="0.25">
      <c r="A91" s="205"/>
      <c r="B91" s="69" t="s">
        <v>158</v>
      </c>
      <c r="C91" s="216"/>
      <c r="D91" s="217"/>
      <c r="E91" s="217"/>
      <c r="F91" s="217"/>
      <c r="G91" s="217"/>
      <c r="H91" s="217"/>
      <c r="I91" s="217"/>
      <c r="J91" s="217"/>
      <c r="K91" s="217"/>
      <c r="L91" s="217"/>
      <c r="M91" s="217"/>
      <c r="N91" s="217"/>
      <c r="O91" s="217"/>
      <c r="P91" s="217"/>
      <c r="Q91" s="218"/>
      <c r="R91" s="70">
        <v>653.15</v>
      </c>
      <c r="S91" s="71"/>
      <c r="T91" s="72"/>
      <c r="U91" s="70">
        <v>653.15</v>
      </c>
      <c r="V91" s="211"/>
      <c r="W91" s="214"/>
    </row>
    <row r="92" spans="1:25" x14ac:dyDescent="0.25">
      <c r="A92" s="205"/>
      <c r="B92" s="69" t="s">
        <v>159</v>
      </c>
      <c r="C92" s="216"/>
      <c r="D92" s="217"/>
      <c r="E92" s="217"/>
      <c r="F92" s="217"/>
      <c r="G92" s="217"/>
      <c r="H92" s="217"/>
      <c r="I92" s="217"/>
      <c r="J92" s="217"/>
      <c r="K92" s="217"/>
      <c r="L92" s="217"/>
      <c r="M92" s="217"/>
      <c r="N92" s="217"/>
      <c r="O92" s="217"/>
      <c r="P92" s="217"/>
      <c r="Q92" s="218"/>
      <c r="R92" s="70">
        <v>396.87</v>
      </c>
      <c r="S92" s="71"/>
      <c r="T92" s="72"/>
      <c r="U92" s="70">
        <v>381.11</v>
      </c>
      <c r="V92" s="211"/>
      <c r="W92" s="214"/>
    </row>
    <row r="93" spans="1:25" x14ac:dyDescent="0.25">
      <c r="A93" s="205"/>
      <c r="B93" s="69" t="s">
        <v>160</v>
      </c>
      <c r="C93" s="216"/>
      <c r="D93" s="217"/>
      <c r="E93" s="217"/>
      <c r="F93" s="217"/>
      <c r="G93" s="217"/>
      <c r="H93" s="217"/>
      <c r="I93" s="217"/>
      <c r="J93" s="217"/>
      <c r="K93" s="217"/>
      <c r="L93" s="217"/>
      <c r="M93" s="217"/>
      <c r="N93" s="217"/>
      <c r="O93" s="217"/>
      <c r="P93" s="217"/>
      <c r="Q93" s="218"/>
      <c r="R93" s="70"/>
      <c r="S93" s="71"/>
      <c r="T93" s="72"/>
      <c r="U93" s="70">
        <v>68.099999999999994</v>
      </c>
      <c r="V93" s="211"/>
      <c r="W93" s="214"/>
    </row>
    <row r="94" spans="1:25" x14ac:dyDescent="0.25">
      <c r="A94" s="206"/>
      <c r="B94" s="69" t="s">
        <v>161</v>
      </c>
      <c r="C94" s="216"/>
      <c r="D94" s="217"/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17"/>
      <c r="Q94" s="218"/>
      <c r="R94" s="70"/>
      <c r="S94" s="71"/>
      <c r="T94" s="72"/>
      <c r="U94" s="70">
        <v>28.62</v>
      </c>
      <c r="V94" s="211"/>
      <c r="W94" s="214"/>
    </row>
    <row r="95" spans="1:25" x14ac:dyDescent="0.25">
      <c r="A95" s="219" t="s">
        <v>162</v>
      </c>
      <c r="B95" s="220"/>
      <c r="C95" s="220"/>
      <c r="D95" s="220"/>
      <c r="E95" s="220"/>
      <c r="F95" s="220"/>
      <c r="G95" s="220"/>
      <c r="H95" s="220"/>
      <c r="I95" s="220"/>
      <c r="J95" s="220"/>
      <c r="K95" s="220"/>
      <c r="L95" s="220"/>
      <c r="M95" s="220"/>
      <c r="N95" s="220"/>
      <c r="O95" s="220"/>
      <c r="P95" s="220"/>
      <c r="Q95" s="221"/>
      <c r="R95" s="73">
        <f>SUM(R89:R94)</f>
        <v>2250</v>
      </c>
      <c r="S95" s="74"/>
      <c r="T95" s="75"/>
      <c r="U95" s="73">
        <f>SUM(U89:U94)*J123</f>
        <v>25090.220344000001</v>
      </c>
      <c r="V95" s="212"/>
      <c r="W95" s="215"/>
      <c r="Y95" s="167">
        <f>U95+U102</f>
        <v>76084.950066999998</v>
      </c>
    </row>
    <row r="96" spans="1:25" x14ac:dyDescent="0.25">
      <c r="A96" s="202" t="s">
        <v>163</v>
      </c>
      <c r="B96" s="203"/>
      <c r="C96" s="203"/>
      <c r="D96" s="203"/>
      <c r="E96" s="203"/>
      <c r="F96" s="203"/>
      <c r="G96" s="203"/>
      <c r="H96" s="203"/>
      <c r="I96" s="203"/>
      <c r="J96" s="203"/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22"/>
    </row>
    <row r="97" spans="1:25" x14ac:dyDescent="0.25">
      <c r="A97" s="223"/>
      <c r="B97" s="69" t="s">
        <v>164</v>
      </c>
      <c r="C97" s="216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7"/>
      <c r="Q97" s="218"/>
      <c r="R97" s="70">
        <v>1455.29</v>
      </c>
      <c r="S97" s="77"/>
      <c r="T97" s="77"/>
      <c r="U97" s="70">
        <v>1477.39</v>
      </c>
      <c r="V97" s="226">
        <v>1596.03</v>
      </c>
      <c r="W97" s="213">
        <f>V97</f>
        <v>1596.03</v>
      </c>
    </row>
    <row r="98" spans="1:25" x14ac:dyDescent="0.25">
      <c r="A98" s="224"/>
      <c r="B98" s="69" t="s">
        <v>156</v>
      </c>
      <c r="C98" s="216"/>
      <c r="D98" s="217"/>
      <c r="E98" s="217"/>
      <c r="F98" s="217"/>
      <c r="G98" s="217"/>
      <c r="H98" s="217"/>
      <c r="I98" s="217"/>
      <c r="J98" s="217"/>
      <c r="K98" s="217"/>
      <c r="L98" s="217"/>
      <c r="M98" s="217"/>
      <c r="N98" s="217"/>
      <c r="O98" s="217"/>
      <c r="P98" s="217"/>
      <c r="Q98" s="218"/>
      <c r="R98" s="70">
        <v>1555.6</v>
      </c>
      <c r="S98" s="77"/>
      <c r="T98" s="77"/>
      <c r="U98" s="70">
        <v>1598.36</v>
      </c>
      <c r="V98" s="227"/>
      <c r="W98" s="214"/>
    </row>
    <row r="99" spans="1:25" x14ac:dyDescent="0.25">
      <c r="A99" s="224"/>
      <c r="B99" s="69" t="s">
        <v>157</v>
      </c>
      <c r="C99" s="216"/>
      <c r="D99" s="217"/>
      <c r="E99" s="217"/>
      <c r="F99" s="217"/>
      <c r="G99" s="217"/>
      <c r="H99" s="217"/>
      <c r="I99" s="217"/>
      <c r="J99" s="217"/>
      <c r="K99" s="217"/>
      <c r="L99" s="217"/>
      <c r="M99" s="217"/>
      <c r="N99" s="217"/>
      <c r="O99" s="217"/>
      <c r="P99" s="217"/>
      <c r="Q99" s="218"/>
      <c r="R99" s="70">
        <v>1284.19</v>
      </c>
      <c r="S99" s="77"/>
      <c r="T99" s="77"/>
      <c r="U99" s="70">
        <v>1326.95</v>
      </c>
      <c r="V99" s="227"/>
      <c r="W99" s="214"/>
      <c r="Y99" s="167"/>
    </row>
    <row r="100" spans="1:25" x14ac:dyDescent="0.25">
      <c r="A100" s="224"/>
      <c r="B100" s="69" t="s">
        <v>165</v>
      </c>
      <c r="C100" s="216"/>
      <c r="D100" s="217"/>
      <c r="E100" s="217"/>
      <c r="F100" s="217"/>
      <c r="G100" s="217"/>
      <c r="H100" s="217"/>
      <c r="I100" s="217"/>
      <c r="J100" s="217"/>
      <c r="K100" s="217"/>
      <c r="L100" s="217"/>
      <c r="M100" s="217"/>
      <c r="N100" s="217"/>
      <c r="O100" s="217"/>
      <c r="P100" s="217"/>
      <c r="Q100" s="218"/>
      <c r="R100" s="70">
        <v>178.03</v>
      </c>
      <c r="S100" s="77"/>
      <c r="T100" s="77"/>
      <c r="U100" s="70">
        <v>220.79</v>
      </c>
      <c r="V100" s="227"/>
      <c r="W100" s="214"/>
      <c r="Y100" s="167">
        <f>U102</f>
        <v>50994.729722999997</v>
      </c>
    </row>
    <row r="101" spans="1:25" x14ac:dyDescent="0.25">
      <c r="A101" s="225"/>
      <c r="B101" s="69" t="s">
        <v>166</v>
      </c>
      <c r="C101" s="216"/>
      <c r="D101" s="217"/>
      <c r="E101" s="217"/>
      <c r="F101" s="217"/>
      <c r="G101" s="217"/>
      <c r="H101" s="217"/>
      <c r="I101" s="217"/>
      <c r="J101" s="217"/>
      <c r="K101" s="217"/>
      <c r="L101" s="217"/>
      <c r="M101" s="217"/>
      <c r="N101" s="217"/>
      <c r="O101" s="217"/>
      <c r="P101" s="217"/>
      <c r="Q101" s="218"/>
      <c r="R101" s="70"/>
      <c r="S101" s="77"/>
      <c r="T101" s="77"/>
      <c r="U101" s="70">
        <v>114.08</v>
      </c>
      <c r="V101" s="227"/>
      <c r="W101" s="214"/>
      <c r="Y101" s="167">
        <f>U112</f>
        <v>132959.02960900002</v>
      </c>
    </row>
    <row r="102" spans="1:25" x14ac:dyDescent="0.25">
      <c r="A102" s="219" t="s">
        <v>162</v>
      </c>
      <c r="B102" s="220"/>
      <c r="C102" s="220"/>
      <c r="D102" s="220"/>
      <c r="E102" s="220"/>
      <c r="F102" s="220"/>
      <c r="G102" s="220"/>
      <c r="H102" s="220"/>
      <c r="I102" s="220"/>
      <c r="J102" s="220"/>
      <c r="K102" s="220"/>
      <c r="L102" s="220"/>
      <c r="M102" s="220"/>
      <c r="N102" s="220"/>
      <c r="O102" s="220"/>
      <c r="P102" s="220"/>
      <c r="Q102" s="221"/>
      <c r="R102" s="73">
        <f>SUM(R97:R100)</f>
        <v>4473.1099999999997</v>
      </c>
      <c r="S102" s="75"/>
      <c r="T102" s="78"/>
      <c r="U102" s="73">
        <f>SUM(U97:U101)*J123</f>
        <v>50994.729722999997</v>
      </c>
      <c r="V102" s="228"/>
      <c r="W102" s="215"/>
      <c r="Y102" s="167">
        <f>U119</f>
        <v>39028.502092999996</v>
      </c>
    </row>
    <row r="103" spans="1:25" x14ac:dyDescent="0.25">
      <c r="A103" s="229" t="s">
        <v>167</v>
      </c>
      <c r="B103" s="230"/>
      <c r="C103" s="230"/>
      <c r="D103" s="230"/>
      <c r="E103" s="230"/>
      <c r="F103" s="230"/>
      <c r="G103" s="230"/>
      <c r="H103" s="230"/>
      <c r="I103" s="230"/>
      <c r="J103" s="230"/>
      <c r="K103" s="230"/>
      <c r="L103" s="230"/>
      <c r="M103" s="230"/>
      <c r="N103" s="230"/>
      <c r="O103" s="230"/>
      <c r="P103" s="230"/>
      <c r="Q103" s="230"/>
      <c r="R103" s="230"/>
      <c r="S103" s="230"/>
      <c r="T103" s="230"/>
      <c r="U103" s="230"/>
      <c r="V103" s="230"/>
      <c r="W103" s="231"/>
      <c r="Y103" s="167">
        <f>SUM(Y99:Y102)</f>
        <v>222982.261425</v>
      </c>
    </row>
    <row r="104" spans="1:25" x14ac:dyDescent="0.25">
      <c r="A104" s="224"/>
      <c r="B104" s="65" t="s">
        <v>164</v>
      </c>
      <c r="C104" s="207"/>
      <c r="D104" s="208"/>
      <c r="E104" s="208"/>
      <c r="F104" s="208"/>
      <c r="G104" s="208"/>
      <c r="H104" s="208"/>
      <c r="I104" s="208"/>
      <c r="J104" s="208"/>
      <c r="K104" s="208"/>
      <c r="L104" s="208"/>
      <c r="M104" s="208"/>
      <c r="N104" s="208"/>
      <c r="O104" s="208"/>
      <c r="P104" s="208"/>
      <c r="Q104" s="209"/>
      <c r="R104" s="82">
        <v>2315.15</v>
      </c>
      <c r="S104" s="83"/>
      <c r="T104" s="83"/>
      <c r="U104" s="82">
        <v>2371.7800000000002</v>
      </c>
      <c r="V104" s="226">
        <v>2618.79</v>
      </c>
      <c r="W104" s="213">
        <f>V104</f>
        <v>2618.79</v>
      </c>
    </row>
    <row r="105" spans="1:25" x14ac:dyDescent="0.25">
      <c r="A105" s="224"/>
      <c r="B105" s="69" t="s">
        <v>156</v>
      </c>
      <c r="C105" s="216"/>
      <c r="D105" s="217"/>
      <c r="E105" s="217"/>
      <c r="F105" s="217"/>
      <c r="G105" s="217"/>
      <c r="H105" s="217"/>
      <c r="I105" s="217"/>
      <c r="J105" s="217"/>
      <c r="K105" s="217"/>
      <c r="L105" s="217"/>
      <c r="M105" s="217"/>
      <c r="N105" s="217"/>
      <c r="O105" s="217"/>
      <c r="P105" s="217"/>
      <c r="Q105" s="218"/>
      <c r="R105" s="70">
        <v>2246.665</v>
      </c>
      <c r="S105" s="77"/>
      <c r="T105" s="77"/>
      <c r="U105" s="70">
        <v>2293.81</v>
      </c>
      <c r="V105" s="227"/>
      <c r="W105" s="214"/>
    </row>
    <row r="106" spans="1:25" x14ac:dyDescent="0.25">
      <c r="A106" s="224"/>
      <c r="B106" s="69" t="s">
        <v>157</v>
      </c>
      <c r="C106" s="216"/>
      <c r="D106" s="217"/>
      <c r="E106" s="217"/>
      <c r="F106" s="217"/>
      <c r="G106" s="217"/>
      <c r="H106" s="217"/>
      <c r="I106" s="217"/>
      <c r="J106" s="217"/>
      <c r="K106" s="217"/>
      <c r="L106" s="217"/>
      <c r="M106" s="217"/>
      <c r="N106" s="217"/>
      <c r="O106" s="217"/>
      <c r="P106" s="217"/>
      <c r="Q106" s="218"/>
      <c r="R106" s="70">
        <v>2246.6120000000001</v>
      </c>
      <c r="S106" s="77"/>
      <c r="T106" s="77"/>
      <c r="U106" s="70">
        <v>2293.7600000000002</v>
      </c>
      <c r="V106" s="227"/>
      <c r="W106" s="214"/>
    </row>
    <row r="107" spans="1:25" x14ac:dyDescent="0.25">
      <c r="A107" s="224"/>
      <c r="B107" s="69" t="s">
        <v>158</v>
      </c>
      <c r="C107" s="216"/>
      <c r="D107" s="217"/>
      <c r="E107" s="217"/>
      <c r="F107" s="217"/>
      <c r="G107" s="217"/>
      <c r="H107" s="217"/>
      <c r="I107" s="217"/>
      <c r="J107" s="217"/>
      <c r="K107" s="217"/>
      <c r="L107" s="217"/>
      <c r="M107" s="217"/>
      <c r="N107" s="217"/>
      <c r="O107" s="217"/>
      <c r="P107" s="217"/>
      <c r="Q107" s="218"/>
      <c r="R107" s="70">
        <v>2206.15</v>
      </c>
      <c r="S107" s="77"/>
      <c r="T107" s="77"/>
      <c r="U107" s="70">
        <v>2252.3000000000002</v>
      </c>
      <c r="V107" s="227"/>
      <c r="W107" s="214"/>
    </row>
    <row r="108" spans="1:25" x14ac:dyDescent="0.25">
      <c r="A108" s="224"/>
      <c r="B108" s="84" t="s">
        <v>168</v>
      </c>
      <c r="C108" s="216"/>
      <c r="D108" s="217"/>
      <c r="E108" s="217"/>
      <c r="F108" s="217"/>
      <c r="G108" s="217"/>
      <c r="H108" s="217"/>
      <c r="I108" s="217"/>
      <c r="J108" s="217"/>
      <c r="K108" s="217"/>
      <c r="L108" s="217"/>
      <c r="M108" s="217"/>
      <c r="N108" s="217"/>
      <c r="O108" s="217"/>
      <c r="P108" s="217"/>
      <c r="Q108" s="218"/>
      <c r="R108" s="70">
        <v>1443.28</v>
      </c>
      <c r="S108" s="77"/>
      <c r="T108" s="77"/>
      <c r="U108" s="70">
        <v>1491.04</v>
      </c>
      <c r="V108" s="227"/>
      <c r="W108" s="214"/>
    </row>
    <row r="109" spans="1:25" x14ac:dyDescent="0.25">
      <c r="A109" s="224"/>
      <c r="B109" s="69" t="s">
        <v>169</v>
      </c>
      <c r="C109" s="216"/>
      <c r="D109" s="217"/>
      <c r="E109" s="217"/>
      <c r="F109" s="217"/>
      <c r="G109" s="217"/>
      <c r="H109" s="217"/>
      <c r="I109" s="217"/>
      <c r="J109" s="217"/>
      <c r="K109" s="217"/>
      <c r="L109" s="217"/>
      <c r="M109" s="217"/>
      <c r="N109" s="217"/>
      <c r="O109" s="217"/>
      <c r="P109" s="217"/>
      <c r="Q109" s="218"/>
      <c r="R109" s="70">
        <v>1123.8800000000001</v>
      </c>
      <c r="S109" s="77"/>
      <c r="T109" s="77"/>
      <c r="U109" s="70">
        <v>1169.94</v>
      </c>
      <c r="V109" s="227"/>
      <c r="W109" s="214"/>
    </row>
    <row r="110" spans="1:25" x14ac:dyDescent="0.25">
      <c r="A110" s="224"/>
      <c r="B110" s="69" t="s">
        <v>170</v>
      </c>
      <c r="C110" s="232"/>
      <c r="D110" s="232"/>
      <c r="E110" s="232"/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2"/>
      <c r="Q110" s="232"/>
      <c r="R110" s="70">
        <v>350.45</v>
      </c>
      <c r="S110" s="77"/>
      <c r="T110" s="77"/>
      <c r="U110" s="70">
        <v>396.4</v>
      </c>
      <c r="V110" s="227"/>
      <c r="W110" s="214"/>
    </row>
    <row r="111" spans="1:25" x14ac:dyDescent="0.25">
      <c r="A111" s="225"/>
      <c r="B111" s="69" t="s">
        <v>161</v>
      </c>
      <c r="C111" s="232"/>
      <c r="D111" s="232"/>
      <c r="E111" s="232"/>
      <c r="F111" s="232"/>
      <c r="G111" s="232"/>
      <c r="H111" s="232"/>
      <c r="I111" s="232"/>
      <c r="J111" s="232"/>
      <c r="K111" s="232"/>
      <c r="L111" s="232"/>
      <c r="M111" s="232"/>
      <c r="N111" s="232"/>
      <c r="O111" s="232"/>
      <c r="P111" s="232"/>
      <c r="Q111" s="232"/>
      <c r="R111" s="70">
        <v>438.89</v>
      </c>
      <c r="S111" s="77"/>
      <c r="T111" s="77"/>
      <c r="U111" s="70">
        <v>83.28</v>
      </c>
      <c r="V111" s="227"/>
      <c r="W111" s="214"/>
    </row>
    <row r="112" spans="1:25" x14ac:dyDescent="0.25">
      <c r="A112" s="219" t="s">
        <v>162</v>
      </c>
      <c r="B112" s="220"/>
      <c r="C112" s="220"/>
      <c r="D112" s="220"/>
      <c r="E112" s="220"/>
      <c r="F112" s="220"/>
      <c r="G112" s="220"/>
      <c r="H112" s="220"/>
      <c r="I112" s="220"/>
      <c r="J112" s="220"/>
      <c r="K112" s="220"/>
      <c r="L112" s="220"/>
      <c r="M112" s="220"/>
      <c r="N112" s="220"/>
      <c r="O112" s="220"/>
      <c r="P112" s="220"/>
      <c r="Q112" s="221"/>
      <c r="R112" s="73">
        <f>SUM(R104:R111)</f>
        <v>12371.077000000001</v>
      </c>
      <c r="S112" s="75"/>
      <c r="T112" s="78"/>
      <c r="U112" s="73">
        <f>SUM(U104:U111)*J123</f>
        <v>132959.02960900002</v>
      </c>
      <c r="V112" s="228"/>
      <c r="W112" s="215"/>
    </row>
    <row r="113" spans="1:23" x14ac:dyDescent="0.25">
      <c r="A113" s="202" t="s">
        <v>171</v>
      </c>
      <c r="B113" s="203"/>
      <c r="C113" s="203"/>
      <c r="D113" s="203"/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3"/>
      <c r="P113" s="203"/>
      <c r="Q113" s="203"/>
      <c r="R113" s="203"/>
      <c r="S113" s="203"/>
      <c r="T113" s="203"/>
      <c r="U113" s="203"/>
      <c r="V113" s="203"/>
      <c r="W113" s="222"/>
    </row>
    <row r="114" spans="1:23" x14ac:dyDescent="0.25">
      <c r="A114" s="223"/>
      <c r="B114" s="69" t="s">
        <v>164</v>
      </c>
      <c r="C114" s="216"/>
      <c r="D114" s="217"/>
      <c r="E114" s="217"/>
      <c r="F114" s="217"/>
      <c r="G114" s="217"/>
      <c r="H114" s="217"/>
      <c r="I114" s="217"/>
      <c r="J114" s="217"/>
      <c r="K114" s="217"/>
      <c r="L114" s="217"/>
      <c r="M114" s="217"/>
      <c r="N114" s="217"/>
      <c r="O114" s="217"/>
      <c r="P114" s="217"/>
      <c r="Q114" s="218"/>
      <c r="R114" s="70">
        <v>1068.32</v>
      </c>
      <c r="S114" s="77"/>
      <c r="T114" s="69"/>
      <c r="U114" s="70">
        <v>1089.92</v>
      </c>
      <c r="V114" s="226">
        <v>1154.54</v>
      </c>
      <c r="W114" s="213">
        <f>V114</f>
        <v>1154.54</v>
      </c>
    </row>
    <row r="115" spans="1:23" x14ac:dyDescent="0.25">
      <c r="A115" s="224"/>
      <c r="B115" s="69" t="s">
        <v>156</v>
      </c>
      <c r="C115" s="216"/>
      <c r="D115" s="217"/>
      <c r="E115" s="217"/>
      <c r="F115" s="217"/>
      <c r="G115" s="217"/>
      <c r="H115" s="217"/>
      <c r="I115" s="217"/>
      <c r="J115" s="217"/>
      <c r="K115" s="217"/>
      <c r="L115" s="217"/>
      <c r="M115" s="217"/>
      <c r="N115" s="217"/>
      <c r="O115" s="217"/>
      <c r="P115" s="217"/>
      <c r="Q115" s="218"/>
      <c r="R115" s="70">
        <v>1178.5</v>
      </c>
      <c r="S115" s="77"/>
      <c r="T115" s="69"/>
      <c r="U115" s="70">
        <v>1197.2</v>
      </c>
      <c r="V115" s="227"/>
      <c r="W115" s="214"/>
    </row>
    <row r="116" spans="1:23" x14ac:dyDescent="0.25">
      <c r="A116" s="224"/>
      <c r="B116" s="69" t="s">
        <v>157</v>
      </c>
      <c r="C116" s="216"/>
      <c r="D116" s="217"/>
      <c r="E116" s="217"/>
      <c r="F116" s="217"/>
      <c r="G116" s="217"/>
      <c r="H116" s="217"/>
      <c r="I116" s="217"/>
      <c r="J116" s="217"/>
      <c r="K116" s="217"/>
      <c r="L116" s="217"/>
      <c r="M116" s="217"/>
      <c r="N116" s="217"/>
      <c r="O116" s="217"/>
      <c r="P116" s="217"/>
      <c r="Q116" s="218"/>
      <c r="R116" s="70">
        <v>964.66</v>
      </c>
      <c r="S116" s="77"/>
      <c r="T116" s="69"/>
      <c r="U116" s="70">
        <v>983.36</v>
      </c>
      <c r="V116" s="227"/>
      <c r="W116" s="214"/>
    </row>
    <row r="117" spans="1:23" x14ac:dyDescent="0.25">
      <c r="A117" s="224"/>
      <c r="B117" s="69" t="s">
        <v>172</v>
      </c>
      <c r="C117" s="216"/>
      <c r="D117" s="217"/>
      <c r="E117" s="217"/>
      <c r="F117" s="217"/>
      <c r="G117" s="217"/>
      <c r="H117" s="217"/>
      <c r="I117" s="217"/>
      <c r="J117" s="217"/>
      <c r="K117" s="217"/>
      <c r="L117" s="217"/>
      <c r="M117" s="217"/>
      <c r="N117" s="217"/>
      <c r="O117" s="217"/>
      <c r="P117" s="217"/>
      <c r="Q117" s="218"/>
      <c r="R117" s="70">
        <v>222.61</v>
      </c>
      <c r="S117" s="77"/>
      <c r="T117" s="69"/>
      <c r="U117" s="70">
        <v>241.31</v>
      </c>
      <c r="V117" s="227"/>
      <c r="W117" s="214"/>
    </row>
    <row r="118" spans="1:23" x14ac:dyDescent="0.25">
      <c r="A118" s="225"/>
      <c r="B118" s="69" t="s">
        <v>166</v>
      </c>
      <c r="C118" s="217"/>
      <c r="D118" s="217"/>
      <c r="E118" s="217"/>
      <c r="F118" s="217"/>
      <c r="G118" s="217"/>
      <c r="H118" s="217"/>
      <c r="I118" s="217"/>
      <c r="J118" s="217"/>
      <c r="K118" s="217"/>
      <c r="L118" s="217"/>
      <c r="M118" s="217"/>
      <c r="N118" s="217"/>
      <c r="O118" s="217"/>
      <c r="P118" s="217"/>
      <c r="Q118" s="218"/>
      <c r="R118" s="70"/>
      <c r="S118" s="77"/>
      <c r="T118" s="69"/>
      <c r="U118" s="70">
        <v>114.08</v>
      </c>
      <c r="V118" s="227"/>
      <c r="W118" s="214"/>
    </row>
    <row r="119" spans="1:23" x14ac:dyDescent="0.25">
      <c r="A119" s="219" t="s">
        <v>162</v>
      </c>
      <c r="B119" s="220"/>
      <c r="C119" s="220"/>
      <c r="D119" s="220"/>
      <c r="E119" s="220"/>
      <c r="F119" s="220"/>
      <c r="G119" s="220"/>
      <c r="H119" s="220"/>
      <c r="I119" s="220"/>
      <c r="J119" s="220"/>
      <c r="K119" s="220"/>
      <c r="L119" s="220"/>
      <c r="M119" s="220"/>
      <c r="N119" s="220"/>
      <c r="O119" s="220"/>
      <c r="P119" s="220"/>
      <c r="Q119" s="221"/>
      <c r="R119" s="73">
        <f>SUM(R114:R118)</f>
        <v>3434.0899999999997</v>
      </c>
      <c r="S119" s="85"/>
      <c r="T119" s="85"/>
      <c r="U119" s="73">
        <f>SUM(U114:U118)*J123</f>
        <v>39028.502092999996</v>
      </c>
      <c r="V119" s="228"/>
      <c r="W119" s="215"/>
    </row>
    <row r="120" spans="1:23" x14ac:dyDescent="0.25">
      <c r="A120" s="219" t="s">
        <v>173</v>
      </c>
      <c r="B120" s="220"/>
      <c r="C120" s="220"/>
      <c r="D120" s="220"/>
      <c r="E120" s="220"/>
      <c r="F120" s="220"/>
      <c r="G120" s="220"/>
      <c r="H120" s="220"/>
      <c r="I120" s="220"/>
      <c r="J120" s="220"/>
      <c r="K120" s="220"/>
      <c r="L120" s="220"/>
      <c r="M120" s="220"/>
      <c r="N120" s="220"/>
      <c r="O120" s="220"/>
      <c r="P120" s="220"/>
      <c r="Q120" s="221"/>
      <c r="R120" s="86">
        <f>R119+R112+R102</f>
        <v>20278.277000000002</v>
      </c>
      <c r="S120" s="87"/>
      <c r="T120" s="87"/>
      <c r="U120" s="86">
        <f>(U119+U112+U102)</f>
        <v>222982.261425</v>
      </c>
      <c r="V120" s="88">
        <f>V114+V104+V97+V89</f>
        <v>6068.5599999999995</v>
      </c>
      <c r="W120" s="89">
        <f>W114+W104+W97+W89</f>
        <v>6068.5599999999995</v>
      </c>
    </row>
    <row r="121" spans="1:23" x14ac:dyDescent="0.25">
      <c r="U121" s="36" t="s">
        <v>174</v>
      </c>
    </row>
    <row r="123" spans="1:23" x14ac:dyDescent="0.25">
      <c r="B123" s="53" t="s">
        <v>175</v>
      </c>
      <c r="C123" s="53"/>
      <c r="D123" s="53"/>
      <c r="E123" s="53"/>
      <c r="F123" s="53">
        <v>94856.71</v>
      </c>
      <c r="G123" s="53" t="s">
        <v>176</v>
      </c>
      <c r="H123" s="53">
        <f>(F123/4)*J123</f>
        <v>255257.03519225001</v>
      </c>
      <c r="I123" s="35" t="s">
        <v>177</v>
      </c>
      <c r="J123" s="90">
        <v>10.7639</v>
      </c>
    </row>
    <row r="124" spans="1:23" x14ac:dyDescent="0.25">
      <c r="B124" s="91" t="s">
        <v>178</v>
      </c>
      <c r="C124" s="91"/>
      <c r="D124" s="91"/>
      <c r="E124" s="91"/>
      <c r="F124" s="53">
        <v>11846.38</v>
      </c>
      <c r="G124" s="53" t="s">
        <v>176</v>
      </c>
      <c r="H124" s="53">
        <f>(F124/3)*J123</f>
        <v>42504.416560666665</v>
      </c>
      <c r="I124" s="35" t="s">
        <v>177</v>
      </c>
    </row>
    <row r="125" spans="1:23" x14ac:dyDescent="0.25">
      <c r="B125" s="92"/>
      <c r="C125" s="92"/>
      <c r="D125" s="92"/>
      <c r="E125" s="92"/>
      <c r="F125" s="93">
        <f>SUM(F123:F124)</f>
        <v>106703.09000000001</v>
      </c>
      <c r="G125" s="53" t="s">
        <v>179</v>
      </c>
      <c r="H125" s="53"/>
    </row>
    <row r="127" spans="1:23" x14ac:dyDescent="0.25">
      <c r="F127" s="94">
        <f>F123*J123</f>
        <v>1021028.140769</v>
      </c>
    </row>
  </sheetData>
  <mergeCells count="48">
    <mergeCell ref="C117:Q117"/>
    <mergeCell ref="C118:Q118"/>
    <mergeCell ref="A119:Q119"/>
    <mergeCell ref="A120:Q120"/>
    <mergeCell ref="C110:Q110"/>
    <mergeCell ref="C111:Q111"/>
    <mergeCell ref="A112:Q112"/>
    <mergeCell ref="A113:W113"/>
    <mergeCell ref="A114:A118"/>
    <mergeCell ref="C114:Q114"/>
    <mergeCell ref="V114:V119"/>
    <mergeCell ref="W114:W119"/>
    <mergeCell ref="C115:Q115"/>
    <mergeCell ref="C116:Q116"/>
    <mergeCell ref="A103:W103"/>
    <mergeCell ref="A104:A111"/>
    <mergeCell ref="C104:Q104"/>
    <mergeCell ref="V104:V112"/>
    <mergeCell ref="W104:W112"/>
    <mergeCell ref="C105:Q105"/>
    <mergeCell ref="C106:Q106"/>
    <mergeCell ref="C107:Q107"/>
    <mergeCell ref="C108:Q108"/>
    <mergeCell ref="C109:Q109"/>
    <mergeCell ref="A96:W96"/>
    <mergeCell ref="A97:A101"/>
    <mergeCell ref="C97:Q97"/>
    <mergeCell ref="V97:V102"/>
    <mergeCell ref="W97:W102"/>
    <mergeCell ref="C98:Q98"/>
    <mergeCell ref="C99:Q99"/>
    <mergeCell ref="C100:Q100"/>
    <mergeCell ref="C101:Q101"/>
    <mergeCell ref="A102:Q102"/>
    <mergeCell ref="V89:V95"/>
    <mergeCell ref="W89:W95"/>
    <mergeCell ref="C90:Q90"/>
    <mergeCell ref="C91:Q91"/>
    <mergeCell ref="C92:Q92"/>
    <mergeCell ref="C93:Q93"/>
    <mergeCell ref="C94:Q94"/>
    <mergeCell ref="A95:Q95"/>
    <mergeCell ref="A1:F1"/>
    <mergeCell ref="A47:M47"/>
    <mergeCell ref="A68:L68"/>
    <mergeCell ref="A88:Q88"/>
    <mergeCell ref="A89:A94"/>
    <mergeCell ref="C89:Q8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workbookViewId="0">
      <selection activeCell="H24" sqref="H24"/>
    </sheetView>
  </sheetViews>
  <sheetFormatPr defaultRowHeight="15" x14ac:dyDescent="0.25"/>
  <cols>
    <col min="2" max="2" width="28.42578125" bestFit="1" customWidth="1"/>
    <col min="3" max="3" width="11.5703125" style="123" bestFit="1" customWidth="1"/>
    <col min="4" max="4" width="15.28515625" style="114" bestFit="1" customWidth="1"/>
    <col min="5" max="6" width="15.28515625" style="114" customWidth="1"/>
    <col min="8" max="8" width="11.5703125" bestFit="1" customWidth="1"/>
    <col min="9" max="9" width="10" bestFit="1" customWidth="1"/>
  </cols>
  <sheetData>
    <row r="2" spans="2:9" x14ac:dyDescent="0.25">
      <c r="B2" t="s">
        <v>243</v>
      </c>
      <c r="C2" s="123">
        <v>306059.95</v>
      </c>
      <c r="D2" s="114">
        <f>C2*10.764</f>
        <v>3294429.3018</v>
      </c>
      <c r="E2" s="114" t="e">
        <f>#REF!</f>
        <v>#REF!</v>
      </c>
      <c r="F2" s="181" t="e">
        <f>E2/D2</f>
        <v>#REF!</v>
      </c>
      <c r="H2" t="s">
        <v>263</v>
      </c>
      <c r="I2" s="174">
        <f>D2+D3+D4</f>
        <v>4156553.9059199998</v>
      </c>
    </row>
    <row r="3" spans="2:9" s="14" customFormat="1" x14ac:dyDescent="0.25">
      <c r="B3" t="s">
        <v>16</v>
      </c>
      <c r="C3" s="123">
        <v>58415.71</v>
      </c>
      <c r="D3" s="114">
        <f>C3*10.764</f>
        <v>628786.70243999991</v>
      </c>
      <c r="E3" s="114" t="e">
        <f>#REF!</f>
        <v>#REF!</v>
      </c>
      <c r="F3" s="181" t="e">
        <f t="shared" ref="F3:F6" si="0">E3/D3</f>
        <v>#REF!</v>
      </c>
      <c r="I3" s="174"/>
    </row>
    <row r="4" spans="2:9" s="14" customFormat="1" x14ac:dyDescent="0.25">
      <c r="B4" t="s">
        <v>17</v>
      </c>
      <c r="C4" s="123">
        <v>21677.62</v>
      </c>
      <c r="D4" s="114">
        <f>C4*10.764</f>
        <v>233337.90167999998</v>
      </c>
      <c r="E4" s="114" t="e">
        <f>#REF!</f>
        <v>#REF!</v>
      </c>
      <c r="F4" s="181" t="e">
        <f t="shared" si="0"/>
        <v>#REF!</v>
      </c>
      <c r="I4" s="174"/>
    </row>
    <row r="5" spans="2:9" s="14" customFormat="1" x14ac:dyDescent="0.25">
      <c r="B5" t="s">
        <v>262</v>
      </c>
      <c r="C5" s="123">
        <v>2330.96</v>
      </c>
      <c r="D5" s="114">
        <f t="shared" ref="D5:D7" si="1">C5*10.764</f>
        <v>25090.453439999997</v>
      </c>
      <c r="E5" s="114">
        <f>'Inventory-Detailed (2)'!U93</f>
        <v>25090.220344000001</v>
      </c>
      <c r="F5" s="181">
        <f t="shared" si="0"/>
        <v>0.99999070977331861</v>
      </c>
      <c r="H5" s="14" t="s">
        <v>151</v>
      </c>
      <c r="I5" s="174">
        <f>D5+D6+D7</f>
        <v>44954.446680000001</v>
      </c>
    </row>
    <row r="6" spans="2:9" x14ac:dyDescent="0.25">
      <c r="B6" t="s">
        <v>151</v>
      </c>
      <c r="C6" s="123">
        <v>1091.43</v>
      </c>
      <c r="D6" s="114">
        <f t="shared" si="1"/>
        <v>11748.15252</v>
      </c>
      <c r="E6" s="114">
        <f>'Inventory-Detailed (2)'!U117</f>
        <v>39028.502092999996</v>
      </c>
      <c r="F6" s="181">
        <f t="shared" si="0"/>
        <v>3.3220969872971988</v>
      </c>
      <c r="G6" s="114">
        <f>'Inventory-Detailed (2)'!U117+'Inventory-Detailed (2)'!U110</f>
        <v>171987.53170200001</v>
      </c>
      <c r="I6" s="174">
        <f>SUM(I2:I5)</f>
        <v>4201508.3525999999</v>
      </c>
    </row>
    <row r="7" spans="2:9" x14ac:dyDescent="0.25">
      <c r="B7" s="14" t="s">
        <v>242</v>
      </c>
      <c r="C7" s="123">
        <v>753.98</v>
      </c>
      <c r="D7" s="114">
        <f t="shared" si="1"/>
        <v>8115.8407200000001</v>
      </c>
      <c r="H7" s="174">
        <f>D6+D7</f>
        <v>19863.99324</v>
      </c>
    </row>
    <row r="8" spans="2:9" x14ac:dyDescent="0.25">
      <c r="C8" s="153">
        <f>SUM(C2:C7)</f>
        <v>390329.65</v>
      </c>
      <c r="D8" s="154">
        <f>SUM(D2:D7)</f>
        <v>4201508.3525999999</v>
      </c>
      <c r="E8" s="154" t="e">
        <f>SUM(E2:E7)</f>
        <v>#REF!</v>
      </c>
      <c r="F8" s="154" t="e">
        <f>SUM(E2:E6)+G6</f>
        <v>#REF!</v>
      </c>
      <c r="G8" s="181" t="e">
        <f>F8/D8</f>
        <v>#REF!</v>
      </c>
    </row>
    <row r="9" spans="2:9" s="14" customFormat="1" x14ac:dyDescent="0.25">
      <c r="B9"/>
      <c r="C9" s="123"/>
      <c r="D9" s="114"/>
      <c r="E9" s="114"/>
      <c r="F9" s="181" t="e">
        <f>E8/D8</f>
        <v>#REF!</v>
      </c>
    </row>
    <row r="10" spans="2:9" x14ac:dyDescent="0.25">
      <c r="D10" s="114">
        <f>1800*10^7</f>
        <v>18000000000</v>
      </c>
    </row>
    <row r="11" spans="2:9" x14ac:dyDescent="0.25">
      <c r="D11" s="114">
        <f>D10/D8</f>
        <v>4284.1757029618047</v>
      </c>
    </row>
    <row r="15" spans="2:9" x14ac:dyDescent="0.25">
      <c r="B15" s="123" t="s">
        <v>266</v>
      </c>
      <c r="C15" s="114">
        <f>SUM(D5:D7)</f>
        <v>44954.446680000001</v>
      </c>
    </row>
    <row r="17" spans="3:8" x14ac:dyDescent="0.25">
      <c r="C17" s="123">
        <f>D17/4047</f>
        <v>26.961245366938474</v>
      </c>
      <c r="D17" s="114">
        <v>109112.16</v>
      </c>
      <c r="E17" s="114">
        <f>D17*5200</f>
        <v>567383232</v>
      </c>
      <c r="F17" s="114">
        <f>C17*4046.85</f>
        <v>109108.11581319496</v>
      </c>
    </row>
    <row r="18" spans="3:8" x14ac:dyDescent="0.25">
      <c r="C18" s="123">
        <f>C17*1.6</f>
        <v>43.137992587101564</v>
      </c>
      <c r="D18" s="114">
        <f>D17*2</f>
        <v>218224.32</v>
      </c>
    </row>
    <row r="19" spans="3:8" x14ac:dyDescent="0.25">
      <c r="D19" s="114">
        <f>D18*10.764</f>
        <v>2348966.58048</v>
      </c>
    </row>
    <row r="22" spans="3:8" x14ac:dyDescent="0.25">
      <c r="C22" s="123">
        <v>75</v>
      </c>
      <c r="D22" s="114">
        <f>C22*10^7</f>
        <v>750000000</v>
      </c>
      <c r="E22" s="114">
        <f>D22/$C$17</f>
        <v>27817706.110849604</v>
      </c>
      <c r="H22">
        <f>30/1.6</f>
        <v>18.75</v>
      </c>
    </row>
    <row r="23" spans="3:8" x14ac:dyDescent="0.25">
      <c r="C23" s="123">
        <v>100</v>
      </c>
      <c r="D23" s="114">
        <f>C23*10^7</f>
        <v>1000000000</v>
      </c>
      <c r="E23" s="114">
        <f>D23/$C$17</f>
        <v>37090274.814466141</v>
      </c>
      <c r="H23">
        <f>1.3*1.6</f>
        <v>2.08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C125"/>
  <sheetViews>
    <sheetView topLeftCell="A94" zoomScale="80" zoomScaleNormal="80" workbookViewId="0">
      <selection activeCell="U118" sqref="U118"/>
    </sheetView>
  </sheetViews>
  <sheetFormatPr defaultRowHeight="15" x14ac:dyDescent="0.25"/>
  <cols>
    <col min="1" max="1" width="37.28515625" style="84" customWidth="1"/>
    <col min="2" max="2" width="24.85546875" style="84" customWidth="1"/>
    <col min="3" max="5" width="9.140625" style="84"/>
    <col min="6" max="6" width="12.140625" style="84" customWidth="1"/>
    <col min="7" max="7" width="9.140625" style="84" hidden="1" customWidth="1"/>
    <col min="8" max="8" width="8.7109375" style="84" hidden="1" customWidth="1"/>
    <col min="9" max="9" width="5.7109375" style="84" customWidth="1"/>
    <col min="10" max="10" width="13.5703125" style="84" customWidth="1"/>
    <col min="11" max="11" width="13" style="84" customWidth="1"/>
    <col min="12" max="12" width="15.140625" style="129" customWidth="1"/>
    <col min="13" max="13" width="11.42578125" style="84" customWidth="1"/>
    <col min="14" max="14" width="14.7109375" style="84" customWidth="1"/>
    <col min="15" max="15" width="12.5703125" style="84" customWidth="1"/>
    <col min="16" max="16" width="8.85546875" style="84" bestFit="1" customWidth="1"/>
    <col min="17" max="17" width="10.85546875" style="84" customWidth="1"/>
    <col min="18" max="18" width="18" style="129" bestFit="1" customWidth="1"/>
    <col min="19" max="19" width="10.140625" style="84" bestFit="1" customWidth="1"/>
    <col min="20" max="20" width="17.42578125" style="84" customWidth="1"/>
    <col min="21" max="21" width="13" style="129" bestFit="1" customWidth="1"/>
    <col min="22" max="22" width="15.85546875" style="129" bestFit="1" customWidth="1"/>
    <col min="23" max="23" width="13" style="129" bestFit="1" customWidth="1"/>
    <col min="24" max="24" width="15.85546875" style="129" bestFit="1" customWidth="1"/>
    <col min="25" max="16384" width="9.140625" style="84"/>
  </cols>
  <sheetData>
    <row r="1" spans="1:29" x14ac:dyDescent="0.25">
      <c r="A1" s="201" t="s">
        <v>37</v>
      </c>
      <c r="B1" s="201"/>
      <c r="C1" s="201"/>
      <c r="D1" s="201"/>
      <c r="E1" s="201"/>
      <c r="F1" s="201"/>
      <c r="G1" s="128"/>
      <c r="H1" s="128"/>
    </row>
    <row r="2" spans="1:29" ht="90" x14ac:dyDescent="0.25">
      <c r="A2" s="84" t="s">
        <v>38</v>
      </c>
      <c r="B2" s="84" t="s">
        <v>39</v>
      </c>
      <c r="C2" s="84" t="s">
        <v>238</v>
      </c>
      <c r="D2" s="84" t="s">
        <v>40</v>
      </c>
      <c r="E2" s="84" t="s">
        <v>41</v>
      </c>
      <c r="F2" s="84" t="s">
        <v>42</v>
      </c>
      <c r="G2" s="84" t="s">
        <v>43</v>
      </c>
      <c r="H2" s="84" t="s">
        <v>44</v>
      </c>
      <c r="I2" s="84" t="s">
        <v>45</v>
      </c>
      <c r="J2" s="84" t="s">
        <v>46</v>
      </c>
      <c r="K2" s="84" t="s">
        <v>47</v>
      </c>
      <c r="L2" s="129" t="s">
        <v>48</v>
      </c>
      <c r="M2" s="84" t="s">
        <v>49</v>
      </c>
      <c r="N2" s="84" t="s">
        <v>50</v>
      </c>
      <c r="O2" s="84" t="s">
        <v>51</v>
      </c>
      <c r="P2" s="84" t="s">
        <v>52</v>
      </c>
      <c r="Q2" s="84" t="s">
        <v>53</v>
      </c>
      <c r="R2" s="129" t="s">
        <v>54</v>
      </c>
      <c r="U2" s="37" t="s">
        <v>55</v>
      </c>
      <c r="V2" s="37" t="s">
        <v>56</v>
      </c>
      <c r="W2" s="37" t="s">
        <v>57</v>
      </c>
      <c r="X2" s="37" t="s">
        <v>58</v>
      </c>
      <c r="Z2" s="38" t="s">
        <v>55</v>
      </c>
      <c r="AA2" s="38" t="s">
        <v>56</v>
      </c>
      <c r="AB2" s="38" t="s">
        <v>57</v>
      </c>
      <c r="AC2" s="38" t="s">
        <v>58</v>
      </c>
    </row>
    <row r="3" spans="1:29" x14ac:dyDescent="0.25">
      <c r="A3" s="84">
        <v>1</v>
      </c>
      <c r="B3" s="84" t="s">
        <v>64</v>
      </c>
      <c r="C3" s="84" t="s">
        <v>65</v>
      </c>
      <c r="D3" s="84">
        <v>1</v>
      </c>
      <c r="E3" s="84" t="s">
        <v>66</v>
      </c>
      <c r="F3" s="84" t="s">
        <v>67</v>
      </c>
      <c r="G3" s="84">
        <v>146</v>
      </c>
      <c r="H3" s="84">
        <v>146</v>
      </c>
      <c r="I3" s="130">
        <v>321.41303999999997</v>
      </c>
      <c r="J3" s="130">
        <v>32.830199999999991</v>
      </c>
      <c r="K3" s="130">
        <v>0</v>
      </c>
      <c r="L3" s="129">
        <v>95.691959999999995</v>
      </c>
      <c r="M3" s="130">
        <v>449.93519999999995</v>
      </c>
      <c r="N3" s="130">
        <v>153.047776221498</v>
      </c>
      <c r="O3" s="130">
        <v>602.98297622149835</v>
      </c>
      <c r="P3" s="131">
        <v>0.25381773989798001</v>
      </c>
      <c r="Q3" s="132">
        <v>0.74261181604551996</v>
      </c>
      <c r="R3" s="129">
        <f>O3*G3</f>
        <v>88035.514528338754</v>
      </c>
      <c r="U3" s="37">
        <v>1</v>
      </c>
      <c r="V3" s="37">
        <v>2</v>
      </c>
      <c r="W3" s="37">
        <v>3</v>
      </c>
      <c r="X3" s="37">
        <v>4</v>
      </c>
      <c r="Z3" s="38">
        <v>1</v>
      </c>
      <c r="AA3" s="38">
        <v>2</v>
      </c>
      <c r="AB3" s="38">
        <v>3</v>
      </c>
      <c r="AC3" s="38">
        <v>4</v>
      </c>
    </row>
    <row r="4" spans="1:29" x14ac:dyDescent="0.25">
      <c r="B4" s="84" t="s">
        <v>64</v>
      </c>
      <c r="C4" s="84" t="s">
        <v>68</v>
      </c>
      <c r="D4" s="84">
        <v>1</v>
      </c>
      <c r="E4" s="84" t="s">
        <v>69</v>
      </c>
      <c r="F4" s="84" t="s">
        <v>67</v>
      </c>
      <c r="G4" s="84">
        <v>176</v>
      </c>
      <c r="H4" s="84">
        <v>176</v>
      </c>
      <c r="I4" s="130">
        <v>321.41303999999997</v>
      </c>
      <c r="J4" s="130">
        <v>32.830199999999991</v>
      </c>
      <c r="K4" s="130">
        <v>63.292319999999997</v>
      </c>
      <c r="L4" s="129">
        <v>95.691959999999995</v>
      </c>
      <c r="M4" s="130">
        <v>449.93519999999995</v>
      </c>
      <c r="N4" s="130">
        <v>153.04777622149837</v>
      </c>
      <c r="O4" s="130">
        <v>602.98297622149835</v>
      </c>
      <c r="P4" s="131">
        <v>0.2538177398979804</v>
      </c>
      <c r="Q4" s="132">
        <v>0.74261181604552007</v>
      </c>
      <c r="R4" s="129">
        <f t="shared" ref="R4:R42" si="0">O4*G4</f>
        <v>106125.00381498371</v>
      </c>
      <c r="U4" s="129">
        <f t="shared" ref="U4:U33" si="1">IF($D3=U$3,$R3,0)</f>
        <v>88035.514528338754</v>
      </c>
      <c r="V4" s="129">
        <f t="shared" ref="V4:V33" si="2">IF($D3=V$3,$R3,0)</f>
        <v>0</v>
      </c>
      <c r="W4" s="129">
        <f t="shared" ref="W4:W33" si="3">IF($D3=W$3,$R3,0)</f>
        <v>0</v>
      </c>
      <c r="X4" s="129">
        <f t="shared" ref="X4:X33" si="4">IF($D3=X$3,$R3,0)</f>
        <v>0</v>
      </c>
      <c r="Z4" s="84">
        <f t="shared" ref="Z4:Z33" si="5">IF($D3=Z$3,$G3,0)</f>
        <v>146</v>
      </c>
      <c r="AA4" s="84">
        <f t="shared" ref="AA4:AA33" si="6">IF($D3=AA$3,$G3,0)</f>
        <v>0</v>
      </c>
      <c r="AB4" s="84">
        <f t="shared" ref="AB4:AB33" si="7">IF($D3=AB$3,$G3,0)</f>
        <v>0</v>
      </c>
      <c r="AC4" s="84">
        <f t="shared" ref="AC4:AC33" si="8">IF($D3=AC$3,$G3,0)</f>
        <v>0</v>
      </c>
    </row>
    <row r="5" spans="1:29" x14ac:dyDescent="0.25">
      <c r="B5" s="84" t="s">
        <v>64</v>
      </c>
      <c r="C5" s="84" t="s">
        <v>70</v>
      </c>
      <c r="D5" s="84">
        <v>3</v>
      </c>
      <c r="E5" s="84" t="s">
        <v>71</v>
      </c>
      <c r="F5" s="84" t="s">
        <v>67</v>
      </c>
      <c r="G5" s="84">
        <v>116</v>
      </c>
      <c r="H5" s="84">
        <v>116</v>
      </c>
      <c r="I5" s="130">
        <v>321.41303999999997</v>
      </c>
      <c r="J5" s="130">
        <v>32.830199999999991</v>
      </c>
      <c r="K5" s="130">
        <v>63.292319999999997</v>
      </c>
      <c r="L5" s="129">
        <v>95.691959999999995</v>
      </c>
      <c r="M5" s="130">
        <v>449.93519999999995</v>
      </c>
      <c r="N5" s="130">
        <v>153.04777622149837</v>
      </c>
      <c r="O5" s="130">
        <v>602.98297622149835</v>
      </c>
      <c r="P5" s="131">
        <v>0.2538177398979804</v>
      </c>
      <c r="Q5" s="132">
        <v>0.74261181604552007</v>
      </c>
      <c r="R5" s="129">
        <f t="shared" si="0"/>
        <v>69946.025241693802</v>
      </c>
      <c r="U5" s="129">
        <f t="shared" si="1"/>
        <v>106125.00381498371</v>
      </c>
      <c r="V5" s="129">
        <f t="shared" si="2"/>
        <v>0</v>
      </c>
      <c r="W5" s="129">
        <f t="shared" si="3"/>
        <v>0</v>
      </c>
      <c r="X5" s="129">
        <f t="shared" si="4"/>
        <v>0</v>
      </c>
      <c r="Z5" s="84">
        <f t="shared" si="5"/>
        <v>176</v>
      </c>
      <c r="AA5" s="84">
        <f t="shared" si="6"/>
        <v>0</v>
      </c>
      <c r="AB5" s="84">
        <f t="shared" si="7"/>
        <v>0</v>
      </c>
      <c r="AC5" s="84">
        <f t="shared" si="8"/>
        <v>0</v>
      </c>
    </row>
    <row r="6" spans="1:29" x14ac:dyDescent="0.25">
      <c r="B6" s="84" t="s">
        <v>64</v>
      </c>
      <c r="C6" s="84" t="s">
        <v>68</v>
      </c>
      <c r="D6" s="84">
        <v>3</v>
      </c>
      <c r="E6" s="84" t="s">
        <v>72</v>
      </c>
      <c r="F6" s="84" t="s">
        <v>67</v>
      </c>
      <c r="G6" s="84">
        <v>176</v>
      </c>
      <c r="H6" s="84">
        <v>176</v>
      </c>
      <c r="I6" s="130">
        <v>321.41303999999997</v>
      </c>
      <c r="J6" s="130">
        <v>32.830199999999991</v>
      </c>
      <c r="K6" s="130">
        <v>63.292319999999997</v>
      </c>
      <c r="L6" s="129">
        <v>95.691959999999995</v>
      </c>
      <c r="M6" s="130">
        <v>449.93519999999995</v>
      </c>
      <c r="N6" s="130">
        <v>153.04777622149837</v>
      </c>
      <c r="O6" s="130">
        <v>602.98297622149835</v>
      </c>
      <c r="P6" s="131">
        <v>0.2538177398979804</v>
      </c>
      <c r="Q6" s="132">
        <v>0.74261181604552007</v>
      </c>
      <c r="R6" s="129">
        <f t="shared" si="0"/>
        <v>106125.00381498371</v>
      </c>
      <c r="U6" s="129">
        <f t="shared" si="1"/>
        <v>0</v>
      </c>
      <c r="V6" s="129">
        <f t="shared" si="2"/>
        <v>0</v>
      </c>
      <c r="W6" s="129">
        <f t="shared" si="3"/>
        <v>69946.025241693802</v>
      </c>
      <c r="X6" s="129">
        <f t="shared" si="4"/>
        <v>0</v>
      </c>
      <c r="Z6" s="84">
        <f t="shared" si="5"/>
        <v>0</v>
      </c>
      <c r="AA6" s="84">
        <f t="shared" si="6"/>
        <v>0</v>
      </c>
      <c r="AB6" s="84">
        <f t="shared" si="7"/>
        <v>116</v>
      </c>
      <c r="AC6" s="84">
        <f t="shared" si="8"/>
        <v>0</v>
      </c>
    </row>
    <row r="7" spans="1:29" x14ac:dyDescent="0.25">
      <c r="A7" s="84">
        <v>2</v>
      </c>
      <c r="B7" s="84" t="s">
        <v>73</v>
      </c>
      <c r="C7" s="84" t="s">
        <v>70</v>
      </c>
      <c r="D7" s="84">
        <v>1</v>
      </c>
      <c r="E7" s="84" t="s">
        <v>74</v>
      </c>
      <c r="F7" s="84" t="s">
        <v>67</v>
      </c>
      <c r="G7" s="84">
        <v>116</v>
      </c>
      <c r="H7" s="84">
        <v>116</v>
      </c>
      <c r="I7" s="130">
        <v>595.89503999999999</v>
      </c>
      <c r="J7" s="130">
        <v>39.611519999999928</v>
      </c>
      <c r="K7" s="130">
        <v>0</v>
      </c>
      <c r="L7" s="129">
        <v>138.85559999999998</v>
      </c>
      <c r="M7" s="130">
        <v>774.3621599999999</v>
      </c>
      <c r="N7" s="130">
        <v>216.71419781141938</v>
      </c>
      <c r="O7" s="130">
        <v>991.07635781141926</v>
      </c>
      <c r="P7" s="131">
        <v>0.21866549040680019</v>
      </c>
      <c r="Q7" s="132">
        <v>0.79427000576314533</v>
      </c>
      <c r="R7" s="129">
        <f t="shared" si="0"/>
        <v>114964.85750612464</v>
      </c>
      <c r="U7" s="129">
        <f t="shared" si="1"/>
        <v>0</v>
      </c>
      <c r="V7" s="129">
        <f t="shared" si="2"/>
        <v>0</v>
      </c>
      <c r="W7" s="129">
        <f t="shared" si="3"/>
        <v>106125.00381498371</v>
      </c>
      <c r="X7" s="129">
        <f t="shared" si="4"/>
        <v>0</v>
      </c>
      <c r="Z7" s="84">
        <f t="shared" si="5"/>
        <v>0</v>
      </c>
      <c r="AA7" s="84">
        <f t="shared" si="6"/>
        <v>0</v>
      </c>
      <c r="AB7" s="84">
        <f t="shared" si="7"/>
        <v>176</v>
      </c>
      <c r="AC7" s="84">
        <f t="shared" si="8"/>
        <v>0</v>
      </c>
    </row>
    <row r="8" spans="1:29" x14ac:dyDescent="0.25">
      <c r="B8" s="84" t="s">
        <v>73</v>
      </c>
      <c r="C8" s="84" t="s">
        <v>75</v>
      </c>
      <c r="D8" s="84">
        <v>3</v>
      </c>
      <c r="E8" s="84" t="s">
        <v>76</v>
      </c>
      <c r="F8" s="84" t="s">
        <v>67</v>
      </c>
      <c r="G8" s="84">
        <v>176</v>
      </c>
      <c r="H8" s="84">
        <v>176</v>
      </c>
      <c r="I8" s="130">
        <v>595.89503999999999</v>
      </c>
      <c r="J8" s="130">
        <v>39.611519999999928</v>
      </c>
      <c r="K8" s="130">
        <v>0</v>
      </c>
      <c r="L8" s="129">
        <v>138.85559999999998</v>
      </c>
      <c r="M8" s="130">
        <v>774.3621599999999</v>
      </c>
      <c r="N8" s="130">
        <v>216.71419781141938</v>
      </c>
      <c r="O8" s="130">
        <v>991.07635781141926</v>
      </c>
      <c r="P8" s="131">
        <v>0.21866549040680019</v>
      </c>
      <c r="Q8" s="132">
        <v>0.79427000576314533</v>
      </c>
      <c r="R8" s="129">
        <f t="shared" si="0"/>
        <v>174429.43897480977</v>
      </c>
      <c r="U8" s="129">
        <f t="shared" si="1"/>
        <v>114964.85750612464</v>
      </c>
      <c r="V8" s="129">
        <f t="shared" si="2"/>
        <v>0</v>
      </c>
      <c r="W8" s="129">
        <f t="shared" si="3"/>
        <v>0</v>
      </c>
      <c r="X8" s="129">
        <f t="shared" si="4"/>
        <v>0</v>
      </c>
      <c r="Z8" s="84">
        <f t="shared" si="5"/>
        <v>116</v>
      </c>
      <c r="AA8" s="84">
        <f t="shared" si="6"/>
        <v>0</v>
      </c>
      <c r="AB8" s="84">
        <f t="shared" si="7"/>
        <v>0</v>
      </c>
      <c r="AC8" s="84">
        <f t="shared" si="8"/>
        <v>0</v>
      </c>
    </row>
    <row r="9" spans="1:29" x14ac:dyDescent="0.25">
      <c r="A9" s="84">
        <v>3</v>
      </c>
      <c r="B9" s="84" t="s">
        <v>77</v>
      </c>
      <c r="C9" s="84" t="s">
        <v>70</v>
      </c>
      <c r="D9" s="84">
        <v>3</v>
      </c>
      <c r="E9" s="84" t="s">
        <v>78</v>
      </c>
      <c r="F9" s="84" t="s">
        <v>67</v>
      </c>
      <c r="G9" s="84">
        <v>101</v>
      </c>
      <c r="H9" s="84">
        <v>116</v>
      </c>
      <c r="I9" s="130">
        <v>644.44067999999993</v>
      </c>
      <c r="J9" s="130">
        <v>43.594200000000001</v>
      </c>
      <c r="K9" s="130">
        <v>0</v>
      </c>
      <c r="L9" s="129">
        <v>139.39379999999997</v>
      </c>
      <c r="M9" s="130">
        <v>827.42867999999987</v>
      </c>
      <c r="N9" s="130">
        <v>221.93261143554258</v>
      </c>
      <c r="O9" s="130">
        <v>1049.3612914355424</v>
      </c>
      <c r="P9" s="131">
        <v>0.21149304176441971</v>
      </c>
      <c r="Q9" s="132">
        <v>0.80165289506702919</v>
      </c>
      <c r="R9" s="129">
        <f t="shared" si="0"/>
        <v>105985.49043498978</v>
      </c>
      <c r="U9" s="129">
        <f t="shared" si="1"/>
        <v>0</v>
      </c>
      <c r="V9" s="129">
        <f t="shared" si="2"/>
        <v>0</v>
      </c>
      <c r="W9" s="129">
        <f t="shared" si="3"/>
        <v>174429.43897480977</v>
      </c>
      <c r="X9" s="129">
        <f t="shared" si="4"/>
        <v>0</v>
      </c>
      <c r="Z9" s="84">
        <f t="shared" si="5"/>
        <v>0</v>
      </c>
      <c r="AA9" s="84">
        <f t="shared" si="6"/>
        <v>0</v>
      </c>
      <c r="AB9" s="84">
        <f t="shared" si="7"/>
        <v>176</v>
      </c>
      <c r="AC9" s="84">
        <f t="shared" si="8"/>
        <v>0</v>
      </c>
    </row>
    <row r="10" spans="1:29" x14ac:dyDescent="0.25">
      <c r="B10" s="84" t="s">
        <v>79</v>
      </c>
      <c r="D10" s="84">
        <v>3</v>
      </c>
      <c r="F10" s="84" t="s">
        <v>80</v>
      </c>
      <c r="G10" s="84">
        <v>15</v>
      </c>
      <c r="I10" s="130">
        <v>645.83999999999992</v>
      </c>
      <c r="J10" s="130">
        <v>50.590800000000058</v>
      </c>
      <c r="K10" s="130">
        <v>0</v>
      </c>
      <c r="L10" s="129">
        <v>152.20295999999999</v>
      </c>
      <c r="M10" s="130">
        <v>848.63375999999994</v>
      </c>
      <c r="N10" s="130">
        <v>227.6202300712655</v>
      </c>
      <c r="O10" s="130">
        <v>1076.2539900712654</v>
      </c>
      <c r="P10" s="131">
        <v>0.21149304176441971</v>
      </c>
      <c r="Q10" s="132">
        <v>0.80165289506702919</v>
      </c>
      <c r="R10" s="129">
        <f t="shared" si="0"/>
        <v>16143.809851068982</v>
      </c>
      <c r="U10" s="129">
        <f t="shared" si="1"/>
        <v>0</v>
      </c>
      <c r="V10" s="129">
        <f t="shared" si="2"/>
        <v>0</v>
      </c>
      <c r="W10" s="129">
        <f t="shared" si="3"/>
        <v>105985.49043498978</v>
      </c>
      <c r="X10" s="129">
        <f t="shared" si="4"/>
        <v>0</v>
      </c>
      <c r="Z10" s="84">
        <f t="shared" si="5"/>
        <v>0</v>
      </c>
      <c r="AA10" s="84">
        <f t="shared" si="6"/>
        <v>0</v>
      </c>
      <c r="AB10" s="84">
        <f t="shared" si="7"/>
        <v>101</v>
      </c>
      <c r="AC10" s="84">
        <f t="shared" si="8"/>
        <v>0</v>
      </c>
    </row>
    <row r="11" spans="1:29" x14ac:dyDescent="0.25">
      <c r="B11" s="84" t="s">
        <v>77</v>
      </c>
      <c r="C11" s="84" t="s">
        <v>70</v>
      </c>
      <c r="D11" s="84">
        <v>3</v>
      </c>
      <c r="E11" s="84" t="s">
        <v>81</v>
      </c>
      <c r="F11" s="84" t="s">
        <v>67</v>
      </c>
      <c r="G11" s="84">
        <v>101</v>
      </c>
      <c r="H11" s="84">
        <v>116</v>
      </c>
      <c r="I11" s="130">
        <v>644.44067999999993</v>
      </c>
      <c r="J11" s="130">
        <v>43.594200000000001</v>
      </c>
      <c r="K11" s="130">
        <v>0</v>
      </c>
      <c r="L11" s="129">
        <v>139.39379999999997</v>
      </c>
      <c r="M11" s="130">
        <v>827.42867999999987</v>
      </c>
      <c r="N11" s="130">
        <v>221.93261143554258</v>
      </c>
      <c r="O11" s="130">
        <v>1049.3612914355424</v>
      </c>
      <c r="P11" s="131">
        <v>0.21149304176441971</v>
      </c>
      <c r="Q11" s="132">
        <v>0.80165289506702919</v>
      </c>
      <c r="R11" s="129">
        <f t="shared" si="0"/>
        <v>105985.49043498978</v>
      </c>
      <c r="U11" s="129">
        <f t="shared" si="1"/>
        <v>0</v>
      </c>
      <c r="V11" s="129">
        <f t="shared" si="2"/>
        <v>0</v>
      </c>
      <c r="W11" s="129">
        <f t="shared" si="3"/>
        <v>16143.809851068982</v>
      </c>
      <c r="X11" s="129">
        <f t="shared" si="4"/>
        <v>0</v>
      </c>
      <c r="Z11" s="84">
        <f t="shared" si="5"/>
        <v>0</v>
      </c>
      <c r="AA11" s="84">
        <f t="shared" si="6"/>
        <v>0</v>
      </c>
      <c r="AB11" s="84">
        <f t="shared" si="7"/>
        <v>15</v>
      </c>
      <c r="AC11" s="84">
        <f t="shared" si="8"/>
        <v>0</v>
      </c>
    </row>
    <row r="12" spans="1:29" x14ac:dyDescent="0.25">
      <c r="B12" s="84" t="s">
        <v>79</v>
      </c>
      <c r="D12" s="84">
        <v>3</v>
      </c>
      <c r="F12" s="84" t="s">
        <v>80</v>
      </c>
      <c r="G12" s="84">
        <v>15</v>
      </c>
      <c r="I12" s="130">
        <v>645.83999999999992</v>
      </c>
      <c r="J12" s="130">
        <v>50.590800000000058</v>
      </c>
      <c r="K12" s="130">
        <v>0</v>
      </c>
      <c r="L12" s="129">
        <v>152.20295999999999</v>
      </c>
      <c r="M12" s="130">
        <v>848.63375999999994</v>
      </c>
      <c r="N12" s="130">
        <v>227.6202300712655</v>
      </c>
      <c r="O12" s="130">
        <v>1076.2539900712654</v>
      </c>
      <c r="P12" s="131">
        <v>0.21149304176441971</v>
      </c>
      <c r="Q12" s="132">
        <v>0.80165289506702919</v>
      </c>
      <c r="R12" s="129">
        <f t="shared" si="0"/>
        <v>16143.809851068982</v>
      </c>
      <c r="U12" s="129">
        <f t="shared" si="1"/>
        <v>0</v>
      </c>
      <c r="V12" s="129">
        <f t="shared" si="2"/>
        <v>0</v>
      </c>
      <c r="W12" s="129">
        <f t="shared" si="3"/>
        <v>105985.49043498978</v>
      </c>
      <c r="X12" s="129">
        <f t="shared" si="4"/>
        <v>0</v>
      </c>
      <c r="Z12" s="84">
        <f t="shared" si="5"/>
        <v>0</v>
      </c>
      <c r="AA12" s="84">
        <f t="shared" si="6"/>
        <v>0</v>
      </c>
      <c r="AB12" s="84">
        <f t="shared" si="7"/>
        <v>101</v>
      </c>
      <c r="AC12" s="84">
        <f t="shared" si="8"/>
        <v>0</v>
      </c>
    </row>
    <row r="13" spans="1:29" x14ac:dyDescent="0.25">
      <c r="B13" s="84" t="s">
        <v>77</v>
      </c>
      <c r="C13" s="84" t="s">
        <v>70</v>
      </c>
      <c r="D13" s="84">
        <v>1</v>
      </c>
      <c r="E13" s="84" t="s">
        <v>82</v>
      </c>
      <c r="F13" s="84" t="s">
        <v>67</v>
      </c>
      <c r="G13" s="84">
        <v>101</v>
      </c>
      <c r="H13" s="84">
        <v>116</v>
      </c>
      <c r="I13" s="130">
        <v>644.44067999999993</v>
      </c>
      <c r="J13" s="130">
        <v>43.594200000000001</v>
      </c>
      <c r="K13" s="130">
        <v>0</v>
      </c>
      <c r="L13" s="129">
        <v>139.39379999999997</v>
      </c>
      <c r="M13" s="130">
        <v>827.42867999999987</v>
      </c>
      <c r="N13" s="130">
        <v>221.93261143554258</v>
      </c>
      <c r="O13" s="130">
        <v>1049.3612914355424</v>
      </c>
      <c r="P13" s="131">
        <v>0.21149304176441971</v>
      </c>
      <c r="Q13" s="132">
        <v>0.80165289506702919</v>
      </c>
      <c r="R13" s="129">
        <f t="shared" si="0"/>
        <v>105985.49043498978</v>
      </c>
      <c r="U13" s="129">
        <f t="shared" si="1"/>
        <v>0</v>
      </c>
      <c r="V13" s="129">
        <f t="shared" si="2"/>
        <v>0</v>
      </c>
      <c r="W13" s="129">
        <f t="shared" si="3"/>
        <v>16143.809851068982</v>
      </c>
      <c r="X13" s="129">
        <f t="shared" si="4"/>
        <v>0</v>
      </c>
      <c r="Z13" s="84">
        <f t="shared" si="5"/>
        <v>0</v>
      </c>
      <c r="AA13" s="84">
        <f t="shared" si="6"/>
        <v>0</v>
      </c>
      <c r="AB13" s="84">
        <f t="shared" si="7"/>
        <v>15</v>
      </c>
      <c r="AC13" s="84">
        <f t="shared" si="8"/>
        <v>0</v>
      </c>
    </row>
    <row r="14" spans="1:29" x14ac:dyDescent="0.25">
      <c r="B14" s="84" t="s">
        <v>79</v>
      </c>
      <c r="D14" s="84">
        <v>1</v>
      </c>
      <c r="F14" s="84" t="s">
        <v>80</v>
      </c>
      <c r="G14" s="84">
        <v>15</v>
      </c>
      <c r="I14" s="130">
        <v>645.83999999999992</v>
      </c>
      <c r="J14" s="130">
        <v>50.590800000000058</v>
      </c>
      <c r="K14" s="130">
        <v>0</v>
      </c>
      <c r="L14" s="129">
        <v>152.20295999999999</v>
      </c>
      <c r="M14" s="130">
        <v>848.63375999999994</v>
      </c>
      <c r="N14" s="130">
        <v>227.6202300712655</v>
      </c>
      <c r="O14" s="130">
        <v>1076.2539900712654</v>
      </c>
      <c r="P14" s="131">
        <v>0.21149304176441971</v>
      </c>
      <c r="Q14" s="132">
        <v>0.80165289506702919</v>
      </c>
      <c r="R14" s="129">
        <f t="shared" si="0"/>
        <v>16143.809851068982</v>
      </c>
      <c r="U14" s="129">
        <f t="shared" si="1"/>
        <v>105985.49043498978</v>
      </c>
      <c r="V14" s="129">
        <f t="shared" si="2"/>
        <v>0</v>
      </c>
      <c r="W14" s="129">
        <f t="shared" si="3"/>
        <v>0</v>
      </c>
      <c r="X14" s="129">
        <f t="shared" si="4"/>
        <v>0</v>
      </c>
      <c r="Z14" s="84">
        <f t="shared" si="5"/>
        <v>101</v>
      </c>
      <c r="AA14" s="84">
        <f t="shared" si="6"/>
        <v>0</v>
      </c>
      <c r="AB14" s="84">
        <f t="shared" si="7"/>
        <v>0</v>
      </c>
      <c r="AC14" s="84">
        <f t="shared" si="8"/>
        <v>0</v>
      </c>
    </row>
    <row r="15" spans="1:29" x14ac:dyDescent="0.25">
      <c r="B15" s="84" t="s">
        <v>77</v>
      </c>
      <c r="C15" s="84" t="s">
        <v>70</v>
      </c>
      <c r="D15" s="84">
        <v>1</v>
      </c>
      <c r="E15" s="84" t="s">
        <v>83</v>
      </c>
      <c r="F15" s="84" t="s">
        <v>67</v>
      </c>
      <c r="G15" s="84">
        <v>101</v>
      </c>
      <c r="H15" s="84">
        <v>116</v>
      </c>
      <c r="I15" s="130">
        <v>644.44067999999993</v>
      </c>
      <c r="J15" s="130">
        <v>43.594200000000001</v>
      </c>
      <c r="K15" s="130">
        <v>0</v>
      </c>
      <c r="L15" s="129">
        <v>139.39379999999997</v>
      </c>
      <c r="M15" s="130">
        <v>827.42867999999987</v>
      </c>
      <c r="N15" s="130">
        <v>221.93261143554258</v>
      </c>
      <c r="O15" s="130">
        <v>1049.3612914355424</v>
      </c>
      <c r="P15" s="131">
        <v>0.21149304176441971</v>
      </c>
      <c r="Q15" s="132">
        <v>0.80165289506702919</v>
      </c>
      <c r="R15" s="129">
        <f t="shared" si="0"/>
        <v>105985.49043498978</v>
      </c>
      <c r="U15" s="129">
        <f t="shared" si="1"/>
        <v>16143.809851068982</v>
      </c>
      <c r="V15" s="129">
        <f t="shared" si="2"/>
        <v>0</v>
      </c>
      <c r="W15" s="129">
        <f t="shared" si="3"/>
        <v>0</v>
      </c>
      <c r="X15" s="129">
        <f t="shared" si="4"/>
        <v>0</v>
      </c>
      <c r="Z15" s="84">
        <f t="shared" si="5"/>
        <v>15</v>
      </c>
      <c r="AA15" s="84">
        <f t="shared" si="6"/>
        <v>0</v>
      </c>
      <c r="AB15" s="84">
        <f t="shared" si="7"/>
        <v>0</v>
      </c>
      <c r="AC15" s="84">
        <f t="shared" si="8"/>
        <v>0</v>
      </c>
    </row>
    <row r="16" spans="1:29" x14ac:dyDescent="0.25">
      <c r="B16" s="84" t="s">
        <v>79</v>
      </c>
      <c r="D16" s="84">
        <v>1</v>
      </c>
      <c r="F16" s="84" t="s">
        <v>80</v>
      </c>
      <c r="G16" s="84">
        <v>15</v>
      </c>
      <c r="I16" s="130">
        <v>645.83999999999992</v>
      </c>
      <c r="J16" s="130">
        <v>50.590800000000058</v>
      </c>
      <c r="K16" s="130">
        <v>0</v>
      </c>
      <c r="L16" s="129">
        <v>152.20295999999999</v>
      </c>
      <c r="M16" s="130">
        <v>848.63375999999994</v>
      </c>
      <c r="N16" s="130">
        <v>227.6202300712655</v>
      </c>
      <c r="O16" s="130">
        <v>1076.2539900712654</v>
      </c>
      <c r="P16" s="131">
        <v>0.21149304176441971</v>
      </c>
      <c r="Q16" s="132">
        <v>0.80165289506702919</v>
      </c>
      <c r="R16" s="129">
        <f t="shared" si="0"/>
        <v>16143.809851068982</v>
      </c>
      <c r="U16" s="129">
        <f t="shared" si="1"/>
        <v>105985.49043498978</v>
      </c>
      <c r="V16" s="129">
        <f t="shared" si="2"/>
        <v>0</v>
      </c>
      <c r="W16" s="129">
        <f t="shared" si="3"/>
        <v>0</v>
      </c>
      <c r="X16" s="129">
        <f t="shared" si="4"/>
        <v>0</v>
      </c>
      <c r="Z16" s="84">
        <f t="shared" si="5"/>
        <v>101</v>
      </c>
      <c r="AA16" s="84">
        <f t="shared" si="6"/>
        <v>0</v>
      </c>
      <c r="AB16" s="84">
        <f t="shared" si="7"/>
        <v>0</v>
      </c>
      <c r="AC16" s="84">
        <f t="shared" si="8"/>
        <v>0</v>
      </c>
    </row>
    <row r="17" spans="1:29" x14ac:dyDescent="0.25">
      <c r="A17" s="84">
        <v>3</v>
      </c>
      <c r="B17" s="84" t="s">
        <v>84</v>
      </c>
      <c r="C17" s="84" t="s">
        <v>70</v>
      </c>
      <c r="D17" s="84">
        <v>3</v>
      </c>
      <c r="E17" s="84" t="s">
        <v>85</v>
      </c>
      <c r="F17" s="84" t="s">
        <v>67</v>
      </c>
      <c r="G17" s="84">
        <v>101</v>
      </c>
      <c r="H17" s="84">
        <v>116</v>
      </c>
      <c r="I17" s="130">
        <v>644.11775999999998</v>
      </c>
      <c r="J17" s="130">
        <v>55.111679999999865</v>
      </c>
      <c r="K17" s="130">
        <v>0</v>
      </c>
      <c r="L17" s="129">
        <v>168.67187999999999</v>
      </c>
      <c r="M17" s="130">
        <v>867.90131999999983</v>
      </c>
      <c r="N17" s="130">
        <v>234.52631548616688</v>
      </c>
      <c r="O17" s="130">
        <v>1102.4276354861668</v>
      </c>
      <c r="P17" s="131">
        <v>0.21273624493524385</v>
      </c>
      <c r="Q17" s="132">
        <v>0.80104071825441325</v>
      </c>
      <c r="R17" s="129">
        <f t="shared" si="0"/>
        <v>111345.19118410285</v>
      </c>
      <c r="U17" s="129">
        <f t="shared" si="1"/>
        <v>16143.809851068982</v>
      </c>
      <c r="V17" s="129">
        <f t="shared" si="2"/>
        <v>0</v>
      </c>
      <c r="W17" s="129">
        <f t="shared" si="3"/>
        <v>0</v>
      </c>
      <c r="X17" s="129">
        <f t="shared" si="4"/>
        <v>0</v>
      </c>
      <c r="Z17" s="84">
        <f t="shared" si="5"/>
        <v>15</v>
      </c>
      <c r="AA17" s="84">
        <f t="shared" si="6"/>
        <v>0</v>
      </c>
      <c r="AB17" s="84">
        <f t="shared" si="7"/>
        <v>0</v>
      </c>
      <c r="AC17" s="84">
        <f t="shared" si="8"/>
        <v>0</v>
      </c>
    </row>
    <row r="18" spans="1:29" x14ac:dyDescent="0.25">
      <c r="B18" s="84" t="s">
        <v>86</v>
      </c>
      <c r="D18" s="84">
        <v>3</v>
      </c>
      <c r="F18" s="84" t="s">
        <v>80</v>
      </c>
      <c r="G18" s="84">
        <v>15</v>
      </c>
      <c r="I18" s="130">
        <v>645.62471999999991</v>
      </c>
      <c r="J18" s="130">
        <v>53.604720000000157</v>
      </c>
      <c r="K18" s="130">
        <v>0</v>
      </c>
      <c r="L18" s="129">
        <v>198.05759999999998</v>
      </c>
      <c r="M18" s="130">
        <v>897.28704000000005</v>
      </c>
      <c r="N18" s="130">
        <v>242.46699316540835</v>
      </c>
      <c r="O18" s="130">
        <v>1139.7540331654084</v>
      </c>
      <c r="P18" s="131">
        <v>0.21273624493524385</v>
      </c>
      <c r="Q18" s="132">
        <v>0.80104071825441336</v>
      </c>
      <c r="R18" s="129">
        <f t="shared" si="0"/>
        <v>17096.310497481125</v>
      </c>
      <c r="U18" s="129">
        <f t="shared" si="1"/>
        <v>0</v>
      </c>
      <c r="V18" s="129">
        <f t="shared" si="2"/>
        <v>0</v>
      </c>
      <c r="W18" s="129">
        <f t="shared" si="3"/>
        <v>111345.19118410285</v>
      </c>
      <c r="X18" s="129">
        <f t="shared" si="4"/>
        <v>0</v>
      </c>
      <c r="Z18" s="84">
        <f t="shared" si="5"/>
        <v>0</v>
      </c>
      <c r="AA18" s="84">
        <f t="shared" si="6"/>
        <v>0</v>
      </c>
      <c r="AB18" s="84">
        <f t="shared" si="7"/>
        <v>101</v>
      </c>
      <c r="AC18" s="84">
        <f t="shared" si="8"/>
        <v>0</v>
      </c>
    </row>
    <row r="19" spans="1:29" x14ac:dyDescent="0.25">
      <c r="B19" s="84" t="s">
        <v>84</v>
      </c>
      <c r="C19" s="84" t="s">
        <v>70</v>
      </c>
      <c r="D19" s="84">
        <v>3</v>
      </c>
      <c r="E19" s="84" t="s">
        <v>87</v>
      </c>
      <c r="F19" s="84" t="s">
        <v>67</v>
      </c>
      <c r="G19" s="84">
        <v>101</v>
      </c>
      <c r="H19" s="84">
        <v>116</v>
      </c>
      <c r="I19" s="130">
        <v>644.11775999999998</v>
      </c>
      <c r="J19" s="130">
        <v>55.111679999999865</v>
      </c>
      <c r="K19" s="130">
        <v>0</v>
      </c>
      <c r="L19" s="129">
        <v>168.67187999999999</v>
      </c>
      <c r="M19" s="130">
        <v>867.90131999999983</v>
      </c>
      <c r="N19" s="130">
        <v>234.52631548616688</v>
      </c>
      <c r="O19" s="130">
        <v>1102.4276354861668</v>
      </c>
      <c r="P19" s="131">
        <v>0.21273624493524385</v>
      </c>
      <c r="Q19" s="132">
        <v>0.80104071825441325</v>
      </c>
      <c r="R19" s="129">
        <f t="shared" si="0"/>
        <v>111345.19118410285</v>
      </c>
      <c r="U19" s="129">
        <f t="shared" si="1"/>
        <v>0</v>
      </c>
      <c r="V19" s="129">
        <f t="shared" si="2"/>
        <v>0</v>
      </c>
      <c r="W19" s="129">
        <f t="shared" si="3"/>
        <v>17096.310497481125</v>
      </c>
      <c r="X19" s="129">
        <f t="shared" si="4"/>
        <v>0</v>
      </c>
      <c r="Z19" s="84">
        <f t="shared" si="5"/>
        <v>0</v>
      </c>
      <c r="AA19" s="84">
        <f t="shared" si="6"/>
        <v>0</v>
      </c>
      <c r="AB19" s="84">
        <f t="shared" si="7"/>
        <v>15</v>
      </c>
      <c r="AC19" s="84">
        <f t="shared" si="8"/>
        <v>0</v>
      </c>
    </row>
    <row r="20" spans="1:29" x14ac:dyDescent="0.25">
      <c r="B20" s="84" t="s">
        <v>86</v>
      </c>
      <c r="D20" s="84">
        <v>3</v>
      </c>
      <c r="F20" s="84" t="s">
        <v>80</v>
      </c>
      <c r="G20" s="84">
        <v>15</v>
      </c>
      <c r="I20" s="130">
        <v>645.62471999999991</v>
      </c>
      <c r="J20" s="130">
        <v>53.604720000000157</v>
      </c>
      <c r="K20" s="130">
        <v>0</v>
      </c>
      <c r="L20" s="129">
        <v>198.05759999999998</v>
      </c>
      <c r="M20" s="130">
        <v>897.28704000000005</v>
      </c>
      <c r="N20" s="130">
        <v>242.46699316540835</v>
      </c>
      <c r="O20" s="130">
        <v>1139.7540331654084</v>
      </c>
      <c r="P20" s="131">
        <v>0.21273624493524385</v>
      </c>
      <c r="Q20" s="132">
        <v>0.80104071825441336</v>
      </c>
      <c r="R20" s="129">
        <f t="shared" si="0"/>
        <v>17096.310497481125</v>
      </c>
      <c r="U20" s="129">
        <f t="shared" si="1"/>
        <v>0</v>
      </c>
      <c r="V20" s="129">
        <f t="shared" si="2"/>
        <v>0</v>
      </c>
      <c r="W20" s="129">
        <f t="shared" si="3"/>
        <v>111345.19118410285</v>
      </c>
      <c r="X20" s="129">
        <f t="shared" si="4"/>
        <v>0</v>
      </c>
      <c r="Z20" s="84">
        <f t="shared" si="5"/>
        <v>0</v>
      </c>
      <c r="AA20" s="84">
        <f t="shared" si="6"/>
        <v>0</v>
      </c>
      <c r="AB20" s="84">
        <f t="shared" si="7"/>
        <v>101</v>
      </c>
      <c r="AC20" s="84">
        <f t="shared" si="8"/>
        <v>0</v>
      </c>
    </row>
    <row r="21" spans="1:29" x14ac:dyDescent="0.25">
      <c r="B21" s="84" t="s">
        <v>84</v>
      </c>
      <c r="C21" s="84" t="s">
        <v>70</v>
      </c>
      <c r="D21" s="84">
        <v>4</v>
      </c>
      <c r="E21" s="84" t="s">
        <v>88</v>
      </c>
      <c r="F21" s="84" t="s">
        <v>67</v>
      </c>
      <c r="G21" s="84">
        <v>116</v>
      </c>
      <c r="H21" s="84">
        <v>116</v>
      </c>
      <c r="I21" s="130">
        <v>644.11775999999998</v>
      </c>
      <c r="J21" s="130">
        <v>55.111679999999865</v>
      </c>
      <c r="K21" s="130">
        <v>0</v>
      </c>
      <c r="L21" s="129">
        <v>168.67187999999999</v>
      </c>
      <c r="M21" s="130">
        <v>867.90131999999983</v>
      </c>
      <c r="N21" s="130">
        <v>234.52631548616688</v>
      </c>
      <c r="O21" s="130">
        <v>1102.4276354861668</v>
      </c>
      <c r="P21" s="131">
        <v>0.21273624493524385</v>
      </c>
      <c r="Q21" s="132">
        <v>0.80104071825441325</v>
      </c>
      <c r="R21" s="129">
        <f t="shared" si="0"/>
        <v>127881.60571639534</v>
      </c>
      <c r="U21" s="129">
        <f t="shared" si="1"/>
        <v>0</v>
      </c>
      <c r="V21" s="129">
        <f t="shared" si="2"/>
        <v>0</v>
      </c>
      <c r="W21" s="129">
        <f t="shared" si="3"/>
        <v>17096.310497481125</v>
      </c>
      <c r="X21" s="129">
        <f t="shared" si="4"/>
        <v>0</v>
      </c>
      <c r="Z21" s="84">
        <f t="shared" si="5"/>
        <v>0</v>
      </c>
      <c r="AA21" s="84">
        <f t="shared" si="6"/>
        <v>0</v>
      </c>
      <c r="AB21" s="84">
        <f t="shared" si="7"/>
        <v>15</v>
      </c>
      <c r="AC21" s="84">
        <f t="shared" si="8"/>
        <v>0</v>
      </c>
    </row>
    <row r="22" spans="1:29" x14ac:dyDescent="0.25">
      <c r="B22" s="84" t="s">
        <v>84</v>
      </c>
      <c r="C22" s="84" t="s">
        <v>70</v>
      </c>
      <c r="D22" s="84">
        <v>2</v>
      </c>
      <c r="E22" s="84" t="s">
        <v>89</v>
      </c>
      <c r="F22" s="84" t="s">
        <v>67</v>
      </c>
      <c r="G22" s="84">
        <v>116</v>
      </c>
      <c r="H22" s="84">
        <v>116</v>
      </c>
      <c r="I22" s="130">
        <v>644.11775999999998</v>
      </c>
      <c r="J22" s="130">
        <v>55.111679999999865</v>
      </c>
      <c r="K22" s="130">
        <v>0</v>
      </c>
      <c r="L22" s="129">
        <v>168.67187999999999</v>
      </c>
      <c r="M22" s="130">
        <v>867.90131999999983</v>
      </c>
      <c r="N22" s="130">
        <v>234.52631548616688</v>
      </c>
      <c r="O22" s="130">
        <v>1102.4276354861668</v>
      </c>
      <c r="P22" s="131">
        <v>0.21273624493524385</v>
      </c>
      <c r="Q22" s="132">
        <v>0.80104071825441325</v>
      </c>
      <c r="R22" s="129">
        <f t="shared" si="0"/>
        <v>127881.60571639534</v>
      </c>
      <c r="U22" s="129">
        <f t="shared" si="1"/>
        <v>0</v>
      </c>
      <c r="V22" s="129">
        <f t="shared" si="2"/>
        <v>0</v>
      </c>
      <c r="W22" s="129">
        <f t="shared" si="3"/>
        <v>0</v>
      </c>
      <c r="X22" s="129">
        <f t="shared" si="4"/>
        <v>127881.60571639534</v>
      </c>
      <c r="Z22" s="84">
        <f t="shared" si="5"/>
        <v>0</v>
      </c>
      <c r="AA22" s="84">
        <f t="shared" si="6"/>
        <v>0</v>
      </c>
      <c r="AB22" s="84">
        <f t="shared" si="7"/>
        <v>0</v>
      </c>
      <c r="AC22" s="84">
        <f t="shared" si="8"/>
        <v>116</v>
      </c>
    </row>
    <row r="23" spans="1:29" x14ac:dyDescent="0.25">
      <c r="B23" s="84" t="s">
        <v>84</v>
      </c>
      <c r="C23" s="84" t="s">
        <v>70</v>
      </c>
      <c r="D23" s="84">
        <v>2</v>
      </c>
      <c r="E23" s="84" t="s">
        <v>90</v>
      </c>
      <c r="F23" s="84" t="s">
        <v>67</v>
      </c>
      <c r="G23" s="84">
        <v>116</v>
      </c>
      <c r="H23" s="84">
        <v>116</v>
      </c>
      <c r="I23" s="130">
        <v>644.11775999999998</v>
      </c>
      <c r="J23" s="130">
        <v>55.111679999999865</v>
      </c>
      <c r="K23" s="130">
        <v>0</v>
      </c>
      <c r="L23" s="129">
        <v>168.67187999999999</v>
      </c>
      <c r="M23" s="130">
        <v>867.90131999999983</v>
      </c>
      <c r="N23" s="130">
        <v>234.52631548616688</v>
      </c>
      <c r="O23" s="130">
        <v>1102.4276354861668</v>
      </c>
      <c r="P23" s="131">
        <v>0.21273624493524385</v>
      </c>
      <c r="Q23" s="132">
        <v>0.80104071825441325</v>
      </c>
      <c r="R23" s="129">
        <f t="shared" si="0"/>
        <v>127881.60571639534</v>
      </c>
      <c r="U23" s="129">
        <f t="shared" si="1"/>
        <v>0</v>
      </c>
      <c r="V23" s="129">
        <f t="shared" si="2"/>
        <v>127881.60571639534</v>
      </c>
      <c r="W23" s="129">
        <f t="shared" si="3"/>
        <v>0</v>
      </c>
      <c r="X23" s="129">
        <f t="shared" si="4"/>
        <v>0</v>
      </c>
      <c r="Z23" s="84">
        <f t="shared" si="5"/>
        <v>0</v>
      </c>
      <c r="AA23" s="84">
        <f t="shared" si="6"/>
        <v>116</v>
      </c>
      <c r="AB23" s="84">
        <f t="shared" si="7"/>
        <v>0</v>
      </c>
      <c r="AC23" s="84">
        <f t="shared" si="8"/>
        <v>0</v>
      </c>
    </row>
    <row r="24" spans="1:29" x14ac:dyDescent="0.25">
      <c r="B24" s="84" t="s">
        <v>84</v>
      </c>
      <c r="C24" s="84" t="s">
        <v>70</v>
      </c>
      <c r="D24" s="84">
        <v>1</v>
      </c>
      <c r="E24" s="84" t="s">
        <v>91</v>
      </c>
      <c r="F24" s="84" t="s">
        <v>67</v>
      </c>
      <c r="G24" s="84">
        <v>101</v>
      </c>
      <c r="H24" s="84">
        <v>116</v>
      </c>
      <c r="I24" s="130">
        <v>644.11775999999998</v>
      </c>
      <c r="J24" s="130">
        <v>55.111679999999865</v>
      </c>
      <c r="K24" s="130">
        <v>0</v>
      </c>
      <c r="L24" s="129">
        <v>168.67187999999999</v>
      </c>
      <c r="M24" s="130">
        <v>867.90131999999983</v>
      </c>
      <c r="N24" s="130">
        <v>234.52631548616688</v>
      </c>
      <c r="O24" s="130">
        <v>1102.4276354861668</v>
      </c>
      <c r="P24" s="131">
        <v>0.21273624493524385</v>
      </c>
      <c r="Q24" s="132">
        <v>0.80104071825441325</v>
      </c>
      <c r="R24" s="129">
        <f t="shared" si="0"/>
        <v>111345.19118410285</v>
      </c>
      <c r="U24" s="129">
        <f t="shared" si="1"/>
        <v>0</v>
      </c>
      <c r="V24" s="129">
        <f t="shared" si="2"/>
        <v>127881.60571639534</v>
      </c>
      <c r="W24" s="129">
        <f t="shared" si="3"/>
        <v>0</v>
      </c>
      <c r="X24" s="129">
        <f t="shared" si="4"/>
        <v>0</v>
      </c>
      <c r="Z24" s="84">
        <f t="shared" si="5"/>
        <v>0</v>
      </c>
      <c r="AA24" s="84">
        <f t="shared" si="6"/>
        <v>116</v>
      </c>
      <c r="AB24" s="84">
        <f t="shared" si="7"/>
        <v>0</v>
      </c>
      <c r="AC24" s="84">
        <f t="shared" si="8"/>
        <v>0</v>
      </c>
    </row>
    <row r="25" spans="1:29" x14ac:dyDescent="0.25">
      <c r="B25" s="84" t="s">
        <v>86</v>
      </c>
      <c r="D25" s="84">
        <v>1</v>
      </c>
      <c r="F25" s="84" t="s">
        <v>80</v>
      </c>
      <c r="G25" s="84">
        <v>15</v>
      </c>
      <c r="I25" s="130">
        <v>645.62471999999991</v>
      </c>
      <c r="J25" s="130">
        <v>53.604720000000157</v>
      </c>
      <c r="K25" s="130">
        <v>0</v>
      </c>
      <c r="L25" s="129">
        <v>198.05759999999998</v>
      </c>
      <c r="M25" s="130">
        <v>897.28704000000005</v>
      </c>
      <c r="N25" s="130">
        <v>242.46699316540835</v>
      </c>
      <c r="O25" s="130">
        <v>1139.7540331654084</v>
      </c>
      <c r="P25" s="131">
        <v>0.21273624493524385</v>
      </c>
      <c r="Q25" s="132">
        <v>0.80104071825441336</v>
      </c>
      <c r="R25" s="129">
        <f t="shared" si="0"/>
        <v>17096.310497481125</v>
      </c>
      <c r="U25" s="129">
        <f t="shared" si="1"/>
        <v>111345.19118410285</v>
      </c>
      <c r="V25" s="129">
        <f t="shared" si="2"/>
        <v>0</v>
      </c>
      <c r="W25" s="129">
        <f t="shared" si="3"/>
        <v>0</v>
      </c>
      <c r="X25" s="129">
        <f t="shared" si="4"/>
        <v>0</v>
      </c>
      <c r="Z25" s="84">
        <f t="shared" si="5"/>
        <v>101</v>
      </c>
      <c r="AA25" s="84">
        <f t="shared" si="6"/>
        <v>0</v>
      </c>
      <c r="AB25" s="84">
        <f t="shared" si="7"/>
        <v>0</v>
      </c>
      <c r="AC25" s="84">
        <f t="shared" si="8"/>
        <v>0</v>
      </c>
    </row>
    <row r="26" spans="1:29" x14ac:dyDescent="0.25">
      <c r="B26" s="84" t="s">
        <v>84</v>
      </c>
      <c r="C26" s="84" t="s">
        <v>70</v>
      </c>
      <c r="D26" s="84">
        <v>1</v>
      </c>
      <c r="E26" s="84" t="s">
        <v>92</v>
      </c>
      <c r="F26" s="84" t="s">
        <v>67</v>
      </c>
      <c r="G26" s="84">
        <v>101</v>
      </c>
      <c r="H26" s="84">
        <v>116</v>
      </c>
      <c r="I26" s="130">
        <v>644.11775999999998</v>
      </c>
      <c r="J26" s="130">
        <v>55.111679999999865</v>
      </c>
      <c r="K26" s="130">
        <v>0</v>
      </c>
      <c r="L26" s="129">
        <v>168.67187999999999</v>
      </c>
      <c r="M26" s="130">
        <v>867.90131999999983</v>
      </c>
      <c r="N26" s="130">
        <v>234.52631548616688</v>
      </c>
      <c r="O26" s="130">
        <v>1102.4276354861668</v>
      </c>
      <c r="P26" s="131">
        <v>0.21273624493524385</v>
      </c>
      <c r="Q26" s="132">
        <v>0.80104071825441325</v>
      </c>
      <c r="R26" s="129">
        <f t="shared" si="0"/>
        <v>111345.19118410285</v>
      </c>
      <c r="U26" s="129">
        <f t="shared" si="1"/>
        <v>17096.310497481125</v>
      </c>
      <c r="V26" s="129">
        <f t="shared" si="2"/>
        <v>0</v>
      </c>
      <c r="W26" s="129">
        <f t="shared" si="3"/>
        <v>0</v>
      </c>
      <c r="X26" s="129">
        <f t="shared" si="4"/>
        <v>0</v>
      </c>
      <c r="Z26" s="84">
        <f t="shared" si="5"/>
        <v>15</v>
      </c>
      <c r="AA26" s="84">
        <f t="shared" si="6"/>
        <v>0</v>
      </c>
      <c r="AB26" s="84">
        <f t="shared" si="7"/>
        <v>0</v>
      </c>
      <c r="AC26" s="84">
        <f t="shared" si="8"/>
        <v>0</v>
      </c>
    </row>
    <row r="27" spans="1:29" x14ac:dyDescent="0.25">
      <c r="B27" s="84" t="s">
        <v>86</v>
      </c>
      <c r="D27" s="84">
        <v>1</v>
      </c>
      <c r="F27" s="84" t="s">
        <v>80</v>
      </c>
      <c r="G27" s="84">
        <v>15</v>
      </c>
      <c r="I27" s="130">
        <v>645.62471999999991</v>
      </c>
      <c r="J27" s="130">
        <v>53.604720000000157</v>
      </c>
      <c r="K27" s="130">
        <v>0</v>
      </c>
      <c r="L27" s="129">
        <v>198.05759999999998</v>
      </c>
      <c r="M27" s="130">
        <v>897.28704000000005</v>
      </c>
      <c r="N27" s="130">
        <v>242.46699316540835</v>
      </c>
      <c r="O27" s="130">
        <v>1139.7540331654084</v>
      </c>
      <c r="P27" s="131">
        <v>0.21273624493524385</v>
      </c>
      <c r="Q27" s="132">
        <v>0.80104071825441336</v>
      </c>
      <c r="R27" s="129">
        <f t="shared" si="0"/>
        <v>17096.310497481125</v>
      </c>
      <c r="U27" s="129">
        <f t="shared" si="1"/>
        <v>111345.19118410285</v>
      </c>
      <c r="V27" s="129">
        <f t="shared" si="2"/>
        <v>0</v>
      </c>
      <c r="W27" s="129">
        <f t="shared" si="3"/>
        <v>0</v>
      </c>
      <c r="X27" s="129">
        <f t="shared" si="4"/>
        <v>0</v>
      </c>
      <c r="Z27" s="84">
        <f t="shared" si="5"/>
        <v>101</v>
      </c>
      <c r="AA27" s="84">
        <f t="shared" si="6"/>
        <v>0</v>
      </c>
      <c r="AB27" s="84">
        <f t="shared" si="7"/>
        <v>0</v>
      </c>
      <c r="AC27" s="84">
        <f t="shared" si="8"/>
        <v>0</v>
      </c>
    </row>
    <row r="28" spans="1:29" x14ac:dyDescent="0.25">
      <c r="B28" s="84" t="s">
        <v>84</v>
      </c>
      <c r="C28" s="84" t="s">
        <v>68</v>
      </c>
      <c r="D28" s="84">
        <v>4</v>
      </c>
      <c r="E28" s="84" t="s">
        <v>93</v>
      </c>
      <c r="F28" s="84" t="s">
        <v>67</v>
      </c>
      <c r="G28" s="84">
        <v>176</v>
      </c>
      <c r="H28" s="84">
        <v>176</v>
      </c>
      <c r="I28" s="130">
        <v>644.11775999999998</v>
      </c>
      <c r="J28" s="130">
        <v>55.111679999999865</v>
      </c>
      <c r="K28" s="130">
        <v>0</v>
      </c>
      <c r="L28" s="129">
        <v>168.67187999999999</v>
      </c>
      <c r="M28" s="130">
        <v>867.90131999999983</v>
      </c>
      <c r="N28" s="130">
        <v>234.52631548616688</v>
      </c>
      <c r="O28" s="130">
        <v>1102.4276354861668</v>
      </c>
      <c r="P28" s="131">
        <v>0.21273624493524385</v>
      </c>
      <c r="Q28" s="132">
        <v>0.80104071825441325</v>
      </c>
      <c r="R28" s="129">
        <f t="shared" si="0"/>
        <v>194027.26384556535</v>
      </c>
      <c r="U28" s="129">
        <f t="shared" si="1"/>
        <v>17096.310497481125</v>
      </c>
      <c r="V28" s="129">
        <f t="shared" si="2"/>
        <v>0</v>
      </c>
      <c r="W28" s="129">
        <f t="shared" si="3"/>
        <v>0</v>
      </c>
      <c r="X28" s="129">
        <f t="shared" si="4"/>
        <v>0</v>
      </c>
      <c r="Z28" s="84">
        <f t="shared" si="5"/>
        <v>15</v>
      </c>
      <c r="AA28" s="84">
        <f t="shared" si="6"/>
        <v>0</v>
      </c>
      <c r="AB28" s="84">
        <f t="shared" si="7"/>
        <v>0</v>
      </c>
      <c r="AC28" s="84">
        <f t="shared" si="8"/>
        <v>0</v>
      </c>
    </row>
    <row r="29" spans="1:29" x14ac:dyDescent="0.25">
      <c r="B29" s="84" t="s">
        <v>84</v>
      </c>
      <c r="C29" s="84" t="s">
        <v>68</v>
      </c>
      <c r="D29" s="84">
        <v>4</v>
      </c>
      <c r="E29" s="84" t="s">
        <v>94</v>
      </c>
      <c r="F29" s="84" t="s">
        <v>67</v>
      </c>
      <c r="G29" s="84">
        <v>176</v>
      </c>
      <c r="H29" s="84">
        <v>176</v>
      </c>
      <c r="I29" s="130">
        <v>644.11775999999998</v>
      </c>
      <c r="J29" s="130">
        <v>55.111679999999865</v>
      </c>
      <c r="K29" s="130">
        <v>0</v>
      </c>
      <c r="L29" s="129">
        <v>168.67187999999999</v>
      </c>
      <c r="M29" s="130">
        <v>867.90131999999983</v>
      </c>
      <c r="N29" s="130">
        <v>234.52631548616688</v>
      </c>
      <c r="O29" s="130">
        <v>1102.4276354861668</v>
      </c>
      <c r="P29" s="131">
        <v>0.21273624493524385</v>
      </c>
      <c r="Q29" s="132">
        <v>0.80104071825441325</v>
      </c>
      <c r="R29" s="129">
        <f t="shared" si="0"/>
        <v>194027.26384556535</v>
      </c>
      <c r="U29" s="129">
        <f t="shared" si="1"/>
        <v>0</v>
      </c>
      <c r="V29" s="129">
        <f t="shared" si="2"/>
        <v>0</v>
      </c>
      <c r="W29" s="129">
        <f t="shared" si="3"/>
        <v>0</v>
      </c>
      <c r="X29" s="129">
        <f t="shared" si="4"/>
        <v>194027.26384556535</v>
      </c>
      <c r="Z29" s="84">
        <f t="shared" si="5"/>
        <v>0</v>
      </c>
      <c r="AA29" s="84">
        <f t="shared" si="6"/>
        <v>0</v>
      </c>
      <c r="AB29" s="84">
        <f t="shared" si="7"/>
        <v>0</v>
      </c>
      <c r="AC29" s="84">
        <f t="shared" si="8"/>
        <v>176</v>
      </c>
    </row>
    <row r="30" spans="1:29" x14ac:dyDescent="0.25">
      <c r="B30" s="84" t="s">
        <v>84</v>
      </c>
      <c r="C30" s="84" t="s">
        <v>68</v>
      </c>
      <c r="D30" s="84">
        <v>2</v>
      </c>
      <c r="E30" s="84" t="s">
        <v>95</v>
      </c>
      <c r="F30" s="84" t="s">
        <v>67</v>
      </c>
      <c r="G30" s="84">
        <v>176</v>
      </c>
      <c r="H30" s="84">
        <v>176</v>
      </c>
      <c r="I30" s="130">
        <v>644.11775999999998</v>
      </c>
      <c r="J30" s="130">
        <v>55.111679999999865</v>
      </c>
      <c r="K30" s="130">
        <v>0</v>
      </c>
      <c r="L30" s="129">
        <v>168.67187999999999</v>
      </c>
      <c r="M30" s="130">
        <v>867.90131999999983</v>
      </c>
      <c r="N30" s="130">
        <v>234.52631548616688</v>
      </c>
      <c r="O30" s="130">
        <v>1102.4276354861668</v>
      </c>
      <c r="P30" s="131">
        <v>0.21273624493524385</v>
      </c>
      <c r="Q30" s="132">
        <v>0.80104071825441325</v>
      </c>
      <c r="R30" s="129">
        <f t="shared" si="0"/>
        <v>194027.26384556535</v>
      </c>
      <c r="U30" s="129">
        <f t="shared" si="1"/>
        <v>0</v>
      </c>
      <c r="V30" s="129">
        <f t="shared" si="2"/>
        <v>0</v>
      </c>
      <c r="W30" s="129">
        <f t="shared" si="3"/>
        <v>0</v>
      </c>
      <c r="X30" s="129">
        <f t="shared" si="4"/>
        <v>194027.26384556535</v>
      </c>
      <c r="Z30" s="84">
        <f t="shared" si="5"/>
        <v>0</v>
      </c>
      <c r="AA30" s="84">
        <f t="shared" si="6"/>
        <v>0</v>
      </c>
      <c r="AB30" s="84">
        <f t="shared" si="7"/>
        <v>0</v>
      </c>
      <c r="AC30" s="84">
        <f t="shared" si="8"/>
        <v>176</v>
      </c>
    </row>
    <row r="31" spans="1:29" x14ac:dyDescent="0.25">
      <c r="B31" s="84" t="s">
        <v>84</v>
      </c>
      <c r="C31" s="84" t="s">
        <v>68</v>
      </c>
      <c r="D31" s="84">
        <v>2</v>
      </c>
      <c r="E31" s="84" t="s">
        <v>96</v>
      </c>
      <c r="F31" s="84" t="s">
        <v>67</v>
      </c>
      <c r="G31" s="84">
        <v>176</v>
      </c>
      <c r="H31" s="84">
        <v>176</v>
      </c>
      <c r="I31" s="130">
        <v>644.11775999999998</v>
      </c>
      <c r="J31" s="130">
        <v>55.111679999999865</v>
      </c>
      <c r="K31" s="130">
        <v>0</v>
      </c>
      <c r="L31" s="129">
        <v>168.67187999999999</v>
      </c>
      <c r="M31" s="130">
        <v>867.90131999999983</v>
      </c>
      <c r="N31" s="130">
        <v>234.52631548616688</v>
      </c>
      <c r="O31" s="130">
        <v>1102.4276354861668</v>
      </c>
      <c r="P31" s="131">
        <v>0.21273624493524385</v>
      </c>
      <c r="Q31" s="132">
        <v>0.80104071825441325</v>
      </c>
      <c r="R31" s="129">
        <f t="shared" si="0"/>
        <v>194027.26384556535</v>
      </c>
      <c r="U31" s="129">
        <f t="shared" si="1"/>
        <v>0</v>
      </c>
      <c r="V31" s="129">
        <f t="shared" si="2"/>
        <v>194027.26384556535</v>
      </c>
      <c r="W31" s="129">
        <f t="shared" si="3"/>
        <v>0</v>
      </c>
      <c r="X31" s="129">
        <f t="shared" si="4"/>
        <v>0</v>
      </c>
      <c r="Z31" s="84">
        <f t="shared" si="5"/>
        <v>0</v>
      </c>
      <c r="AA31" s="84">
        <f t="shared" si="6"/>
        <v>176</v>
      </c>
      <c r="AB31" s="84">
        <f t="shared" si="7"/>
        <v>0</v>
      </c>
      <c r="AC31" s="84">
        <f t="shared" si="8"/>
        <v>0</v>
      </c>
    </row>
    <row r="32" spans="1:29" x14ac:dyDescent="0.25">
      <c r="B32" s="84" t="s">
        <v>84</v>
      </c>
      <c r="C32" s="84" t="s">
        <v>97</v>
      </c>
      <c r="D32" s="84">
        <v>4</v>
      </c>
      <c r="E32" s="84" t="s">
        <v>98</v>
      </c>
      <c r="F32" s="84" t="s">
        <v>67</v>
      </c>
      <c r="G32" s="84">
        <v>146</v>
      </c>
      <c r="H32" s="84">
        <v>146</v>
      </c>
      <c r="I32" s="130">
        <v>644.11775999999998</v>
      </c>
      <c r="J32" s="130">
        <v>55.111679999999865</v>
      </c>
      <c r="K32" s="130">
        <v>0</v>
      </c>
      <c r="L32" s="129">
        <v>168.67187999999999</v>
      </c>
      <c r="M32" s="130">
        <v>867.90131999999983</v>
      </c>
      <c r="N32" s="130">
        <v>234.52631548616688</v>
      </c>
      <c r="O32" s="130">
        <v>1102.4276354861668</v>
      </c>
      <c r="P32" s="131">
        <v>0.21273624493524385</v>
      </c>
      <c r="Q32" s="132">
        <v>0.80104071825441325</v>
      </c>
      <c r="R32" s="129">
        <f t="shared" si="0"/>
        <v>160954.43478098034</v>
      </c>
      <c r="U32" s="129">
        <f t="shared" si="1"/>
        <v>0</v>
      </c>
      <c r="V32" s="129">
        <f t="shared" si="2"/>
        <v>194027.26384556535</v>
      </c>
      <c r="W32" s="129">
        <f t="shared" si="3"/>
        <v>0</v>
      </c>
      <c r="X32" s="129">
        <f t="shared" si="4"/>
        <v>0</v>
      </c>
      <c r="Z32" s="84">
        <f t="shared" si="5"/>
        <v>0</v>
      </c>
      <c r="AA32" s="84">
        <f t="shared" si="6"/>
        <v>176</v>
      </c>
      <c r="AB32" s="84">
        <f t="shared" si="7"/>
        <v>0</v>
      </c>
      <c r="AC32" s="84">
        <f t="shared" si="8"/>
        <v>0</v>
      </c>
    </row>
    <row r="33" spans="1:29" x14ac:dyDescent="0.25">
      <c r="A33" s="84">
        <v>4</v>
      </c>
      <c r="B33" s="84" t="s">
        <v>99</v>
      </c>
      <c r="C33" s="84" t="s">
        <v>100</v>
      </c>
      <c r="D33" s="84">
        <v>4</v>
      </c>
      <c r="E33" s="84" t="s">
        <v>101</v>
      </c>
      <c r="F33" s="84" t="s">
        <v>102</v>
      </c>
      <c r="G33" s="84">
        <v>28</v>
      </c>
      <c r="H33" s="84">
        <v>56</v>
      </c>
      <c r="I33" s="130">
        <v>1012.4618399999999</v>
      </c>
      <c r="J33" s="130">
        <v>61.247159999999894</v>
      </c>
      <c r="K33" s="130">
        <v>0</v>
      </c>
      <c r="L33" s="129">
        <v>197.08883999999998</v>
      </c>
      <c r="M33" s="130">
        <v>1270.7978399999997</v>
      </c>
      <c r="N33" s="130">
        <v>309.35567803553488</v>
      </c>
      <c r="O33" s="130">
        <v>1580.1535180355345</v>
      </c>
      <c r="P33" s="131">
        <v>0.1957757107171014</v>
      </c>
      <c r="Q33" s="132">
        <v>0.81636254150688903</v>
      </c>
      <c r="R33" s="129">
        <f t="shared" si="0"/>
        <v>44244.298504994964</v>
      </c>
      <c r="U33" s="129">
        <f t="shared" si="1"/>
        <v>0</v>
      </c>
      <c r="V33" s="129">
        <f t="shared" si="2"/>
        <v>0</v>
      </c>
      <c r="W33" s="129">
        <f t="shared" si="3"/>
        <v>0</v>
      </c>
      <c r="X33" s="129">
        <f t="shared" si="4"/>
        <v>160954.43478098034</v>
      </c>
      <c r="Z33" s="84">
        <f t="shared" si="5"/>
        <v>0</v>
      </c>
      <c r="AA33" s="84">
        <f t="shared" si="6"/>
        <v>0</v>
      </c>
      <c r="AB33" s="84">
        <f t="shared" si="7"/>
        <v>0</v>
      </c>
      <c r="AC33" s="84">
        <f t="shared" si="8"/>
        <v>146</v>
      </c>
    </row>
    <row r="34" spans="1:29" s="133" customFormat="1" ht="15.75" thickBot="1" x14ac:dyDescent="0.3">
      <c r="A34" s="84"/>
      <c r="B34" s="84" t="s">
        <v>103</v>
      </c>
      <c r="C34" s="84"/>
      <c r="D34" s="84">
        <v>4</v>
      </c>
      <c r="E34" s="84"/>
      <c r="F34" s="84" t="s">
        <v>104</v>
      </c>
      <c r="G34" s="84">
        <v>28</v>
      </c>
      <c r="H34" s="84"/>
      <c r="I34" s="130">
        <v>1167.5710799999999</v>
      </c>
      <c r="J34" s="130">
        <v>65.768040000000155</v>
      </c>
      <c r="K34" s="130">
        <v>0</v>
      </c>
      <c r="L34" s="129">
        <v>277.49592000000001</v>
      </c>
      <c r="M34" s="130">
        <v>1510.8350400000002</v>
      </c>
      <c r="N34" s="130">
        <v>367.78894603648729</v>
      </c>
      <c r="O34" s="130">
        <v>1878.6239860364874</v>
      </c>
      <c r="P34" s="131">
        <v>0.1957757107171014</v>
      </c>
      <c r="Q34" s="132">
        <v>0.81636254150688903</v>
      </c>
      <c r="R34" s="129">
        <f t="shared" si="0"/>
        <v>52601.471609021646</v>
      </c>
      <c r="U34" s="134">
        <f>SUM(U4:U33)</f>
        <v>810266.97978473268</v>
      </c>
      <c r="V34" s="134">
        <f t="shared" ref="V34:X34" si="9">SUM(V4:V33)</f>
        <v>643817.73912392138</v>
      </c>
      <c r="W34" s="134">
        <f t="shared" si="9"/>
        <v>851642.0719667729</v>
      </c>
      <c r="X34" s="134">
        <f t="shared" si="9"/>
        <v>676890.56818850641</v>
      </c>
      <c r="Z34" s="133">
        <f>SUM(Z4:Z33)</f>
        <v>902</v>
      </c>
      <c r="AA34" s="133">
        <f t="shared" ref="AA34:AC34" si="10">SUM(AA4:AA33)</f>
        <v>584</v>
      </c>
      <c r="AB34" s="133">
        <f t="shared" si="10"/>
        <v>932</v>
      </c>
      <c r="AC34" s="133">
        <f t="shared" si="10"/>
        <v>614</v>
      </c>
    </row>
    <row r="35" spans="1:29" ht="15.75" thickTop="1" x14ac:dyDescent="0.25">
      <c r="B35" s="84" t="s">
        <v>99</v>
      </c>
      <c r="C35" s="84" t="s">
        <v>100</v>
      </c>
      <c r="D35" s="84">
        <v>4</v>
      </c>
      <c r="E35" s="84" t="s">
        <v>105</v>
      </c>
      <c r="F35" s="84" t="s">
        <v>102</v>
      </c>
      <c r="G35" s="84">
        <v>28</v>
      </c>
      <c r="H35" s="84">
        <v>56</v>
      </c>
      <c r="I35" s="130">
        <v>1012.4618399999999</v>
      </c>
      <c r="J35" s="130">
        <v>61.247159999999894</v>
      </c>
      <c r="K35" s="130">
        <v>0</v>
      </c>
      <c r="L35" s="129">
        <v>197.08883999999998</v>
      </c>
      <c r="M35" s="130">
        <v>1270.7978399999997</v>
      </c>
      <c r="N35" s="130">
        <v>309.35567803553488</v>
      </c>
      <c r="O35" s="130">
        <v>1580.1535180355345</v>
      </c>
      <c r="P35" s="131">
        <v>0.1957757107171014</v>
      </c>
      <c r="Q35" s="132">
        <v>0.81636254150688903</v>
      </c>
      <c r="R35" s="129">
        <f t="shared" si="0"/>
        <v>44244.298504994964</v>
      </c>
      <c r="U35" s="129">
        <f t="shared" ref="U35:X42" si="11">IF($D33=U$3,$R33,0)</f>
        <v>0</v>
      </c>
      <c r="V35" s="129">
        <f t="shared" si="11"/>
        <v>0</v>
      </c>
      <c r="W35" s="129">
        <f t="shared" si="11"/>
        <v>0</v>
      </c>
      <c r="X35" s="129">
        <f t="shared" si="11"/>
        <v>44244.298504994964</v>
      </c>
      <c r="Z35" s="84">
        <f t="shared" ref="Z35:AC42" si="12">IF($D33=Z$3,$G33,0)</f>
        <v>0</v>
      </c>
      <c r="AA35" s="84">
        <f t="shared" si="12"/>
        <v>0</v>
      </c>
      <c r="AB35" s="84">
        <f t="shared" si="12"/>
        <v>0</v>
      </c>
      <c r="AC35" s="84">
        <f t="shared" si="12"/>
        <v>28</v>
      </c>
    </row>
    <row r="36" spans="1:29" x14ac:dyDescent="0.25">
      <c r="B36" s="84" t="s">
        <v>103</v>
      </c>
      <c r="D36" s="84">
        <v>4</v>
      </c>
      <c r="F36" s="84" t="s">
        <v>104</v>
      </c>
      <c r="G36" s="84">
        <v>28</v>
      </c>
      <c r="I36" s="130">
        <v>1167.5710799999999</v>
      </c>
      <c r="J36" s="130">
        <v>65.768040000000155</v>
      </c>
      <c r="K36" s="130">
        <v>0</v>
      </c>
      <c r="L36" s="129">
        <v>277.49592000000001</v>
      </c>
      <c r="M36" s="130">
        <v>1510.8350400000002</v>
      </c>
      <c r="N36" s="130">
        <v>367.78894603648729</v>
      </c>
      <c r="O36" s="130">
        <v>1878.6239860364874</v>
      </c>
      <c r="P36" s="131">
        <v>0.1957757107171014</v>
      </c>
      <c r="Q36" s="132">
        <v>0.81636254150688903</v>
      </c>
      <c r="R36" s="129">
        <f t="shared" si="0"/>
        <v>52601.471609021646</v>
      </c>
      <c r="U36" s="129">
        <f t="shared" si="11"/>
        <v>0</v>
      </c>
      <c r="V36" s="129">
        <f t="shared" si="11"/>
        <v>0</v>
      </c>
      <c r="W36" s="129">
        <f t="shared" si="11"/>
        <v>0</v>
      </c>
      <c r="X36" s="129">
        <f t="shared" si="11"/>
        <v>52601.471609021646</v>
      </c>
      <c r="Z36" s="84">
        <f t="shared" si="12"/>
        <v>0</v>
      </c>
      <c r="AA36" s="84">
        <f t="shared" si="12"/>
        <v>0</v>
      </c>
      <c r="AB36" s="84">
        <f t="shared" si="12"/>
        <v>0</v>
      </c>
      <c r="AC36" s="84">
        <f t="shared" si="12"/>
        <v>28</v>
      </c>
    </row>
    <row r="37" spans="1:29" x14ac:dyDescent="0.25">
      <c r="B37" s="84" t="s">
        <v>99</v>
      </c>
      <c r="C37" s="84" t="s">
        <v>100</v>
      </c>
      <c r="D37" s="84">
        <v>2</v>
      </c>
      <c r="E37" s="84" t="s">
        <v>106</v>
      </c>
      <c r="F37" s="84" t="s">
        <v>102</v>
      </c>
      <c r="G37" s="84">
        <v>28</v>
      </c>
      <c r="H37" s="84">
        <v>56</v>
      </c>
      <c r="I37" s="130">
        <v>1012.4618399999999</v>
      </c>
      <c r="J37" s="130">
        <v>61.247159999999894</v>
      </c>
      <c r="K37" s="130">
        <v>0</v>
      </c>
      <c r="L37" s="129">
        <v>197.08883999999998</v>
      </c>
      <c r="M37" s="130">
        <v>1270.7978399999997</v>
      </c>
      <c r="N37" s="130">
        <v>309.35567803553488</v>
      </c>
      <c r="O37" s="130">
        <v>1580.1535180355345</v>
      </c>
      <c r="P37" s="131">
        <v>0.1957757107171014</v>
      </c>
      <c r="Q37" s="132">
        <v>0.81636254150688903</v>
      </c>
      <c r="R37" s="129">
        <f t="shared" si="0"/>
        <v>44244.298504994964</v>
      </c>
      <c r="U37" s="129">
        <f t="shared" si="11"/>
        <v>0</v>
      </c>
      <c r="V37" s="129">
        <f t="shared" si="11"/>
        <v>0</v>
      </c>
      <c r="W37" s="129">
        <f t="shared" si="11"/>
        <v>0</v>
      </c>
      <c r="X37" s="129">
        <f t="shared" si="11"/>
        <v>44244.298504994964</v>
      </c>
      <c r="Z37" s="84">
        <f t="shared" si="12"/>
        <v>0</v>
      </c>
      <c r="AA37" s="84">
        <f t="shared" si="12"/>
        <v>0</v>
      </c>
      <c r="AB37" s="84">
        <f t="shared" si="12"/>
        <v>0</v>
      </c>
      <c r="AC37" s="84">
        <f t="shared" si="12"/>
        <v>28</v>
      </c>
    </row>
    <row r="38" spans="1:29" x14ac:dyDescent="0.25">
      <c r="B38" s="84" t="s">
        <v>103</v>
      </c>
      <c r="D38" s="84">
        <v>2</v>
      </c>
      <c r="F38" s="84" t="s">
        <v>104</v>
      </c>
      <c r="G38" s="84">
        <v>28</v>
      </c>
      <c r="I38" s="130">
        <v>1167.5710799999999</v>
      </c>
      <c r="J38" s="130">
        <v>65.768040000000155</v>
      </c>
      <c r="K38" s="130">
        <v>0</v>
      </c>
      <c r="L38" s="129">
        <v>277.49592000000001</v>
      </c>
      <c r="M38" s="130">
        <v>1510.8350400000002</v>
      </c>
      <c r="N38" s="130">
        <v>367.78894603648729</v>
      </c>
      <c r="O38" s="130">
        <v>1878.6239860364874</v>
      </c>
      <c r="P38" s="131">
        <v>0.1957757107171014</v>
      </c>
      <c r="Q38" s="132">
        <v>0.81636254150688903</v>
      </c>
      <c r="R38" s="129">
        <f t="shared" si="0"/>
        <v>52601.471609021646</v>
      </c>
      <c r="U38" s="129">
        <f t="shared" si="11"/>
        <v>0</v>
      </c>
      <c r="V38" s="129">
        <f t="shared" si="11"/>
        <v>0</v>
      </c>
      <c r="W38" s="129">
        <f t="shared" si="11"/>
        <v>0</v>
      </c>
      <c r="X38" s="129">
        <f t="shared" si="11"/>
        <v>52601.471609021646</v>
      </c>
      <c r="Z38" s="84">
        <f t="shared" si="12"/>
        <v>0</v>
      </c>
      <c r="AA38" s="84">
        <f t="shared" si="12"/>
        <v>0</v>
      </c>
      <c r="AB38" s="84">
        <f t="shared" si="12"/>
        <v>0</v>
      </c>
      <c r="AC38" s="84">
        <f t="shared" si="12"/>
        <v>28</v>
      </c>
    </row>
    <row r="39" spans="1:29" x14ac:dyDescent="0.25">
      <c r="B39" s="84" t="s">
        <v>99</v>
      </c>
      <c r="C39" s="84" t="s">
        <v>100</v>
      </c>
      <c r="D39" s="84">
        <v>2</v>
      </c>
      <c r="E39" s="84" t="s">
        <v>107</v>
      </c>
      <c r="F39" s="84" t="s">
        <v>108</v>
      </c>
      <c r="G39" s="84">
        <v>28</v>
      </c>
      <c r="H39" s="84">
        <v>56</v>
      </c>
      <c r="I39" s="130">
        <v>1012.4618399999999</v>
      </c>
      <c r="J39" s="130">
        <v>61.247159999999894</v>
      </c>
      <c r="K39" s="130">
        <v>0</v>
      </c>
      <c r="L39" s="129">
        <v>197.08883999999998</v>
      </c>
      <c r="M39" s="130">
        <v>1270.7978399999997</v>
      </c>
      <c r="N39" s="130">
        <v>309.35567803553488</v>
      </c>
      <c r="O39" s="130">
        <v>1580.1535180355345</v>
      </c>
      <c r="P39" s="131">
        <v>0.1957757107171014</v>
      </c>
      <c r="Q39" s="132">
        <v>0.81636254150688903</v>
      </c>
      <c r="R39" s="129">
        <f t="shared" si="0"/>
        <v>44244.298504994964</v>
      </c>
      <c r="U39" s="129">
        <f t="shared" si="11"/>
        <v>0</v>
      </c>
      <c r="V39" s="129">
        <f t="shared" si="11"/>
        <v>44244.298504994964</v>
      </c>
      <c r="W39" s="129">
        <f t="shared" si="11"/>
        <v>0</v>
      </c>
      <c r="X39" s="129">
        <f t="shared" si="11"/>
        <v>0</v>
      </c>
      <c r="Z39" s="84">
        <f t="shared" si="12"/>
        <v>0</v>
      </c>
      <c r="AA39" s="84">
        <f t="shared" si="12"/>
        <v>28</v>
      </c>
      <c r="AB39" s="84">
        <f t="shared" si="12"/>
        <v>0</v>
      </c>
      <c r="AC39" s="84">
        <f t="shared" si="12"/>
        <v>0</v>
      </c>
    </row>
    <row r="40" spans="1:29" x14ac:dyDescent="0.25">
      <c r="B40" s="84" t="s">
        <v>103</v>
      </c>
      <c r="D40" s="84">
        <v>2</v>
      </c>
      <c r="F40" s="84" t="s">
        <v>104</v>
      </c>
      <c r="G40" s="84">
        <v>28</v>
      </c>
      <c r="I40" s="130">
        <v>1167.5710799999999</v>
      </c>
      <c r="J40" s="130">
        <v>65.768040000000155</v>
      </c>
      <c r="K40" s="130">
        <v>0</v>
      </c>
      <c r="L40" s="129">
        <v>277.49592000000001</v>
      </c>
      <c r="M40" s="130">
        <v>1510.8350400000002</v>
      </c>
      <c r="N40" s="130">
        <v>367.78894603648729</v>
      </c>
      <c r="O40" s="130">
        <v>1878.6239860364874</v>
      </c>
      <c r="P40" s="131">
        <v>0.1957757107171014</v>
      </c>
      <c r="Q40" s="132">
        <v>0.81636254150688903</v>
      </c>
      <c r="R40" s="129">
        <f t="shared" si="0"/>
        <v>52601.471609021646</v>
      </c>
      <c r="U40" s="129">
        <f t="shared" si="11"/>
        <v>0</v>
      </c>
      <c r="V40" s="129">
        <f t="shared" si="11"/>
        <v>52601.471609021646</v>
      </c>
      <c r="W40" s="129">
        <f t="shared" si="11"/>
        <v>0</v>
      </c>
      <c r="X40" s="129">
        <f t="shared" si="11"/>
        <v>0</v>
      </c>
      <c r="Z40" s="84">
        <f t="shared" si="12"/>
        <v>0</v>
      </c>
      <c r="AA40" s="84">
        <f t="shared" si="12"/>
        <v>28</v>
      </c>
      <c r="AB40" s="84">
        <f t="shared" si="12"/>
        <v>0</v>
      </c>
      <c r="AC40" s="84">
        <f t="shared" si="12"/>
        <v>0</v>
      </c>
    </row>
    <row r="41" spans="1:29" ht="15.75" thickBot="1" x14ac:dyDescent="0.3">
      <c r="A41" s="133" t="s">
        <v>109</v>
      </c>
      <c r="B41" s="133"/>
      <c r="C41" s="133"/>
      <c r="D41" s="133"/>
      <c r="E41" s="133"/>
      <c r="F41" s="133"/>
      <c r="G41" s="133">
        <f>SUM(G33:G40)</f>
        <v>224</v>
      </c>
      <c r="H41" s="133">
        <f>SUM(H33:H40)</f>
        <v>224</v>
      </c>
      <c r="I41" s="133"/>
      <c r="J41" s="133"/>
      <c r="K41" s="133"/>
      <c r="L41" s="134"/>
      <c r="M41" s="133"/>
      <c r="N41" s="135"/>
      <c r="O41" s="135"/>
      <c r="P41" s="133"/>
      <c r="Q41" s="133"/>
      <c r="R41" s="134">
        <f>SUM(R3:R40)</f>
        <v>3370000.43952</v>
      </c>
      <c r="U41" s="129">
        <f t="shared" si="11"/>
        <v>0</v>
      </c>
      <c r="V41" s="129">
        <f t="shared" si="11"/>
        <v>44244.298504994964</v>
      </c>
      <c r="W41" s="129">
        <f t="shared" si="11"/>
        <v>0</v>
      </c>
      <c r="X41" s="129">
        <f t="shared" si="11"/>
        <v>0</v>
      </c>
      <c r="Z41" s="84">
        <f t="shared" si="12"/>
        <v>0</v>
      </c>
      <c r="AA41" s="84">
        <f t="shared" si="12"/>
        <v>28</v>
      </c>
      <c r="AB41" s="84">
        <f t="shared" si="12"/>
        <v>0</v>
      </c>
      <c r="AC41" s="84">
        <f t="shared" si="12"/>
        <v>0</v>
      </c>
    </row>
    <row r="42" spans="1:29" ht="60.75" thickTop="1" x14ac:dyDescent="0.25">
      <c r="L42" s="129" t="s">
        <v>110</v>
      </c>
      <c r="R42" s="129">
        <f t="shared" si="0"/>
        <v>0</v>
      </c>
      <c r="U42" s="129">
        <f t="shared" si="11"/>
        <v>0</v>
      </c>
      <c r="V42" s="129">
        <f t="shared" si="11"/>
        <v>52601.471609021646</v>
      </c>
      <c r="W42" s="129">
        <f t="shared" si="11"/>
        <v>0</v>
      </c>
      <c r="X42" s="129">
        <f t="shared" si="11"/>
        <v>0</v>
      </c>
      <c r="Z42" s="84">
        <f t="shared" si="12"/>
        <v>0</v>
      </c>
      <c r="AA42" s="84">
        <f t="shared" si="12"/>
        <v>28</v>
      </c>
      <c r="AB42" s="84">
        <f t="shared" si="12"/>
        <v>0</v>
      </c>
      <c r="AC42" s="84">
        <f t="shared" si="12"/>
        <v>0</v>
      </c>
    </row>
    <row r="43" spans="1:29" ht="15.75" thickBot="1" x14ac:dyDescent="0.3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4"/>
      <c r="M43" s="133"/>
      <c r="N43" s="133"/>
      <c r="O43" s="133"/>
      <c r="P43" s="133"/>
      <c r="Q43" s="133"/>
      <c r="R43" s="134" t="e">
        <f>#REF!+R41</f>
        <v>#REF!</v>
      </c>
      <c r="S43" s="136">
        <f t="shared" ref="S43:X43" si="13">SUM(S35:S42)</f>
        <v>0</v>
      </c>
      <c r="T43" s="136">
        <f t="shared" si="13"/>
        <v>0</v>
      </c>
      <c r="U43" s="134">
        <f t="shared" si="13"/>
        <v>0</v>
      </c>
      <c r="V43" s="134">
        <f t="shared" si="13"/>
        <v>193691.54022803321</v>
      </c>
      <c r="W43" s="134">
        <f t="shared" si="13"/>
        <v>0</v>
      </c>
      <c r="X43" s="134">
        <f t="shared" si="13"/>
        <v>193691.54022803321</v>
      </c>
      <c r="Z43" s="137">
        <f>SUM(Z35:Z42)</f>
        <v>0</v>
      </c>
      <c r="AA43" s="137">
        <f t="shared" ref="AA43:AC43" si="14">SUM(AA35:AA42)</f>
        <v>112</v>
      </c>
      <c r="AB43" s="137">
        <f t="shared" si="14"/>
        <v>0</v>
      </c>
      <c r="AC43" s="137">
        <f t="shared" si="14"/>
        <v>112</v>
      </c>
    </row>
    <row r="44" spans="1:29" ht="15.75" thickTop="1" x14ac:dyDescent="0.25"/>
    <row r="45" spans="1:29" ht="15.75" thickBot="1" x14ac:dyDescent="0.3">
      <c r="A45" s="200" t="s">
        <v>111</v>
      </c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S45" s="136">
        <f t="shared" ref="S45:T45" si="15">S34+S43</f>
        <v>0</v>
      </c>
      <c r="T45" s="136">
        <f t="shared" si="15"/>
        <v>0</v>
      </c>
      <c r="U45" s="134"/>
      <c r="V45" s="134"/>
      <c r="W45" s="134"/>
      <c r="X45" s="134"/>
    </row>
    <row r="46" spans="1:29" ht="15.75" thickTop="1" x14ac:dyDescent="0.25">
      <c r="A46" s="84" t="s">
        <v>112</v>
      </c>
    </row>
    <row r="47" spans="1:29" ht="30" x14ac:dyDescent="0.25">
      <c r="A47" s="138" t="s">
        <v>113</v>
      </c>
      <c r="B47" s="138" t="s">
        <v>114</v>
      </c>
      <c r="C47" s="138" t="s">
        <v>115</v>
      </c>
      <c r="D47" s="138"/>
      <c r="E47" s="138" t="s">
        <v>116</v>
      </c>
      <c r="F47" s="138"/>
      <c r="G47" s="138"/>
      <c r="H47" s="138"/>
      <c r="I47" s="138"/>
      <c r="J47" s="138"/>
      <c r="K47" s="138"/>
      <c r="L47" s="139"/>
    </row>
    <row r="48" spans="1:29" ht="30" x14ac:dyDescent="0.25">
      <c r="A48" s="138"/>
      <c r="B48" s="138"/>
      <c r="C48" s="138"/>
      <c r="D48" s="138"/>
      <c r="E48" s="138" t="s">
        <v>117</v>
      </c>
      <c r="F48" s="138" t="s">
        <v>118</v>
      </c>
      <c r="G48" s="138" t="s">
        <v>119</v>
      </c>
      <c r="H48" s="138" t="s">
        <v>120</v>
      </c>
      <c r="I48" s="138" t="s">
        <v>121</v>
      </c>
      <c r="J48" s="138" t="s">
        <v>122</v>
      </c>
      <c r="K48" s="138" t="s">
        <v>123</v>
      </c>
      <c r="L48" s="139" t="s">
        <v>124</v>
      </c>
    </row>
    <row r="49" spans="1:19" ht="30" x14ac:dyDescent="0.25">
      <c r="A49" s="84" t="s">
        <v>125</v>
      </c>
      <c r="B49" s="84" t="s">
        <v>126</v>
      </c>
      <c r="C49" s="84">
        <v>78</v>
      </c>
      <c r="E49" s="84" t="s">
        <v>127</v>
      </c>
      <c r="F49" s="84">
        <v>321.62831999999997</v>
      </c>
      <c r="G49" s="84">
        <v>355.10436000000004</v>
      </c>
      <c r="H49" s="84">
        <v>18.40644</v>
      </c>
      <c r="I49" s="84">
        <v>373.51080000000002</v>
      </c>
      <c r="J49" s="84">
        <v>136.30119244542558</v>
      </c>
      <c r="K49" s="84">
        <v>509.81199244542563</v>
      </c>
      <c r="L49" s="129">
        <f>K49*C49</f>
        <v>39765.335410743202</v>
      </c>
      <c r="O49" s="138"/>
      <c r="P49" s="140" t="s">
        <v>16</v>
      </c>
      <c r="Q49" s="140" t="s">
        <v>17</v>
      </c>
      <c r="R49" s="141" t="s">
        <v>128</v>
      </c>
    </row>
    <row r="50" spans="1:19" ht="30" x14ac:dyDescent="0.25">
      <c r="A50" s="84" t="s">
        <v>125</v>
      </c>
      <c r="B50" s="84" t="s">
        <v>130</v>
      </c>
      <c r="C50" s="84">
        <v>87</v>
      </c>
      <c r="E50" s="84" t="s">
        <v>127</v>
      </c>
      <c r="F50" s="84">
        <v>321.62831999999997</v>
      </c>
      <c r="G50" s="84">
        <v>355.10436000000004</v>
      </c>
      <c r="H50" s="84">
        <v>18.40644</v>
      </c>
      <c r="I50" s="84">
        <v>373.51080000000002</v>
      </c>
      <c r="J50" s="84">
        <v>136.30119244542558</v>
      </c>
      <c r="K50" s="84">
        <v>509.81199244542563</v>
      </c>
      <c r="L50" s="129">
        <f t="shared" ref="L50:L63" si="16">K50*C50</f>
        <v>44353.643342752031</v>
      </c>
      <c r="O50" s="69" t="s">
        <v>55</v>
      </c>
      <c r="P50" s="69">
        <v>336</v>
      </c>
      <c r="Q50" s="69">
        <v>120</v>
      </c>
      <c r="R50" s="142">
        <f>P50*$N$64</f>
        <v>171296.82946166297</v>
      </c>
    </row>
    <row r="51" spans="1:19" ht="30" x14ac:dyDescent="0.25">
      <c r="A51" s="84" t="s">
        <v>125</v>
      </c>
      <c r="B51" s="84" t="s">
        <v>131</v>
      </c>
      <c r="C51" s="84">
        <v>87</v>
      </c>
      <c r="E51" s="84" t="s">
        <v>127</v>
      </c>
      <c r="F51" s="84">
        <v>321.62831999999997</v>
      </c>
      <c r="G51" s="84">
        <v>355.10436000000004</v>
      </c>
      <c r="H51" s="84">
        <v>18.40644</v>
      </c>
      <c r="I51" s="84">
        <v>373.51080000000002</v>
      </c>
      <c r="J51" s="84">
        <v>136.30119244542558</v>
      </c>
      <c r="K51" s="84">
        <v>509.81199244542563</v>
      </c>
      <c r="L51" s="129">
        <f t="shared" si="16"/>
        <v>44353.643342752031</v>
      </c>
      <c r="O51" s="69" t="s">
        <v>56</v>
      </c>
      <c r="P51" s="69">
        <v>240</v>
      </c>
      <c r="Q51" s="69">
        <v>202</v>
      </c>
      <c r="R51" s="142">
        <f t="shared" ref="R51:R53" si="17">P51*$N$64</f>
        <v>122354.87818690212</v>
      </c>
      <c r="S51" s="140" t="s">
        <v>129</v>
      </c>
    </row>
    <row r="52" spans="1:19" ht="30" x14ac:dyDescent="0.25">
      <c r="A52" s="84" t="s">
        <v>125</v>
      </c>
      <c r="B52" s="84" t="s">
        <v>132</v>
      </c>
      <c r="C52" s="84">
        <v>87</v>
      </c>
      <c r="E52" s="84" t="s">
        <v>127</v>
      </c>
      <c r="F52" s="84">
        <v>321.62831999999997</v>
      </c>
      <c r="G52" s="84">
        <v>355.10436000000004</v>
      </c>
      <c r="H52" s="84">
        <v>18.40644</v>
      </c>
      <c r="I52" s="84">
        <v>373.51080000000002</v>
      </c>
      <c r="J52" s="84">
        <v>136.30119244542558</v>
      </c>
      <c r="K52" s="84">
        <v>509.81199244542563</v>
      </c>
      <c r="L52" s="129">
        <f t="shared" si="16"/>
        <v>44353.643342752031</v>
      </c>
      <c r="O52" s="69" t="s">
        <v>133</v>
      </c>
      <c r="P52" s="69">
        <v>480</v>
      </c>
      <c r="Q52" s="69">
        <v>0</v>
      </c>
      <c r="R52" s="142">
        <f t="shared" si="17"/>
        <v>244709.75637380424</v>
      </c>
      <c r="S52" s="142">
        <f>Q50*$N$84</f>
        <v>90454.76222263166</v>
      </c>
    </row>
    <row r="53" spans="1:19" ht="30" x14ac:dyDescent="0.25">
      <c r="A53" s="84" t="s">
        <v>125</v>
      </c>
      <c r="B53" s="84" t="s">
        <v>134</v>
      </c>
      <c r="C53" s="84">
        <v>87</v>
      </c>
      <c r="E53" s="84" t="s">
        <v>127</v>
      </c>
      <c r="F53" s="84">
        <v>321.62831999999997</v>
      </c>
      <c r="G53" s="84">
        <v>355.10436000000004</v>
      </c>
      <c r="H53" s="84">
        <v>18.40644</v>
      </c>
      <c r="I53" s="84">
        <v>373.51080000000002</v>
      </c>
      <c r="J53" s="84">
        <v>136.30119244542558</v>
      </c>
      <c r="K53" s="84">
        <v>509.81199244542563</v>
      </c>
      <c r="L53" s="129">
        <f t="shared" si="16"/>
        <v>44353.643342752031</v>
      </c>
      <c r="O53" s="69" t="s">
        <v>58</v>
      </c>
      <c r="P53" s="69">
        <v>240</v>
      </c>
      <c r="Q53" s="69">
        <v>0</v>
      </c>
      <c r="R53" s="142">
        <f t="shared" si="17"/>
        <v>122354.87818690212</v>
      </c>
      <c r="S53" s="142">
        <f t="shared" ref="S53:S55" si="18">Q51*$N$84</f>
        <v>152265.51640809665</v>
      </c>
    </row>
    <row r="54" spans="1:19" ht="30" x14ac:dyDescent="0.25">
      <c r="A54" s="84" t="s">
        <v>125</v>
      </c>
      <c r="B54" s="84" t="s">
        <v>135</v>
      </c>
      <c r="C54" s="84">
        <v>87</v>
      </c>
      <c r="E54" s="84" t="s">
        <v>127</v>
      </c>
      <c r="F54" s="84">
        <v>321.62831999999997</v>
      </c>
      <c r="G54" s="84">
        <v>355.10436000000004</v>
      </c>
      <c r="H54" s="84">
        <v>18.40644</v>
      </c>
      <c r="I54" s="84">
        <v>373.51080000000002</v>
      </c>
      <c r="J54" s="84">
        <v>136.30119244542558</v>
      </c>
      <c r="K54" s="84">
        <v>509.81199244542563</v>
      </c>
      <c r="L54" s="129">
        <f t="shared" si="16"/>
        <v>44353.643342752031</v>
      </c>
      <c r="S54" s="142">
        <f t="shared" si="18"/>
        <v>0</v>
      </c>
    </row>
    <row r="55" spans="1:19" ht="30" x14ac:dyDescent="0.25">
      <c r="A55" s="84" t="s">
        <v>125</v>
      </c>
      <c r="B55" s="84" t="s">
        <v>136</v>
      </c>
      <c r="C55" s="84">
        <v>87</v>
      </c>
      <c r="E55" s="84" t="s">
        <v>127</v>
      </c>
      <c r="F55" s="84">
        <v>321.62831999999997</v>
      </c>
      <c r="G55" s="84">
        <v>355.10436000000004</v>
      </c>
      <c r="H55" s="84">
        <v>18.40644</v>
      </c>
      <c r="I55" s="84">
        <v>373.51080000000002</v>
      </c>
      <c r="J55" s="84">
        <v>136.30119244542558</v>
      </c>
      <c r="K55" s="84">
        <v>509.81199244542563</v>
      </c>
      <c r="L55" s="129">
        <f t="shared" si="16"/>
        <v>44353.643342752031</v>
      </c>
      <c r="S55" s="142">
        <f t="shared" si="18"/>
        <v>0</v>
      </c>
    </row>
    <row r="56" spans="1:19" ht="30" x14ac:dyDescent="0.25">
      <c r="A56" s="84" t="s">
        <v>125</v>
      </c>
      <c r="B56" s="84" t="s">
        <v>137</v>
      </c>
      <c r="C56" s="84">
        <v>87</v>
      </c>
      <c r="E56" s="84" t="s">
        <v>127</v>
      </c>
      <c r="F56" s="84">
        <v>321.62831999999997</v>
      </c>
      <c r="G56" s="84">
        <v>355.10436000000004</v>
      </c>
      <c r="H56" s="84">
        <v>18.40644</v>
      </c>
      <c r="I56" s="84">
        <v>373.51080000000002</v>
      </c>
      <c r="J56" s="84">
        <v>136.30119244542558</v>
      </c>
      <c r="K56" s="84">
        <v>509.81199244542563</v>
      </c>
      <c r="L56" s="129">
        <f t="shared" si="16"/>
        <v>44353.643342752031</v>
      </c>
    </row>
    <row r="57" spans="1:19" ht="30" x14ac:dyDescent="0.25">
      <c r="A57" s="84" t="s">
        <v>125</v>
      </c>
      <c r="B57" s="84" t="s">
        <v>138</v>
      </c>
      <c r="C57" s="84">
        <v>87</v>
      </c>
      <c r="E57" s="84" t="s">
        <v>127</v>
      </c>
      <c r="F57" s="84">
        <v>321.62831999999997</v>
      </c>
      <c r="G57" s="84">
        <v>355.10436000000004</v>
      </c>
      <c r="H57" s="84">
        <v>18.40644</v>
      </c>
      <c r="I57" s="84">
        <v>373.51080000000002</v>
      </c>
      <c r="J57" s="84">
        <v>136.30119244542558</v>
      </c>
      <c r="K57" s="84">
        <v>509.81199244542563</v>
      </c>
      <c r="L57" s="129">
        <f t="shared" si="16"/>
        <v>44353.643342752031</v>
      </c>
    </row>
    <row r="58" spans="1:19" ht="30" x14ac:dyDescent="0.25">
      <c r="A58" s="84" t="s">
        <v>125</v>
      </c>
      <c r="B58" s="84" t="s">
        <v>139</v>
      </c>
      <c r="C58" s="84">
        <v>87</v>
      </c>
      <c r="E58" s="84" t="s">
        <v>127</v>
      </c>
      <c r="F58" s="84">
        <v>321.62831999999997</v>
      </c>
      <c r="G58" s="84">
        <v>355.10436000000004</v>
      </c>
      <c r="H58" s="84">
        <v>18.40644</v>
      </c>
      <c r="I58" s="84">
        <v>373.51080000000002</v>
      </c>
      <c r="J58" s="84">
        <v>136.30119244542558</v>
      </c>
      <c r="K58" s="84">
        <v>509.81199244542563</v>
      </c>
      <c r="L58" s="129">
        <f t="shared" si="16"/>
        <v>44353.643342752031</v>
      </c>
    </row>
    <row r="59" spans="1:19" ht="30" x14ac:dyDescent="0.25">
      <c r="A59" s="84" t="s">
        <v>125</v>
      </c>
      <c r="B59" s="84" t="s">
        <v>140</v>
      </c>
      <c r="C59" s="84">
        <v>87</v>
      </c>
      <c r="E59" s="84" t="s">
        <v>127</v>
      </c>
      <c r="F59" s="84">
        <v>321.62831999999997</v>
      </c>
      <c r="G59" s="84">
        <v>355.10436000000004</v>
      </c>
      <c r="H59" s="84">
        <v>18.40644</v>
      </c>
      <c r="I59" s="84">
        <v>373.51080000000002</v>
      </c>
      <c r="J59" s="84">
        <v>136.30119244542558</v>
      </c>
      <c r="K59" s="84">
        <v>509.81199244542563</v>
      </c>
      <c r="L59" s="129">
        <f t="shared" si="16"/>
        <v>44353.643342752031</v>
      </c>
    </row>
    <row r="60" spans="1:19" ht="30" x14ac:dyDescent="0.25">
      <c r="A60" s="84" t="s">
        <v>125</v>
      </c>
      <c r="B60" s="84" t="s">
        <v>141</v>
      </c>
      <c r="C60" s="84">
        <v>87</v>
      </c>
      <c r="E60" s="84" t="s">
        <v>127</v>
      </c>
      <c r="F60" s="84">
        <v>321.62831999999997</v>
      </c>
      <c r="G60" s="84">
        <v>355.10436000000004</v>
      </c>
      <c r="H60" s="84">
        <v>18.40644</v>
      </c>
      <c r="I60" s="84">
        <v>373.51080000000002</v>
      </c>
      <c r="J60" s="84">
        <v>136.30119244542558</v>
      </c>
      <c r="K60" s="84">
        <v>509.81199244542563</v>
      </c>
      <c r="L60" s="129">
        <f t="shared" si="16"/>
        <v>44353.643342752031</v>
      </c>
    </row>
    <row r="61" spans="1:19" ht="30" x14ac:dyDescent="0.25">
      <c r="A61" s="84" t="s">
        <v>125</v>
      </c>
      <c r="B61" s="84" t="s">
        <v>142</v>
      </c>
      <c r="C61" s="84">
        <v>87</v>
      </c>
      <c r="E61" s="84" t="s">
        <v>127</v>
      </c>
      <c r="F61" s="84">
        <v>321.62831999999997</v>
      </c>
      <c r="G61" s="84">
        <v>355.10436000000004</v>
      </c>
      <c r="H61" s="84">
        <v>18.40644</v>
      </c>
      <c r="I61" s="84">
        <v>373.51080000000002</v>
      </c>
      <c r="J61" s="84">
        <v>136.30119244542558</v>
      </c>
      <c r="K61" s="84">
        <v>509.81199244542563</v>
      </c>
      <c r="L61" s="129">
        <f t="shared" si="16"/>
        <v>44353.643342752031</v>
      </c>
    </row>
    <row r="62" spans="1:19" ht="30" x14ac:dyDescent="0.25">
      <c r="A62" s="84" t="s">
        <v>125</v>
      </c>
      <c r="B62" s="84" t="s">
        <v>143</v>
      </c>
      <c r="C62" s="84">
        <v>87</v>
      </c>
      <c r="E62" s="84" t="s">
        <v>127</v>
      </c>
      <c r="F62" s="84">
        <v>321.62831999999997</v>
      </c>
      <c r="G62" s="84">
        <v>355.10436000000004</v>
      </c>
      <c r="H62" s="84">
        <v>18.40644</v>
      </c>
      <c r="I62" s="84">
        <v>373.51080000000002</v>
      </c>
      <c r="J62" s="84">
        <v>136.30119244542558</v>
      </c>
      <c r="K62" s="84">
        <v>509.81199244542563</v>
      </c>
      <c r="L62" s="129">
        <f t="shared" si="16"/>
        <v>44353.643342752031</v>
      </c>
    </row>
    <row r="63" spans="1:19" ht="30" x14ac:dyDescent="0.25">
      <c r="A63" s="84" t="s">
        <v>125</v>
      </c>
      <c r="B63" s="84" t="s">
        <v>144</v>
      </c>
      <c r="C63" s="84">
        <v>87</v>
      </c>
      <c r="E63" s="84" t="s">
        <v>127</v>
      </c>
      <c r="F63" s="84">
        <v>321.62831999999997</v>
      </c>
      <c r="G63" s="84">
        <v>355.10436000000004</v>
      </c>
      <c r="H63" s="84">
        <v>18.40644</v>
      </c>
      <c r="I63" s="84">
        <v>373.51080000000002</v>
      </c>
      <c r="J63" s="84">
        <v>136.30119244542558</v>
      </c>
      <c r="K63" s="84">
        <v>509.81199244542563</v>
      </c>
      <c r="L63" s="129">
        <f t="shared" si="16"/>
        <v>44353.643342752031</v>
      </c>
    </row>
    <row r="64" spans="1:19" ht="60.75" thickBot="1" x14ac:dyDescent="0.3">
      <c r="A64" s="133"/>
      <c r="B64" s="133"/>
      <c r="C64" s="133">
        <v>1296</v>
      </c>
      <c r="D64" s="133"/>
      <c r="E64" s="133"/>
      <c r="F64" s="133"/>
      <c r="G64" s="133"/>
      <c r="H64" s="133"/>
      <c r="I64" s="133">
        <v>484069.99680000002</v>
      </c>
      <c r="J64" s="133"/>
      <c r="K64" s="133"/>
      <c r="L64" s="134">
        <f>SUM(L49:L63)</f>
        <v>660716.3422092715</v>
      </c>
      <c r="N64" s="143">
        <f>L64/C64</f>
        <v>509.81199244542552</v>
      </c>
      <c r="O64" s="144" t="s">
        <v>145</v>
      </c>
    </row>
    <row r="65" spans="1:12" ht="15.75" thickTop="1" x14ac:dyDescent="0.25"/>
    <row r="66" spans="1:12" x14ac:dyDescent="0.25">
      <c r="A66" s="201" t="s">
        <v>146</v>
      </c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</row>
    <row r="67" spans="1:12" ht="30" x14ac:dyDescent="0.25">
      <c r="A67" s="84" t="s">
        <v>113</v>
      </c>
      <c r="B67" s="84" t="s">
        <v>114</v>
      </c>
      <c r="C67" s="84" t="s">
        <v>115</v>
      </c>
      <c r="E67" s="84" t="s">
        <v>116</v>
      </c>
    </row>
    <row r="68" spans="1:12" ht="30" x14ac:dyDescent="0.25">
      <c r="E68" s="84" t="s">
        <v>117</v>
      </c>
      <c r="F68" s="84" t="s">
        <v>118</v>
      </c>
      <c r="G68" s="84" t="s">
        <v>119</v>
      </c>
      <c r="H68" s="84" t="s">
        <v>120</v>
      </c>
      <c r="I68" s="84" t="s">
        <v>121</v>
      </c>
      <c r="J68" s="84" t="s">
        <v>122</v>
      </c>
      <c r="K68" s="84" t="s">
        <v>123</v>
      </c>
      <c r="L68" s="129" t="s">
        <v>147</v>
      </c>
    </row>
    <row r="69" spans="1:12" x14ac:dyDescent="0.25">
      <c r="A69" s="84" t="s">
        <v>148</v>
      </c>
      <c r="B69" s="84" t="s">
        <v>126</v>
      </c>
      <c r="C69" s="84">
        <v>14</v>
      </c>
      <c r="E69" s="84" t="s">
        <v>149</v>
      </c>
      <c r="F69" s="130">
        <v>486.96335999999997</v>
      </c>
      <c r="G69" s="130">
        <v>532.60271999999998</v>
      </c>
      <c r="H69" s="130">
        <v>63.507599999999996</v>
      </c>
      <c r="I69" s="130">
        <v>596.11032</v>
      </c>
      <c r="J69" s="145">
        <v>157.67936518859756</v>
      </c>
      <c r="K69" s="130">
        <v>753.78968518859756</v>
      </c>
      <c r="L69" s="129">
        <f>K69*C69</f>
        <v>10553.055592640365</v>
      </c>
    </row>
    <row r="70" spans="1:12" x14ac:dyDescent="0.25">
      <c r="A70" s="84" t="s">
        <v>148</v>
      </c>
      <c r="B70" s="84" t="s">
        <v>130</v>
      </c>
      <c r="C70" s="84">
        <v>22</v>
      </c>
      <c r="E70" s="84" t="s">
        <v>149</v>
      </c>
      <c r="F70" s="130">
        <v>486.96335999999997</v>
      </c>
      <c r="G70" s="130">
        <v>538.52292</v>
      </c>
      <c r="H70" s="130">
        <v>63.507599999999996</v>
      </c>
      <c r="I70" s="130">
        <v>596.11032</v>
      </c>
      <c r="J70" s="145">
        <v>157.67936518859756</v>
      </c>
      <c r="K70" s="130">
        <v>753.78968518859756</v>
      </c>
      <c r="L70" s="129">
        <f t="shared" ref="L70:L83" si="19">K70*C70</f>
        <v>16583.373074149145</v>
      </c>
    </row>
    <row r="71" spans="1:12" x14ac:dyDescent="0.25">
      <c r="A71" s="84" t="s">
        <v>148</v>
      </c>
      <c r="B71" s="84" t="s">
        <v>131</v>
      </c>
      <c r="C71" s="84">
        <v>22</v>
      </c>
      <c r="E71" s="84" t="s">
        <v>149</v>
      </c>
      <c r="F71" s="130">
        <v>486.96335999999997</v>
      </c>
      <c r="G71" s="130">
        <v>538.52292</v>
      </c>
      <c r="H71" s="130">
        <v>63.507599999999996</v>
      </c>
      <c r="I71" s="130">
        <v>596.11032</v>
      </c>
      <c r="J71" s="145">
        <v>157.67936518859756</v>
      </c>
      <c r="K71" s="130">
        <v>753.78968518859756</v>
      </c>
      <c r="L71" s="129">
        <f t="shared" si="19"/>
        <v>16583.373074149145</v>
      </c>
    </row>
    <row r="72" spans="1:12" x14ac:dyDescent="0.25">
      <c r="A72" s="84" t="s">
        <v>148</v>
      </c>
      <c r="B72" s="84" t="s">
        <v>132</v>
      </c>
      <c r="C72" s="84">
        <v>22</v>
      </c>
      <c r="E72" s="84" t="s">
        <v>149</v>
      </c>
      <c r="F72" s="130">
        <v>486.96335999999997</v>
      </c>
      <c r="G72" s="130">
        <v>538.52292</v>
      </c>
      <c r="H72" s="130">
        <v>63.507599999999996</v>
      </c>
      <c r="I72" s="130">
        <v>596.11032</v>
      </c>
      <c r="J72" s="145">
        <v>157.67936518859756</v>
      </c>
      <c r="K72" s="130">
        <v>753.78968518859756</v>
      </c>
      <c r="L72" s="129">
        <f t="shared" si="19"/>
        <v>16583.373074149145</v>
      </c>
    </row>
    <row r="73" spans="1:12" x14ac:dyDescent="0.25">
      <c r="A73" s="84" t="s">
        <v>148</v>
      </c>
      <c r="B73" s="84" t="s">
        <v>134</v>
      </c>
      <c r="C73" s="84">
        <v>22</v>
      </c>
      <c r="E73" s="84" t="s">
        <v>149</v>
      </c>
      <c r="F73" s="130">
        <v>486.96335999999997</v>
      </c>
      <c r="G73" s="130">
        <v>538.52292</v>
      </c>
      <c r="H73" s="130">
        <v>63.507599999999996</v>
      </c>
      <c r="I73" s="130">
        <v>596.11032</v>
      </c>
      <c r="J73" s="145">
        <v>157.67936518859756</v>
      </c>
      <c r="K73" s="130">
        <v>753.78968518859756</v>
      </c>
      <c r="L73" s="129">
        <f t="shared" si="19"/>
        <v>16583.373074149145</v>
      </c>
    </row>
    <row r="74" spans="1:12" x14ac:dyDescent="0.25">
      <c r="A74" s="84" t="s">
        <v>148</v>
      </c>
      <c r="B74" s="84" t="s">
        <v>135</v>
      </c>
      <c r="C74" s="84">
        <v>22</v>
      </c>
      <c r="E74" s="84" t="s">
        <v>149</v>
      </c>
      <c r="F74" s="130">
        <v>486.96335999999997</v>
      </c>
      <c r="G74" s="130">
        <v>538.52292</v>
      </c>
      <c r="H74" s="130">
        <v>63.507599999999996</v>
      </c>
      <c r="I74" s="130">
        <v>596.11032</v>
      </c>
      <c r="J74" s="145">
        <v>157.67936518859756</v>
      </c>
      <c r="K74" s="130">
        <v>753.78968518859756</v>
      </c>
      <c r="L74" s="129">
        <f t="shared" si="19"/>
        <v>16583.373074149145</v>
      </c>
    </row>
    <row r="75" spans="1:12" x14ac:dyDescent="0.25">
      <c r="A75" s="84" t="s">
        <v>148</v>
      </c>
      <c r="B75" s="84" t="s">
        <v>136</v>
      </c>
      <c r="C75" s="84">
        <v>22</v>
      </c>
      <c r="E75" s="84" t="s">
        <v>149</v>
      </c>
      <c r="F75" s="130">
        <v>486.96335999999997</v>
      </c>
      <c r="G75" s="130">
        <v>538.52292</v>
      </c>
      <c r="H75" s="130">
        <v>63.507599999999996</v>
      </c>
      <c r="I75" s="130">
        <v>596.11032</v>
      </c>
      <c r="J75" s="145">
        <v>157.67936518859756</v>
      </c>
      <c r="K75" s="130">
        <v>753.78968518859756</v>
      </c>
      <c r="L75" s="129">
        <f t="shared" si="19"/>
        <v>16583.373074149145</v>
      </c>
    </row>
    <row r="76" spans="1:12" x14ac:dyDescent="0.25">
      <c r="A76" s="84" t="s">
        <v>148</v>
      </c>
      <c r="B76" s="84" t="s">
        <v>137</v>
      </c>
      <c r="C76" s="84">
        <v>22</v>
      </c>
      <c r="E76" s="84" t="s">
        <v>149</v>
      </c>
      <c r="F76" s="130">
        <v>486.96335999999997</v>
      </c>
      <c r="G76" s="130">
        <v>538.52292</v>
      </c>
      <c r="H76" s="130">
        <v>63.507599999999996</v>
      </c>
      <c r="I76" s="130">
        <v>596.11032</v>
      </c>
      <c r="J76" s="145">
        <v>157.67936518859756</v>
      </c>
      <c r="K76" s="130">
        <v>753.78968518859756</v>
      </c>
      <c r="L76" s="129">
        <f t="shared" si="19"/>
        <v>16583.373074149145</v>
      </c>
    </row>
    <row r="77" spans="1:12" x14ac:dyDescent="0.25">
      <c r="A77" s="84" t="s">
        <v>148</v>
      </c>
      <c r="B77" s="84" t="s">
        <v>138</v>
      </c>
      <c r="C77" s="84">
        <v>22</v>
      </c>
      <c r="E77" s="84" t="s">
        <v>149</v>
      </c>
      <c r="F77" s="130">
        <v>486.96335999999997</v>
      </c>
      <c r="G77" s="130">
        <v>538.52292</v>
      </c>
      <c r="H77" s="130">
        <v>63.507599999999996</v>
      </c>
      <c r="I77" s="130">
        <v>596.11032</v>
      </c>
      <c r="J77" s="145">
        <v>157.67936518859756</v>
      </c>
      <c r="K77" s="130">
        <v>753.78968518859756</v>
      </c>
      <c r="L77" s="129">
        <f t="shared" si="19"/>
        <v>16583.373074149145</v>
      </c>
    </row>
    <row r="78" spans="1:12" x14ac:dyDescent="0.25">
      <c r="A78" s="84" t="s">
        <v>148</v>
      </c>
      <c r="B78" s="84" t="s">
        <v>139</v>
      </c>
      <c r="C78" s="84">
        <v>22</v>
      </c>
      <c r="E78" s="84" t="s">
        <v>149</v>
      </c>
      <c r="F78" s="130">
        <v>486.96335999999997</v>
      </c>
      <c r="G78" s="130">
        <v>538.52292</v>
      </c>
      <c r="H78" s="130">
        <v>63.507599999999996</v>
      </c>
      <c r="I78" s="130">
        <v>596.11032</v>
      </c>
      <c r="J78" s="145">
        <v>157.67936518859756</v>
      </c>
      <c r="K78" s="130">
        <v>753.78968518859756</v>
      </c>
      <c r="L78" s="129">
        <f t="shared" si="19"/>
        <v>16583.373074149145</v>
      </c>
    </row>
    <row r="79" spans="1:12" x14ac:dyDescent="0.25">
      <c r="A79" s="84" t="s">
        <v>148</v>
      </c>
      <c r="B79" s="84" t="s">
        <v>140</v>
      </c>
      <c r="C79" s="84">
        <v>22</v>
      </c>
      <c r="E79" s="84" t="s">
        <v>149</v>
      </c>
      <c r="F79" s="130">
        <v>486.96335999999997</v>
      </c>
      <c r="G79" s="130">
        <v>538.52292</v>
      </c>
      <c r="H79" s="130">
        <v>63.507599999999996</v>
      </c>
      <c r="I79" s="130">
        <v>596.11032</v>
      </c>
      <c r="J79" s="145">
        <v>157.67936518859756</v>
      </c>
      <c r="K79" s="130">
        <v>753.78968518859756</v>
      </c>
      <c r="L79" s="129">
        <f t="shared" si="19"/>
        <v>16583.373074149145</v>
      </c>
    </row>
    <row r="80" spans="1:12" x14ac:dyDescent="0.25">
      <c r="A80" s="84" t="s">
        <v>148</v>
      </c>
      <c r="B80" s="84" t="s">
        <v>141</v>
      </c>
      <c r="C80" s="84">
        <v>22</v>
      </c>
      <c r="E80" s="84" t="s">
        <v>149</v>
      </c>
      <c r="F80" s="130">
        <v>486.96335999999997</v>
      </c>
      <c r="G80" s="130">
        <v>538.52292</v>
      </c>
      <c r="H80" s="130">
        <v>63.507599999999996</v>
      </c>
      <c r="I80" s="130">
        <v>596.11032</v>
      </c>
      <c r="J80" s="145">
        <v>157.67936518859756</v>
      </c>
      <c r="K80" s="130">
        <v>753.78968518859756</v>
      </c>
      <c r="L80" s="129">
        <f t="shared" si="19"/>
        <v>16583.373074149145</v>
      </c>
    </row>
    <row r="81" spans="1:23" s="129" customFormat="1" x14ac:dyDescent="0.25">
      <c r="A81" s="84" t="s">
        <v>148</v>
      </c>
      <c r="B81" s="84" t="s">
        <v>142</v>
      </c>
      <c r="C81" s="84">
        <v>22</v>
      </c>
      <c r="D81" s="84"/>
      <c r="E81" s="84" t="s">
        <v>149</v>
      </c>
      <c r="F81" s="130">
        <v>486.96335999999997</v>
      </c>
      <c r="G81" s="130">
        <v>538.52292</v>
      </c>
      <c r="H81" s="130">
        <v>63.507599999999996</v>
      </c>
      <c r="I81" s="130">
        <v>596.11032</v>
      </c>
      <c r="J81" s="145">
        <v>157.67936518859756</v>
      </c>
      <c r="K81" s="130">
        <v>753.78968518859756</v>
      </c>
      <c r="L81" s="129">
        <f t="shared" si="19"/>
        <v>16583.373074149145</v>
      </c>
      <c r="M81" s="84"/>
      <c r="N81" s="84"/>
      <c r="O81" s="84"/>
      <c r="P81" s="84"/>
      <c r="Q81" s="84"/>
      <c r="S81" s="84"/>
      <c r="T81" s="84"/>
    </row>
    <row r="82" spans="1:23" s="129" customFormat="1" x14ac:dyDescent="0.25">
      <c r="A82" s="84" t="s">
        <v>148</v>
      </c>
      <c r="B82" s="84" t="s">
        <v>143</v>
      </c>
      <c r="C82" s="84">
        <v>22</v>
      </c>
      <c r="D82" s="84"/>
      <c r="E82" s="84" t="s">
        <v>149</v>
      </c>
      <c r="F82" s="130">
        <v>486.96335999999997</v>
      </c>
      <c r="G82" s="130">
        <v>538.52292</v>
      </c>
      <c r="H82" s="130">
        <v>63.507599999999996</v>
      </c>
      <c r="I82" s="130">
        <v>596.11032</v>
      </c>
      <c r="J82" s="145">
        <v>157.67936518859756</v>
      </c>
      <c r="K82" s="130">
        <v>753.78968518859756</v>
      </c>
      <c r="L82" s="129">
        <f t="shared" si="19"/>
        <v>16583.373074149145</v>
      </c>
      <c r="M82" s="84"/>
      <c r="N82" s="84"/>
      <c r="O82" s="84"/>
      <c r="P82" s="84"/>
      <c r="Q82" s="84"/>
      <c r="S82" s="84"/>
      <c r="T82" s="84"/>
    </row>
    <row r="83" spans="1:23" s="129" customFormat="1" x14ac:dyDescent="0.25">
      <c r="A83" s="84" t="s">
        <v>148</v>
      </c>
      <c r="B83" s="84" t="s">
        <v>144</v>
      </c>
      <c r="C83" s="84">
        <v>22</v>
      </c>
      <c r="D83" s="84"/>
      <c r="E83" s="84" t="s">
        <v>149</v>
      </c>
      <c r="F83" s="130">
        <v>486.96335999999997</v>
      </c>
      <c r="G83" s="130">
        <v>538.52292</v>
      </c>
      <c r="H83" s="130">
        <v>63.507599999999996</v>
      </c>
      <c r="I83" s="130">
        <v>596.11032</v>
      </c>
      <c r="J83" s="145">
        <v>157.67936518859756</v>
      </c>
      <c r="K83" s="130">
        <v>753.78968518859756</v>
      </c>
      <c r="L83" s="129">
        <f t="shared" si="19"/>
        <v>16583.373074149145</v>
      </c>
      <c r="M83" s="84"/>
      <c r="N83" s="84"/>
      <c r="O83" s="84"/>
      <c r="P83" s="84"/>
      <c r="Q83" s="84"/>
      <c r="S83" s="84"/>
      <c r="T83" s="84"/>
    </row>
    <row r="84" spans="1:23" s="129" customFormat="1" ht="60.75" thickBot="1" x14ac:dyDescent="0.3">
      <c r="A84" s="133"/>
      <c r="B84" s="133"/>
      <c r="C84" s="133">
        <v>322</v>
      </c>
      <c r="D84" s="133"/>
      <c r="E84" s="133"/>
      <c r="F84" s="133"/>
      <c r="G84" s="133"/>
      <c r="H84" s="133"/>
      <c r="I84" s="135">
        <v>191947.52304</v>
      </c>
      <c r="J84" s="133"/>
      <c r="K84" s="133"/>
      <c r="L84" s="134">
        <f>SUM(L69:L83)</f>
        <v>242720.27863072831</v>
      </c>
      <c r="M84" s="146"/>
      <c r="N84" s="147">
        <f>L84/C84</f>
        <v>753.78968518859722</v>
      </c>
      <c r="O84" s="144" t="s">
        <v>152</v>
      </c>
      <c r="P84" s="84"/>
      <c r="Q84" s="84"/>
      <c r="S84" s="84"/>
      <c r="T84" s="84"/>
    </row>
    <row r="85" spans="1:23" s="129" customFormat="1" ht="16.5" thickTop="1" thickBot="1" x14ac:dyDescent="0.3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M85" s="84"/>
      <c r="N85" s="84"/>
      <c r="O85" s="84"/>
      <c r="P85" s="84"/>
      <c r="Q85" s="84"/>
      <c r="S85" s="84"/>
      <c r="T85" s="84"/>
    </row>
    <row r="86" spans="1:23" s="129" customFormat="1" x14ac:dyDescent="0.25">
      <c r="A86" s="202" t="s">
        <v>153</v>
      </c>
      <c r="B86" s="203"/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3"/>
      <c r="Q86" s="204"/>
      <c r="R86" s="61" t="s">
        <v>154</v>
      </c>
      <c r="S86" s="62"/>
      <c r="T86" s="62"/>
      <c r="U86" s="61" t="s">
        <v>155</v>
      </c>
      <c r="V86" s="63"/>
      <c r="W86" s="64"/>
    </row>
    <row r="87" spans="1:23" s="129" customFormat="1" x14ac:dyDescent="0.25">
      <c r="A87" s="205"/>
      <c r="B87" s="65" t="s">
        <v>156</v>
      </c>
      <c r="C87" s="207"/>
      <c r="D87" s="208"/>
      <c r="E87" s="208"/>
      <c r="F87" s="208"/>
      <c r="G87" s="208"/>
      <c r="H87" s="208"/>
      <c r="I87" s="208"/>
      <c r="J87" s="208"/>
      <c r="K87" s="208"/>
      <c r="L87" s="208"/>
      <c r="M87" s="208"/>
      <c r="N87" s="208"/>
      <c r="O87" s="208"/>
      <c r="P87" s="208"/>
      <c r="Q87" s="209"/>
      <c r="R87" s="66">
        <v>676.11</v>
      </c>
      <c r="S87" s="67"/>
      <c r="T87" s="68"/>
      <c r="U87" s="66">
        <v>676.11</v>
      </c>
      <c r="V87" s="210">
        <v>699.2</v>
      </c>
      <c r="W87" s="213">
        <f>V87</f>
        <v>699.2</v>
      </c>
    </row>
    <row r="88" spans="1:23" s="129" customFormat="1" x14ac:dyDescent="0.25">
      <c r="A88" s="205"/>
      <c r="B88" s="69" t="s">
        <v>157</v>
      </c>
      <c r="C88" s="216"/>
      <c r="D88" s="217"/>
      <c r="E88" s="217"/>
      <c r="F88" s="217"/>
      <c r="G88" s="217"/>
      <c r="H88" s="217"/>
      <c r="I88" s="217"/>
      <c r="J88" s="217"/>
      <c r="K88" s="217"/>
      <c r="L88" s="217"/>
      <c r="M88" s="217"/>
      <c r="N88" s="217"/>
      <c r="O88" s="217"/>
      <c r="P88" s="217"/>
      <c r="Q88" s="218"/>
      <c r="R88" s="70">
        <v>523.87</v>
      </c>
      <c r="S88" s="71"/>
      <c r="T88" s="72"/>
      <c r="U88" s="70">
        <v>523.87</v>
      </c>
      <c r="V88" s="211"/>
      <c r="W88" s="214"/>
    </row>
    <row r="89" spans="1:23" s="129" customFormat="1" x14ac:dyDescent="0.25">
      <c r="A89" s="205"/>
      <c r="B89" s="69" t="s">
        <v>158</v>
      </c>
      <c r="C89" s="216"/>
      <c r="D89" s="217"/>
      <c r="E89" s="217"/>
      <c r="F89" s="217"/>
      <c r="G89" s="217"/>
      <c r="H89" s="217"/>
      <c r="I89" s="217"/>
      <c r="J89" s="217"/>
      <c r="K89" s="217"/>
      <c r="L89" s="217"/>
      <c r="M89" s="217"/>
      <c r="N89" s="217"/>
      <c r="O89" s="217"/>
      <c r="P89" s="217"/>
      <c r="Q89" s="218"/>
      <c r="R89" s="70">
        <v>653.15</v>
      </c>
      <c r="S89" s="71"/>
      <c r="T89" s="72"/>
      <c r="U89" s="70">
        <v>653.15</v>
      </c>
      <c r="V89" s="211"/>
      <c r="W89" s="214"/>
    </row>
    <row r="90" spans="1:23" s="129" customFormat="1" x14ac:dyDescent="0.25">
      <c r="A90" s="205"/>
      <c r="B90" s="69" t="s">
        <v>159</v>
      </c>
      <c r="C90" s="216"/>
      <c r="D90" s="217"/>
      <c r="E90" s="217"/>
      <c r="F90" s="217"/>
      <c r="G90" s="217"/>
      <c r="H90" s="217"/>
      <c r="I90" s="217"/>
      <c r="J90" s="217"/>
      <c r="K90" s="217"/>
      <c r="L90" s="217"/>
      <c r="M90" s="217"/>
      <c r="N90" s="217"/>
      <c r="O90" s="217"/>
      <c r="P90" s="217"/>
      <c r="Q90" s="218"/>
      <c r="R90" s="70">
        <v>396.87</v>
      </c>
      <c r="S90" s="71"/>
      <c r="T90" s="72"/>
      <c r="U90" s="70">
        <v>381.11</v>
      </c>
      <c r="V90" s="211"/>
      <c r="W90" s="214"/>
    </row>
    <row r="91" spans="1:23" s="129" customFormat="1" x14ac:dyDescent="0.25">
      <c r="A91" s="205"/>
      <c r="B91" s="69" t="s">
        <v>160</v>
      </c>
      <c r="C91" s="216"/>
      <c r="D91" s="217"/>
      <c r="E91" s="217"/>
      <c r="F91" s="217"/>
      <c r="G91" s="217"/>
      <c r="H91" s="217"/>
      <c r="I91" s="217"/>
      <c r="J91" s="217"/>
      <c r="K91" s="217"/>
      <c r="L91" s="217"/>
      <c r="M91" s="217"/>
      <c r="N91" s="217"/>
      <c r="O91" s="217"/>
      <c r="P91" s="217"/>
      <c r="Q91" s="218"/>
      <c r="R91" s="70"/>
      <c r="S91" s="71"/>
      <c r="T91" s="72"/>
      <c r="U91" s="70">
        <v>68.099999999999994</v>
      </c>
      <c r="V91" s="211"/>
      <c r="W91" s="214"/>
    </row>
    <row r="92" spans="1:23" s="129" customFormat="1" x14ac:dyDescent="0.25">
      <c r="A92" s="206"/>
      <c r="B92" s="69" t="s">
        <v>161</v>
      </c>
      <c r="C92" s="216"/>
      <c r="D92" s="217"/>
      <c r="E92" s="217"/>
      <c r="F92" s="217"/>
      <c r="G92" s="217"/>
      <c r="H92" s="217"/>
      <c r="I92" s="217"/>
      <c r="J92" s="217"/>
      <c r="K92" s="217"/>
      <c r="L92" s="217"/>
      <c r="M92" s="217"/>
      <c r="N92" s="217"/>
      <c r="O92" s="217"/>
      <c r="P92" s="217"/>
      <c r="Q92" s="218"/>
      <c r="R92" s="70"/>
      <c r="S92" s="71"/>
      <c r="T92" s="72"/>
      <c r="U92" s="70">
        <v>28.62</v>
      </c>
      <c r="V92" s="211"/>
      <c r="W92" s="214"/>
    </row>
    <row r="93" spans="1:23" s="129" customFormat="1" x14ac:dyDescent="0.25">
      <c r="A93" s="219" t="s">
        <v>162</v>
      </c>
      <c r="B93" s="220"/>
      <c r="C93" s="220"/>
      <c r="D93" s="220"/>
      <c r="E93" s="220"/>
      <c r="F93" s="220"/>
      <c r="G93" s="220"/>
      <c r="H93" s="220"/>
      <c r="I93" s="220"/>
      <c r="J93" s="220"/>
      <c r="K93" s="220"/>
      <c r="L93" s="220"/>
      <c r="M93" s="220"/>
      <c r="N93" s="220"/>
      <c r="O93" s="220"/>
      <c r="P93" s="220"/>
      <c r="Q93" s="221"/>
      <c r="R93" s="73">
        <f>SUM(R87:R92)</f>
        <v>2250</v>
      </c>
      <c r="S93" s="74"/>
      <c r="T93" s="75"/>
      <c r="U93" s="73">
        <f>SUM(U87:U92)*J121</f>
        <v>25090.220344000001</v>
      </c>
      <c r="V93" s="212"/>
      <c r="W93" s="215"/>
    </row>
    <row r="94" spans="1:23" s="129" customFormat="1" x14ac:dyDescent="0.25">
      <c r="A94" s="59" t="s">
        <v>163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76"/>
    </row>
    <row r="95" spans="1:23" s="129" customFormat="1" x14ac:dyDescent="0.25">
      <c r="A95" s="223"/>
      <c r="B95" s="69" t="s">
        <v>164</v>
      </c>
      <c r="C95" s="216"/>
      <c r="D95" s="217"/>
      <c r="E95" s="217"/>
      <c r="F95" s="217"/>
      <c r="G95" s="217"/>
      <c r="H95" s="217"/>
      <c r="I95" s="217"/>
      <c r="J95" s="217"/>
      <c r="K95" s="217"/>
      <c r="L95" s="217"/>
      <c r="M95" s="217"/>
      <c r="N95" s="217"/>
      <c r="O95" s="217"/>
      <c r="P95" s="217"/>
      <c r="Q95" s="218"/>
      <c r="R95" s="70">
        <v>1455.29</v>
      </c>
      <c r="S95" s="77"/>
      <c r="T95" s="77"/>
      <c r="U95" s="70">
        <v>1477.39</v>
      </c>
      <c r="V95" s="226">
        <v>1596.03</v>
      </c>
      <c r="W95" s="213">
        <f>V95</f>
        <v>1596.03</v>
      </c>
    </row>
    <row r="96" spans="1:23" s="129" customFormat="1" x14ac:dyDescent="0.25">
      <c r="A96" s="224"/>
      <c r="B96" s="69" t="s">
        <v>156</v>
      </c>
      <c r="C96" s="216"/>
      <c r="D96" s="217"/>
      <c r="E96" s="217"/>
      <c r="F96" s="217"/>
      <c r="G96" s="217"/>
      <c r="H96" s="217"/>
      <c r="I96" s="217"/>
      <c r="J96" s="217"/>
      <c r="K96" s="217"/>
      <c r="L96" s="217"/>
      <c r="M96" s="217"/>
      <c r="N96" s="217"/>
      <c r="O96" s="217"/>
      <c r="P96" s="217"/>
      <c r="Q96" s="218"/>
      <c r="R96" s="70">
        <v>1555.6</v>
      </c>
      <c r="S96" s="77"/>
      <c r="T96" s="77"/>
      <c r="U96" s="70">
        <v>1598.36</v>
      </c>
      <c r="V96" s="227"/>
      <c r="W96" s="214"/>
    </row>
    <row r="97" spans="1:23" s="129" customFormat="1" x14ac:dyDescent="0.25">
      <c r="A97" s="224"/>
      <c r="B97" s="69" t="s">
        <v>157</v>
      </c>
      <c r="C97" s="216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7"/>
      <c r="Q97" s="218"/>
      <c r="R97" s="70">
        <v>1284.19</v>
      </c>
      <c r="S97" s="77"/>
      <c r="T97" s="77"/>
      <c r="U97" s="70">
        <v>1326.95</v>
      </c>
      <c r="V97" s="227"/>
      <c r="W97" s="214"/>
    </row>
    <row r="98" spans="1:23" s="129" customFormat="1" x14ac:dyDescent="0.25">
      <c r="A98" s="224"/>
      <c r="B98" s="69" t="s">
        <v>165</v>
      </c>
      <c r="C98" s="216"/>
      <c r="D98" s="217"/>
      <c r="E98" s="217"/>
      <c r="F98" s="217"/>
      <c r="G98" s="217"/>
      <c r="H98" s="217"/>
      <c r="I98" s="217"/>
      <c r="J98" s="217"/>
      <c r="K98" s="217"/>
      <c r="L98" s="217"/>
      <c r="M98" s="217"/>
      <c r="N98" s="217"/>
      <c r="O98" s="217"/>
      <c r="P98" s="217"/>
      <c r="Q98" s="218"/>
      <c r="R98" s="70">
        <v>178.03</v>
      </c>
      <c r="S98" s="77"/>
      <c r="T98" s="77"/>
      <c r="U98" s="70">
        <v>220.79</v>
      </c>
      <c r="V98" s="227"/>
      <c r="W98" s="214"/>
    </row>
    <row r="99" spans="1:23" s="129" customFormat="1" x14ac:dyDescent="0.25">
      <c r="A99" s="225"/>
      <c r="B99" s="69" t="s">
        <v>166</v>
      </c>
      <c r="C99" s="216"/>
      <c r="D99" s="217"/>
      <c r="E99" s="217"/>
      <c r="F99" s="217"/>
      <c r="G99" s="217"/>
      <c r="H99" s="217"/>
      <c r="I99" s="217"/>
      <c r="J99" s="217"/>
      <c r="K99" s="217"/>
      <c r="L99" s="217"/>
      <c r="M99" s="217"/>
      <c r="N99" s="217"/>
      <c r="O99" s="217"/>
      <c r="P99" s="217"/>
      <c r="Q99" s="218"/>
      <c r="R99" s="70"/>
      <c r="S99" s="77"/>
      <c r="T99" s="77"/>
      <c r="U99" s="70">
        <v>114.08</v>
      </c>
      <c r="V99" s="227"/>
      <c r="W99" s="214"/>
    </row>
    <row r="100" spans="1:23" s="129" customFormat="1" x14ac:dyDescent="0.25">
      <c r="A100" s="219" t="s">
        <v>162</v>
      </c>
      <c r="B100" s="220"/>
      <c r="C100" s="220"/>
      <c r="D100" s="220"/>
      <c r="E100" s="220"/>
      <c r="F100" s="220"/>
      <c r="G100" s="220"/>
      <c r="H100" s="220"/>
      <c r="I100" s="220"/>
      <c r="J100" s="220"/>
      <c r="K100" s="220"/>
      <c r="L100" s="220"/>
      <c r="M100" s="220"/>
      <c r="N100" s="220"/>
      <c r="O100" s="220"/>
      <c r="P100" s="220"/>
      <c r="Q100" s="221"/>
      <c r="R100" s="73">
        <f>SUM(R95:R98)</f>
        <v>4473.1099999999997</v>
      </c>
      <c r="S100" s="75"/>
      <c r="T100" s="78"/>
      <c r="U100" s="73">
        <f>SUM(U95:U99)*J121</f>
        <v>50994.729722999997</v>
      </c>
      <c r="V100" s="228"/>
      <c r="W100" s="215"/>
    </row>
    <row r="101" spans="1:23" s="129" customFormat="1" x14ac:dyDescent="0.25">
      <c r="A101" s="79" t="s">
        <v>167</v>
      </c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1"/>
    </row>
    <row r="102" spans="1:23" s="129" customFormat="1" x14ac:dyDescent="0.25">
      <c r="A102" s="224"/>
      <c r="B102" s="65" t="s">
        <v>164</v>
      </c>
      <c r="C102" s="207"/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8"/>
      <c r="Q102" s="209"/>
      <c r="R102" s="82">
        <v>2315.15</v>
      </c>
      <c r="S102" s="83"/>
      <c r="T102" s="83"/>
      <c r="U102" s="82">
        <v>2371.7800000000002</v>
      </c>
      <c r="V102" s="226">
        <v>2618.79</v>
      </c>
      <c r="W102" s="213">
        <f>V102</f>
        <v>2618.79</v>
      </c>
    </row>
    <row r="103" spans="1:23" s="129" customFormat="1" x14ac:dyDescent="0.25">
      <c r="A103" s="224"/>
      <c r="B103" s="69" t="s">
        <v>156</v>
      </c>
      <c r="C103" s="216"/>
      <c r="D103" s="217"/>
      <c r="E103" s="217"/>
      <c r="F103" s="217"/>
      <c r="G103" s="217"/>
      <c r="H103" s="217"/>
      <c r="I103" s="217"/>
      <c r="J103" s="217"/>
      <c r="K103" s="217"/>
      <c r="L103" s="217"/>
      <c r="M103" s="217"/>
      <c r="N103" s="217"/>
      <c r="O103" s="217"/>
      <c r="P103" s="217"/>
      <c r="Q103" s="218"/>
      <c r="R103" s="70">
        <v>2246.665</v>
      </c>
      <c r="S103" s="77"/>
      <c r="T103" s="77"/>
      <c r="U103" s="70">
        <v>2293.81</v>
      </c>
      <c r="V103" s="227"/>
      <c r="W103" s="214"/>
    </row>
    <row r="104" spans="1:23" s="129" customFormat="1" x14ac:dyDescent="0.25">
      <c r="A104" s="224"/>
      <c r="B104" s="69" t="s">
        <v>157</v>
      </c>
      <c r="C104" s="216"/>
      <c r="D104" s="217"/>
      <c r="E104" s="217"/>
      <c r="F104" s="217"/>
      <c r="G104" s="217"/>
      <c r="H104" s="217"/>
      <c r="I104" s="217"/>
      <c r="J104" s="217"/>
      <c r="K104" s="217"/>
      <c r="L104" s="217"/>
      <c r="M104" s="217"/>
      <c r="N104" s="217"/>
      <c r="O104" s="217"/>
      <c r="P104" s="217"/>
      <c r="Q104" s="218"/>
      <c r="R104" s="70">
        <v>2246.6120000000001</v>
      </c>
      <c r="S104" s="77"/>
      <c r="T104" s="77"/>
      <c r="U104" s="70">
        <v>2293.7600000000002</v>
      </c>
      <c r="V104" s="227"/>
      <c r="W104" s="214"/>
    </row>
    <row r="105" spans="1:23" s="129" customFormat="1" x14ac:dyDescent="0.25">
      <c r="A105" s="224"/>
      <c r="B105" s="69" t="s">
        <v>158</v>
      </c>
      <c r="C105" s="216"/>
      <c r="D105" s="217"/>
      <c r="E105" s="217"/>
      <c r="F105" s="217"/>
      <c r="G105" s="217"/>
      <c r="H105" s="217"/>
      <c r="I105" s="217"/>
      <c r="J105" s="217"/>
      <c r="K105" s="217"/>
      <c r="L105" s="217"/>
      <c r="M105" s="217"/>
      <c r="N105" s="217"/>
      <c r="O105" s="217"/>
      <c r="P105" s="217"/>
      <c r="Q105" s="218"/>
      <c r="R105" s="70">
        <v>2206.15</v>
      </c>
      <c r="S105" s="77"/>
      <c r="T105" s="77"/>
      <c r="U105" s="70">
        <v>2252.3000000000002</v>
      </c>
      <c r="V105" s="227"/>
      <c r="W105" s="214"/>
    </row>
    <row r="106" spans="1:23" s="129" customFormat="1" x14ac:dyDescent="0.25">
      <c r="A106" s="224"/>
      <c r="B106" s="84" t="s">
        <v>168</v>
      </c>
      <c r="C106" s="216"/>
      <c r="D106" s="217"/>
      <c r="E106" s="217"/>
      <c r="F106" s="217"/>
      <c r="G106" s="217"/>
      <c r="H106" s="217"/>
      <c r="I106" s="217"/>
      <c r="J106" s="217"/>
      <c r="K106" s="217"/>
      <c r="L106" s="217"/>
      <c r="M106" s="217"/>
      <c r="N106" s="217"/>
      <c r="O106" s="217"/>
      <c r="P106" s="217"/>
      <c r="Q106" s="218"/>
      <c r="R106" s="70">
        <v>1443.28</v>
      </c>
      <c r="S106" s="77"/>
      <c r="T106" s="77"/>
      <c r="U106" s="70">
        <v>1491.04</v>
      </c>
      <c r="V106" s="227"/>
      <c r="W106" s="214"/>
    </row>
    <row r="107" spans="1:23" s="129" customFormat="1" x14ac:dyDescent="0.25">
      <c r="A107" s="224"/>
      <c r="B107" s="69" t="s">
        <v>169</v>
      </c>
      <c r="C107" s="216"/>
      <c r="D107" s="217"/>
      <c r="E107" s="217"/>
      <c r="F107" s="217"/>
      <c r="G107" s="217"/>
      <c r="H107" s="217"/>
      <c r="I107" s="217"/>
      <c r="J107" s="217"/>
      <c r="K107" s="217"/>
      <c r="L107" s="217"/>
      <c r="M107" s="217"/>
      <c r="N107" s="217"/>
      <c r="O107" s="217"/>
      <c r="P107" s="217"/>
      <c r="Q107" s="218"/>
      <c r="R107" s="70">
        <v>1123.8800000000001</v>
      </c>
      <c r="S107" s="77"/>
      <c r="T107" s="77"/>
      <c r="U107" s="70">
        <v>1169.94</v>
      </c>
      <c r="V107" s="227"/>
      <c r="W107" s="214"/>
    </row>
    <row r="108" spans="1:23" s="129" customFormat="1" x14ac:dyDescent="0.25">
      <c r="A108" s="224"/>
      <c r="B108" s="69" t="s">
        <v>170</v>
      </c>
      <c r="C108" s="232"/>
      <c r="D108" s="232"/>
      <c r="E108" s="232"/>
      <c r="F108" s="232"/>
      <c r="G108" s="232"/>
      <c r="H108" s="232"/>
      <c r="I108" s="232"/>
      <c r="J108" s="232"/>
      <c r="K108" s="232"/>
      <c r="L108" s="232"/>
      <c r="M108" s="232"/>
      <c r="N108" s="232"/>
      <c r="O108" s="232"/>
      <c r="P108" s="232"/>
      <c r="Q108" s="232"/>
      <c r="R108" s="70">
        <v>350.45</v>
      </c>
      <c r="S108" s="77"/>
      <c r="T108" s="77"/>
      <c r="U108" s="70">
        <v>396.4</v>
      </c>
      <c r="V108" s="227"/>
      <c r="W108" s="214"/>
    </row>
    <row r="109" spans="1:23" s="129" customFormat="1" x14ac:dyDescent="0.25">
      <c r="A109" s="225"/>
      <c r="B109" s="69" t="s">
        <v>161</v>
      </c>
      <c r="C109" s="232"/>
      <c r="D109" s="232"/>
      <c r="E109" s="232"/>
      <c r="F109" s="232"/>
      <c r="G109" s="232"/>
      <c r="H109" s="232"/>
      <c r="I109" s="232"/>
      <c r="J109" s="232"/>
      <c r="K109" s="232"/>
      <c r="L109" s="232"/>
      <c r="M109" s="232"/>
      <c r="N109" s="232"/>
      <c r="O109" s="232"/>
      <c r="P109" s="232"/>
      <c r="Q109" s="232"/>
      <c r="R109" s="70">
        <v>438.89</v>
      </c>
      <c r="S109" s="77"/>
      <c r="T109" s="77"/>
      <c r="U109" s="70">
        <v>83.28</v>
      </c>
      <c r="V109" s="227"/>
      <c r="W109" s="214"/>
    </row>
    <row r="110" spans="1:23" s="129" customFormat="1" x14ac:dyDescent="0.25">
      <c r="A110" s="219" t="s">
        <v>162</v>
      </c>
      <c r="B110" s="220"/>
      <c r="C110" s="220"/>
      <c r="D110" s="220"/>
      <c r="E110" s="220"/>
      <c r="F110" s="220"/>
      <c r="G110" s="220"/>
      <c r="H110" s="220"/>
      <c r="I110" s="220"/>
      <c r="J110" s="220"/>
      <c r="K110" s="220"/>
      <c r="L110" s="220"/>
      <c r="M110" s="220"/>
      <c r="N110" s="220"/>
      <c r="O110" s="220"/>
      <c r="P110" s="220"/>
      <c r="Q110" s="221"/>
      <c r="R110" s="73">
        <f>SUM(R102:R109)</f>
        <v>12371.077000000001</v>
      </c>
      <c r="S110" s="75"/>
      <c r="T110" s="78"/>
      <c r="U110" s="73">
        <f>SUM(U102:U109)*J121</f>
        <v>132959.02960900002</v>
      </c>
      <c r="V110" s="228"/>
      <c r="W110" s="215"/>
    </row>
    <row r="111" spans="1:23" s="129" customFormat="1" x14ac:dyDescent="0.25">
      <c r="A111" s="59" t="s">
        <v>171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76"/>
    </row>
    <row r="112" spans="1:23" s="129" customFormat="1" x14ac:dyDescent="0.25">
      <c r="A112" s="223"/>
      <c r="B112" s="69" t="s">
        <v>164</v>
      </c>
      <c r="C112" s="216"/>
      <c r="D112" s="217"/>
      <c r="E112" s="217"/>
      <c r="F112" s="217"/>
      <c r="G112" s="217"/>
      <c r="H112" s="217"/>
      <c r="I112" s="217"/>
      <c r="J112" s="217"/>
      <c r="K112" s="217"/>
      <c r="L112" s="217"/>
      <c r="M112" s="217"/>
      <c r="N112" s="217"/>
      <c r="O112" s="217"/>
      <c r="P112" s="217"/>
      <c r="Q112" s="218"/>
      <c r="R112" s="70">
        <v>1068.32</v>
      </c>
      <c r="S112" s="77"/>
      <c r="T112" s="69"/>
      <c r="U112" s="70">
        <v>1089.92</v>
      </c>
      <c r="V112" s="226">
        <v>1154.54</v>
      </c>
      <c r="W112" s="213">
        <f>V112</f>
        <v>1154.54</v>
      </c>
    </row>
    <row r="113" spans="1:23" s="129" customFormat="1" x14ac:dyDescent="0.25">
      <c r="A113" s="224"/>
      <c r="B113" s="69" t="s">
        <v>156</v>
      </c>
      <c r="C113" s="216"/>
      <c r="D113" s="217"/>
      <c r="E113" s="217"/>
      <c r="F113" s="217"/>
      <c r="G113" s="217"/>
      <c r="H113" s="217"/>
      <c r="I113" s="217"/>
      <c r="J113" s="217"/>
      <c r="K113" s="217"/>
      <c r="L113" s="217"/>
      <c r="M113" s="217"/>
      <c r="N113" s="217"/>
      <c r="O113" s="217"/>
      <c r="P113" s="217"/>
      <c r="Q113" s="218"/>
      <c r="R113" s="70">
        <v>1178.5</v>
      </c>
      <c r="S113" s="77"/>
      <c r="T113" s="69"/>
      <c r="U113" s="70">
        <v>1197.2</v>
      </c>
      <c r="V113" s="227"/>
      <c r="W113" s="214"/>
    </row>
    <row r="114" spans="1:23" s="129" customFormat="1" x14ac:dyDescent="0.25">
      <c r="A114" s="224"/>
      <c r="B114" s="69" t="s">
        <v>157</v>
      </c>
      <c r="C114" s="216"/>
      <c r="D114" s="217"/>
      <c r="E114" s="217"/>
      <c r="F114" s="217"/>
      <c r="G114" s="217"/>
      <c r="H114" s="217"/>
      <c r="I114" s="217"/>
      <c r="J114" s="217"/>
      <c r="K114" s="217"/>
      <c r="L114" s="217"/>
      <c r="M114" s="217"/>
      <c r="N114" s="217"/>
      <c r="O114" s="217"/>
      <c r="P114" s="217"/>
      <c r="Q114" s="218"/>
      <c r="R114" s="70">
        <v>964.66</v>
      </c>
      <c r="S114" s="77"/>
      <c r="T114" s="69"/>
      <c r="U114" s="70">
        <v>983.36</v>
      </c>
      <c r="V114" s="227"/>
      <c r="W114" s="214"/>
    </row>
    <row r="115" spans="1:23" s="129" customFormat="1" x14ac:dyDescent="0.25">
      <c r="A115" s="224"/>
      <c r="B115" s="69" t="s">
        <v>172</v>
      </c>
      <c r="C115" s="216"/>
      <c r="D115" s="217"/>
      <c r="E115" s="217"/>
      <c r="F115" s="217"/>
      <c r="G115" s="217"/>
      <c r="H115" s="217"/>
      <c r="I115" s="217"/>
      <c r="J115" s="217"/>
      <c r="K115" s="217"/>
      <c r="L115" s="217"/>
      <c r="M115" s="217"/>
      <c r="N115" s="217"/>
      <c r="O115" s="217"/>
      <c r="P115" s="217"/>
      <c r="Q115" s="218"/>
      <c r="R115" s="70">
        <v>222.61</v>
      </c>
      <c r="S115" s="77"/>
      <c r="T115" s="69"/>
      <c r="U115" s="70">
        <v>241.31</v>
      </c>
      <c r="V115" s="227"/>
      <c r="W115" s="214"/>
    </row>
    <row r="116" spans="1:23" s="129" customFormat="1" x14ac:dyDescent="0.25">
      <c r="A116" s="225"/>
      <c r="B116" s="69" t="s">
        <v>166</v>
      </c>
      <c r="C116" s="217"/>
      <c r="D116" s="217"/>
      <c r="E116" s="217"/>
      <c r="F116" s="217"/>
      <c r="G116" s="217"/>
      <c r="H116" s="217"/>
      <c r="I116" s="217"/>
      <c r="J116" s="217"/>
      <c r="K116" s="217"/>
      <c r="L116" s="217"/>
      <c r="M116" s="217"/>
      <c r="N116" s="217"/>
      <c r="O116" s="217"/>
      <c r="P116" s="217"/>
      <c r="Q116" s="218"/>
      <c r="R116" s="70"/>
      <c r="S116" s="77"/>
      <c r="T116" s="69"/>
      <c r="U116" s="70">
        <v>114.08</v>
      </c>
      <c r="V116" s="227"/>
      <c r="W116" s="214"/>
    </row>
    <row r="117" spans="1:23" s="129" customFormat="1" x14ac:dyDescent="0.25">
      <c r="A117" s="219" t="s">
        <v>162</v>
      </c>
      <c r="B117" s="220"/>
      <c r="C117" s="220"/>
      <c r="D117" s="220"/>
      <c r="E117" s="220"/>
      <c r="F117" s="220"/>
      <c r="G117" s="220"/>
      <c r="H117" s="220"/>
      <c r="I117" s="220"/>
      <c r="J117" s="220"/>
      <c r="K117" s="220"/>
      <c r="L117" s="220"/>
      <c r="M117" s="220"/>
      <c r="N117" s="220"/>
      <c r="O117" s="220"/>
      <c r="P117" s="220"/>
      <c r="Q117" s="221"/>
      <c r="R117" s="73">
        <f>SUM(R112:R116)</f>
        <v>3434.0899999999997</v>
      </c>
      <c r="S117" s="85"/>
      <c r="T117" s="85"/>
      <c r="U117" s="73">
        <f>SUM(U112:U116)*J121</f>
        <v>39028.502092999996</v>
      </c>
      <c r="V117" s="228"/>
      <c r="W117" s="215"/>
    </row>
    <row r="118" spans="1:23" s="129" customFormat="1" x14ac:dyDescent="0.25">
      <c r="A118" s="219" t="s">
        <v>173</v>
      </c>
      <c r="B118" s="220"/>
      <c r="C118" s="220"/>
      <c r="D118" s="220"/>
      <c r="E118" s="220"/>
      <c r="F118" s="220"/>
      <c r="G118" s="220"/>
      <c r="H118" s="220"/>
      <c r="I118" s="220"/>
      <c r="J118" s="220"/>
      <c r="K118" s="220"/>
      <c r="L118" s="220"/>
      <c r="M118" s="220"/>
      <c r="N118" s="220"/>
      <c r="O118" s="220"/>
      <c r="P118" s="220"/>
      <c r="Q118" s="221"/>
      <c r="R118" s="86">
        <f>R117+R110+R100</f>
        <v>20278.277000000002</v>
      </c>
      <c r="S118" s="87"/>
      <c r="T118" s="87"/>
      <c r="U118" s="86">
        <f>(U117+U110+U100)</f>
        <v>222982.261425</v>
      </c>
      <c r="V118" s="88">
        <f>V112+V102+V95+V87</f>
        <v>6068.5599999999995</v>
      </c>
      <c r="W118" s="89">
        <f>W112+W102+W95+W87</f>
        <v>6068.5599999999995</v>
      </c>
    </row>
    <row r="119" spans="1:23" s="129" customFormat="1" x14ac:dyDescent="0.25">
      <c r="A119" s="84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M119" s="84"/>
      <c r="N119" s="84"/>
      <c r="O119" s="84"/>
      <c r="P119" s="84"/>
      <c r="Q119" s="84"/>
      <c r="S119" s="84"/>
      <c r="T119" s="84"/>
      <c r="U119" s="129" t="s">
        <v>174</v>
      </c>
    </row>
    <row r="120" spans="1:23" s="129" customFormat="1" x14ac:dyDescent="0.25">
      <c r="A120" s="84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M120" s="84"/>
      <c r="N120" s="84"/>
      <c r="O120" s="84"/>
      <c r="P120" s="84"/>
      <c r="Q120" s="84"/>
      <c r="S120" s="84"/>
      <c r="T120" s="84"/>
    </row>
    <row r="121" spans="1:23" s="129" customFormat="1" x14ac:dyDescent="0.25">
      <c r="A121" s="84"/>
      <c r="B121" s="69" t="s">
        <v>175</v>
      </c>
      <c r="C121" s="69"/>
      <c r="D121" s="69"/>
      <c r="E121" s="69"/>
      <c r="F121" s="69">
        <v>94856.71</v>
      </c>
      <c r="G121" s="69" t="s">
        <v>176</v>
      </c>
      <c r="H121" s="69">
        <f>(F121/4)*J121</f>
        <v>255257.03519225001</v>
      </c>
      <c r="I121" s="84" t="s">
        <v>177</v>
      </c>
      <c r="J121" s="90">
        <v>10.7639</v>
      </c>
      <c r="K121" s="84"/>
      <c r="M121" s="84"/>
      <c r="N121" s="84"/>
      <c r="O121" s="84"/>
      <c r="P121" s="84"/>
      <c r="Q121" s="84"/>
      <c r="S121" s="84"/>
      <c r="T121" s="84"/>
    </row>
    <row r="122" spans="1:23" x14ac:dyDescent="0.25">
      <c r="B122" s="148" t="s">
        <v>178</v>
      </c>
      <c r="C122" s="148"/>
      <c r="D122" s="148"/>
      <c r="E122" s="148"/>
      <c r="F122" s="69">
        <v>11846.38</v>
      </c>
      <c r="G122" s="69" t="s">
        <v>176</v>
      </c>
      <c r="H122" s="69">
        <f>(F122/3)*J121</f>
        <v>42504.416560666665</v>
      </c>
      <c r="I122" s="84" t="s">
        <v>177</v>
      </c>
    </row>
    <row r="123" spans="1:23" s="129" customFormat="1" x14ac:dyDescent="0.25">
      <c r="A123" s="84"/>
      <c r="B123" s="149"/>
      <c r="C123" s="149"/>
      <c r="D123" s="149"/>
      <c r="E123" s="149"/>
      <c r="F123" s="150">
        <f>SUM(F121:F122)</f>
        <v>106703.09000000001</v>
      </c>
      <c r="G123" s="69" t="s">
        <v>179</v>
      </c>
      <c r="H123" s="69"/>
      <c r="I123" s="84"/>
      <c r="J123" s="84"/>
      <c r="K123" s="84"/>
      <c r="M123" s="84"/>
      <c r="N123" s="84"/>
      <c r="O123" s="84"/>
      <c r="P123" s="84"/>
      <c r="Q123" s="84"/>
      <c r="S123" s="84"/>
      <c r="T123" s="84"/>
    </row>
    <row r="125" spans="1:23" s="129" customFormat="1" x14ac:dyDescent="0.25">
      <c r="A125" s="84"/>
      <c r="B125" s="84"/>
      <c r="C125" s="84"/>
      <c r="D125" s="84"/>
      <c r="E125" s="84"/>
      <c r="F125" s="151">
        <f>F121*J121</f>
        <v>1021028.140769</v>
      </c>
      <c r="G125" s="84"/>
      <c r="H125" s="84"/>
      <c r="I125" s="84"/>
      <c r="J125" s="84"/>
      <c r="K125" s="84"/>
      <c r="M125" s="84"/>
      <c r="N125" s="84"/>
      <c r="O125" s="84"/>
      <c r="P125" s="84"/>
      <c r="Q125" s="84"/>
      <c r="S125" s="84"/>
      <c r="T125" s="84"/>
    </row>
  </sheetData>
  <mergeCells count="45">
    <mergeCell ref="V87:V93"/>
    <mergeCell ref="W87:W93"/>
    <mergeCell ref="A93:Q93"/>
    <mergeCell ref="A1:F1"/>
    <mergeCell ref="A45:M45"/>
    <mergeCell ref="A66:L66"/>
    <mergeCell ref="A86:Q86"/>
    <mergeCell ref="A87:A92"/>
    <mergeCell ref="C87:Q87"/>
    <mergeCell ref="C88:Q88"/>
    <mergeCell ref="C89:Q89"/>
    <mergeCell ref="C90:Q90"/>
    <mergeCell ref="C91:Q91"/>
    <mergeCell ref="C92:Q92"/>
    <mergeCell ref="A95:A99"/>
    <mergeCell ref="C95:Q95"/>
    <mergeCell ref="V95:V100"/>
    <mergeCell ref="W95:W100"/>
    <mergeCell ref="C96:Q96"/>
    <mergeCell ref="C97:Q97"/>
    <mergeCell ref="C98:Q98"/>
    <mergeCell ref="C99:Q99"/>
    <mergeCell ref="A100:Q100"/>
    <mergeCell ref="V112:V117"/>
    <mergeCell ref="W112:W117"/>
    <mergeCell ref="C113:Q113"/>
    <mergeCell ref="C114:Q114"/>
    <mergeCell ref="A102:A109"/>
    <mergeCell ref="C102:Q102"/>
    <mergeCell ref="V102:V110"/>
    <mergeCell ref="W102:W110"/>
    <mergeCell ref="C103:Q103"/>
    <mergeCell ref="C104:Q104"/>
    <mergeCell ref="C105:Q105"/>
    <mergeCell ref="C106:Q106"/>
    <mergeCell ref="C107:Q107"/>
    <mergeCell ref="C115:Q115"/>
    <mergeCell ref="C116:Q116"/>
    <mergeCell ref="A117:Q117"/>
    <mergeCell ref="A118:Q118"/>
    <mergeCell ref="C108:Q108"/>
    <mergeCell ref="C109:Q109"/>
    <mergeCell ref="A110:Q110"/>
    <mergeCell ref="A112:A116"/>
    <mergeCell ref="C112:Q1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T84"/>
  <sheetViews>
    <sheetView topLeftCell="A40" workbookViewId="0">
      <selection activeCell="I66" sqref="I66"/>
    </sheetView>
  </sheetViews>
  <sheetFormatPr defaultRowHeight="15" x14ac:dyDescent="0.25"/>
  <cols>
    <col min="1" max="2" width="9.140625" style="14"/>
    <col min="3" max="3" width="43.7109375" style="14" customWidth="1"/>
    <col min="4" max="4" width="17" style="14" bestFit="1" customWidth="1"/>
    <col min="5" max="7" width="16.85546875" style="14" bestFit="1" customWidth="1"/>
    <col min="8" max="8" width="15.42578125" style="14" bestFit="1" customWidth="1"/>
    <col min="9" max="10" width="10.140625" style="14" bestFit="1" customWidth="1"/>
    <col min="11" max="11" width="11.5703125" style="14" bestFit="1" customWidth="1"/>
    <col min="12" max="12" width="10" style="14" bestFit="1" customWidth="1"/>
    <col min="13" max="14" width="9.85546875" style="14" customWidth="1"/>
    <col min="15" max="15" width="11.5703125" style="14" bestFit="1" customWidth="1"/>
    <col min="16" max="16" width="18" style="14" bestFit="1" customWidth="1"/>
    <col min="17" max="19" width="9.140625" style="14"/>
    <col min="20" max="20" width="15.28515625" style="14" bestFit="1" customWidth="1"/>
    <col min="21" max="16384" width="9.140625" style="14"/>
  </cols>
  <sheetData>
    <row r="3" spans="3:8" x14ac:dyDescent="0.25">
      <c r="C3" s="24" t="s">
        <v>13</v>
      </c>
      <c r="D3" s="24" t="s">
        <v>18</v>
      </c>
      <c r="E3" s="25" t="s">
        <v>19</v>
      </c>
    </row>
    <row r="4" spans="3:8" x14ac:dyDescent="0.25">
      <c r="C4" s="95" t="s">
        <v>196</v>
      </c>
      <c r="D4" s="96"/>
      <c r="E4" s="27"/>
    </row>
    <row r="5" spans="3:8" x14ac:dyDescent="0.25">
      <c r="C5" s="124" t="s">
        <v>235</v>
      </c>
      <c r="D5" s="125" t="e">
        <f>#REF!</f>
        <v>#REF!</v>
      </c>
      <c r="E5" s="27" t="s">
        <v>244</v>
      </c>
    </row>
    <row r="6" spans="3:8" x14ac:dyDescent="0.25">
      <c r="C6" s="95"/>
      <c r="D6" s="96"/>
      <c r="E6" s="27"/>
    </row>
    <row r="7" spans="3:8" x14ac:dyDescent="0.25">
      <c r="C7" s="95" t="s">
        <v>123</v>
      </c>
      <c r="D7" s="96"/>
      <c r="E7" s="27"/>
    </row>
    <row r="8" spans="3:8" x14ac:dyDescent="0.25">
      <c r="C8" s="95" t="s">
        <v>16</v>
      </c>
      <c r="D8" s="96">
        <f>'Inventory-Detailed'!L66</f>
        <v>660716.3422092715</v>
      </c>
      <c r="E8" s="97" t="s">
        <v>181</v>
      </c>
    </row>
    <row r="9" spans="3:8" x14ac:dyDescent="0.25">
      <c r="C9" s="162" t="s">
        <v>245</v>
      </c>
      <c r="D9" s="163">
        <f>'Inventory-Detailed'!R52</f>
        <v>171296.82946166297</v>
      </c>
      <c r="E9" s="97"/>
      <c r="G9" s="174">
        <f>D8+D11</f>
        <v>903436.62083999976</v>
      </c>
      <c r="H9" s="181">
        <f>G9/$G$11</f>
        <v>0.21140749426736455</v>
      </c>
    </row>
    <row r="10" spans="3:8" x14ac:dyDescent="0.25">
      <c r="C10" s="162" t="s">
        <v>246</v>
      </c>
      <c r="D10" s="163">
        <f>D8-D9</f>
        <v>489419.51274760853</v>
      </c>
      <c r="E10" s="97"/>
      <c r="G10" s="174">
        <f>D14</f>
        <v>3370000.4395199995</v>
      </c>
      <c r="H10" s="181">
        <f t="shared" ref="H10" si="0">G10/$G$11</f>
        <v>0.7885925057326354</v>
      </c>
    </row>
    <row r="11" spans="3:8" x14ac:dyDescent="0.25">
      <c r="C11" s="95" t="s">
        <v>17</v>
      </c>
      <c r="D11" s="96">
        <f>'Inventory-Detailed'!L86</f>
        <v>242720.27863072831</v>
      </c>
      <c r="E11" s="97" t="s">
        <v>181</v>
      </c>
      <c r="G11" s="174">
        <f>SUM(G9:G10)</f>
        <v>4273437.0603599995</v>
      </c>
    </row>
    <row r="12" spans="3:8" x14ac:dyDescent="0.25">
      <c r="C12" s="162" t="s">
        <v>245</v>
      </c>
      <c r="D12" s="26">
        <f>'Inventory-Detailed'!S52</f>
        <v>90454.76222263166</v>
      </c>
      <c r="E12" s="97"/>
    </row>
    <row r="13" spans="3:8" x14ac:dyDescent="0.25">
      <c r="C13" s="162" t="s">
        <v>246</v>
      </c>
      <c r="D13" s="26">
        <f>D11-D12</f>
        <v>152265.51640809665</v>
      </c>
      <c r="E13" s="97"/>
    </row>
    <row r="14" spans="3:8" x14ac:dyDescent="0.25">
      <c r="C14" s="95" t="s">
        <v>150</v>
      </c>
      <c r="D14" s="96">
        <f>'Inventory-Detailed'!R45</f>
        <v>3370000.4395199995</v>
      </c>
      <c r="E14" s="97" t="s">
        <v>181</v>
      </c>
      <c r="F14" s="174">
        <f>D14+D11+D8</f>
        <v>4273437.0603599995</v>
      </c>
    </row>
    <row r="15" spans="3:8" x14ac:dyDescent="0.25">
      <c r="C15" s="162" t="s">
        <v>245</v>
      </c>
      <c r="D15" s="26">
        <f>'Inventory-Detailed'!S61</f>
        <v>810266.97978473268</v>
      </c>
      <c r="E15" s="97"/>
      <c r="F15" s="174">
        <f>D17</f>
        <v>11748.15252</v>
      </c>
    </row>
    <row r="16" spans="3:8" x14ac:dyDescent="0.25">
      <c r="C16" s="162" t="s">
        <v>246</v>
      </c>
      <c r="D16" s="26">
        <f>D14-D15</f>
        <v>2559733.4597352669</v>
      </c>
      <c r="E16" s="97"/>
      <c r="F16" s="174">
        <f>SUM(F14:F15)</f>
        <v>4285185.2128799995</v>
      </c>
    </row>
    <row r="17" spans="3:20" x14ac:dyDescent="0.25">
      <c r="C17" s="95" t="s">
        <v>180</v>
      </c>
      <c r="D17" s="96">
        <f>'Sanctioned Plan'!D6</f>
        <v>11748.15252</v>
      </c>
      <c r="E17" s="97" t="s">
        <v>181</v>
      </c>
    </row>
    <row r="18" spans="3:20" x14ac:dyDescent="0.25">
      <c r="C18" s="162" t="s">
        <v>245</v>
      </c>
      <c r="D18" s="26">
        <f>D17</f>
        <v>11748.15252</v>
      </c>
      <c r="E18" s="97"/>
    </row>
    <row r="19" spans="3:20" x14ac:dyDescent="0.25">
      <c r="C19" s="162" t="s">
        <v>246</v>
      </c>
      <c r="D19" s="26">
        <v>0</v>
      </c>
      <c r="E19" s="97"/>
    </row>
    <row r="20" spans="3:20" x14ac:dyDescent="0.25">
      <c r="C20" s="168" t="s">
        <v>247</v>
      </c>
      <c r="D20" s="26"/>
      <c r="E20" s="97"/>
    </row>
    <row r="21" spans="3:20" x14ac:dyDescent="0.25">
      <c r="C21" s="162" t="s">
        <v>245</v>
      </c>
      <c r="D21" s="26">
        <f>D18+D15+D12+D9</f>
        <v>1083766.7239890273</v>
      </c>
      <c r="E21" s="97"/>
      <c r="F21" s="169">
        <f>D21/(D21+D22)</f>
        <v>0.2529101241018813</v>
      </c>
      <c r="G21" s="152" t="e">
        <f>F21*D5</f>
        <v>#REF!</v>
      </c>
    </row>
    <row r="22" spans="3:20" x14ac:dyDescent="0.25">
      <c r="C22" s="162" t="s">
        <v>246</v>
      </c>
      <c r="D22" s="26">
        <f>D10+D13+D16+D19</f>
        <v>3201418.488890972</v>
      </c>
      <c r="E22" s="97"/>
      <c r="F22" s="170">
        <f>1-F21</f>
        <v>0.7470898758981187</v>
      </c>
      <c r="G22" s="152" t="e">
        <f>F22*D5</f>
        <v>#REF!</v>
      </c>
      <c r="H22" s="114">
        <f>SUM(D21:D22)</f>
        <v>4285185.2128799995</v>
      </c>
    </row>
    <row r="23" spans="3:20" x14ac:dyDescent="0.25">
      <c r="C23" s="95" t="s">
        <v>182</v>
      </c>
      <c r="D23" s="26"/>
      <c r="E23" s="27"/>
    </row>
    <row r="24" spans="3:20" x14ac:dyDescent="0.25">
      <c r="C24" s="32" t="s">
        <v>16</v>
      </c>
      <c r="D24" s="26">
        <v>1600</v>
      </c>
      <c r="E24" s="97" t="s">
        <v>184</v>
      </c>
    </row>
    <row r="25" spans="3:20" x14ac:dyDescent="0.25">
      <c r="C25" s="32" t="s">
        <v>17</v>
      </c>
      <c r="D25" s="26">
        <v>1600</v>
      </c>
      <c r="E25" s="97" t="s">
        <v>184</v>
      </c>
    </row>
    <row r="26" spans="3:20" x14ac:dyDescent="0.25">
      <c r="C26" s="32" t="s">
        <v>150</v>
      </c>
      <c r="D26" s="26">
        <v>2800</v>
      </c>
      <c r="E26" s="97" t="s">
        <v>184</v>
      </c>
      <c r="H26" s="14" t="s">
        <v>183</v>
      </c>
    </row>
    <row r="27" spans="3:20" x14ac:dyDescent="0.25">
      <c r="C27" s="32" t="s">
        <v>180</v>
      </c>
      <c r="D27" s="26">
        <v>7500</v>
      </c>
      <c r="E27" s="97" t="s">
        <v>184</v>
      </c>
      <c r="F27" s="123">
        <f>D27/D26</f>
        <v>2.6785714285714284</v>
      </c>
    </row>
    <row r="28" spans="3:20" x14ac:dyDescent="0.25">
      <c r="C28" s="178" t="s">
        <v>268</v>
      </c>
      <c r="D28" s="28">
        <v>0.02</v>
      </c>
      <c r="E28" s="97" t="s">
        <v>269</v>
      </c>
    </row>
    <row r="29" spans="3:20" x14ac:dyDescent="0.25">
      <c r="C29" s="178" t="s">
        <v>267</v>
      </c>
      <c r="D29" s="28">
        <v>0.04</v>
      </c>
      <c r="E29" s="97" t="s">
        <v>269</v>
      </c>
    </row>
    <row r="30" spans="3:20" x14ac:dyDescent="0.25">
      <c r="C30" s="178" t="s">
        <v>264</v>
      </c>
      <c r="D30" s="33">
        <v>0.11</v>
      </c>
      <c r="E30" s="27" t="s">
        <v>20</v>
      </c>
    </row>
    <row r="31" spans="3:20" x14ac:dyDescent="0.25">
      <c r="C31" s="178" t="s">
        <v>21</v>
      </c>
      <c r="D31" s="33">
        <v>0.03</v>
      </c>
      <c r="E31" s="27"/>
      <c r="S31" s="14">
        <v>25000</v>
      </c>
      <c r="T31" s="114">
        <f>S31*4047</f>
        <v>101175000</v>
      </c>
    </row>
    <row r="32" spans="3:20" x14ac:dyDescent="0.25">
      <c r="C32" s="178" t="s">
        <v>22</v>
      </c>
      <c r="D32" s="33">
        <f>D31+D30</f>
        <v>0.14000000000000001</v>
      </c>
      <c r="E32" s="27"/>
      <c r="O32" s="152" t="e">
        <f>SUM(O35:O36)</f>
        <v>#REF!</v>
      </c>
      <c r="T32" s="114">
        <f>2.5*10^7</f>
        <v>25000000</v>
      </c>
    </row>
    <row r="33" spans="3:20" x14ac:dyDescent="0.25">
      <c r="O33" s="152"/>
      <c r="T33" s="114"/>
    </row>
    <row r="34" spans="3:20" x14ac:dyDescent="0.25">
      <c r="O34" s="152"/>
      <c r="T34" s="114"/>
    </row>
    <row r="35" spans="3:20" x14ac:dyDescent="0.25">
      <c r="D35" s="183" t="e">
        <f>G21</f>
        <v>#REF!</v>
      </c>
      <c r="E35" s="183" t="e">
        <f>D35*(1+$E$40)</f>
        <v>#REF!</v>
      </c>
      <c r="F35" s="183" t="e">
        <f t="shared" ref="F35:M35" si="1">E35*(1+$E$40)</f>
        <v>#REF!</v>
      </c>
      <c r="G35" s="183" t="e">
        <f t="shared" si="1"/>
        <v>#REF!</v>
      </c>
      <c r="H35" s="183" t="e">
        <f t="shared" si="1"/>
        <v>#REF!</v>
      </c>
      <c r="I35" s="183" t="e">
        <f t="shared" si="1"/>
        <v>#REF!</v>
      </c>
      <c r="J35" s="183" t="e">
        <f t="shared" si="1"/>
        <v>#REF!</v>
      </c>
      <c r="K35" s="183" t="e">
        <f t="shared" si="1"/>
        <v>#REF!</v>
      </c>
      <c r="L35" s="183" t="e">
        <f t="shared" si="1"/>
        <v>#REF!</v>
      </c>
      <c r="M35" s="183" t="e">
        <f t="shared" si="1"/>
        <v>#REF!</v>
      </c>
      <c r="O35" s="152" t="e">
        <f>SUM(D35:N35)</f>
        <v>#REF!</v>
      </c>
      <c r="T35" s="114">
        <f>T32/4047</f>
        <v>6177.4153694094393</v>
      </c>
    </row>
    <row r="36" spans="3:20" x14ac:dyDescent="0.25">
      <c r="D36" s="182" t="e">
        <f>G22</f>
        <v>#REF!</v>
      </c>
      <c r="E36" s="183" t="e">
        <f>D36*(1+$E$40)</f>
        <v>#REF!</v>
      </c>
      <c r="F36" s="183" t="e">
        <f t="shared" ref="F36:M36" si="2">E36*(1+$E$40)</f>
        <v>#REF!</v>
      </c>
      <c r="G36" s="183" t="e">
        <f t="shared" si="2"/>
        <v>#REF!</v>
      </c>
      <c r="H36" s="183" t="e">
        <f t="shared" si="2"/>
        <v>#REF!</v>
      </c>
      <c r="I36" s="183" t="e">
        <f t="shared" si="2"/>
        <v>#REF!</v>
      </c>
      <c r="J36" s="183" t="e">
        <f t="shared" si="2"/>
        <v>#REF!</v>
      </c>
      <c r="K36" s="183" t="e">
        <f t="shared" si="2"/>
        <v>#REF!</v>
      </c>
      <c r="L36" s="183" t="e">
        <f t="shared" si="2"/>
        <v>#REF!</v>
      </c>
      <c r="M36" s="183" t="e">
        <f t="shared" si="2"/>
        <v>#REF!</v>
      </c>
      <c r="O36" s="152" t="e">
        <f>SUM(D36:N36)</f>
        <v>#REF!</v>
      </c>
    </row>
    <row r="37" spans="3:20" x14ac:dyDescent="0.25">
      <c r="C37" s="16" t="s">
        <v>23</v>
      </c>
      <c r="D37" s="16" t="s">
        <v>24</v>
      </c>
      <c r="E37" s="16" t="s">
        <v>25</v>
      </c>
      <c r="F37" s="16" t="s">
        <v>26</v>
      </c>
      <c r="G37" s="16" t="s">
        <v>27</v>
      </c>
      <c r="H37" s="16" t="s">
        <v>28</v>
      </c>
      <c r="I37" s="16" t="s">
        <v>29</v>
      </c>
      <c r="J37" s="16" t="s">
        <v>185</v>
      </c>
      <c r="K37" s="16" t="s">
        <v>186</v>
      </c>
      <c r="L37" s="16" t="s">
        <v>236</v>
      </c>
      <c r="M37" s="16" t="s">
        <v>248</v>
      </c>
      <c r="N37" s="16" t="s">
        <v>249</v>
      </c>
    </row>
    <row r="38" spans="3:20" x14ac:dyDescent="0.25">
      <c r="C38" s="16" t="s">
        <v>30</v>
      </c>
      <c r="D38" s="17" t="s">
        <v>187</v>
      </c>
      <c r="E38" s="17" t="s">
        <v>188</v>
      </c>
      <c r="F38" s="17" t="s">
        <v>189</v>
      </c>
      <c r="G38" s="17" t="s">
        <v>190</v>
      </c>
      <c r="H38" s="17" t="s">
        <v>191</v>
      </c>
      <c r="I38" s="17" t="s">
        <v>192</v>
      </c>
      <c r="J38" s="17" t="s">
        <v>193</v>
      </c>
      <c r="K38" s="17" t="s">
        <v>194</v>
      </c>
      <c r="L38" s="17" t="s">
        <v>237</v>
      </c>
      <c r="M38" s="17" t="s">
        <v>250</v>
      </c>
      <c r="N38" s="17" t="s">
        <v>251</v>
      </c>
      <c r="O38" s="152" t="e">
        <f>O36*H42</f>
        <v>#REF!</v>
      </c>
    </row>
    <row r="39" spans="3:20" x14ac:dyDescent="0.25">
      <c r="C39" s="175" t="s">
        <v>195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152" t="e">
        <f>O38*1.025</f>
        <v>#REF!</v>
      </c>
    </row>
    <row r="40" spans="3:20" x14ac:dyDescent="0.25">
      <c r="C40" s="18" t="s">
        <v>234</v>
      </c>
      <c r="D40" s="21">
        <v>0</v>
      </c>
      <c r="E40" s="184">
        <v>0.02</v>
      </c>
      <c r="F40" s="184">
        <v>0.02</v>
      </c>
      <c r="G40" s="184">
        <v>0.02</v>
      </c>
      <c r="H40" s="184">
        <v>0.02</v>
      </c>
      <c r="I40" s="184">
        <v>0.02</v>
      </c>
      <c r="J40" s="184">
        <v>0.02</v>
      </c>
      <c r="K40" s="184">
        <v>0.02</v>
      </c>
      <c r="L40" s="184">
        <v>0.02</v>
      </c>
      <c r="M40" s="184">
        <v>0.02</v>
      </c>
      <c r="N40" s="184">
        <v>0.02</v>
      </c>
    </row>
    <row r="41" spans="3:20" x14ac:dyDescent="0.25">
      <c r="C41" s="18" t="s">
        <v>252</v>
      </c>
      <c r="D41" s="21">
        <v>0</v>
      </c>
      <c r="E41" s="23">
        <v>0.3</v>
      </c>
      <c r="F41" s="21">
        <v>0.3</v>
      </c>
      <c r="G41" s="21">
        <v>0.3</v>
      </c>
      <c r="H41" s="21">
        <v>0.1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31">
        <f>SUM(D41:L41)</f>
        <v>0.99999999999999989</v>
      </c>
    </row>
    <row r="42" spans="3:20" x14ac:dyDescent="0.25">
      <c r="C42" s="18" t="s">
        <v>253</v>
      </c>
      <c r="D42" s="21">
        <v>0</v>
      </c>
      <c r="E42" s="23">
        <v>0</v>
      </c>
      <c r="F42" s="21">
        <v>0</v>
      </c>
      <c r="G42" s="21">
        <v>0</v>
      </c>
      <c r="H42" s="21">
        <v>0.1</v>
      </c>
      <c r="I42" s="21">
        <v>0.2</v>
      </c>
      <c r="J42" s="21">
        <v>0.2</v>
      </c>
      <c r="K42" s="21">
        <v>0.2</v>
      </c>
      <c r="L42" s="21">
        <v>0.2</v>
      </c>
      <c r="M42" s="21">
        <v>0.1</v>
      </c>
      <c r="N42" s="21">
        <v>0</v>
      </c>
      <c r="O42" s="31">
        <f>SUM(D42:N42)</f>
        <v>0.99999999999999989</v>
      </c>
    </row>
    <row r="43" spans="3:20" s="123" customFormat="1" x14ac:dyDescent="0.25">
      <c r="C43" s="18" t="s">
        <v>254</v>
      </c>
      <c r="D43" s="126" t="e">
        <f>D41*D35</f>
        <v>#REF!</v>
      </c>
      <c r="E43" s="126" t="e">
        <f>E41*D35</f>
        <v>#REF!</v>
      </c>
      <c r="F43" s="126" t="e">
        <f t="shared" ref="F43:H43" si="3">F41*E35</f>
        <v>#REF!</v>
      </c>
      <c r="G43" s="126" t="e">
        <f t="shared" si="3"/>
        <v>#REF!</v>
      </c>
      <c r="H43" s="126" t="e">
        <f t="shared" si="3"/>
        <v>#REF!</v>
      </c>
      <c r="I43" s="126" t="e">
        <f t="shared" ref="I43:N43" si="4">I41*I35</f>
        <v>#REF!</v>
      </c>
      <c r="J43" s="126" t="e">
        <f t="shared" si="4"/>
        <v>#REF!</v>
      </c>
      <c r="K43" s="126" t="e">
        <f t="shared" si="4"/>
        <v>#REF!</v>
      </c>
      <c r="L43" s="126" t="e">
        <f t="shared" si="4"/>
        <v>#REF!</v>
      </c>
      <c r="M43" s="126" t="e">
        <f t="shared" si="4"/>
        <v>#REF!</v>
      </c>
      <c r="N43" s="126">
        <f t="shared" si="4"/>
        <v>0</v>
      </c>
      <c r="O43" s="123" t="e">
        <f>SUM(D43:L43)</f>
        <v>#REF!</v>
      </c>
    </row>
    <row r="44" spans="3:20" x14ac:dyDescent="0.25">
      <c r="C44" s="18" t="s">
        <v>255</v>
      </c>
      <c r="D44" s="126" t="e">
        <f>D42*D36</f>
        <v>#REF!</v>
      </c>
      <c r="E44" s="126" t="e">
        <f>E42*D36</f>
        <v>#REF!</v>
      </c>
      <c r="F44" s="126" t="e">
        <f t="shared" ref="F44:N44" si="5">F42*E36</f>
        <v>#REF!</v>
      </c>
      <c r="G44" s="126" t="e">
        <f t="shared" si="5"/>
        <v>#REF!</v>
      </c>
      <c r="H44" s="126" t="e">
        <f t="shared" si="5"/>
        <v>#REF!</v>
      </c>
      <c r="I44" s="126" t="e">
        <f t="shared" si="5"/>
        <v>#REF!</v>
      </c>
      <c r="J44" s="126" t="e">
        <f t="shared" si="5"/>
        <v>#REF!</v>
      </c>
      <c r="K44" s="126" t="e">
        <f t="shared" si="5"/>
        <v>#REF!</v>
      </c>
      <c r="L44" s="126" t="e">
        <f t="shared" si="5"/>
        <v>#REF!</v>
      </c>
      <c r="M44" s="126" t="e">
        <f t="shared" si="5"/>
        <v>#REF!</v>
      </c>
      <c r="N44" s="126" t="e">
        <f t="shared" si="5"/>
        <v>#REF!</v>
      </c>
      <c r="O44" s="123" t="e">
        <f>SUM(D44:L44)</f>
        <v>#REF!</v>
      </c>
      <c r="Q44" s="152" t="e">
        <f>G22*1.05</f>
        <v>#REF!</v>
      </c>
      <c r="R44" s="152" t="e">
        <f>Q44*1.05</f>
        <v>#REF!</v>
      </c>
    </row>
    <row r="45" spans="3:20" s="15" customFormat="1" x14ac:dyDescent="0.25">
      <c r="C45" s="173" t="s">
        <v>247</v>
      </c>
      <c r="D45" s="171" t="e">
        <f>SUM(D43:D44)</f>
        <v>#REF!</v>
      </c>
      <c r="E45" s="171" t="e">
        <f t="shared" ref="E45:M45" si="6">SUM(E43:E44)</f>
        <v>#REF!</v>
      </c>
      <c r="F45" s="171" t="e">
        <f>SUM(F43:F44)</f>
        <v>#REF!</v>
      </c>
      <c r="G45" s="171" t="e">
        <f t="shared" si="6"/>
        <v>#REF!</v>
      </c>
      <c r="H45" s="171" t="e">
        <f t="shared" si="6"/>
        <v>#REF!</v>
      </c>
      <c r="I45" s="171" t="e">
        <f t="shared" si="6"/>
        <v>#REF!</v>
      </c>
      <c r="J45" s="171" t="e">
        <f t="shared" si="6"/>
        <v>#REF!</v>
      </c>
      <c r="K45" s="171" t="e">
        <f t="shared" si="6"/>
        <v>#REF!</v>
      </c>
      <c r="L45" s="171" t="e">
        <f t="shared" si="6"/>
        <v>#REF!</v>
      </c>
      <c r="M45" s="171" t="e">
        <f t="shared" si="6"/>
        <v>#REF!</v>
      </c>
      <c r="N45" s="172">
        <v>0</v>
      </c>
      <c r="O45" s="153" t="e">
        <f>SUM(D45:L45)</f>
        <v>#REF!</v>
      </c>
    </row>
    <row r="46" spans="3:20" x14ac:dyDescent="0.25">
      <c r="C46" s="19" t="str">
        <f>C8</f>
        <v>EWS</v>
      </c>
      <c r="D46" s="20"/>
      <c r="E46" s="22"/>
      <c r="F46" s="20"/>
      <c r="G46" s="20"/>
      <c r="H46" s="20"/>
      <c r="I46" s="20"/>
      <c r="J46" s="20"/>
      <c r="K46" s="20"/>
      <c r="L46" s="20"/>
      <c r="M46" s="20"/>
      <c r="N46" s="20"/>
    </row>
    <row r="47" spans="3:20" x14ac:dyDescent="0.25">
      <c r="C47" s="18" t="s">
        <v>256</v>
      </c>
      <c r="D47" s="21">
        <v>0</v>
      </c>
      <c r="E47" s="23">
        <v>0.15</v>
      </c>
      <c r="F47" s="21">
        <v>0.2</v>
      </c>
      <c r="G47" s="21">
        <v>0.2</v>
      </c>
      <c r="H47" s="21">
        <v>0.2</v>
      </c>
      <c r="I47" s="21">
        <v>0.1</v>
      </c>
      <c r="J47" s="21">
        <v>0.1</v>
      </c>
      <c r="K47" s="21">
        <v>0.05</v>
      </c>
      <c r="L47" s="21">
        <v>0</v>
      </c>
      <c r="M47" s="21">
        <v>0</v>
      </c>
      <c r="N47" s="21">
        <v>0</v>
      </c>
      <c r="O47" s="31">
        <f>SUM(D47:N47)</f>
        <v>1</v>
      </c>
    </row>
    <row r="48" spans="3:20" x14ac:dyDescent="0.25">
      <c r="C48" s="18" t="s">
        <v>257</v>
      </c>
      <c r="D48" s="21">
        <v>0</v>
      </c>
      <c r="E48" s="23">
        <v>0</v>
      </c>
      <c r="F48" s="21">
        <v>0</v>
      </c>
      <c r="G48" s="21">
        <v>0</v>
      </c>
      <c r="H48" s="21">
        <v>0.1</v>
      </c>
      <c r="I48" s="21">
        <v>0.1</v>
      </c>
      <c r="J48" s="21">
        <v>0.2</v>
      </c>
      <c r="K48" s="21">
        <v>0.2</v>
      </c>
      <c r="L48" s="21">
        <v>0.2</v>
      </c>
      <c r="M48" s="21">
        <v>0.1</v>
      </c>
      <c r="N48" s="21">
        <v>0.1</v>
      </c>
      <c r="O48" s="31">
        <f>SUM(D48:N48)</f>
        <v>1</v>
      </c>
    </row>
    <row r="49" spans="3:20" x14ac:dyDescent="0.25">
      <c r="C49" s="18" t="s">
        <v>258</v>
      </c>
      <c r="D49" s="29">
        <f>D47*$D$9</f>
        <v>0</v>
      </c>
      <c r="E49" s="29">
        <f t="shared" ref="E49:I49" si="7">E47*$D$9</f>
        <v>25694.524419249447</v>
      </c>
      <c r="F49" s="29">
        <f t="shared" si="7"/>
        <v>34259.365892332593</v>
      </c>
      <c r="G49" s="29">
        <f t="shared" si="7"/>
        <v>34259.365892332593</v>
      </c>
      <c r="H49" s="29">
        <f t="shared" si="7"/>
        <v>34259.365892332593</v>
      </c>
      <c r="I49" s="29">
        <f t="shared" si="7"/>
        <v>17129.682946166296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114">
        <f t="shared" ref="O49:O52" si="8">SUM(D49:N49)</f>
        <v>145602.30504241353</v>
      </c>
    </row>
    <row r="50" spans="3:20" x14ac:dyDescent="0.25">
      <c r="C50" s="18" t="s">
        <v>259</v>
      </c>
      <c r="D50" s="29">
        <v>0</v>
      </c>
      <c r="E50" s="29">
        <v>0</v>
      </c>
      <c r="F50" s="29">
        <v>0</v>
      </c>
      <c r="G50" s="29">
        <v>0</v>
      </c>
      <c r="H50" s="127">
        <f>H48*$D$10</f>
        <v>48941.951274760853</v>
      </c>
      <c r="I50" s="127">
        <f t="shared" ref="I50:N50" si="9">I48*$D$10</f>
        <v>48941.951274760853</v>
      </c>
      <c r="J50" s="127">
        <f t="shared" si="9"/>
        <v>97883.902549521707</v>
      </c>
      <c r="K50" s="127">
        <f t="shared" si="9"/>
        <v>97883.902549521707</v>
      </c>
      <c r="L50" s="127">
        <f t="shared" si="9"/>
        <v>97883.902549521707</v>
      </c>
      <c r="M50" s="127">
        <f t="shared" si="9"/>
        <v>48941.951274760853</v>
      </c>
      <c r="N50" s="127">
        <f t="shared" si="9"/>
        <v>48941.951274760853</v>
      </c>
      <c r="O50" s="114">
        <f t="shared" si="8"/>
        <v>489419.51274760859</v>
      </c>
    </row>
    <row r="51" spans="3:20" x14ac:dyDescent="0.25">
      <c r="C51" s="18" t="s">
        <v>197</v>
      </c>
      <c r="D51" s="29">
        <f>D24</f>
        <v>1600</v>
      </c>
      <c r="E51" s="29">
        <f>D51*(1+$D$29)</f>
        <v>1664</v>
      </c>
      <c r="F51" s="29">
        <f t="shared" ref="F51:N51" si="10">E51*(1+$D$29)</f>
        <v>1730.56</v>
      </c>
      <c r="G51" s="29">
        <f t="shared" si="10"/>
        <v>1799.7824000000001</v>
      </c>
      <c r="H51" s="29">
        <f t="shared" si="10"/>
        <v>1871.7736960000002</v>
      </c>
      <c r="I51" s="29">
        <f t="shared" si="10"/>
        <v>1946.6446438400003</v>
      </c>
      <c r="J51" s="29">
        <f t="shared" si="10"/>
        <v>2024.5104295936003</v>
      </c>
      <c r="K51" s="29">
        <f t="shared" si="10"/>
        <v>2105.4908467773444</v>
      </c>
      <c r="L51" s="29">
        <f t="shared" si="10"/>
        <v>2189.7104806484381</v>
      </c>
      <c r="M51" s="29">
        <f t="shared" si="10"/>
        <v>2277.2988998743758</v>
      </c>
      <c r="N51" s="29">
        <f t="shared" si="10"/>
        <v>2368.3908558693511</v>
      </c>
      <c r="O51" s="174"/>
      <c r="P51" s="152"/>
      <c r="Q51" s="174"/>
      <c r="R51" s="152"/>
      <c r="S51" s="174"/>
      <c r="T51" s="152"/>
    </row>
    <row r="52" spans="3:20" s="15" customFormat="1" x14ac:dyDescent="0.25">
      <c r="C52" s="1" t="s">
        <v>198</v>
      </c>
      <c r="D52" s="98">
        <f>D51*(D50+D49)/10^7</f>
        <v>0</v>
      </c>
      <c r="E52" s="98">
        <f t="shared" ref="E52:N52" si="11">E51*(E50+E49)/10^7</f>
        <v>4.2755688633631079</v>
      </c>
      <c r="F52" s="98">
        <f t="shared" si="11"/>
        <v>5.9287888238635089</v>
      </c>
      <c r="G52" s="98">
        <f t="shared" si="11"/>
        <v>6.1659403768180496</v>
      </c>
      <c r="H52" s="98">
        <f t="shared" si="11"/>
        <v>15.573403694591876</v>
      </c>
      <c r="I52" s="98">
        <f t="shared" si="11"/>
        <v>12.861799286592351</v>
      </c>
      <c r="J52" s="98">
        <f t="shared" si="11"/>
        <v>19.816698160083028</v>
      </c>
      <c r="K52" s="98">
        <f t="shared" si="11"/>
        <v>20.60936608648635</v>
      </c>
      <c r="L52" s="98">
        <f t="shared" si="11"/>
        <v>21.433740729945807</v>
      </c>
      <c r="M52" s="98">
        <f t="shared" si="11"/>
        <v>11.145545179571819</v>
      </c>
      <c r="N52" s="98">
        <f t="shared" si="11"/>
        <v>11.591366986754693</v>
      </c>
      <c r="O52" s="153">
        <f t="shared" si="8"/>
        <v>129.40221818807061</v>
      </c>
    </row>
    <row r="53" spans="3:20" x14ac:dyDescent="0.25">
      <c r="C53" s="19" t="str">
        <f>C25</f>
        <v>LIG</v>
      </c>
      <c r="D53" s="20"/>
      <c r="E53" s="22"/>
      <c r="F53" s="20"/>
      <c r="G53" s="20"/>
      <c r="H53" s="20"/>
      <c r="I53" s="20"/>
      <c r="J53" s="20"/>
      <c r="K53" s="20"/>
      <c r="L53" s="20"/>
      <c r="M53" s="20"/>
      <c r="N53" s="20"/>
    </row>
    <row r="54" spans="3:20" x14ac:dyDescent="0.25">
      <c r="C54" s="18" t="s">
        <v>256</v>
      </c>
      <c r="D54" s="21">
        <v>0</v>
      </c>
      <c r="E54" s="23">
        <v>0.15</v>
      </c>
      <c r="F54" s="21">
        <v>0.2</v>
      </c>
      <c r="G54" s="21">
        <v>0.2</v>
      </c>
      <c r="H54" s="21">
        <v>0.2</v>
      </c>
      <c r="I54" s="21">
        <v>0.1</v>
      </c>
      <c r="J54" s="21">
        <v>0.1</v>
      </c>
      <c r="K54" s="21">
        <v>0</v>
      </c>
      <c r="L54" s="21">
        <v>0</v>
      </c>
      <c r="M54" s="21">
        <v>0</v>
      </c>
      <c r="N54" s="21">
        <v>0</v>
      </c>
    </row>
    <row r="55" spans="3:20" x14ac:dyDescent="0.25">
      <c r="C55" s="18" t="s">
        <v>257</v>
      </c>
      <c r="D55" s="21">
        <v>0</v>
      </c>
      <c r="E55" s="23">
        <v>0</v>
      </c>
      <c r="F55" s="21">
        <v>0</v>
      </c>
      <c r="G55" s="21">
        <v>0</v>
      </c>
      <c r="H55" s="21">
        <v>0.1</v>
      </c>
      <c r="I55" s="21">
        <v>0.1</v>
      </c>
      <c r="J55" s="21">
        <v>0.2</v>
      </c>
      <c r="K55" s="21">
        <v>0.2</v>
      </c>
      <c r="L55" s="21">
        <v>0.2</v>
      </c>
      <c r="M55" s="21">
        <v>0.1</v>
      </c>
      <c r="N55" s="21">
        <v>0.05</v>
      </c>
    </row>
    <row r="56" spans="3:20" x14ac:dyDescent="0.25">
      <c r="C56" s="18" t="s">
        <v>258</v>
      </c>
      <c r="D56" s="29">
        <f>D54*$D$12</f>
        <v>0</v>
      </c>
      <c r="E56" s="29">
        <f t="shared" ref="E56:I56" si="12">E54*$D$12</f>
        <v>13568.214333394748</v>
      </c>
      <c r="F56" s="29">
        <f t="shared" si="12"/>
        <v>18090.952444526334</v>
      </c>
      <c r="G56" s="29">
        <f t="shared" si="12"/>
        <v>18090.952444526334</v>
      </c>
      <c r="H56" s="29">
        <f t="shared" si="12"/>
        <v>18090.952444526334</v>
      </c>
      <c r="I56" s="29">
        <f t="shared" si="12"/>
        <v>9045.4762222631671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</row>
    <row r="57" spans="3:20" x14ac:dyDescent="0.25">
      <c r="C57" s="18" t="s">
        <v>259</v>
      </c>
      <c r="D57" s="29">
        <v>0</v>
      </c>
      <c r="E57" s="29">
        <v>0</v>
      </c>
      <c r="F57" s="29">
        <v>0</v>
      </c>
      <c r="G57" s="29">
        <v>0</v>
      </c>
      <c r="H57" s="127">
        <f>H55*$D$13</f>
        <v>15226.551640809666</v>
      </c>
      <c r="I57" s="127">
        <f t="shared" ref="I57:N57" si="13">I55*$D$13</f>
        <v>15226.551640809666</v>
      </c>
      <c r="J57" s="127">
        <f t="shared" si="13"/>
        <v>30453.103281619333</v>
      </c>
      <c r="K57" s="127">
        <f t="shared" si="13"/>
        <v>30453.103281619333</v>
      </c>
      <c r="L57" s="127">
        <f t="shared" si="13"/>
        <v>30453.103281619333</v>
      </c>
      <c r="M57" s="127">
        <f t="shared" si="13"/>
        <v>15226.551640809666</v>
      </c>
      <c r="N57" s="127">
        <f t="shared" si="13"/>
        <v>7613.2758204048332</v>
      </c>
    </row>
    <row r="58" spans="3:20" x14ac:dyDescent="0.25">
      <c r="C58" s="18" t="s">
        <v>197</v>
      </c>
      <c r="D58" s="29">
        <f>D25</f>
        <v>1600</v>
      </c>
      <c r="E58" s="29">
        <f>D58*(1+$D$29)</f>
        <v>1664</v>
      </c>
      <c r="F58" s="29">
        <f t="shared" ref="F58:N58" si="14">E58*(1+$D$29)</f>
        <v>1730.56</v>
      </c>
      <c r="G58" s="29">
        <f t="shared" si="14"/>
        <v>1799.7824000000001</v>
      </c>
      <c r="H58" s="29">
        <f t="shared" si="14"/>
        <v>1871.7736960000002</v>
      </c>
      <c r="I58" s="29">
        <f t="shared" si="14"/>
        <v>1946.6446438400003</v>
      </c>
      <c r="J58" s="29">
        <f t="shared" si="14"/>
        <v>2024.5104295936003</v>
      </c>
      <c r="K58" s="29">
        <f t="shared" si="14"/>
        <v>2105.4908467773444</v>
      </c>
      <c r="L58" s="29">
        <f t="shared" si="14"/>
        <v>2189.7104806484381</v>
      </c>
      <c r="M58" s="29">
        <f t="shared" si="14"/>
        <v>2277.2988998743758</v>
      </c>
      <c r="N58" s="29">
        <f t="shared" si="14"/>
        <v>2368.3908558693511</v>
      </c>
    </row>
    <row r="59" spans="3:20" s="15" customFormat="1" x14ac:dyDescent="0.25">
      <c r="C59" s="1" t="s">
        <v>200</v>
      </c>
      <c r="D59" s="98">
        <f>D58*(D57+D56)/10^7</f>
        <v>0</v>
      </c>
      <c r="E59" s="98">
        <f t="shared" ref="E59:N59" si="15">E58*(E57+E56)/10^7</f>
        <v>2.2577508650768863</v>
      </c>
      <c r="F59" s="98">
        <f t="shared" si="15"/>
        <v>3.1307478662399495</v>
      </c>
      <c r="G59" s="98">
        <f t="shared" si="15"/>
        <v>3.2559777808895474</v>
      </c>
      <c r="H59" s="98">
        <f t="shared" si="15"/>
        <v>6.2362827763304463</v>
      </c>
      <c r="I59" s="98">
        <f t="shared" si="15"/>
        <v>4.7249013034785987</v>
      </c>
      <c r="J59" s="98">
        <f t="shared" si="15"/>
        <v>6.1652625207129432</v>
      </c>
      <c r="K59" s="98">
        <f t="shared" si="15"/>
        <v>6.411873021541461</v>
      </c>
      <c r="L59" s="98">
        <f t="shared" si="15"/>
        <v>6.6683479424031198</v>
      </c>
      <c r="M59" s="98">
        <f t="shared" si="15"/>
        <v>3.4675409300496227</v>
      </c>
      <c r="N59" s="98">
        <f t="shared" si="15"/>
        <v>1.8031212836258039</v>
      </c>
      <c r="O59" s="153">
        <f t="shared" ref="O59" si="16">SUM(D59:N59)</f>
        <v>44.121806290348381</v>
      </c>
    </row>
    <row r="60" spans="3:20" x14ac:dyDescent="0.25">
      <c r="C60" s="19" t="s">
        <v>150</v>
      </c>
      <c r="D60" s="20"/>
      <c r="E60" s="22"/>
      <c r="F60" s="20"/>
      <c r="G60" s="20"/>
      <c r="H60" s="20"/>
      <c r="I60" s="20"/>
      <c r="J60" s="20"/>
      <c r="K60" s="20"/>
      <c r="L60" s="20"/>
      <c r="M60" s="20"/>
      <c r="N60" s="20"/>
    </row>
    <row r="61" spans="3:20" x14ac:dyDescent="0.25">
      <c r="C61" s="18" t="s">
        <v>256</v>
      </c>
      <c r="D61" s="21">
        <v>0</v>
      </c>
      <c r="E61" s="23">
        <v>0.15</v>
      </c>
      <c r="F61" s="21">
        <v>0.2</v>
      </c>
      <c r="G61" s="21">
        <v>0.2</v>
      </c>
      <c r="H61" s="21">
        <v>0.2</v>
      </c>
      <c r="I61" s="21">
        <v>0.1</v>
      </c>
      <c r="J61" s="21">
        <v>0.1</v>
      </c>
      <c r="K61" s="21">
        <v>0</v>
      </c>
      <c r="L61" s="21">
        <v>0</v>
      </c>
      <c r="M61" s="21">
        <v>0</v>
      </c>
      <c r="N61" s="21">
        <v>0</v>
      </c>
    </row>
    <row r="62" spans="3:20" x14ac:dyDescent="0.25">
      <c r="C62" s="18" t="s">
        <v>257</v>
      </c>
      <c r="D62" s="21">
        <v>0</v>
      </c>
      <c r="E62" s="23">
        <v>0</v>
      </c>
      <c r="F62" s="21">
        <v>0</v>
      </c>
      <c r="G62" s="21">
        <v>0</v>
      </c>
      <c r="H62" s="21">
        <v>0.1</v>
      </c>
      <c r="I62" s="21">
        <v>0.1</v>
      </c>
      <c r="J62" s="21">
        <v>0.2</v>
      </c>
      <c r="K62" s="21">
        <v>0.2</v>
      </c>
      <c r="L62" s="21">
        <v>0.2</v>
      </c>
      <c r="M62" s="21">
        <v>0.1</v>
      </c>
      <c r="N62" s="21">
        <v>0.05</v>
      </c>
    </row>
    <row r="63" spans="3:20" x14ac:dyDescent="0.25">
      <c r="C63" s="18" t="s">
        <v>258</v>
      </c>
      <c r="D63" s="29">
        <f>D61*$D$15</f>
        <v>0</v>
      </c>
      <c r="E63" s="29">
        <f t="shared" ref="E63:I63" si="17">E61*$D$15</f>
        <v>121540.0469677099</v>
      </c>
      <c r="F63" s="29">
        <f t="shared" si="17"/>
        <v>162053.39595694654</v>
      </c>
      <c r="G63" s="29">
        <f t="shared" si="17"/>
        <v>162053.39595694654</v>
      </c>
      <c r="H63" s="29">
        <f t="shared" si="17"/>
        <v>162053.39595694654</v>
      </c>
      <c r="I63" s="29">
        <f t="shared" si="17"/>
        <v>81026.697978473268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</row>
    <row r="64" spans="3:20" x14ac:dyDescent="0.25">
      <c r="C64" s="18" t="s">
        <v>259</v>
      </c>
      <c r="D64" s="29">
        <v>0</v>
      </c>
      <c r="E64" s="29">
        <v>0</v>
      </c>
      <c r="F64" s="29">
        <v>0</v>
      </c>
      <c r="G64" s="29">
        <v>0</v>
      </c>
      <c r="H64" s="127">
        <f>H62*$D$16</f>
        <v>255973.34597352671</v>
      </c>
      <c r="I64" s="127">
        <f t="shared" ref="I64:N64" si="18">I62*$D$16</f>
        <v>255973.34597352671</v>
      </c>
      <c r="J64" s="127">
        <f t="shared" si="18"/>
        <v>511946.69194705342</v>
      </c>
      <c r="K64" s="127">
        <f t="shared" si="18"/>
        <v>511946.69194705342</v>
      </c>
      <c r="L64" s="127">
        <f t="shared" si="18"/>
        <v>511946.69194705342</v>
      </c>
      <c r="M64" s="127">
        <f t="shared" si="18"/>
        <v>255973.34597352671</v>
      </c>
      <c r="N64" s="127">
        <f t="shared" si="18"/>
        <v>127986.67298676335</v>
      </c>
    </row>
    <row r="65" spans="1:15" x14ac:dyDescent="0.25">
      <c r="C65" s="18" t="s">
        <v>197</v>
      </c>
      <c r="D65" s="29">
        <f>D26</f>
        <v>2800</v>
      </c>
      <c r="E65" s="29">
        <f>D65*(1+$D$29)</f>
        <v>2912</v>
      </c>
      <c r="F65" s="29">
        <f t="shared" ref="F65:N65" si="19">E65*(1+$D$29)</f>
        <v>3028.48</v>
      </c>
      <c r="G65" s="29">
        <f t="shared" si="19"/>
        <v>3149.6192000000001</v>
      </c>
      <c r="H65" s="29">
        <f t="shared" si="19"/>
        <v>3275.6039680000004</v>
      </c>
      <c r="I65" s="29">
        <f t="shared" si="19"/>
        <v>3406.6281267200006</v>
      </c>
      <c r="J65" s="29">
        <f t="shared" si="19"/>
        <v>3542.8932517888006</v>
      </c>
      <c r="K65" s="29">
        <f t="shared" si="19"/>
        <v>3684.6089818603527</v>
      </c>
      <c r="L65" s="29">
        <f t="shared" si="19"/>
        <v>3831.993341134767</v>
      </c>
      <c r="M65" s="29">
        <f t="shared" si="19"/>
        <v>3985.2730747801579</v>
      </c>
      <c r="N65" s="29">
        <f t="shared" si="19"/>
        <v>4144.6839977713644</v>
      </c>
    </row>
    <row r="66" spans="1:15" s="15" customFormat="1" x14ac:dyDescent="0.25">
      <c r="C66" s="1" t="s">
        <v>201</v>
      </c>
      <c r="D66" s="98">
        <f>D65*(D64+D63)/10^7</f>
        <v>0</v>
      </c>
      <c r="E66" s="98">
        <f t="shared" ref="E66:N66" si="20">E65*(E64+E63)/10^7</f>
        <v>35.392461676997122</v>
      </c>
      <c r="F66" s="98">
        <f t="shared" si="20"/>
        <v>49.077546858769345</v>
      </c>
      <c r="G66" s="98">
        <f t="shared" si="20"/>
        <v>51.040648733120122</v>
      </c>
      <c r="H66" s="98">
        <f t="shared" si="20"/>
        <v>136.92900545975701</v>
      </c>
      <c r="I66" s="98">
        <f t="shared" si="20"/>
        <v>114.80338284327595</v>
      </c>
      <c r="J66" s="98">
        <f t="shared" si="20"/>
        <v>181.37724801748155</v>
      </c>
      <c r="K66" s="98">
        <f t="shared" si="20"/>
        <v>188.6323379381808</v>
      </c>
      <c r="L66" s="98">
        <f t="shared" si="20"/>
        <v>196.17763145570805</v>
      </c>
      <c r="M66" s="98">
        <f t="shared" si="20"/>
        <v>102.0123683569682</v>
      </c>
      <c r="N66" s="98">
        <f t="shared" si="20"/>
        <v>53.046431545623463</v>
      </c>
      <c r="O66" s="153">
        <f t="shared" ref="O66" si="21">SUM(D66:N66)</f>
        <v>1108.4890628858814</v>
      </c>
    </row>
    <row r="67" spans="1:15" x14ac:dyDescent="0.25">
      <c r="C67" s="19" t="s">
        <v>151</v>
      </c>
      <c r="D67" s="20"/>
      <c r="E67" s="22"/>
      <c r="F67" s="20"/>
      <c r="G67" s="20"/>
      <c r="H67" s="20"/>
      <c r="I67" s="20"/>
      <c r="J67" s="20"/>
      <c r="K67" s="20"/>
      <c r="L67" s="20"/>
      <c r="M67" s="20"/>
      <c r="N67" s="20"/>
    </row>
    <row r="68" spans="1:15" x14ac:dyDescent="0.25">
      <c r="C68" s="18" t="s">
        <v>256</v>
      </c>
      <c r="D68" s="21">
        <v>0</v>
      </c>
      <c r="E68" s="23">
        <v>0.1</v>
      </c>
      <c r="F68" s="23">
        <v>0.1</v>
      </c>
      <c r="G68" s="23">
        <v>0.2</v>
      </c>
      <c r="H68" s="23">
        <v>0.2</v>
      </c>
      <c r="I68" s="21">
        <v>0.1</v>
      </c>
      <c r="J68" s="21">
        <v>0.1</v>
      </c>
      <c r="K68" s="21">
        <v>0.1</v>
      </c>
      <c r="L68" s="21">
        <v>0.1</v>
      </c>
      <c r="M68" s="21">
        <v>0</v>
      </c>
      <c r="N68" s="21">
        <v>0</v>
      </c>
      <c r="O68" s="31">
        <f>SUM(D68:N68)</f>
        <v>1</v>
      </c>
    </row>
    <row r="69" spans="1:15" x14ac:dyDescent="0.25">
      <c r="C69" s="18" t="s">
        <v>257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31">
        <f>SUM(D69:N69)</f>
        <v>0</v>
      </c>
    </row>
    <row r="70" spans="1:15" x14ac:dyDescent="0.25">
      <c r="C70" s="18" t="s">
        <v>258</v>
      </c>
      <c r="D70" s="29">
        <f>D68*$D$21</f>
        <v>0</v>
      </c>
      <c r="E70" s="182">
        <f>E68*$D$18</f>
        <v>1174.8152520000001</v>
      </c>
      <c r="F70" s="182">
        <f t="shared" ref="F70:K70" si="22">F68*$D$18</f>
        <v>1174.8152520000001</v>
      </c>
      <c r="G70" s="182">
        <f t="shared" si="22"/>
        <v>2349.6305040000002</v>
      </c>
      <c r="H70" s="182">
        <f t="shared" si="22"/>
        <v>2349.6305040000002</v>
      </c>
      <c r="I70" s="182">
        <f t="shared" si="22"/>
        <v>1174.8152520000001</v>
      </c>
      <c r="J70" s="182">
        <f t="shared" si="22"/>
        <v>1174.8152520000001</v>
      </c>
      <c r="K70" s="182">
        <f t="shared" si="22"/>
        <v>1174.8152520000001</v>
      </c>
      <c r="L70" s="29">
        <f t="shared" ref="L70:N70" si="23">L68*$D$21</f>
        <v>108376.67239890274</v>
      </c>
      <c r="M70" s="29">
        <f t="shared" si="23"/>
        <v>0</v>
      </c>
      <c r="N70" s="29">
        <f t="shared" si="23"/>
        <v>0</v>
      </c>
      <c r="O70" s="174">
        <f>SUM(D70:N70)</f>
        <v>118950.00966690274</v>
      </c>
    </row>
    <row r="71" spans="1:15" x14ac:dyDescent="0.25">
      <c r="C71" s="18" t="s">
        <v>259</v>
      </c>
      <c r="D71" s="29">
        <f>D69*$D$22</f>
        <v>0</v>
      </c>
      <c r="E71" s="29">
        <f t="shared" ref="E71:N71" si="24">E69*$D$22</f>
        <v>0</v>
      </c>
      <c r="F71" s="29">
        <f t="shared" si="24"/>
        <v>0</v>
      </c>
      <c r="G71" s="29">
        <f t="shared" si="24"/>
        <v>0</v>
      </c>
      <c r="H71" s="29">
        <f t="shared" si="24"/>
        <v>0</v>
      </c>
      <c r="I71" s="29">
        <f t="shared" si="24"/>
        <v>0</v>
      </c>
      <c r="J71" s="29">
        <f t="shared" si="24"/>
        <v>0</v>
      </c>
      <c r="K71" s="29">
        <f t="shared" si="24"/>
        <v>0</v>
      </c>
      <c r="L71" s="29">
        <f t="shared" si="24"/>
        <v>0</v>
      </c>
      <c r="M71" s="29">
        <f t="shared" si="24"/>
        <v>0</v>
      </c>
      <c r="N71" s="29">
        <f t="shared" si="24"/>
        <v>0</v>
      </c>
      <c r="O71" s="174">
        <f>SUM(D71:N71)</f>
        <v>0</v>
      </c>
    </row>
    <row r="72" spans="1:15" x14ac:dyDescent="0.25">
      <c r="C72" s="18" t="s">
        <v>197</v>
      </c>
      <c r="D72" s="29">
        <f>D27</f>
        <v>7500</v>
      </c>
      <c r="E72" s="29">
        <f>D72*(1+$D$29)</f>
        <v>7800</v>
      </c>
      <c r="F72" s="29">
        <f t="shared" ref="F72:N72" si="25">E72*(1+$D$29)</f>
        <v>8112</v>
      </c>
      <c r="G72" s="29">
        <f t="shared" si="25"/>
        <v>8436.48</v>
      </c>
      <c r="H72" s="29">
        <f t="shared" si="25"/>
        <v>8773.9392000000007</v>
      </c>
      <c r="I72" s="29">
        <f t="shared" si="25"/>
        <v>9124.8967680000005</v>
      </c>
      <c r="J72" s="29">
        <f t="shared" si="25"/>
        <v>9489.8926387200008</v>
      </c>
      <c r="K72" s="29">
        <f t="shared" si="25"/>
        <v>9869.4883442688006</v>
      </c>
      <c r="L72" s="29">
        <f t="shared" si="25"/>
        <v>10264.267878039553</v>
      </c>
      <c r="M72" s="29">
        <f t="shared" si="25"/>
        <v>10674.838593161136</v>
      </c>
      <c r="N72" s="29">
        <f t="shared" si="25"/>
        <v>11101.832136887582</v>
      </c>
    </row>
    <row r="73" spans="1:15" s="15" customFormat="1" x14ac:dyDescent="0.25">
      <c r="C73" s="1" t="s">
        <v>202</v>
      </c>
      <c r="D73" s="98">
        <f>D72*(D71+D70)/10^7</f>
        <v>0</v>
      </c>
      <c r="E73" s="98">
        <f t="shared" ref="E73:N73" si="26">E72*(E71+E70)/10^7</f>
        <v>0.91635589656000005</v>
      </c>
      <c r="F73" s="98">
        <f t="shared" si="26"/>
        <v>0.95301013242240007</v>
      </c>
      <c r="G73" s="98">
        <f t="shared" si="26"/>
        <v>1.9822610754385923</v>
      </c>
      <c r="H73" s="98">
        <f t="shared" si="26"/>
        <v>2.0615515184561359</v>
      </c>
      <c r="I73" s="98">
        <f t="shared" si="26"/>
        <v>1.0720067895971908</v>
      </c>
      <c r="J73" s="98">
        <f t="shared" si="26"/>
        <v>1.1148870611810784</v>
      </c>
      <c r="K73" s="98">
        <f t="shared" si="26"/>
        <v>1.1594825436283214</v>
      </c>
      <c r="L73" s="98">
        <f t="shared" si="26"/>
        <v>111.24071972328731</v>
      </c>
      <c r="M73" s="98">
        <f t="shared" si="26"/>
        <v>0</v>
      </c>
      <c r="N73" s="98">
        <f t="shared" si="26"/>
        <v>0</v>
      </c>
      <c r="O73" s="153">
        <f t="shared" ref="O73:O76" si="27">SUM(D73:N73)</f>
        <v>120.50027474057103</v>
      </c>
    </row>
    <row r="74" spans="1:15" x14ac:dyDescent="0.25">
      <c r="A74" s="14" t="s">
        <v>199</v>
      </c>
      <c r="C74" s="18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</row>
    <row r="75" spans="1:15" s="15" customFormat="1" x14ac:dyDescent="0.25">
      <c r="C75" s="1" t="s">
        <v>260</v>
      </c>
      <c r="D75" s="98">
        <f>D73+D66+D59+D52</f>
        <v>0</v>
      </c>
      <c r="E75" s="98">
        <f t="shared" ref="E75:N75" si="28">E73+E66+E59+E52</f>
        <v>42.842137301997113</v>
      </c>
      <c r="F75" s="98">
        <f t="shared" si="28"/>
        <v>59.090093681295201</v>
      </c>
      <c r="G75" s="98">
        <f t="shared" si="28"/>
        <v>62.44482796626631</v>
      </c>
      <c r="H75" s="98">
        <f t="shared" si="28"/>
        <v>160.80024344913548</v>
      </c>
      <c r="I75" s="98">
        <f t="shared" si="28"/>
        <v>133.46209022294411</v>
      </c>
      <c r="J75" s="98">
        <f t="shared" si="28"/>
        <v>208.47409575945858</v>
      </c>
      <c r="K75" s="98">
        <f t="shared" si="28"/>
        <v>216.81305958983691</v>
      </c>
      <c r="L75" s="98">
        <f t="shared" si="28"/>
        <v>335.52043985134424</v>
      </c>
      <c r="M75" s="98">
        <f t="shared" si="28"/>
        <v>116.62545446658964</v>
      </c>
      <c r="N75" s="98">
        <f t="shared" si="28"/>
        <v>66.440919816003969</v>
      </c>
      <c r="O75" s="153">
        <f t="shared" si="27"/>
        <v>1402.5133621048717</v>
      </c>
    </row>
    <row r="76" spans="1:15" x14ac:dyDescent="0.25">
      <c r="C76" s="18" t="s">
        <v>261</v>
      </c>
      <c r="D76" s="98" t="e">
        <f>D75-D45</f>
        <v>#REF!</v>
      </c>
      <c r="E76" s="98" t="e">
        <f t="shared" ref="E76:N76" si="29">E75-E45</f>
        <v>#REF!</v>
      </c>
      <c r="F76" s="98" t="e">
        <f t="shared" si="29"/>
        <v>#REF!</v>
      </c>
      <c r="G76" s="98" t="e">
        <f t="shared" si="29"/>
        <v>#REF!</v>
      </c>
      <c r="H76" s="98" t="e">
        <f t="shared" si="29"/>
        <v>#REF!</v>
      </c>
      <c r="I76" s="98" t="e">
        <f t="shared" si="29"/>
        <v>#REF!</v>
      </c>
      <c r="J76" s="98" t="e">
        <f t="shared" si="29"/>
        <v>#REF!</v>
      </c>
      <c r="K76" s="98" t="e">
        <f t="shared" si="29"/>
        <v>#REF!</v>
      </c>
      <c r="L76" s="98" t="e">
        <f t="shared" si="29"/>
        <v>#REF!</v>
      </c>
      <c r="M76" s="98" t="e">
        <f t="shared" si="29"/>
        <v>#REF!</v>
      </c>
      <c r="N76" s="98">
        <f t="shared" si="29"/>
        <v>66.440919816003969</v>
      </c>
      <c r="O76" s="153" t="e">
        <f t="shared" si="27"/>
        <v>#REF!</v>
      </c>
    </row>
    <row r="77" spans="1:15" x14ac:dyDescent="0.25">
      <c r="C77" s="1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</row>
    <row r="78" spans="1:15" x14ac:dyDescent="0.25">
      <c r="C78" s="175" t="s">
        <v>31</v>
      </c>
      <c r="D78" s="98">
        <v>0.5</v>
      </c>
      <c r="E78" s="98">
        <f>D78+1</f>
        <v>1.5</v>
      </c>
      <c r="F78" s="98">
        <f t="shared" ref="F78:N78" si="30">E78+1</f>
        <v>2.5</v>
      </c>
      <c r="G78" s="98">
        <f t="shared" si="30"/>
        <v>3.5</v>
      </c>
      <c r="H78" s="98">
        <f t="shared" si="30"/>
        <v>4.5</v>
      </c>
      <c r="I78" s="98">
        <f t="shared" si="30"/>
        <v>5.5</v>
      </c>
      <c r="J78" s="98">
        <f t="shared" si="30"/>
        <v>6.5</v>
      </c>
      <c r="K78" s="98">
        <f t="shared" si="30"/>
        <v>7.5</v>
      </c>
      <c r="L78" s="98">
        <f t="shared" si="30"/>
        <v>8.5</v>
      </c>
      <c r="M78" s="98">
        <f t="shared" si="30"/>
        <v>9.5</v>
      </c>
      <c r="N78" s="98">
        <f t="shared" si="30"/>
        <v>10.5</v>
      </c>
    </row>
    <row r="79" spans="1:15" x14ac:dyDescent="0.25">
      <c r="C79" s="175" t="s">
        <v>32</v>
      </c>
      <c r="D79" s="98">
        <f>1/(1+$D$32)^D78</f>
        <v>0.93658581158169396</v>
      </c>
      <c r="E79" s="98">
        <f t="shared" ref="E79:N79" si="31">1/(1+$D$32)^E78</f>
        <v>0.82156650138745069</v>
      </c>
      <c r="F79" s="98">
        <f t="shared" si="31"/>
        <v>0.72067236963811454</v>
      </c>
      <c r="G79" s="98">
        <f t="shared" si="31"/>
        <v>0.63216874529659162</v>
      </c>
      <c r="H79" s="98">
        <f t="shared" si="31"/>
        <v>0.55453398710227331</v>
      </c>
      <c r="I79" s="98">
        <f t="shared" si="31"/>
        <v>0.48643332201953804</v>
      </c>
      <c r="J79" s="98">
        <f t="shared" si="31"/>
        <v>0.42669589650836653</v>
      </c>
      <c r="K79" s="98">
        <f t="shared" si="31"/>
        <v>0.3742946460599707</v>
      </c>
      <c r="L79" s="98">
        <f t="shared" si="31"/>
        <v>0.32832863689471109</v>
      </c>
      <c r="M79" s="98">
        <f t="shared" si="31"/>
        <v>0.28800757622343076</v>
      </c>
      <c r="N79" s="98">
        <f t="shared" si="31"/>
        <v>0.25263822475739534</v>
      </c>
    </row>
    <row r="80" spans="1:15" x14ac:dyDescent="0.25">
      <c r="A80" s="14" t="s">
        <v>213</v>
      </c>
      <c r="C80" s="175" t="s">
        <v>33</v>
      </c>
      <c r="D80" s="98" t="e">
        <f>D79*D76</f>
        <v>#REF!</v>
      </c>
      <c r="E80" s="98" t="e">
        <f t="shared" ref="E80:N80" si="32">E79*E76</f>
        <v>#REF!</v>
      </c>
      <c r="F80" s="98" t="e">
        <f t="shared" si="32"/>
        <v>#REF!</v>
      </c>
      <c r="G80" s="98" t="e">
        <f t="shared" si="32"/>
        <v>#REF!</v>
      </c>
      <c r="H80" s="98" t="e">
        <f t="shared" si="32"/>
        <v>#REF!</v>
      </c>
      <c r="I80" s="98" t="e">
        <f t="shared" si="32"/>
        <v>#REF!</v>
      </c>
      <c r="J80" s="98" t="e">
        <f t="shared" si="32"/>
        <v>#REF!</v>
      </c>
      <c r="K80" s="98" t="e">
        <f t="shared" si="32"/>
        <v>#REF!</v>
      </c>
      <c r="L80" s="98" t="e">
        <f t="shared" si="32"/>
        <v>#REF!</v>
      </c>
      <c r="M80" s="98" t="e">
        <f t="shared" si="32"/>
        <v>#REF!</v>
      </c>
      <c r="N80" s="98">
        <f t="shared" si="32"/>
        <v>16.785516033563692</v>
      </c>
    </row>
    <row r="81" spans="3:16" ht="18.75" x14ac:dyDescent="0.3">
      <c r="C81" s="186" t="s">
        <v>34</v>
      </c>
      <c r="D81" s="187" t="e">
        <f>SUM(D80:N80)</f>
        <v>#REF!</v>
      </c>
      <c r="E81" s="179"/>
      <c r="F81" s="30"/>
      <c r="G81" s="30"/>
      <c r="H81" s="30"/>
      <c r="I81" s="30"/>
      <c r="J81" s="30"/>
      <c r="K81" s="30"/>
      <c r="L81" s="30"/>
      <c r="M81" s="30"/>
      <c r="N81" s="30"/>
      <c r="P81" s="114">
        <f>1800*10^7</f>
        <v>18000000000</v>
      </c>
    </row>
    <row r="82" spans="3:16" x14ac:dyDescent="0.25">
      <c r="C82" s="19"/>
      <c r="D82" s="20"/>
      <c r="E82" s="22"/>
      <c r="F82" s="20"/>
      <c r="G82" s="20"/>
      <c r="H82" s="20"/>
      <c r="I82" s="20"/>
      <c r="J82" s="20"/>
      <c r="K82" s="20"/>
      <c r="L82" s="20"/>
      <c r="M82" s="20"/>
      <c r="N82" s="20"/>
    </row>
    <row r="84" spans="3:16" x14ac:dyDescent="0.25">
      <c r="E84" s="17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O58"/>
  <sheetViews>
    <sheetView tabSelected="1" zoomScale="90" zoomScaleNormal="90" workbookViewId="0">
      <selection activeCell="F18" sqref="F18"/>
    </sheetView>
  </sheetViews>
  <sheetFormatPr defaultRowHeight="15" x14ac:dyDescent="0.25"/>
  <cols>
    <col min="1" max="1" width="9.140625" style="14"/>
    <col min="2" max="2" width="7.28515625" style="14" bestFit="1" customWidth="1"/>
    <col min="3" max="3" width="55.140625" style="14" customWidth="1"/>
    <col min="4" max="4" width="12" style="14" bestFit="1" customWidth="1"/>
    <col min="5" max="5" width="19.7109375" style="114" bestFit="1" customWidth="1"/>
    <col min="6" max="6" width="13.5703125" style="14" bestFit="1" customWidth="1"/>
    <col min="7" max="7" width="16.85546875" style="14" bestFit="1" customWidth="1"/>
    <col min="8" max="8" width="17.85546875" style="114" customWidth="1"/>
    <col min="9" max="9" width="9.140625" style="14"/>
    <col min="10" max="11" width="12" style="14" bestFit="1" customWidth="1"/>
    <col min="12" max="13" width="9.140625" style="14"/>
    <col min="14" max="14" width="17.85546875" style="14" bestFit="1" customWidth="1"/>
    <col min="15" max="16384" width="9.140625" style="14"/>
  </cols>
  <sheetData>
    <row r="2" spans="1:15" ht="57.75" x14ac:dyDescent="0.25">
      <c r="B2" s="99" t="s">
        <v>206</v>
      </c>
      <c r="C2" s="99" t="s">
        <v>207</v>
      </c>
      <c r="D2" s="100" t="s">
        <v>208</v>
      </c>
      <c r="E2" s="194" t="s">
        <v>209</v>
      </c>
      <c r="F2" s="100" t="s">
        <v>210</v>
      </c>
      <c r="G2" s="100" t="s">
        <v>211</v>
      </c>
      <c r="H2" s="194" t="s">
        <v>212</v>
      </c>
    </row>
    <row r="3" spans="1:15" x14ac:dyDescent="0.25">
      <c r="A3" s="236" t="s">
        <v>67</v>
      </c>
      <c r="B3" s="101" t="s">
        <v>213</v>
      </c>
      <c r="C3" s="102" t="s">
        <v>214</v>
      </c>
      <c r="D3" s="103">
        <v>850</v>
      </c>
      <c r="E3" s="176">
        <f>D3*rough!$D$14</f>
        <v>2864500373.5919995</v>
      </c>
      <c r="F3" s="104">
        <v>850</v>
      </c>
      <c r="G3" s="176">
        <f>F3*'Sanctioned Plan'!$C$15</f>
        <v>38211279.678000003</v>
      </c>
      <c r="H3" s="197">
        <f>E3+G3</f>
        <v>2902711653.2699995</v>
      </c>
    </row>
    <row r="4" spans="1:15" ht="30" x14ac:dyDescent="0.25">
      <c r="A4" s="236"/>
      <c r="B4" s="101" t="s">
        <v>215</v>
      </c>
      <c r="C4" s="69" t="s">
        <v>216</v>
      </c>
      <c r="D4" s="103">
        <v>50</v>
      </c>
      <c r="E4" s="176">
        <f>D4*rough!$D$14</f>
        <v>168500021.97599998</v>
      </c>
      <c r="F4" s="104">
        <v>50</v>
      </c>
      <c r="G4" s="176">
        <f>F4*'Sanctioned Plan'!$C$15</f>
        <v>2247722.3340000003</v>
      </c>
      <c r="H4" s="197">
        <f t="shared" ref="H4:H10" si="0">E4+G4</f>
        <v>170747744.30999997</v>
      </c>
      <c r="L4" s="14" t="s">
        <v>270</v>
      </c>
      <c r="M4" s="114">
        <f>D12</f>
        <v>2254.5039999999999</v>
      </c>
      <c r="N4" s="114">
        <f>H12</f>
        <v>7676835948.9787045</v>
      </c>
    </row>
    <row r="5" spans="1:15" ht="30" x14ac:dyDescent="0.25">
      <c r="A5" s="236"/>
      <c r="B5" s="101" t="s">
        <v>217</v>
      </c>
      <c r="C5" s="105" t="s">
        <v>218</v>
      </c>
      <c r="D5" s="103">
        <v>300</v>
      </c>
      <c r="E5" s="176">
        <f>D5*rough!$D$14</f>
        <v>1011000131.8559998</v>
      </c>
      <c r="F5" s="104">
        <v>25</v>
      </c>
      <c r="G5" s="176">
        <f>F5*'Sanctioned Plan'!$C$15</f>
        <v>1123861.1670000001</v>
      </c>
      <c r="H5" s="197">
        <f t="shared" si="0"/>
        <v>1012123993.0229999</v>
      </c>
      <c r="L5" s="14" t="s">
        <v>16</v>
      </c>
      <c r="M5" s="114">
        <v>1250</v>
      </c>
      <c r="N5" s="185">
        <f>M5*rough!D8</f>
        <v>825895427.76158941</v>
      </c>
    </row>
    <row r="6" spans="1:15" x14ac:dyDescent="0.25">
      <c r="A6" s="236"/>
      <c r="B6" s="101" t="s">
        <v>219</v>
      </c>
      <c r="C6" s="105" t="s">
        <v>220</v>
      </c>
      <c r="D6" s="103">
        <v>200</v>
      </c>
      <c r="E6" s="176">
        <f>D6*rough!$D$14</f>
        <v>674000087.90399992</v>
      </c>
      <c r="F6" s="104">
        <v>100</v>
      </c>
      <c r="G6" s="176">
        <f>F6*'Sanctioned Plan'!$C$15</f>
        <v>4495444.6680000005</v>
      </c>
      <c r="H6" s="197">
        <f t="shared" si="0"/>
        <v>678495532.57199991</v>
      </c>
      <c r="L6" s="14" t="s">
        <v>17</v>
      </c>
      <c r="M6" s="114">
        <v>1400</v>
      </c>
      <c r="N6" s="185">
        <f>M6*rough!D11</f>
        <v>339808390.08301961</v>
      </c>
    </row>
    <row r="7" spans="1:15" x14ac:dyDescent="0.25">
      <c r="A7" s="236"/>
      <c r="B7" s="101" t="s">
        <v>221</v>
      </c>
      <c r="C7" s="102" t="s">
        <v>222</v>
      </c>
      <c r="D7" s="106">
        <v>200</v>
      </c>
      <c r="E7" s="176">
        <f>D7*rough!$D$14</f>
        <v>674000087.90399992</v>
      </c>
      <c r="F7" s="107">
        <v>100</v>
      </c>
      <c r="G7" s="176">
        <f>F7*'Sanctioned Plan'!$C$15</f>
        <v>4495444.6680000005</v>
      </c>
      <c r="H7" s="197">
        <f t="shared" si="0"/>
        <v>678495532.57199991</v>
      </c>
      <c r="N7" s="174">
        <f>SUM(N4:N6)</f>
        <v>8842539766.8233128</v>
      </c>
    </row>
    <row r="8" spans="1:15" ht="30" x14ac:dyDescent="0.25">
      <c r="A8" s="233" t="s">
        <v>80</v>
      </c>
      <c r="B8" s="101" t="s">
        <v>223</v>
      </c>
      <c r="C8" s="108" t="s">
        <v>224</v>
      </c>
      <c r="D8" s="109">
        <f>(D3+D4+D5+D6+D7)*I8</f>
        <v>24</v>
      </c>
      <c r="E8" s="176">
        <f>D8*rough!$D$14</f>
        <v>80880010.548479989</v>
      </c>
      <c r="F8" s="110">
        <f>(F3+F4+F5+F6+F7)*0.015</f>
        <v>16.875</v>
      </c>
      <c r="G8" s="176">
        <f>F8*'Sanctioned Plan'!$C$15</f>
        <v>758606.28772500006</v>
      </c>
      <c r="H8" s="197">
        <f t="shared" si="0"/>
        <v>81638616.836204991</v>
      </c>
      <c r="I8" s="111">
        <v>1.4999999999999999E-2</v>
      </c>
      <c r="J8" s="2"/>
      <c r="K8" s="2"/>
      <c r="N8" s="123">
        <f>N7/10^7</f>
        <v>884.25397668233131</v>
      </c>
    </row>
    <row r="9" spans="1:15" ht="30" x14ac:dyDescent="0.25">
      <c r="A9" s="233"/>
      <c r="B9" s="101" t="s">
        <v>225</v>
      </c>
      <c r="C9" s="112" t="s">
        <v>226</v>
      </c>
      <c r="D9" s="109">
        <f>(D3+D4+D5+D6+D7+D8)*I9</f>
        <v>81.2</v>
      </c>
      <c r="E9" s="176">
        <f>D9*rough!$D$14</f>
        <v>273644035.68902397</v>
      </c>
      <c r="F9" s="110">
        <f>(F3+F4+F5+F6+F7+F8)*0.05</f>
        <v>57.09375</v>
      </c>
      <c r="G9" s="176">
        <f>F9*'Sanctioned Plan'!$C$15</f>
        <v>2566617.9401362501</v>
      </c>
      <c r="H9" s="197">
        <f t="shared" si="0"/>
        <v>276210653.62916023</v>
      </c>
      <c r="I9" s="113">
        <v>0.05</v>
      </c>
      <c r="J9" s="2"/>
      <c r="K9" s="2"/>
      <c r="N9" s="114"/>
    </row>
    <row r="10" spans="1:15" ht="30.75" customHeight="1" x14ac:dyDescent="0.25">
      <c r="A10" s="180" t="s">
        <v>67</v>
      </c>
      <c r="B10" s="101" t="s">
        <v>227</v>
      </c>
      <c r="C10" s="69" t="s">
        <v>265</v>
      </c>
      <c r="D10" s="103">
        <f>2800*0.025</f>
        <v>70</v>
      </c>
      <c r="E10" s="176">
        <f>D10*rough!$D$14</f>
        <v>235900030.76639998</v>
      </c>
      <c r="F10" s="104">
        <f>7500*0.025</f>
        <v>187.5</v>
      </c>
      <c r="G10" s="176">
        <f>F10*'Sanctioned Plan'!$C$15</f>
        <v>8428958.7524999995</v>
      </c>
      <c r="H10" s="197">
        <f t="shared" si="0"/>
        <v>244328989.51889998</v>
      </c>
      <c r="J10" s="2"/>
      <c r="K10" s="2"/>
    </row>
    <row r="11" spans="1:15" ht="30" x14ac:dyDescent="0.25">
      <c r="A11" s="115"/>
      <c r="B11" s="116" t="s">
        <v>229</v>
      </c>
      <c r="C11" s="117" t="s">
        <v>230</v>
      </c>
      <c r="D11" s="109">
        <f>SUM(D3:D10)*I11*J11*K11</f>
        <v>479.30399999999997</v>
      </c>
      <c r="E11" s="176">
        <f>D11*rough!$D$14</f>
        <v>1615254690.6636937</v>
      </c>
      <c r="F11" s="109">
        <f>SUM(F3:F10)*I11*J11*K11</f>
        <v>374.3465625</v>
      </c>
      <c r="G11" s="176">
        <f>F11*'Sanctioned Plan'!$C$15</f>
        <v>16828542.58374754</v>
      </c>
      <c r="H11" s="197">
        <f>E11+G11</f>
        <v>1632083233.2474413</v>
      </c>
      <c r="I11" s="113">
        <v>0.75</v>
      </c>
      <c r="J11" s="111">
        <v>0.12</v>
      </c>
      <c r="K11" s="2">
        <v>3</v>
      </c>
    </row>
    <row r="12" spans="1:15" ht="15.75" x14ac:dyDescent="0.25">
      <c r="B12" s="234" t="s">
        <v>162</v>
      </c>
      <c r="C12" s="235"/>
      <c r="D12" s="118">
        <f>SUM(D3:D11)</f>
        <v>2254.5039999999999</v>
      </c>
      <c r="E12" s="195"/>
      <c r="F12" s="119">
        <f>SUM(F3:F11)</f>
        <v>1760.8153124999999</v>
      </c>
      <c r="G12" s="18"/>
      <c r="H12" s="127">
        <f>SUM(H3:H11)</f>
        <v>7676835948.9787045</v>
      </c>
      <c r="I12" s="113"/>
    </row>
    <row r="13" spans="1:15" x14ac:dyDescent="0.25">
      <c r="N13" s="14">
        <v>1600</v>
      </c>
    </row>
    <row r="15" spans="1:15" x14ac:dyDescent="0.25">
      <c r="N15" s="14">
        <v>1925</v>
      </c>
      <c r="O15" s="31">
        <v>0.05</v>
      </c>
    </row>
    <row r="17" spans="9:10" ht="15" customHeight="1" x14ac:dyDescent="0.25">
      <c r="I17" s="120"/>
      <c r="J17" s="120"/>
    </row>
    <row r="18" spans="9:10" ht="15" customHeight="1" x14ac:dyDescent="0.25">
      <c r="I18" s="120"/>
      <c r="J18" s="120"/>
    </row>
    <row r="19" spans="9:10" ht="15" customHeight="1" x14ac:dyDescent="0.25">
      <c r="I19" s="120"/>
      <c r="J19" s="120"/>
    </row>
    <row r="20" spans="9:10" ht="15" customHeight="1" x14ac:dyDescent="0.25">
      <c r="I20" s="120"/>
      <c r="J20" s="120"/>
    </row>
    <row r="21" spans="9:10" ht="15" customHeight="1" x14ac:dyDescent="0.25">
      <c r="I21" s="120"/>
      <c r="J21" s="120"/>
    </row>
    <row r="22" spans="9:10" ht="15" customHeight="1" x14ac:dyDescent="0.25">
      <c r="I22" s="120"/>
      <c r="J22" s="120"/>
    </row>
    <row r="23" spans="9:10" ht="15" customHeight="1" x14ac:dyDescent="0.25">
      <c r="I23" s="120"/>
      <c r="J23" s="120"/>
    </row>
    <row r="33" spans="1:12" s="121" customFormat="1" x14ac:dyDescent="0.25">
      <c r="E33" s="196"/>
      <c r="H33" s="196"/>
    </row>
    <row r="34" spans="1:12" s="121" customFormat="1" x14ac:dyDescent="0.25">
      <c r="E34" s="196"/>
      <c r="H34" s="196"/>
    </row>
    <row r="35" spans="1:12" s="121" customFormat="1" x14ac:dyDescent="0.25">
      <c r="E35" s="196"/>
      <c r="H35" s="196"/>
    </row>
    <row r="37" spans="1:12" ht="57.75" x14ac:dyDescent="0.25">
      <c r="B37" s="99" t="s">
        <v>206</v>
      </c>
      <c r="C37" s="99" t="s">
        <v>207</v>
      </c>
      <c r="D37" s="100" t="s">
        <v>208</v>
      </c>
      <c r="E37" s="194" t="s">
        <v>209</v>
      </c>
      <c r="F37" s="100" t="s">
        <v>210</v>
      </c>
      <c r="G37" s="100" t="s">
        <v>211</v>
      </c>
      <c r="H37" s="194" t="s">
        <v>212</v>
      </c>
      <c r="K37" s="2"/>
      <c r="L37" s="2"/>
    </row>
    <row r="38" spans="1:12" x14ac:dyDescent="0.25">
      <c r="A38" s="236" t="s">
        <v>67</v>
      </c>
      <c r="B38" s="101" t="s">
        <v>213</v>
      </c>
      <c r="C38" s="102" t="s">
        <v>214</v>
      </c>
      <c r="D38" s="103">
        <v>650</v>
      </c>
      <c r="E38" s="176" t="e">
        <f>D38*#REF!</f>
        <v>#REF!</v>
      </c>
      <c r="F38" s="104">
        <v>654</v>
      </c>
      <c r="G38" s="103">
        <f>F38*'[1]Project Valuation (DCF) - COPY'!B9</f>
        <v>7039656</v>
      </c>
      <c r="H38" s="197" t="e">
        <f>E38+G38</f>
        <v>#REF!</v>
      </c>
      <c r="K38" s="232" t="s">
        <v>231</v>
      </c>
      <c r="L38" s="232"/>
    </row>
    <row r="39" spans="1:12" ht="30" x14ac:dyDescent="0.25">
      <c r="A39" s="236"/>
      <c r="B39" s="101" t="s">
        <v>215</v>
      </c>
      <c r="C39" s="69" t="s">
        <v>216</v>
      </c>
      <c r="D39" s="103">
        <v>55</v>
      </c>
      <c r="E39" s="176" t="e">
        <f>D39*#REF!</f>
        <v>#REF!</v>
      </c>
      <c r="F39" s="104">
        <v>55</v>
      </c>
      <c r="G39" s="103">
        <f>F39*'[1]Project Valuation (DCF) - COPY'!B8</f>
        <v>213236066.45000002</v>
      </c>
      <c r="H39" s="197" t="e">
        <f t="shared" ref="H39:H45" si="1">E39+G39</f>
        <v>#REF!</v>
      </c>
      <c r="K39" s="101" t="s">
        <v>232</v>
      </c>
      <c r="L39" s="101" t="s">
        <v>233</v>
      </c>
    </row>
    <row r="40" spans="1:12" ht="30" x14ac:dyDescent="0.25">
      <c r="A40" s="236"/>
      <c r="B40" s="101" t="s">
        <v>217</v>
      </c>
      <c r="C40" s="105" t="s">
        <v>218</v>
      </c>
      <c r="D40" s="103">
        <v>190</v>
      </c>
      <c r="E40" s="176" t="e">
        <f>D40*#REF!</f>
        <v>#REF!</v>
      </c>
      <c r="F40" s="104">
        <v>120</v>
      </c>
      <c r="G40" s="103">
        <f>F40*'[1]Project Valuation (DCF) - COPY'!B8</f>
        <v>465242326.80000001</v>
      </c>
      <c r="H40" s="197" t="e">
        <f t="shared" si="1"/>
        <v>#REF!</v>
      </c>
      <c r="K40" s="122">
        <f>SUM(D38:D42)</f>
        <v>1195</v>
      </c>
      <c r="L40" s="122">
        <f>SUM(F38:F42)</f>
        <v>1054</v>
      </c>
    </row>
    <row r="41" spans="1:12" x14ac:dyDescent="0.25">
      <c r="A41" s="236"/>
      <c r="B41" s="101" t="s">
        <v>219</v>
      </c>
      <c r="C41" s="105" t="s">
        <v>220</v>
      </c>
      <c r="D41" s="103">
        <v>150</v>
      </c>
      <c r="E41" s="176" t="e">
        <f>D41*#REF!</f>
        <v>#REF!</v>
      </c>
      <c r="F41" s="104">
        <v>100</v>
      </c>
      <c r="G41" s="103">
        <f>F41*'[1]Project Valuation (DCF) - COPY'!B8</f>
        <v>387701939</v>
      </c>
      <c r="H41" s="197" t="e">
        <f t="shared" si="1"/>
        <v>#REF!</v>
      </c>
    </row>
    <row r="42" spans="1:12" x14ac:dyDescent="0.25">
      <c r="A42" s="236"/>
      <c r="B42" s="101" t="s">
        <v>221</v>
      </c>
      <c r="C42" s="102" t="s">
        <v>222</v>
      </c>
      <c r="D42" s="106">
        <v>150</v>
      </c>
      <c r="E42" s="176" t="e">
        <f>D42*#REF!</f>
        <v>#REF!</v>
      </c>
      <c r="F42" s="107">
        <v>125</v>
      </c>
      <c r="G42" s="103">
        <f>F42*'[1]Project Valuation (DCF) - COPY'!B8</f>
        <v>484627423.75</v>
      </c>
      <c r="H42" s="197" t="e">
        <f t="shared" si="1"/>
        <v>#REF!</v>
      </c>
    </row>
    <row r="43" spans="1:12" ht="30" x14ac:dyDescent="0.25">
      <c r="A43" s="233" t="s">
        <v>80</v>
      </c>
      <c r="B43" s="101" t="s">
        <v>223</v>
      </c>
      <c r="C43" s="108" t="s">
        <v>224</v>
      </c>
      <c r="D43" s="109">
        <f>(D38+D39+D40+D41+D42)*I43</f>
        <v>17.925000000000001</v>
      </c>
      <c r="E43" s="176" t="e">
        <f>D43*#REF!</f>
        <v>#REF!</v>
      </c>
      <c r="F43" s="110">
        <f>(F38+F39+F40+F41+F42)*0.015</f>
        <v>15.809999999999999</v>
      </c>
      <c r="G43" s="103">
        <f>F43*'[1]Project Valuation (DCF) - COPY'!B8</f>
        <v>61295676.5559</v>
      </c>
      <c r="H43" s="197" t="e">
        <f t="shared" si="1"/>
        <v>#REF!</v>
      </c>
      <c r="I43" s="111">
        <v>1.4999999999999999E-2</v>
      </c>
      <c r="J43" s="2"/>
      <c r="K43" s="2"/>
    </row>
    <row r="44" spans="1:12" ht="30" x14ac:dyDescent="0.25">
      <c r="A44" s="233"/>
      <c r="B44" s="101" t="s">
        <v>225</v>
      </c>
      <c r="C44" s="112" t="s">
        <v>226</v>
      </c>
      <c r="D44" s="109">
        <f>(D38+D39+D40+D41+D42+D43)*I44</f>
        <v>60.646250000000002</v>
      </c>
      <c r="E44" s="176" t="e">
        <f>D44*#REF!</f>
        <v>#REF!</v>
      </c>
      <c r="F44" s="110">
        <f>(F38+F39+F40+F41+F42+F43)*0.05</f>
        <v>53.490499999999997</v>
      </c>
      <c r="G44" s="103">
        <f>F44*'[1]Project Valuation (DCF) - COPY'!B8</f>
        <v>207383705.68079498</v>
      </c>
      <c r="H44" s="197" t="e">
        <f t="shared" si="1"/>
        <v>#REF!</v>
      </c>
      <c r="I44" s="113">
        <v>0.05</v>
      </c>
      <c r="J44" s="2"/>
      <c r="K44" s="2"/>
    </row>
    <row r="45" spans="1:12" x14ac:dyDescent="0.25">
      <c r="A45" s="180" t="s">
        <v>67</v>
      </c>
      <c r="B45" s="101" t="s">
        <v>227</v>
      </c>
      <c r="C45" s="69" t="s">
        <v>228</v>
      </c>
      <c r="D45" s="103">
        <f>2000*0.03</f>
        <v>60</v>
      </c>
      <c r="E45" s="176" t="e">
        <f>D45*#REF!</f>
        <v>#REF!</v>
      </c>
      <c r="F45" s="104">
        <f>7000*0.03</f>
        <v>210</v>
      </c>
      <c r="G45" s="103">
        <f>F45*'[1]Project Valuation (DCF) - COPY'!B8</f>
        <v>814174071.89999998</v>
      </c>
      <c r="H45" s="197" t="e">
        <f t="shared" si="1"/>
        <v>#REF!</v>
      </c>
      <c r="J45" s="2"/>
      <c r="K45" s="2"/>
    </row>
    <row r="46" spans="1:12" ht="30" x14ac:dyDescent="0.25">
      <c r="A46" s="115"/>
      <c r="B46" s="116" t="s">
        <v>229</v>
      </c>
      <c r="C46" s="117" t="s">
        <v>230</v>
      </c>
      <c r="D46" s="109">
        <f>SUM(D38:D45)*I46*J46*K46</f>
        <v>666.78562499999998</v>
      </c>
      <c r="E46" s="176" t="e">
        <f>D46*#REF!</f>
        <v>#REF!</v>
      </c>
      <c r="F46" s="109">
        <f>SUM(F38:F45)*I46*J46*K46</f>
        <v>666.65024999999991</v>
      </c>
      <c r="G46" s="103">
        <f>F46*'[1]Project Valuation (DCF) - COPY'!B17</f>
        <v>602.75770719164473</v>
      </c>
      <c r="H46" s="197" t="e">
        <f>E46+G46</f>
        <v>#REF!</v>
      </c>
      <c r="I46" s="113">
        <v>0.5</v>
      </c>
      <c r="J46" s="111">
        <v>0.125</v>
      </c>
      <c r="K46" s="2">
        <v>8</v>
      </c>
    </row>
    <row r="47" spans="1:12" ht="15.75" x14ac:dyDescent="0.25">
      <c r="B47" s="234" t="s">
        <v>162</v>
      </c>
      <c r="C47" s="235"/>
      <c r="D47" s="118">
        <f>SUM(D38:D46)</f>
        <v>2000.3568749999999</v>
      </c>
      <c r="E47" s="195"/>
      <c r="F47" s="119">
        <f>SUM(F38:F46)</f>
        <v>1999.9507499999997</v>
      </c>
      <c r="G47" s="18"/>
      <c r="H47" s="127" t="e">
        <f>SUM(H38:H46)</f>
        <v>#REF!</v>
      </c>
      <c r="I47" s="113"/>
    </row>
    <row r="52" spans="9:10" ht="23.25" x14ac:dyDescent="0.25">
      <c r="I52" s="120"/>
      <c r="J52" s="120"/>
    </row>
    <row r="53" spans="9:10" ht="23.25" x14ac:dyDescent="0.25">
      <c r="I53" s="120"/>
      <c r="J53" s="120"/>
    </row>
    <row r="54" spans="9:10" ht="23.25" x14ac:dyDescent="0.25">
      <c r="I54" s="120"/>
      <c r="J54" s="120"/>
    </row>
    <row r="55" spans="9:10" ht="23.25" x14ac:dyDescent="0.25">
      <c r="I55" s="120"/>
      <c r="J55" s="120"/>
    </row>
    <row r="56" spans="9:10" ht="23.25" x14ac:dyDescent="0.25">
      <c r="I56" s="120"/>
      <c r="J56" s="120"/>
    </row>
    <row r="57" spans="9:10" ht="23.25" x14ac:dyDescent="0.25">
      <c r="I57" s="120"/>
      <c r="J57" s="120"/>
    </row>
    <row r="58" spans="9:10" ht="23.25" x14ac:dyDescent="0.25">
      <c r="I58" s="120"/>
      <c r="J58" s="120"/>
    </row>
  </sheetData>
  <mergeCells count="7">
    <mergeCell ref="K38:L38"/>
    <mergeCell ref="A43:A44"/>
    <mergeCell ref="B47:C47"/>
    <mergeCell ref="A3:A7"/>
    <mergeCell ref="A8:A9"/>
    <mergeCell ref="B12:C12"/>
    <mergeCell ref="A38:A42"/>
  </mergeCells>
  <pageMargins left="0.7" right="0.7" top="0.75" bottom="0.75" header="0.3" footer="0.3"/>
  <pageSetup paperSize="9" scale="6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T84"/>
  <sheetViews>
    <sheetView topLeftCell="A70" workbookViewId="0">
      <selection activeCell="C40" sqref="C40"/>
    </sheetView>
  </sheetViews>
  <sheetFormatPr defaultRowHeight="15" x14ac:dyDescent="0.25"/>
  <cols>
    <col min="1" max="1" width="12.28515625" style="14" customWidth="1"/>
    <col min="2" max="2" width="9.140625" style="14"/>
    <col min="3" max="3" width="42.28515625" style="14" bestFit="1" customWidth="1"/>
    <col min="4" max="4" width="10.28515625" style="14" bestFit="1" customWidth="1"/>
    <col min="5" max="5" width="12.42578125" style="14" bestFit="1" customWidth="1"/>
    <col min="6" max="6" width="18.5703125" style="14" customWidth="1"/>
    <col min="7" max="7" width="10" style="14" bestFit="1" customWidth="1"/>
    <col min="8" max="8" width="11.7109375" style="14" bestFit="1" customWidth="1"/>
    <col min="9" max="10" width="9.85546875" style="14" bestFit="1" customWidth="1"/>
    <col min="11" max="11" width="10" style="14" bestFit="1" customWidth="1"/>
    <col min="12" max="12" width="12.5703125" style="14" bestFit="1" customWidth="1"/>
    <col min="13" max="14" width="9.85546875" style="14" customWidth="1"/>
    <col min="15" max="15" width="9" style="14" bestFit="1" customWidth="1"/>
    <col min="16" max="16" width="15.28515625" style="14" bestFit="1" customWidth="1"/>
    <col min="17" max="18" width="7.42578125" style="14" bestFit="1" customWidth="1"/>
    <col min="19" max="19" width="11.5703125" style="14" bestFit="1" customWidth="1"/>
    <col min="20" max="20" width="12.5703125" style="14" bestFit="1" customWidth="1"/>
    <col min="21" max="16384" width="9.140625" style="14"/>
  </cols>
  <sheetData>
    <row r="3" spans="3:11" x14ac:dyDescent="0.25">
      <c r="C3" s="24" t="s">
        <v>13</v>
      </c>
      <c r="D3" s="24" t="s">
        <v>18</v>
      </c>
      <c r="E3" s="25" t="s">
        <v>19</v>
      </c>
    </row>
    <row r="4" spans="3:11" x14ac:dyDescent="0.25">
      <c r="C4" s="95" t="s">
        <v>196</v>
      </c>
      <c r="D4" s="96"/>
      <c r="E4" s="27"/>
      <c r="J4" s="14">
        <v>8000</v>
      </c>
      <c r="K4" s="114" t="s">
        <v>271</v>
      </c>
    </row>
    <row r="5" spans="3:11" x14ac:dyDescent="0.25">
      <c r="C5" s="124" t="s">
        <v>235</v>
      </c>
      <c r="D5" s="125">
        <f>'COC Breakup (3)'!N8</f>
        <v>884.25397668233131</v>
      </c>
      <c r="E5" s="27" t="s">
        <v>244</v>
      </c>
    </row>
    <row r="6" spans="3:11" x14ac:dyDescent="0.25">
      <c r="C6" s="95"/>
      <c r="D6" s="96"/>
      <c r="E6" s="27"/>
      <c r="J6" s="14">
        <v>5000</v>
      </c>
      <c r="K6" s="14">
        <f>J6*26*4047</f>
        <v>526110000</v>
      </c>
    </row>
    <row r="7" spans="3:11" x14ac:dyDescent="0.25">
      <c r="C7" s="95" t="s">
        <v>123</v>
      </c>
      <c r="D7" s="96"/>
      <c r="E7" s="27"/>
    </row>
    <row r="8" spans="3:11" x14ac:dyDescent="0.25">
      <c r="C8" s="95" t="s">
        <v>16</v>
      </c>
      <c r="D8" s="96">
        <f>'Inventory-Detailed'!L66</f>
        <v>660716.3422092715</v>
      </c>
      <c r="E8" s="97" t="s">
        <v>181</v>
      </c>
    </row>
    <row r="9" spans="3:11" x14ac:dyDescent="0.25">
      <c r="C9" s="162" t="s">
        <v>245</v>
      </c>
      <c r="D9" s="163">
        <f>'Inventory-Detailed'!R52</f>
        <v>171296.82946166297</v>
      </c>
      <c r="E9" s="97"/>
      <c r="G9" s="174">
        <f>D8+D11</f>
        <v>903436.62083999976</v>
      </c>
      <c r="H9" s="181">
        <f>G9/$G$11</f>
        <v>0.21140749426736455</v>
      </c>
    </row>
    <row r="10" spans="3:11" x14ac:dyDescent="0.25">
      <c r="C10" s="162" t="s">
        <v>246</v>
      </c>
      <c r="D10" s="163">
        <f>D8-D9</f>
        <v>489419.51274760853</v>
      </c>
      <c r="E10" s="97"/>
      <c r="G10" s="174">
        <f>D14</f>
        <v>3370000.4395199995</v>
      </c>
      <c r="H10" s="181">
        <f t="shared" ref="H10" si="0">G10/$G$11</f>
        <v>0.7885925057326354</v>
      </c>
    </row>
    <row r="11" spans="3:11" x14ac:dyDescent="0.25">
      <c r="C11" s="95" t="s">
        <v>17</v>
      </c>
      <c r="D11" s="96">
        <f>'Inventory-Detailed'!L86</f>
        <v>242720.27863072831</v>
      </c>
      <c r="E11" s="97" t="s">
        <v>181</v>
      </c>
      <c r="G11" s="174">
        <f>SUM(G9:G10)</f>
        <v>4273437.0603599995</v>
      </c>
    </row>
    <row r="12" spans="3:11" x14ac:dyDescent="0.25">
      <c r="C12" s="162" t="s">
        <v>245</v>
      </c>
      <c r="D12" s="26">
        <f>'Inventory-Detailed'!S52</f>
        <v>90454.76222263166</v>
      </c>
      <c r="E12" s="97"/>
    </row>
    <row r="13" spans="3:11" x14ac:dyDescent="0.25">
      <c r="C13" s="162" t="s">
        <v>246</v>
      </c>
      <c r="D13" s="26">
        <f>D11-D12</f>
        <v>152265.51640809665</v>
      </c>
      <c r="E13" s="97"/>
    </row>
    <row r="14" spans="3:11" x14ac:dyDescent="0.25">
      <c r="C14" s="95" t="s">
        <v>150</v>
      </c>
      <c r="D14" s="96">
        <f>'Inventory-Detailed'!R45</f>
        <v>3370000.4395199995</v>
      </c>
      <c r="E14" s="97" t="s">
        <v>181</v>
      </c>
      <c r="F14" s="174">
        <f>D14+D11+D8</f>
        <v>4273437.0603599995</v>
      </c>
    </row>
    <row r="15" spans="3:11" x14ac:dyDescent="0.25">
      <c r="C15" s="162" t="s">
        <v>245</v>
      </c>
      <c r="D15" s="26">
        <f>'Inventory-Detailed'!S61</f>
        <v>810266.97978473268</v>
      </c>
      <c r="E15" s="97"/>
      <c r="F15" s="174">
        <f>D17</f>
        <v>11748.15252</v>
      </c>
    </row>
    <row r="16" spans="3:11" x14ac:dyDescent="0.25">
      <c r="C16" s="162" t="s">
        <v>246</v>
      </c>
      <c r="D16" s="26">
        <f>D14-D15</f>
        <v>2559733.4597352669</v>
      </c>
      <c r="E16" s="97"/>
      <c r="F16" s="174">
        <f>SUM(F14:F15)</f>
        <v>4285185.2128799995</v>
      </c>
    </row>
    <row r="17" spans="3:20" x14ac:dyDescent="0.25">
      <c r="C17" s="95" t="s">
        <v>180</v>
      </c>
      <c r="D17" s="96">
        <f>'Sanctioned Plan'!D6</f>
        <v>11748.15252</v>
      </c>
      <c r="E17" s="97" t="s">
        <v>181</v>
      </c>
    </row>
    <row r="18" spans="3:20" x14ac:dyDescent="0.25">
      <c r="C18" s="162" t="s">
        <v>245</v>
      </c>
      <c r="D18" s="26">
        <f>D17</f>
        <v>11748.15252</v>
      </c>
      <c r="E18" s="97"/>
    </row>
    <row r="19" spans="3:20" x14ac:dyDescent="0.25">
      <c r="C19" s="162" t="s">
        <v>246</v>
      </c>
      <c r="D19" s="26">
        <v>0</v>
      </c>
      <c r="E19" s="97"/>
    </row>
    <row r="20" spans="3:20" x14ac:dyDescent="0.25">
      <c r="C20" s="168" t="s">
        <v>247</v>
      </c>
      <c r="D20" s="26"/>
      <c r="E20" s="97"/>
    </row>
    <row r="21" spans="3:20" x14ac:dyDescent="0.25">
      <c r="C21" s="162" t="s">
        <v>245</v>
      </c>
      <c r="D21" s="26">
        <f>D18+D15+D12+D9</f>
        <v>1083766.7239890273</v>
      </c>
      <c r="E21" s="97"/>
      <c r="F21" s="169">
        <f>D21/(D21+D22)</f>
        <v>0.2529101241018813</v>
      </c>
      <c r="G21" s="152">
        <f>F21*D5</f>
        <v>223.63678298031047</v>
      </c>
      <c r="K21" s="14">
        <v>300</v>
      </c>
      <c r="L21" s="114">
        <f>K21*10.764*4047*26</f>
        <v>339782882.39999998</v>
      </c>
    </row>
    <row r="22" spans="3:20" x14ac:dyDescent="0.25">
      <c r="C22" s="162" t="s">
        <v>246</v>
      </c>
      <c r="D22" s="26">
        <f>D10+D13+D16+D19</f>
        <v>3201418.488890972</v>
      </c>
      <c r="E22" s="97"/>
      <c r="F22" s="170">
        <f>1-F21</f>
        <v>0.7470898758981187</v>
      </c>
      <c r="G22" s="152">
        <f>F22*D5</f>
        <v>660.61719370202081</v>
      </c>
      <c r="H22" s="114">
        <f>SUM(D21:D22)</f>
        <v>4285185.2128799995</v>
      </c>
    </row>
    <row r="23" spans="3:20" x14ac:dyDescent="0.25">
      <c r="C23" s="95" t="s">
        <v>182</v>
      </c>
      <c r="D23" s="26"/>
      <c r="E23" s="27"/>
    </row>
    <row r="24" spans="3:20" x14ac:dyDescent="0.25">
      <c r="C24" s="32" t="s">
        <v>16</v>
      </c>
      <c r="D24" s="26">
        <f>I25</f>
        <v>1764</v>
      </c>
      <c r="E24" s="97" t="s">
        <v>184</v>
      </c>
      <c r="F24" s="237" t="s">
        <v>272</v>
      </c>
      <c r="G24" s="18">
        <v>2020</v>
      </c>
      <c r="H24" s="18">
        <v>2021</v>
      </c>
      <c r="I24" s="18">
        <v>2022</v>
      </c>
      <c r="J24" s="18">
        <v>2023</v>
      </c>
    </row>
    <row r="25" spans="3:20" x14ac:dyDescent="0.25">
      <c r="C25" s="32" t="s">
        <v>17</v>
      </c>
      <c r="D25" s="26">
        <f>D24</f>
        <v>1764</v>
      </c>
      <c r="E25" s="97" t="s">
        <v>184</v>
      </c>
      <c r="F25" s="237"/>
      <c r="G25" s="18">
        <v>1600</v>
      </c>
      <c r="H25" s="18">
        <f>G25*1.05</f>
        <v>1680</v>
      </c>
      <c r="I25" s="18">
        <f>H25*1.05</f>
        <v>1764</v>
      </c>
      <c r="J25" s="127">
        <f>I25*1.05</f>
        <v>1852.2</v>
      </c>
    </row>
    <row r="26" spans="3:20" x14ac:dyDescent="0.25">
      <c r="C26" s="32" t="s">
        <v>150</v>
      </c>
      <c r="D26" s="26">
        <v>2800</v>
      </c>
      <c r="E26" s="97" t="s">
        <v>184</v>
      </c>
      <c r="H26" s="14" t="s">
        <v>183</v>
      </c>
    </row>
    <row r="27" spans="3:20" x14ac:dyDescent="0.25">
      <c r="C27" s="32" t="s">
        <v>180</v>
      </c>
      <c r="D27" s="26">
        <v>7500</v>
      </c>
      <c r="E27" s="97" t="s">
        <v>184</v>
      </c>
      <c r="F27" s="123">
        <f>D27/D26</f>
        <v>2.6785714285714284</v>
      </c>
    </row>
    <row r="28" spans="3:20" x14ac:dyDescent="0.25">
      <c r="C28" s="178" t="s">
        <v>268</v>
      </c>
      <c r="D28" s="28">
        <v>0.02</v>
      </c>
      <c r="E28" s="97" t="s">
        <v>269</v>
      </c>
    </row>
    <row r="29" spans="3:20" x14ac:dyDescent="0.25">
      <c r="C29" s="178" t="s">
        <v>267</v>
      </c>
      <c r="D29" s="28">
        <v>0.05</v>
      </c>
      <c r="E29" s="97" t="s">
        <v>269</v>
      </c>
    </row>
    <row r="30" spans="3:20" x14ac:dyDescent="0.25">
      <c r="C30" s="178" t="s">
        <v>264</v>
      </c>
      <c r="D30" s="33">
        <v>0.11</v>
      </c>
      <c r="E30" s="27" t="s">
        <v>20</v>
      </c>
    </row>
    <row r="31" spans="3:20" x14ac:dyDescent="0.25">
      <c r="C31" s="178" t="s">
        <v>21</v>
      </c>
      <c r="D31" s="33">
        <v>0.03</v>
      </c>
      <c r="E31" s="27"/>
      <c r="S31" s="14">
        <v>25000</v>
      </c>
      <c r="T31" s="114">
        <f>S31*4047</f>
        <v>101175000</v>
      </c>
    </row>
    <row r="32" spans="3:20" x14ac:dyDescent="0.25">
      <c r="C32" s="178" t="s">
        <v>22</v>
      </c>
      <c r="D32" s="33">
        <f>D31+D30</f>
        <v>0.14000000000000001</v>
      </c>
      <c r="E32" s="27"/>
      <c r="O32" s="152">
        <f>SUM(O35:O36)</f>
        <v>9682.3343375802324</v>
      </c>
      <c r="T32" s="114">
        <f>2.5*10^7</f>
        <v>25000000</v>
      </c>
    </row>
    <row r="33" spans="3:20" x14ac:dyDescent="0.25">
      <c r="O33" s="152"/>
      <c r="T33" s="114"/>
    </row>
    <row r="34" spans="3:20" x14ac:dyDescent="0.25">
      <c r="O34" s="152"/>
      <c r="T34" s="114"/>
    </row>
    <row r="35" spans="3:20" x14ac:dyDescent="0.25">
      <c r="D35" s="183">
        <f>G21</f>
        <v>223.63678298031047</v>
      </c>
      <c r="E35" s="183">
        <f t="shared" ref="E35:M35" si="1">D35*(1+$E$68)</f>
        <v>228.10951863991667</v>
      </c>
      <c r="F35" s="183">
        <f t="shared" si="1"/>
        <v>232.67170901271501</v>
      </c>
      <c r="G35" s="183">
        <f t="shared" si="1"/>
        <v>237.32514319296931</v>
      </c>
      <c r="H35" s="183">
        <f t="shared" si="1"/>
        <v>242.07164605682868</v>
      </c>
      <c r="I35" s="183">
        <f t="shared" si="1"/>
        <v>246.91307897796526</v>
      </c>
      <c r="J35" s="183">
        <f t="shared" si="1"/>
        <v>251.85134055752457</v>
      </c>
      <c r="K35" s="183">
        <f t="shared" si="1"/>
        <v>256.88836736867506</v>
      </c>
      <c r="L35" s="183">
        <f t="shared" si="1"/>
        <v>262.02613471604855</v>
      </c>
      <c r="M35" s="183">
        <f t="shared" si="1"/>
        <v>267.26665741036953</v>
      </c>
      <c r="O35" s="152">
        <f>SUM(D35:N35)</f>
        <v>2448.7603789133232</v>
      </c>
      <c r="T35" s="114">
        <f>T32/4047</f>
        <v>6177.4153694094393</v>
      </c>
    </row>
    <row r="36" spans="3:20" x14ac:dyDescent="0.25">
      <c r="D36" s="182">
        <f>G22</f>
        <v>660.61719370202081</v>
      </c>
      <c r="E36" s="183">
        <f t="shared" ref="E36:M36" si="2">D36*(1+$E$68)</f>
        <v>673.82953757606128</v>
      </c>
      <c r="F36" s="183">
        <f t="shared" si="2"/>
        <v>687.30612832758254</v>
      </c>
      <c r="G36" s="183">
        <f t="shared" si="2"/>
        <v>701.0522508941342</v>
      </c>
      <c r="H36" s="183">
        <f t="shared" si="2"/>
        <v>715.07329591201687</v>
      </c>
      <c r="I36" s="183">
        <f t="shared" si="2"/>
        <v>729.37476183025717</v>
      </c>
      <c r="J36" s="183">
        <f t="shared" si="2"/>
        <v>743.96225706686232</v>
      </c>
      <c r="K36" s="183">
        <f t="shared" si="2"/>
        <v>758.84150220819959</v>
      </c>
      <c r="L36" s="183">
        <f t="shared" si="2"/>
        <v>774.01833225236362</v>
      </c>
      <c r="M36" s="183">
        <f t="shared" si="2"/>
        <v>789.49869889741092</v>
      </c>
      <c r="O36" s="152">
        <f>SUM(D36:N36)</f>
        <v>7233.5739586669088</v>
      </c>
    </row>
    <row r="37" spans="3:20" x14ac:dyDescent="0.25">
      <c r="C37" s="16" t="s">
        <v>23</v>
      </c>
      <c r="D37" s="16" t="s">
        <v>24</v>
      </c>
      <c r="E37" s="16" t="s">
        <v>25</v>
      </c>
      <c r="F37" s="16" t="s">
        <v>26</v>
      </c>
      <c r="G37" s="16" t="s">
        <v>27</v>
      </c>
      <c r="H37" s="16" t="s">
        <v>28</v>
      </c>
      <c r="I37" s="16" t="s">
        <v>29</v>
      </c>
      <c r="J37" s="16" t="s">
        <v>185</v>
      </c>
      <c r="K37" s="16" t="s">
        <v>186</v>
      </c>
      <c r="L37" s="16" t="s">
        <v>236</v>
      </c>
      <c r="M37" s="16" t="s">
        <v>248</v>
      </c>
      <c r="N37" s="16" t="s">
        <v>249</v>
      </c>
    </row>
    <row r="38" spans="3:20" x14ac:dyDescent="0.25">
      <c r="C38" s="16" t="s">
        <v>30</v>
      </c>
      <c r="D38" s="17" t="s">
        <v>187</v>
      </c>
      <c r="E38" s="17" t="s">
        <v>188</v>
      </c>
      <c r="F38" s="17" t="s">
        <v>189</v>
      </c>
      <c r="G38" s="17" t="s">
        <v>190</v>
      </c>
      <c r="H38" s="17" t="s">
        <v>191</v>
      </c>
      <c r="I38" s="17" t="s">
        <v>192</v>
      </c>
      <c r="J38" s="17" t="s">
        <v>193</v>
      </c>
      <c r="K38" s="17" t="s">
        <v>194</v>
      </c>
      <c r="L38" s="17" t="s">
        <v>237</v>
      </c>
      <c r="M38" s="17" t="s">
        <v>250</v>
      </c>
      <c r="N38" s="17" t="s">
        <v>251</v>
      </c>
      <c r="O38" s="152">
        <f>O36*H70</f>
        <v>723.35739586669092</v>
      </c>
    </row>
    <row r="39" spans="3:20" x14ac:dyDescent="0.25">
      <c r="C39" s="19" t="str">
        <f>C8</f>
        <v>EWS</v>
      </c>
      <c r="D39" s="20"/>
      <c r="E39" s="22"/>
      <c r="F39" s="20"/>
      <c r="G39" s="20"/>
      <c r="H39" s="20"/>
      <c r="I39" s="20"/>
      <c r="J39" s="20"/>
      <c r="K39" s="20"/>
      <c r="L39" s="20"/>
      <c r="M39" s="20"/>
      <c r="N39" s="20"/>
    </row>
    <row r="40" spans="3:20" x14ac:dyDescent="0.25">
      <c r="C40" s="18" t="s">
        <v>256</v>
      </c>
      <c r="D40" s="21">
        <v>0</v>
      </c>
      <c r="E40" s="23">
        <v>0.15</v>
      </c>
      <c r="F40" s="21">
        <v>0.2</v>
      </c>
      <c r="G40" s="21">
        <v>0.2</v>
      </c>
      <c r="H40" s="21">
        <v>0.2</v>
      </c>
      <c r="I40" s="21">
        <v>0.1</v>
      </c>
      <c r="J40" s="21">
        <v>0.1</v>
      </c>
      <c r="K40" s="21">
        <v>0.05</v>
      </c>
      <c r="L40" s="21">
        <v>0</v>
      </c>
      <c r="M40" s="21">
        <v>0</v>
      </c>
      <c r="N40" s="21">
        <v>0</v>
      </c>
      <c r="O40" s="31">
        <f>SUM(D40:N40)</f>
        <v>1</v>
      </c>
    </row>
    <row r="41" spans="3:20" x14ac:dyDescent="0.25">
      <c r="C41" s="18" t="s">
        <v>257</v>
      </c>
      <c r="D41" s="21">
        <v>0</v>
      </c>
      <c r="E41" s="23">
        <v>0</v>
      </c>
      <c r="F41" s="21">
        <v>0</v>
      </c>
      <c r="G41" s="21">
        <v>0</v>
      </c>
      <c r="H41" s="21">
        <v>0.1</v>
      </c>
      <c r="I41" s="21">
        <v>0.1</v>
      </c>
      <c r="J41" s="21">
        <v>0.2</v>
      </c>
      <c r="K41" s="21">
        <v>0.2</v>
      </c>
      <c r="L41" s="21">
        <v>0.2</v>
      </c>
      <c r="M41" s="21">
        <v>0.1</v>
      </c>
      <c r="N41" s="21">
        <v>0.1</v>
      </c>
      <c r="O41" s="31">
        <f>SUM(D41:N41)</f>
        <v>1</v>
      </c>
    </row>
    <row r="42" spans="3:20" x14ac:dyDescent="0.25">
      <c r="C42" s="18" t="s">
        <v>258</v>
      </c>
      <c r="D42" s="29">
        <f>D40*$D$9</f>
        <v>0</v>
      </c>
      <c r="E42" s="29">
        <f t="shared" ref="E42:I42" si="3">E40*$D$9</f>
        <v>25694.524419249447</v>
      </c>
      <c r="F42" s="29">
        <f t="shared" si="3"/>
        <v>34259.365892332593</v>
      </c>
      <c r="G42" s="29">
        <f t="shared" si="3"/>
        <v>34259.365892332593</v>
      </c>
      <c r="H42" s="29">
        <f t="shared" si="3"/>
        <v>34259.365892332593</v>
      </c>
      <c r="I42" s="29">
        <f t="shared" si="3"/>
        <v>17129.682946166296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114">
        <f t="shared" ref="O42:O45" si="4">SUM(D42:N42)</f>
        <v>145602.30504241353</v>
      </c>
    </row>
    <row r="43" spans="3:20" x14ac:dyDescent="0.25">
      <c r="C43" s="18" t="s">
        <v>259</v>
      </c>
      <c r="D43" s="29">
        <v>0</v>
      </c>
      <c r="E43" s="29">
        <v>0</v>
      </c>
      <c r="F43" s="29">
        <v>0</v>
      </c>
      <c r="G43" s="29">
        <v>0</v>
      </c>
      <c r="H43" s="127">
        <f>H41*$D$10</f>
        <v>48941.951274760853</v>
      </c>
      <c r="I43" s="127">
        <f t="shared" ref="I43:N43" si="5">I41*$D$10</f>
        <v>48941.951274760853</v>
      </c>
      <c r="J43" s="127">
        <f t="shared" si="5"/>
        <v>97883.902549521707</v>
      </c>
      <c r="K43" s="127">
        <f t="shared" si="5"/>
        <v>97883.902549521707</v>
      </c>
      <c r="L43" s="127">
        <f t="shared" si="5"/>
        <v>97883.902549521707</v>
      </c>
      <c r="M43" s="127">
        <f t="shared" si="5"/>
        <v>48941.951274760853</v>
      </c>
      <c r="N43" s="127">
        <f t="shared" si="5"/>
        <v>48941.951274760853</v>
      </c>
      <c r="O43" s="114">
        <f t="shared" si="4"/>
        <v>489419.51274760859</v>
      </c>
    </row>
    <row r="44" spans="3:20" x14ac:dyDescent="0.25">
      <c r="C44" s="18" t="s">
        <v>197</v>
      </c>
      <c r="D44" s="29">
        <f>D24</f>
        <v>1764</v>
      </c>
      <c r="E44" s="29">
        <f>D44*(1+$D$29)</f>
        <v>1852.2</v>
      </c>
      <c r="F44" s="29">
        <f t="shared" ref="F44:N44" si="6">E44*(1+$D$29)</f>
        <v>1944.8100000000002</v>
      </c>
      <c r="G44" s="29">
        <f t="shared" si="6"/>
        <v>2042.0505000000003</v>
      </c>
      <c r="H44" s="29">
        <f t="shared" si="6"/>
        <v>2144.1530250000005</v>
      </c>
      <c r="I44" s="29">
        <f t="shared" si="6"/>
        <v>2251.3606762500008</v>
      </c>
      <c r="J44" s="29">
        <f t="shared" si="6"/>
        <v>2363.9287100625011</v>
      </c>
      <c r="K44" s="29">
        <f t="shared" si="6"/>
        <v>2482.1251455656261</v>
      </c>
      <c r="L44" s="29">
        <f t="shared" si="6"/>
        <v>2606.2314028439073</v>
      </c>
      <c r="M44" s="29">
        <f t="shared" si="6"/>
        <v>2736.542972986103</v>
      </c>
      <c r="N44" s="29">
        <f t="shared" si="6"/>
        <v>2873.3701216354084</v>
      </c>
      <c r="O44" s="174"/>
      <c r="P44" s="152"/>
      <c r="Q44" s="174"/>
      <c r="R44" s="152"/>
      <c r="S44" s="174"/>
      <c r="T44" s="152"/>
    </row>
    <row r="45" spans="3:20" s="15" customFormat="1" x14ac:dyDescent="0.25">
      <c r="C45" s="192" t="s">
        <v>198</v>
      </c>
      <c r="D45" s="193">
        <f>D44*(D43+D42)/10^7</f>
        <v>0</v>
      </c>
      <c r="E45" s="193">
        <f t="shared" ref="E45:N45" si="7">E44*(E43+E42)/10^7</f>
        <v>4.7591398129333822</v>
      </c>
      <c r="F45" s="193">
        <f t="shared" si="7"/>
        <v>6.6627957381067358</v>
      </c>
      <c r="G45" s="193">
        <f t="shared" si="7"/>
        <v>6.9959355250120732</v>
      </c>
      <c r="H45" s="193">
        <f t="shared" si="7"/>
        <v>17.839635588780791</v>
      </c>
      <c r="I45" s="193">
        <f t="shared" si="7"/>
        <v>14.875107910056926</v>
      </c>
      <c r="J45" s="193">
        <f t="shared" si="7"/>
        <v>23.139056748977442</v>
      </c>
      <c r="K45" s="193">
        <f t="shared" si="7"/>
        <v>24.296009586426312</v>
      </c>
      <c r="L45" s="193">
        <f t="shared" si="7"/>
        <v>25.510810065747627</v>
      </c>
      <c r="M45" s="193">
        <f t="shared" si="7"/>
        <v>13.393175284517506</v>
      </c>
      <c r="N45" s="193">
        <f t="shared" si="7"/>
        <v>14.062834048743381</v>
      </c>
      <c r="O45" s="153">
        <f t="shared" si="4"/>
        <v>151.53450030930216</v>
      </c>
    </row>
    <row r="46" spans="3:20" x14ac:dyDescent="0.25">
      <c r="C46" s="19" t="str">
        <f>C25</f>
        <v>LIG</v>
      </c>
      <c r="D46" s="20"/>
      <c r="E46" s="22"/>
      <c r="F46" s="20"/>
      <c r="G46" s="20"/>
      <c r="H46" s="20"/>
      <c r="I46" s="20"/>
      <c r="J46" s="20"/>
      <c r="K46" s="20"/>
      <c r="L46" s="20"/>
      <c r="M46" s="20"/>
      <c r="N46" s="20"/>
    </row>
    <row r="47" spans="3:20" x14ac:dyDescent="0.25">
      <c r="C47" s="18" t="s">
        <v>256</v>
      </c>
      <c r="D47" s="21">
        <v>0</v>
      </c>
      <c r="E47" s="23">
        <v>0.15</v>
      </c>
      <c r="F47" s="21">
        <v>0.2</v>
      </c>
      <c r="G47" s="21">
        <v>0.2</v>
      </c>
      <c r="H47" s="21">
        <v>0.2</v>
      </c>
      <c r="I47" s="21">
        <v>0.1</v>
      </c>
      <c r="J47" s="21">
        <v>0.1</v>
      </c>
      <c r="K47" s="21">
        <v>0</v>
      </c>
      <c r="L47" s="21">
        <v>0</v>
      </c>
      <c r="M47" s="21">
        <v>0</v>
      </c>
      <c r="N47" s="21">
        <v>0</v>
      </c>
    </row>
    <row r="48" spans="3:20" x14ac:dyDescent="0.25">
      <c r="C48" s="18" t="s">
        <v>257</v>
      </c>
      <c r="D48" s="21">
        <v>0</v>
      </c>
      <c r="E48" s="23">
        <v>0</v>
      </c>
      <c r="F48" s="21">
        <v>0</v>
      </c>
      <c r="G48" s="21">
        <v>0</v>
      </c>
      <c r="H48" s="21">
        <v>0.1</v>
      </c>
      <c r="I48" s="21">
        <v>0.1</v>
      </c>
      <c r="J48" s="21">
        <v>0.2</v>
      </c>
      <c r="K48" s="21">
        <v>0.2</v>
      </c>
      <c r="L48" s="21">
        <v>0.2</v>
      </c>
      <c r="M48" s="21">
        <v>0.1</v>
      </c>
      <c r="N48" s="21">
        <v>0.05</v>
      </c>
    </row>
    <row r="49" spans="3:15" x14ac:dyDescent="0.25">
      <c r="C49" s="18" t="s">
        <v>258</v>
      </c>
      <c r="D49" s="29">
        <f>D47*$D$12</f>
        <v>0</v>
      </c>
      <c r="E49" s="29">
        <f t="shared" ref="E49:I49" si="8">E47*$D$12</f>
        <v>13568.214333394748</v>
      </c>
      <c r="F49" s="29">
        <f t="shared" si="8"/>
        <v>18090.952444526334</v>
      </c>
      <c r="G49" s="29">
        <f t="shared" si="8"/>
        <v>18090.952444526334</v>
      </c>
      <c r="H49" s="29">
        <f t="shared" si="8"/>
        <v>18090.952444526334</v>
      </c>
      <c r="I49" s="29">
        <f t="shared" si="8"/>
        <v>9045.4762222631671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</row>
    <row r="50" spans="3:15" x14ac:dyDescent="0.25">
      <c r="C50" s="18" t="s">
        <v>259</v>
      </c>
      <c r="D50" s="29">
        <v>0</v>
      </c>
      <c r="E50" s="29">
        <v>0</v>
      </c>
      <c r="F50" s="29">
        <v>0</v>
      </c>
      <c r="G50" s="29">
        <v>0</v>
      </c>
      <c r="H50" s="127">
        <f>H48*$D$13</f>
        <v>15226.551640809666</v>
      </c>
      <c r="I50" s="127">
        <f t="shared" ref="I50:N50" si="9">I48*$D$13</f>
        <v>15226.551640809666</v>
      </c>
      <c r="J50" s="127">
        <f t="shared" si="9"/>
        <v>30453.103281619333</v>
      </c>
      <c r="K50" s="127">
        <f t="shared" si="9"/>
        <v>30453.103281619333</v>
      </c>
      <c r="L50" s="127">
        <f t="shared" si="9"/>
        <v>30453.103281619333</v>
      </c>
      <c r="M50" s="127">
        <f t="shared" si="9"/>
        <v>15226.551640809666</v>
      </c>
      <c r="N50" s="127">
        <f t="shared" si="9"/>
        <v>7613.2758204048332</v>
      </c>
    </row>
    <row r="51" spans="3:15" x14ac:dyDescent="0.25">
      <c r="C51" s="18" t="s">
        <v>197</v>
      </c>
      <c r="D51" s="29">
        <f>D25</f>
        <v>1764</v>
      </c>
      <c r="E51" s="29">
        <f>D51*(1+$D$29)</f>
        <v>1852.2</v>
      </c>
      <c r="F51" s="29">
        <f t="shared" ref="F51:N51" si="10">E51*(1+$D$29)</f>
        <v>1944.8100000000002</v>
      </c>
      <c r="G51" s="29">
        <f t="shared" si="10"/>
        <v>2042.0505000000003</v>
      </c>
      <c r="H51" s="29">
        <f t="shared" si="10"/>
        <v>2144.1530250000005</v>
      </c>
      <c r="I51" s="29">
        <f t="shared" si="10"/>
        <v>2251.3606762500008</v>
      </c>
      <c r="J51" s="29">
        <f t="shared" si="10"/>
        <v>2363.9287100625011</v>
      </c>
      <c r="K51" s="29">
        <f t="shared" si="10"/>
        <v>2482.1251455656261</v>
      </c>
      <c r="L51" s="29">
        <f t="shared" si="10"/>
        <v>2606.2314028439073</v>
      </c>
      <c r="M51" s="29">
        <f t="shared" si="10"/>
        <v>2736.542972986103</v>
      </c>
      <c r="N51" s="29">
        <f t="shared" si="10"/>
        <v>2873.3701216354084</v>
      </c>
    </row>
    <row r="52" spans="3:15" s="15" customFormat="1" x14ac:dyDescent="0.25">
      <c r="C52" s="192" t="s">
        <v>200</v>
      </c>
      <c r="D52" s="193">
        <f>D51*(D50+D49)/10^7</f>
        <v>0</v>
      </c>
      <c r="E52" s="193">
        <f t="shared" ref="E52:N52" si="11">E51*(E50+E49)/10^7</f>
        <v>2.513104658831375</v>
      </c>
      <c r="F52" s="193">
        <f t="shared" si="11"/>
        <v>3.5183465223639265</v>
      </c>
      <c r="G52" s="193">
        <f t="shared" si="11"/>
        <v>3.6942638484821231</v>
      </c>
      <c r="H52" s="193">
        <f t="shared" si="11"/>
        <v>7.1437827170023054</v>
      </c>
      <c r="I52" s="193">
        <f t="shared" si="11"/>
        <v>5.4645089063766514</v>
      </c>
      <c r="J52" s="193">
        <f t="shared" si="11"/>
        <v>7.1988965157918514</v>
      </c>
      <c r="K52" s="193">
        <f t="shared" si="11"/>
        <v>7.5588413415814433</v>
      </c>
      <c r="L52" s="193">
        <f t="shared" si="11"/>
        <v>7.9367834086605145</v>
      </c>
      <c r="M52" s="193">
        <f t="shared" si="11"/>
        <v>4.1668112895467706</v>
      </c>
      <c r="N52" s="193">
        <f t="shared" si="11"/>
        <v>2.1875759270120549</v>
      </c>
      <c r="O52" s="153">
        <f t="shared" ref="O52" si="12">SUM(D52:N52)</f>
        <v>51.382915135649021</v>
      </c>
    </row>
    <row r="53" spans="3:15" x14ac:dyDescent="0.25">
      <c r="C53" s="19" t="s">
        <v>150</v>
      </c>
      <c r="D53" s="20"/>
      <c r="E53" s="22"/>
      <c r="F53" s="20"/>
      <c r="G53" s="20"/>
      <c r="H53" s="20"/>
      <c r="I53" s="20"/>
      <c r="J53" s="20"/>
      <c r="K53" s="20"/>
      <c r="L53" s="20"/>
      <c r="M53" s="20"/>
      <c r="N53" s="20"/>
    </row>
    <row r="54" spans="3:15" x14ac:dyDescent="0.25">
      <c r="C54" s="18" t="s">
        <v>256</v>
      </c>
      <c r="D54" s="21">
        <v>0</v>
      </c>
      <c r="E54" s="23">
        <v>0.15</v>
      </c>
      <c r="F54" s="21">
        <v>0.2</v>
      </c>
      <c r="G54" s="21">
        <v>0.2</v>
      </c>
      <c r="H54" s="21">
        <v>0.2</v>
      </c>
      <c r="I54" s="21">
        <v>0.1</v>
      </c>
      <c r="J54" s="21">
        <v>0.1</v>
      </c>
      <c r="K54" s="21">
        <v>0</v>
      </c>
      <c r="L54" s="21">
        <v>0</v>
      </c>
      <c r="M54" s="21">
        <v>0</v>
      </c>
      <c r="N54" s="21">
        <v>0</v>
      </c>
    </row>
    <row r="55" spans="3:15" x14ac:dyDescent="0.25">
      <c r="C55" s="18" t="s">
        <v>257</v>
      </c>
      <c r="D55" s="21">
        <v>0</v>
      </c>
      <c r="E55" s="23">
        <v>0</v>
      </c>
      <c r="F55" s="21">
        <v>0</v>
      </c>
      <c r="G55" s="21">
        <v>0</v>
      </c>
      <c r="H55" s="21">
        <v>0.1</v>
      </c>
      <c r="I55" s="21">
        <v>0.1</v>
      </c>
      <c r="J55" s="21">
        <v>0.2</v>
      </c>
      <c r="K55" s="21">
        <v>0.2</v>
      </c>
      <c r="L55" s="21">
        <v>0.2</v>
      </c>
      <c r="M55" s="21">
        <v>0.1</v>
      </c>
      <c r="N55" s="21">
        <v>0.05</v>
      </c>
    </row>
    <row r="56" spans="3:15" x14ac:dyDescent="0.25">
      <c r="C56" s="18" t="s">
        <v>258</v>
      </c>
      <c r="D56" s="29">
        <f>D54*$D$15</f>
        <v>0</v>
      </c>
      <c r="E56" s="29">
        <f t="shared" ref="E56:I56" si="13">E54*$D$15</f>
        <v>121540.0469677099</v>
      </c>
      <c r="F56" s="29">
        <f t="shared" si="13"/>
        <v>162053.39595694654</v>
      </c>
      <c r="G56" s="29">
        <f t="shared" si="13"/>
        <v>162053.39595694654</v>
      </c>
      <c r="H56" s="29">
        <f t="shared" si="13"/>
        <v>162053.39595694654</v>
      </c>
      <c r="I56" s="29">
        <f t="shared" si="13"/>
        <v>81026.697978473268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</row>
    <row r="57" spans="3:15" x14ac:dyDescent="0.25">
      <c r="C57" s="18" t="s">
        <v>259</v>
      </c>
      <c r="D57" s="29">
        <v>0</v>
      </c>
      <c r="E57" s="29">
        <v>0</v>
      </c>
      <c r="F57" s="29">
        <v>0</v>
      </c>
      <c r="G57" s="29">
        <v>0</v>
      </c>
      <c r="H57" s="127">
        <f>H55*$D$16</f>
        <v>255973.34597352671</v>
      </c>
      <c r="I57" s="127">
        <f t="shared" ref="I57:N57" si="14">I55*$D$16</f>
        <v>255973.34597352671</v>
      </c>
      <c r="J57" s="127">
        <f t="shared" si="14"/>
        <v>511946.69194705342</v>
      </c>
      <c r="K57" s="127">
        <f t="shared" si="14"/>
        <v>511946.69194705342</v>
      </c>
      <c r="L57" s="127">
        <f t="shared" si="14"/>
        <v>511946.69194705342</v>
      </c>
      <c r="M57" s="127">
        <f t="shared" si="14"/>
        <v>255973.34597352671</v>
      </c>
      <c r="N57" s="127">
        <f t="shared" si="14"/>
        <v>127986.67298676335</v>
      </c>
    </row>
    <row r="58" spans="3:15" x14ac:dyDescent="0.25">
      <c r="C58" s="18" t="s">
        <v>197</v>
      </c>
      <c r="D58" s="29">
        <f>D26</f>
        <v>2800</v>
      </c>
      <c r="E58" s="29">
        <f>D58*(1+$D$29)</f>
        <v>2940</v>
      </c>
      <c r="F58" s="29">
        <f t="shared" ref="F58:N58" si="15">E58*(1+$D$29)</f>
        <v>3087</v>
      </c>
      <c r="G58" s="29">
        <f t="shared" si="15"/>
        <v>3241.3500000000004</v>
      </c>
      <c r="H58" s="29">
        <f t="shared" si="15"/>
        <v>3403.4175000000005</v>
      </c>
      <c r="I58" s="29">
        <f t="shared" si="15"/>
        <v>3573.5883750000007</v>
      </c>
      <c r="J58" s="29">
        <f t="shared" si="15"/>
        <v>3752.2677937500007</v>
      </c>
      <c r="K58" s="29">
        <f t="shared" si="15"/>
        <v>3939.881183437501</v>
      </c>
      <c r="L58" s="29">
        <f t="shared" si="15"/>
        <v>4136.8752426093761</v>
      </c>
      <c r="M58" s="29">
        <f t="shared" si="15"/>
        <v>4343.7190047398453</v>
      </c>
      <c r="N58" s="29">
        <f t="shared" si="15"/>
        <v>4560.9049549768379</v>
      </c>
    </row>
    <row r="59" spans="3:15" s="15" customFormat="1" x14ac:dyDescent="0.25">
      <c r="C59" s="192" t="s">
        <v>201</v>
      </c>
      <c r="D59" s="193">
        <f>D58*(D57+D56)/10^7</f>
        <v>0</v>
      </c>
      <c r="E59" s="193">
        <f t="shared" ref="E59:N59" si="16">E58*(E57+E56)/10^7</f>
        <v>35.732773808506707</v>
      </c>
      <c r="F59" s="193">
        <f t="shared" si="16"/>
        <v>50.025883331909391</v>
      </c>
      <c r="G59" s="193">
        <f t="shared" si="16"/>
        <v>52.527177498504869</v>
      </c>
      <c r="H59" s="193">
        <f t="shared" si="16"/>
        <v>142.27195289541567</v>
      </c>
      <c r="I59" s="193">
        <f t="shared" si="16"/>
        <v>120.42994394413564</v>
      </c>
      <c r="J59" s="193">
        <f t="shared" si="16"/>
        <v>192.09610843097812</v>
      </c>
      <c r="K59" s="193">
        <f t="shared" si="16"/>
        <v>201.70091385252707</v>
      </c>
      <c r="L59" s="193">
        <f t="shared" si="16"/>
        <v>211.78595954515339</v>
      </c>
      <c r="M59" s="193">
        <f t="shared" si="16"/>
        <v>111.18762876120556</v>
      </c>
      <c r="N59" s="193">
        <f t="shared" si="16"/>
        <v>58.373505099632922</v>
      </c>
      <c r="O59" s="153">
        <f t="shared" ref="O59" si="17">SUM(D59:N59)</f>
        <v>1176.1318471679692</v>
      </c>
    </row>
    <row r="60" spans="3:15" x14ac:dyDescent="0.25">
      <c r="C60" s="19" t="s">
        <v>151</v>
      </c>
      <c r="D60" s="20"/>
      <c r="E60" s="22"/>
      <c r="F60" s="20"/>
      <c r="G60" s="20"/>
      <c r="H60" s="20"/>
      <c r="I60" s="20"/>
      <c r="J60" s="20"/>
      <c r="K60" s="20"/>
      <c r="L60" s="20"/>
      <c r="M60" s="20"/>
      <c r="N60" s="20"/>
    </row>
    <row r="61" spans="3:15" x14ac:dyDescent="0.25">
      <c r="C61" s="18" t="s">
        <v>256</v>
      </c>
      <c r="D61" s="21">
        <v>0</v>
      </c>
      <c r="E61" s="23">
        <v>0.1</v>
      </c>
      <c r="F61" s="23">
        <v>0.1</v>
      </c>
      <c r="G61" s="23">
        <v>0.2</v>
      </c>
      <c r="H61" s="23">
        <v>0.2</v>
      </c>
      <c r="I61" s="21">
        <v>0.1</v>
      </c>
      <c r="J61" s="21">
        <v>0.1</v>
      </c>
      <c r="K61" s="21">
        <v>0.1</v>
      </c>
      <c r="L61" s="21">
        <v>0.1</v>
      </c>
      <c r="M61" s="21">
        <v>0</v>
      </c>
      <c r="N61" s="21">
        <v>0</v>
      </c>
      <c r="O61" s="31">
        <f>SUM(D61:N61)</f>
        <v>1</v>
      </c>
    </row>
    <row r="62" spans="3:15" x14ac:dyDescent="0.25">
      <c r="C62" s="18" t="s">
        <v>257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31">
        <f>SUM(D62:N62)</f>
        <v>0</v>
      </c>
    </row>
    <row r="63" spans="3:15" x14ac:dyDescent="0.25">
      <c r="C63" s="18" t="s">
        <v>258</v>
      </c>
      <c r="D63" s="29">
        <f>D61*$D$21</f>
        <v>0</v>
      </c>
      <c r="E63" s="182">
        <f>E61*$D$18</f>
        <v>1174.8152520000001</v>
      </c>
      <c r="F63" s="182">
        <f t="shared" ref="F63:K63" si="18">F61*$D$18</f>
        <v>1174.8152520000001</v>
      </c>
      <c r="G63" s="182">
        <f t="shared" si="18"/>
        <v>2349.6305040000002</v>
      </c>
      <c r="H63" s="182">
        <f t="shared" si="18"/>
        <v>2349.6305040000002</v>
      </c>
      <c r="I63" s="182">
        <f t="shared" si="18"/>
        <v>1174.8152520000001</v>
      </c>
      <c r="J63" s="182">
        <f t="shared" si="18"/>
        <v>1174.8152520000001</v>
      </c>
      <c r="K63" s="182">
        <f t="shared" si="18"/>
        <v>1174.8152520000001</v>
      </c>
      <c r="L63" s="29">
        <f t="shared" ref="L63:N63" si="19">L61*$D$21</f>
        <v>108376.67239890274</v>
      </c>
      <c r="M63" s="29">
        <f t="shared" si="19"/>
        <v>0</v>
      </c>
      <c r="N63" s="29">
        <f t="shared" si="19"/>
        <v>0</v>
      </c>
      <c r="O63" s="174">
        <f>SUM(D63:N63)</f>
        <v>118950.00966690274</v>
      </c>
    </row>
    <row r="64" spans="3:15" x14ac:dyDescent="0.25">
      <c r="C64" s="18" t="s">
        <v>259</v>
      </c>
      <c r="D64" s="29">
        <f>D62*$D$22</f>
        <v>0</v>
      </c>
      <c r="E64" s="29">
        <f t="shared" ref="E64:N64" si="20">E62*$D$22</f>
        <v>0</v>
      </c>
      <c r="F64" s="29">
        <f t="shared" si="20"/>
        <v>0</v>
      </c>
      <c r="G64" s="29">
        <f t="shared" si="20"/>
        <v>0</v>
      </c>
      <c r="H64" s="29">
        <f t="shared" si="20"/>
        <v>0</v>
      </c>
      <c r="I64" s="29">
        <f t="shared" si="20"/>
        <v>0</v>
      </c>
      <c r="J64" s="29">
        <f t="shared" si="20"/>
        <v>0</v>
      </c>
      <c r="K64" s="29">
        <f t="shared" si="20"/>
        <v>0</v>
      </c>
      <c r="L64" s="29">
        <f t="shared" si="20"/>
        <v>0</v>
      </c>
      <c r="M64" s="29">
        <f t="shared" si="20"/>
        <v>0</v>
      </c>
      <c r="N64" s="29">
        <f t="shared" si="20"/>
        <v>0</v>
      </c>
      <c r="O64" s="174">
        <f>SUM(D64:N64)</f>
        <v>0</v>
      </c>
    </row>
    <row r="65" spans="1:19" x14ac:dyDescent="0.25">
      <c r="C65" s="18" t="s">
        <v>197</v>
      </c>
      <c r="D65" s="29">
        <f>D27</f>
        <v>7500</v>
      </c>
      <c r="E65" s="29">
        <f>D65*(1+$D$29)</f>
        <v>7875</v>
      </c>
      <c r="F65" s="29">
        <f t="shared" ref="F65:N65" si="21">E65*(1+$D$29)</f>
        <v>8268.75</v>
      </c>
      <c r="G65" s="29">
        <f t="shared" si="21"/>
        <v>8682.1875</v>
      </c>
      <c r="H65" s="29">
        <f t="shared" si="21"/>
        <v>9116.296875</v>
      </c>
      <c r="I65" s="29">
        <f t="shared" si="21"/>
        <v>9572.1117187500004</v>
      </c>
      <c r="J65" s="29">
        <f t="shared" si="21"/>
        <v>10050.717304687501</v>
      </c>
      <c r="K65" s="29">
        <f t="shared" si="21"/>
        <v>10553.253169921876</v>
      </c>
      <c r="L65" s="29">
        <f t="shared" si="21"/>
        <v>11080.91582841797</v>
      </c>
      <c r="M65" s="29">
        <f t="shared" si="21"/>
        <v>11634.961619838869</v>
      </c>
      <c r="N65" s="29">
        <f t="shared" si="21"/>
        <v>12216.709700830812</v>
      </c>
    </row>
    <row r="66" spans="1:19" s="15" customFormat="1" x14ac:dyDescent="0.25">
      <c r="C66" s="192" t="s">
        <v>202</v>
      </c>
      <c r="D66" s="193">
        <f>D65*(D64+D63)/10^7</f>
        <v>0</v>
      </c>
      <c r="E66" s="193">
        <f t="shared" ref="E66:N66" si="22">E65*(E64+E63)/10^7</f>
        <v>0.92516701094999998</v>
      </c>
      <c r="F66" s="193">
        <f t="shared" si="22"/>
        <v>0.97142536149750014</v>
      </c>
      <c r="G66" s="193">
        <f t="shared" si="22"/>
        <v>2.03999325914475</v>
      </c>
      <c r="H66" s="193">
        <f t="shared" si="22"/>
        <v>2.1419929221019873</v>
      </c>
      <c r="I66" s="193">
        <f t="shared" si="22"/>
        <v>1.1245462841035434</v>
      </c>
      <c r="J66" s="193">
        <f t="shared" si="22"/>
        <v>1.1807735983087209</v>
      </c>
      <c r="K66" s="193">
        <f t="shared" si="22"/>
        <v>1.2398122782241567</v>
      </c>
      <c r="L66" s="193">
        <f t="shared" si="22"/>
        <v>120.09127846162703</v>
      </c>
      <c r="M66" s="193">
        <f t="shared" si="22"/>
        <v>0</v>
      </c>
      <c r="N66" s="193">
        <f t="shared" si="22"/>
        <v>0</v>
      </c>
      <c r="O66" s="153">
        <f t="shared" ref="O66:O76" si="23">SUM(D66:N66)</f>
        <v>129.7149891759577</v>
      </c>
    </row>
    <row r="67" spans="1:19" x14ac:dyDescent="0.25">
      <c r="C67" s="19" t="s">
        <v>195</v>
      </c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52">
        <f>O38*1.025</f>
        <v>741.44133076335811</v>
      </c>
    </row>
    <row r="68" spans="1:19" x14ac:dyDescent="0.25">
      <c r="C68" s="18" t="s">
        <v>234</v>
      </c>
      <c r="D68" s="21">
        <v>0</v>
      </c>
      <c r="E68" s="184">
        <v>0.02</v>
      </c>
      <c r="F68" s="184">
        <v>0.02</v>
      </c>
      <c r="G68" s="184">
        <v>0.02</v>
      </c>
      <c r="H68" s="184">
        <v>0.02</v>
      </c>
      <c r="I68" s="184">
        <v>0.02</v>
      </c>
      <c r="J68" s="184">
        <v>0.02</v>
      </c>
      <c r="K68" s="184">
        <v>0.02</v>
      </c>
      <c r="L68" s="184">
        <v>0.02</v>
      </c>
      <c r="M68" s="184">
        <v>0.02</v>
      </c>
      <c r="N68" s="184">
        <v>0.02</v>
      </c>
    </row>
    <row r="69" spans="1:19" x14ac:dyDescent="0.25">
      <c r="C69" s="18" t="s">
        <v>252</v>
      </c>
      <c r="D69" s="21">
        <v>0</v>
      </c>
      <c r="E69" s="23">
        <v>0.3</v>
      </c>
      <c r="F69" s="21">
        <v>0.3</v>
      </c>
      <c r="G69" s="21">
        <v>0.3</v>
      </c>
      <c r="H69" s="21">
        <v>0.1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31">
        <f>SUM(D69:L69)</f>
        <v>0.99999999999999989</v>
      </c>
    </row>
    <row r="70" spans="1:19" x14ac:dyDescent="0.25">
      <c r="C70" s="18" t="s">
        <v>253</v>
      </c>
      <c r="D70" s="21">
        <v>0</v>
      </c>
      <c r="E70" s="23">
        <v>0</v>
      </c>
      <c r="F70" s="21">
        <v>0</v>
      </c>
      <c r="G70" s="21">
        <v>0</v>
      </c>
      <c r="H70" s="21">
        <v>0.1</v>
      </c>
      <c r="I70" s="21">
        <v>0.2</v>
      </c>
      <c r="J70" s="21">
        <v>0.2</v>
      </c>
      <c r="K70" s="21">
        <v>0.2</v>
      </c>
      <c r="L70" s="21">
        <v>0.2</v>
      </c>
      <c r="M70" s="21">
        <v>0.1</v>
      </c>
      <c r="N70" s="21">
        <v>0</v>
      </c>
      <c r="O70" s="31">
        <f>SUM(D70:N70)</f>
        <v>0.99999999999999989</v>
      </c>
    </row>
    <row r="71" spans="1:19" s="123" customFormat="1" x14ac:dyDescent="0.25">
      <c r="C71" s="18" t="s">
        <v>254</v>
      </c>
      <c r="D71" s="126">
        <f>D69*D35</f>
        <v>0</v>
      </c>
      <c r="E71" s="126">
        <f t="shared" ref="E71:H72" si="24">E69*D35</f>
        <v>67.091034894093141</v>
      </c>
      <c r="F71" s="126">
        <f t="shared" si="24"/>
        <v>68.432855591974999</v>
      </c>
      <c r="G71" s="126">
        <f t="shared" si="24"/>
        <v>69.801512703814495</v>
      </c>
      <c r="H71" s="126">
        <f t="shared" si="24"/>
        <v>23.732514319296932</v>
      </c>
      <c r="I71" s="126">
        <f t="shared" ref="I71:N71" si="25">I69*I35</f>
        <v>0</v>
      </c>
      <c r="J71" s="126">
        <f t="shared" si="25"/>
        <v>0</v>
      </c>
      <c r="K71" s="126">
        <f t="shared" si="25"/>
        <v>0</v>
      </c>
      <c r="L71" s="126">
        <f t="shared" si="25"/>
        <v>0</v>
      </c>
      <c r="M71" s="126">
        <f t="shared" si="25"/>
        <v>0</v>
      </c>
      <c r="N71" s="126">
        <f t="shared" si="25"/>
        <v>0</v>
      </c>
      <c r="O71" s="123">
        <f>SUM(D71:L71)</f>
        <v>229.05791750917956</v>
      </c>
    </row>
    <row r="72" spans="1:19" x14ac:dyDescent="0.25">
      <c r="C72" s="18" t="s">
        <v>255</v>
      </c>
      <c r="D72" s="126">
        <f>D70*D36</f>
        <v>0</v>
      </c>
      <c r="E72" s="126">
        <f t="shared" si="24"/>
        <v>0</v>
      </c>
      <c r="F72" s="126">
        <f t="shared" si="24"/>
        <v>0</v>
      </c>
      <c r="G72" s="126">
        <f t="shared" si="24"/>
        <v>0</v>
      </c>
      <c r="H72" s="126">
        <f t="shared" si="24"/>
        <v>70.105225089413423</v>
      </c>
      <c r="I72" s="126">
        <f t="shared" ref="I72:N72" si="26">I70*H36</f>
        <v>143.01465918240339</v>
      </c>
      <c r="J72" s="126">
        <f t="shared" si="26"/>
        <v>145.87495236605145</v>
      </c>
      <c r="K72" s="126">
        <f t="shared" si="26"/>
        <v>148.79245141337248</v>
      </c>
      <c r="L72" s="126">
        <f t="shared" si="26"/>
        <v>151.76830044163992</v>
      </c>
      <c r="M72" s="126">
        <f t="shared" si="26"/>
        <v>77.401833225236373</v>
      </c>
      <c r="N72" s="126">
        <f t="shared" si="26"/>
        <v>0</v>
      </c>
      <c r="O72" s="123">
        <f>SUM(D72:L72)</f>
        <v>659.5555884928807</v>
      </c>
      <c r="Q72" s="152">
        <f>G22*1.05</f>
        <v>693.64805338712188</v>
      </c>
      <c r="R72" s="152">
        <f>Q72*1.05</f>
        <v>728.33045605647806</v>
      </c>
    </row>
    <row r="73" spans="1:19" s="15" customFormat="1" x14ac:dyDescent="0.25">
      <c r="C73" s="189" t="s">
        <v>273</v>
      </c>
      <c r="D73" s="190">
        <f>SUM(D71:D72)</f>
        <v>0</v>
      </c>
      <c r="E73" s="190">
        <f t="shared" ref="E73:M73" si="27">SUM(E71:E72)</f>
        <v>67.091034894093141</v>
      </c>
      <c r="F73" s="190">
        <f>SUM(F71:F72)</f>
        <v>68.432855591974999</v>
      </c>
      <c r="G73" s="190">
        <f t="shared" si="27"/>
        <v>69.801512703814495</v>
      </c>
      <c r="H73" s="190">
        <f t="shared" si="27"/>
        <v>93.837739408710348</v>
      </c>
      <c r="I73" s="190">
        <f t="shared" si="27"/>
        <v>143.01465918240339</v>
      </c>
      <c r="J73" s="190">
        <f t="shared" si="27"/>
        <v>145.87495236605145</v>
      </c>
      <c r="K73" s="190">
        <f t="shared" si="27"/>
        <v>148.79245141337248</v>
      </c>
      <c r="L73" s="190">
        <f t="shared" si="27"/>
        <v>151.76830044163992</v>
      </c>
      <c r="M73" s="190">
        <f t="shared" si="27"/>
        <v>77.401833225236373</v>
      </c>
      <c r="N73" s="191">
        <v>0</v>
      </c>
      <c r="O73" s="153">
        <f>SUM(D73:L73)</f>
        <v>888.61350600206015</v>
      </c>
    </row>
    <row r="74" spans="1:19" x14ac:dyDescent="0.25">
      <c r="A74" s="14" t="s">
        <v>199</v>
      </c>
      <c r="C74" s="18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</row>
    <row r="75" spans="1:19" s="15" customFormat="1" x14ac:dyDescent="0.25">
      <c r="C75" s="1" t="s">
        <v>260</v>
      </c>
      <c r="D75" s="98">
        <f>D66+D59+D52+D45</f>
        <v>0</v>
      </c>
      <c r="E75" s="98">
        <f t="shared" ref="E75:N75" si="28">E66+E59+E52+E45</f>
        <v>43.930185291221463</v>
      </c>
      <c r="F75" s="98">
        <f t="shared" si="28"/>
        <v>61.178450953877558</v>
      </c>
      <c r="G75" s="98">
        <f t="shared" si="28"/>
        <v>65.257370131143816</v>
      </c>
      <c r="H75" s="98">
        <f t="shared" si="28"/>
        <v>169.39736412330075</v>
      </c>
      <c r="I75" s="98">
        <f t="shared" si="28"/>
        <v>141.89410704467275</v>
      </c>
      <c r="J75" s="98">
        <f t="shared" si="28"/>
        <v>223.61483529405615</v>
      </c>
      <c r="K75" s="98">
        <f t="shared" si="28"/>
        <v>234.79557705875899</v>
      </c>
      <c r="L75" s="98">
        <f t="shared" si="28"/>
        <v>365.3248314811886</v>
      </c>
      <c r="M75" s="98">
        <f t="shared" si="28"/>
        <v>128.74761533526984</v>
      </c>
      <c r="N75" s="98">
        <f t="shared" si="28"/>
        <v>74.623915075388354</v>
      </c>
      <c r="O75" s="153">
        <f t="shared" si="23"/>
        <v>1508.7642517888783</v>
      </c>
    </row>
    <row r="76" spans="1:19" x14ac:dyDescent="0.25">
      <c r="C76" s="18" t="s">
        <v>261</v>
      </c>
      <c r="D76" s="98">
        <f t="shared" ref="D76:N76" si="29">D75-D73</f>
        <v>0</v>
      </c>
      <c r="E76" s="98">
        <f t="shared" si="29"/>
        <v>-23.160849602871679</v>
      </c>
      <c r="F76" s="98">
        <f t="shared" si="29"/>
        <v>-7.2544046380974407</v>
      </c>
      <c r="G76" s="98">
        <f t="shared" si="29"/>
        <v>-4.5441425726706797</v>
      </c>
      <c r="H76" s="98">
        <f t="shared" si="29"/>
        <v>75.559624714590399</v>
      </c>
      <c r="I76" s="98">
        <f t="shared" si="29"/>
        <v>-1.1205521377306411</v>
      </c>
      <c r="J76" s="98">
        <f t="shared" si="29"/>
        <v>77.739882928004704</v>
      </c>
      <c r="K76" s="98">
        <f t="shared" si="29"/>
        <v>86.003125645386518</v>
      </c>
      <c r="L76" s="98">
        <f t="shared" si="29"/>
        <v>213.55653103954867</v>
      </c>
      <c r="M76" s="98">
        <f t="shared" si="29"/>
        <v>51.345782110033468</v>
      </c>
      <c r="N76" s="98">
        <f t="shared" si="29"/>
        <v>74.623915075388354</v>
      </c>
      <c r="O76" s="153">
        <f t="shared" si="23"/>
        <v>542.74891256158173</v>
      </c>
    </row>
    <row r="77" spans="1:19" x14ac:dyDescent="0.25">
      <c r="C77" s="1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</row>
    <row r="78" spans="1:19" x14ac:dyDescent="0.25">
      <c r="C78" s="175" t="s">
        <v>31</v>
      </c>
      <c r="D78" s="98">
        <v>0.5</v>
      </c>
      <c r="E78" s="98">
        <f>D78+1</f>
        <v>1.5</v>
      </c>
      <c r="F78" s="98">
        <f t="shared" ref="F78:N78" si="30">E78+1</f>
        <v>2.5</v>
      </c>
      <c r="G78" s="98">
        <f t="shared" si="30"/>
        <v>3.5</v>
      </c>
      <c r="H78" s="98">
        <f t="shared" si="30"/>
        <v>4.5</v>
      </c>
      <c r="I78" s="98">
        <f t="shared" si="30"/>
        <v>5.5</v>
      </c>
      <c r="J78" s="98">
        <f t="shared" si="30"/>
        <v>6.5</v>
      </c>
      <c r="K78" s="98">
        <f t="shared" si="30"/>
        <v>7.5</v>
      </c>
      <c r="L78" s="98">
        <f t="shared" si="30"/>
        <v>8.5</v>
      </c>
      <c r="M78" s="98">
        <f t="shared" si="30"/>
        <v>9.5</v>
      </c>
      <c r="N78" s="98">
        <f t="shared" si="30"/>
        <v>10.5</v>
      </c>
      <c r="R78" s="14">
        <v>10000</v>
      </c>
      <c r="S78" s="14">
        <v>1900000</v>
      </c>
    </row>
    <row r="79" spans="1:19" x14ac:dyDescent="0.25">
      <c r="C79" s="175" t="s">
        <v>32</v>
      </c>
      <c r="D79" s="98">
        <f>1/(1+$D$32)^D78</f>
        <v>0.93658581158169396</v>
      </c>
      <c r="E79" s="98">
        <f t="shared" ref="E79:N79" si="31">1/(1+$D$32)^E78</f>
        <v>0.82156650138745069</v>
      </c>
      <c r="F79" s="98">
        <f t="shared" si="31"/>
        <v>0.72067236963811454</v>
      </c>
      <c r="G79" s="98">
        <f t="shared" si="31"/>
        <v>0.63216874529659162</v>
      </c>
      <c r="H79" s="98">
        <f t="shared" si="31"/>
        <v>0.55453398710227331</v>
      </c>
      <c r="I79" s="98">
        <f t="shared" si="31"/>
        <v>0.48643332201953804</v>
      </c>
      <c r="J79" s="98">
        <f t="shared" si="31"/>
        <v>0.42669589650836653</v>
      </c>
      <c r="K79" s="98">
        <f t="shared" si="31"/>
        <v>0.3742946460599707</v>
      </c>
      <c r="L79" s="98">
        <f t="shared" si="31"/>
        <v>0.32832863689471109</v>
      </c>
      <c r="M79" s="98">
        <f t="shared" si="31"/>
        <v>0.28800757622343076</v>
      </c>
      <c r="N79" s="98">
        <f t="shared" si="31"/>
        <v>0.25263822475739534</v>
      </c>
      <c r="S79" s="14">
        <f>S78/R78</f>
        <v>190</v>
      </c>
    </row>
    <row r="80" spans="1:19" x14ac:dyDescent="0.25">
      <c r="A80" s="14" t="s">
        <v>213</v>
      </c>
      <c r="C80" s="175" t="s">
        <v>33</v>
      </c>
      <c r="D80" s="98">
        <f>D79*D76</f>
        <v>0</v>
      </c>
      <c r="E80" s="98">
        <f t="shared" ref="E80:N80" si="32">E79*E76</f>
        <v>-19.028178177392213</v>
      </c>
      <c r="F80" s="98">
        <f t="shared" si="32"/>
        <v>-5.228048980851411</v>
      </c>
      <c r="G80" s="98">
        <f t="shared" si="32"/>
        <v>-2.8726649086140497</v>
      </c>
      <c r="H80" s="98">
        <f t="shared" si="32"/>
        <v>41.900379956933286</v>
      </c>
      <c r="I80" s="98">
        <f t="shared" si="32"/>
        <v>-0.54507389885241064</v>
      </c>
      <c r="J80" s="98">
        <f t="shared" si="32"/>
        <v>33.171289040420426</v>
      </c>
      <c r="K80" s="98">
        <f t="shared" si="32"/>
        <v>32.190509473491133</v>
      </c>
      <c r="L80" s="98">
        <f t="shared" si="32"/>
        <v>70.116724736178071</v>
      </c>
      <c r="M80" s="98">
        <f t="shared" si="32"/>
        <v>14.787974254807132</v>
      </c>
      <c r="N80" s="98">
        <f t="shared" si="32"/>
        <v>18.852853429092743</v>
      </c>
      <c r="S80" s="114">
        <f>S79*250000</f>
        <v>47500000</v>
      </c>
    </row>
    <row r="81" spans="3:16" ht="18.75" x14ac:dyDescent="0.3">
      <c r="C81" s="186" t="s">
        <v>34</v>
      </c>
      <c r="D81" s="187">
        <f>SUM(D80:N80)</f>
        <v>183.34576492521271</v>
      </c>
      <c r="E81" s="179"/>
      <c r="F81" s="30"/>
      <c r="G81" s="30"/>
      <c r="H81" s="30"/>
      <c r="I81" s="30"/>
      <c r="J81" s="30"/>
      <c r="K81" s="30"/>
      <c r="L81" s="30"/>
      <c r="M81" s="30"/>
      <c r="N81" s="30"/>
      <c r="P81" s="114">
        <f>1800*10^7</f>
        <v>18000000000</v>
      </c>
    </row>
    <row r="82" spans="3:16" x14ac:dyDescent="0.25">
      <c r="C82" s="19"/>
      <c r="D82" s="20"/>
      <c r="E82" s="22"/>
      <c r="F82" s="20"/>
      <c r="G82" s="20"/>
      <c r="H82" s="20"/>
      <c r="I82" s="20"/>
      <c r="J82" s="20"/>
      <c r="K82" s="20"/>
      <c r="L82" s="20"/>
      <c r="M82" s="20"/>
      <c r="N82" s="20"/>
    </row>
    <row r="84" spans="3:16" ht="15.75" x14ac:dyDescent="0.25">
      <c r="C84" s="15" t="s">
        <v>274</v>
      </c>
      <c r="D84" s="198">
        <f>D81*(1-E84)</f>
        <v>150.34352723867443</v>
      </c>
      <c r="E84" s="31">
        <v>0.18</v>
      </c>
    </row>
  </sheetData>
  <mergeCells count="1">
    <mergeCell ref="F24:F2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T84"/>
  <sheetViews>
    <sheetView topLeftCell="B70" workbookViewId="0">
      <selection activeCell="M23" sqref="M23"/>
    </sheetView>
  </sheetViews>
  <sheetFormatPr defaultRowHeight="15" x14ac:dyDescent="0.25"/>
  <cols>
    <col min="1" max="1" width="12.28515625" style="14" customWidth="1"/>
    <col min="2" max="2" width="9.140625" style="14"/>
    <col min="3" max="3" width="42.28515625" style="14" bestFit="1" customWidth="1"/>
    <col min="4" max="5" width="12.42578125" style="14" bestFit="1" customWidth="1"/>
    <col min="6" max="6" width="18.5703125" style="14" customWidth="1"/>
    <col min="7" max="7" width="11.5703125" style="14" bestFit="1" customWidth="1"/>
    <col min="8" max="8" width="11.7109375" style="14" bestFit="1" customWidth="1"/>
    <col min="9" max="10" width="9.85546875" style="14" bestFit="1" customWidth="1"/>
    <col min="11" max="11" width="10" style="14" bestFit="1" customWidth="1"/>
    <col min="12" max="12" width="12.5703125" style="14" bestFit="1" customWidth="1"/>
    <col min="13" max="14" width="9.85546875" style="14" customWidth="1"/>
    <col min="15" max="15" width="9" style="14" bestFit="1" customWidth="1"/>
    <col min="16" max="16" width="15.28515625" style="14" bestFit="1" customWidth="1"/>
    <col min="17" max="18" width="7.42578125" style="14" bestFit="1" customWidth="1"/>
    <col min="19" max="19" width="11.5703125" style="14" bestFit="1" customWidth="1"/>
    <col min="20" max="20" width="12.5703125" style="14" bestFit="1" customWidth="1"/>
    <col min="21" max="16384" width="9.140625" style="14"/>
  </cols>
  <sheetData>
    <row r="3" spans="3:11" x14ac:dyDescent="0.25">
      <c r="C3" s="24" t="s">
        <v>13</v>
      </c>
      <c r="D3" s="24" t="s">
        <v>18</v>
      </c>
      <c r="E3" s="25" t="s">
        <v>19</v>
      </c>
    </row>
    <row r="4" spans="3:11" x14ac:dyDescent="0.25">
      <c r="C4" s="95" t="s">
        <v>196</v>
      </c>
      <c r="D4" s="96"/>
      <c r="E4" s="27"/>
      <c r="J4" s="14">
        <v>8000</v>
      </c>
      <c r="K4" s="114" t="s">
        <v>271</v>
      </c>
    </row>
    <row r="5" spans="3:11" x14ac:dyDescent="0.25">
      <c r="C5" s="124" t="s">
        <v>235</v>
      </c>
      <c r="D5" s="125">
        <f>'COC Breakup (3)'!N8</f>
        <v>884.25397668233131</v>
      </c>
      <c r="E5" s="27" t="s">
        <v>244</v>
      </c>
    </row>
    <row r="6" spans="3:11" x14ac:dyDescent="0.25">
      <c r="C6" s="95"/>
      <c r="D6" s="96"/>
      <c r="E6" s="27"/>
      <c r="J6" s="14">
        <v>5000</v>
      </c>
      <c r="K6" s="14">
        <f>J6*26*4047</f>
        <v>526110000</v>
      </c>
    </row>
    <row r="7" spans="3:11" x14ac:dyDescent="0.25">
      <c r="C7" s="95" t="s">
        <v>123</v>
      </c>
      <c r="D7" s="96"/>
      <c r="E7" s="27"/>
    </row>
    <row r="8" spans="3:11" x14ac:dyDescent="0.25">
      <c r="C8" s="95" t="s">
        <v>16</v>
      </c>
      <c r="D8" s="96">
        <f>'Inventory-Detailed'!L66</f>
        <v>660716.3422092715</v>
      </c>
      <c r="E8" s="97" t="s">
        <v>181</v>
      </c>
    </row>
    <row r="9" spans="3:11" x14ac:dyDescent="0.25">
      <c r="C9" s="162" t="s">
        <v>245</v>
      </c>
      <c r="D9" s="163">
        <f>'Inventory-Detailed'!R52</f>
        <v>171296.82946166297</v>
      </c>
      <c r="E9" s="97"/>
      <c r="G9" s="174">
        <f>D8+D11</f>
        <v>903436.62083999976</v>
      </c>
      <c r="H9" s="181">
        <f>G9/$G$11</f>
        <v>0.21140749426736455</v>
      </c>
    </row>
    <row r="10" spans="3:11" x14ac:dyDescent="0.25">
      <c r="C10" s="162" t="s">
        <v>246</v>
      </c>
      <c r="D10" s="163">
        <f>D8-D9</f>
        <v>489419.51274760853</v>
      </c>
      <c r="E10" s="97"/>
      <c r="G10" s="174">
        <f>D14</f>
        <v>3370000.4395199995</v>
      </c>
      <c r="H10" s="181">
        <f t="shared" ref="H10" si="0">G10/$G$11</f>
        <v>0.7885925057326354</v>
      </c>
    </row>
    <row r="11" spans="3:11" x14ac:dyDescent="0.25">
      <c r="C11" s="95" t="s">
        <v>17</v>
      </c>
      <c r="D11" s="96">
        <f>'Inventory-Detailed'!L86</f>
        <v>242720.27863072831</v>
      </c>
      <c r="E11" s="97" t="s">
        <v>181</v>
      </c>
      <c r="G11" s="174">
        <f>SUM(G9:G10)</f>
        <v>4273437.0603599995</v>
      </c>
    </row>
    <row r="12" spans="3:11" x14ac:dyDescent="0.25">
      <c r="C12" s="162" t="s">
        <v>245</v>
      </c>
      <c r="D12" s="26">
        <f>'Inventory-Detailed'!S52</f>
        <v>90454.76222263166</v>
      </c>
      <c r="E12" s="97"/>
    </row>
    <row r="13" spans="3:11" x14ac:dyDescent="0.25">
      <c r="C13" s="162" t="s">
        <v>246</v>
      </c>
      <c r="D13" s="26">
        <f>D11-D12</f>
        <v>152265.51640809665</v>
      </c>
      <c r="E13" s="97"/>
    </row>
    <row r="14" spans="3:11" x14ac:dyDescent="0.25">
      <c r="C14" s="95" t="s">
        <v>150</v>
      </c>
      <c r="D14" s="96">
        <f>'Inventory-Detailed'!R45</f>
        <v>3370000.4395199995</v>
      </c>
      <c r="E14" s="97" t="s">
        <v>181</v>
      </c>
      <c r="F14" s="174">
        <f>D14+D11+D8</f>
        <v>4273437.0603599995</v>
      </c>
      <c r="G14" s="174">
        <f>F14*5%</f>
        <v>213671.85301799999</v>
      </c>
    </row>
    <row r="15" spans="3:11" x14ac:dyDescent="0.25">
      <c r="C15" s="162" t="s">
        <v>245</v>
      </c>
      <c r="D15" s="26">
        <f>'Inventory-Detailed'!S61</f>
        <v>810266.97978473268</v>
      </c>
      <c r="E15" s="97"/>
      <c r="F15" s="174">
        <f>D17</f>
        <v>213671.85301799999</v>
      </c>
    </row>
    <row r="16" spans="3:11" x14ac:dyDescent="0.25">
      <c r="C16" s="162" t="s">
        <v>246</v>
      </c>
      <c r="D16" s="26">
        <f>D14-D15</f>
        <v>2559733.4597352669</v>
      </c>
      <c r="E16" s="97"/>
      <c r="F16" s="174">
        <f>SUM(F14:F15)</f>
        <v>4487108.9133779993</v>
      </c>
    </row>
    <row r="17" spans="3:20" x14ac:dyDescent="0.25">
      <c r="C17" s="95" t="s">
        <v>180</v>
      </c>
      <c r="D17" s="96">
        <f>D18+D19</f>
        <v>213671.85301799999</v>
      </c>
      <c r="E17" s="97" t="s">
        <v>181</v>
      </c>
    </row>
    <row r="18" spans="3:20" x14ac:dyDescent="0.25">
      <c r="C18" s="162" t="s">
        <v>245</v>
      </c>
      <c r="D18" s="26">
        <f>'Sanctioned Plan'!D6</f>
        <v>11748.15252</v>
      </c>
      <c r="E18" s="97"/>
    </row>
    <row r="19" spans="3:20" x14ac:dyDescent="0.25">
      <c r="C19" s="162" t="s">
        <v>246</v>
      </c>
      <c r="D19" s="26">
        <f>G14-D18</f>
        <v>201923.70049799999</v>
      </c>
      <c r="E19" s="97"/>
    </row>
    <row r="20" spans="3:20" x14ac:dyDescent="0.25">
      <c r="C20" s="168" t="s">
        <v>247</v>
      </c>
      <c r="D20" s="26"/>
      <c r="E20" s="97"/>
    </row>
    <row r="21" spans="3:20" x14ac:dyDescent="0.25">
      <c r="C21" s="162" t="s">
        <v>245</v>
      </c>
      <c r="D21" s="26">
        <f>D18+D15+D12+D9</f>
        <v>1083766.7239890273</v>
      </c>
      <c r="E21" s="97"/>
      <c r="F21" s="169">
        <f>D21/(D21+D22)</f>
        <v>0.24152895436922717</v>
      </c>
      <c r="G21" s="152">
        <f>F21*D5</f>
        <v>213.57293838491447</v>
      </c>
      <c r="K21" s="14">
        <v>300</v>
      </c>
      <c r="L21" s="114">
        <f>K21*10.764*4047*26</f>
        <v>339782882.39999998</v>
      </c>
    </row>
    <row r="22" spans="3:20" x14ac:dyDescent="0.25">
      <c r="C22" s="162" t="s">
        <v>246</v>
      </c>
      <c r="D22" s="26">
        <f>D10+D13+D16+D19</f>
        <v>3403342.1893889718</v>
      </c>
      <c r="E22" s="97"/>
      <c r="F22" s="170">
        <f>1-F21</f>
        <v>0.75847104563077283</v>
      </c>
      <c r="G22" s="152">
        <f>F22*D5</f>
        <v>670.68103829741688</v>
      </c>
      <c r="H22" s="114">
        <f>SUM(D21:D22)</f>
        <v>4487108.9133779993</v>
      </c>
      <c r="O22" s="14">
        <v>539</v>
      </c>
    </row>
    <row r="23" spans="3:20" x14ac:dyDescent="0.25">
      <c r="C23" s="95" t="s">
        <v>182</v>
      </c>
      <c r="D23" s="26"/>
      <c r="E23" s="27"/>
      <c r="O23" s="14">
        <v>592</v>
      </c>
    </row>
    <row r="24" spans="3:20" x14ac:dyDescent="0.25">
      <c r="C24" s="32" t="s">
        <v>16</v>
      </c>
      <c r="D24" s="26">
        <f>I25</f>
        <v>1764</v>
      </c>
      <c r="E24" s="97" t="s">
        <v>184</v>
      </c>
      <c r="F24" s="237" t="s">
        <v>272</v>
      </c>
      <c r="G24" s="18">
        <v>2020</v>
      </c>
      <c r="H24" s="18">
        <v>2021</v>
      </c>
      <c r="I24" s="18">
        <v>2022</v>
      </c>
      <c r="J24" s="18">
        <v>2023</v>
      </c>
      <c r="O24" s="14">
        <f>O23-O22</f>
        <v>53</v>
      </c>
      <c r="P24" s="14">
        <v>17</v>
      </c>
      <c r="Q24" s="123">
        <f>O24/P24</f>
        <v>3.1176470588235294</v>
      </c>
    </row>
    <row r="25" spans="3:20" x14ac:dyDescent="0.25">
      <c r="C25" s="32" t="s">
        <v>17</v>
      </c>
      <c r="D25" s="26">
        <f>D24</f>
        <v>1764</v>
      </c>
      <c r="E25" s="97" t="s">
        <v>184</v>
      </c>
      <c r="F25" s="237"/>
      <c r="G25" s="18">
        <v>1600</v>
      </c>
      <c r="H25" s="18">
        <f>G25*1.05</f>
        <v>1680</v>
      </c>
      <c r="I25" s="18">
        <f>H25*1.05</f>
        <v>1764</v>
      </c>
      <c r="J25" s="127">
        <f>I25*1.05</f>
        <v>1852.2</v>
      </c>
    </row>
    <row r="26" spans="3:20" x14ac:dyDescent="0.25">
      <c r="C26" s="32" t="s">
        <v>150</v>
      </c>
      <c r="D26" s="26">
        <v>2800</v>
      </c>
      <c r="E26" s="97" t="s">
        <v>184</v>
      </c>
      <c r="H26" s="14" t="s">
        <v>183</v>
      </c>
    </row>
    <row r="27" spans="3:20" x14ac:dyDescent="0.25">
      <c r="C27" s="32" t="s">
        <v>180</v>
      </c>
      <c r="D27" s="26">
        <v>7500</v>
      </c>
      <c r="E27" s="97" t="s">
        <v>184</v>
      </c>
      <c r="F27" s="123">
        <f>D27/D26</f>
        <v>2.6785714285714284</v>
      </c>
    </row>
    <row r="28" spans="3:20" x14ac:dyDescent="0.25">
      <c r="C28" s="178" t="s">
        <v>268</v>
      </c>
      <c r="D28" s="28">
        <v>0.02</v>
      </c>
      <c r="E28" s="97" t="s">
        <v>269</v>
      </c>
    </row>
    <row r="29" spans="3:20" x14ac:dyDescent="0.25">
      <c r="C29" s="178" t="s">
        <v>267</v>
      </c>
      <c r="D29" s="28">
        <v>0.05</v>
      </c>
      <c r="E29" s="97" t="s">
        <v>269</v>
      </c>
    </row>
    <row r="30" spans="3:20" x14ac:dyDescent="0.25">
      <c r="C30" s="178" t="s">
        <v>264</v>
      </c>
      <c r="D30" s="33">
        <v>0.11</v>
      </c>
      <c r="E30" s="27" t="s">
        <v>20</v>
      </c>
    </row>
    <row r="31" spans="3:20" x14ac:dyDescent="0.25">
      <c r="C31" s="178" t="s">
        <v>21</v>
      </c>
      <c r="D31" s="33">
        <v>0.05</v>
      </c>
      <c r="E31" s="27"/>
      <c r="S31" s="14">
        <v>25000</v>
      </c>
      <c r="T31" s="114">
        <f>S31*4047</f>
        <v>101175000</v>
      </c>
    </row>
    <row r="32" spans="3:20" x14ac:dyDescent="0.25">
      <c r="C32" s="178" t="s">
        <v>22</v>
      </c>
      <c r="D32" s="33">
        <f>D31+D30</f>
        <v>0.16</v>
      </c>
      <c r="E32" s="27"/>
      <c r="O32" s="152">
        <f>SUM(O35:O36)</f>
        <v>9682.3343375802342</v>
      </c>
      <c r="T32" s="114">
        <f>2.5*10^7</f>
        <v>25000000</v>
      </c>
    </row>
    <row r="33" spans="3:20" x14ac:dyDescent="0.25">
      <c r="O33" s="152"/>
      <c r="T33" s="114"/>
    </row>
    <row r="34" spans="3:20" x14ac:dyDescent="0.25">
      <c r="O34" s="152"/>
      <c r="T34" s="114"/>
    </row>
    <row r="35" spans="3:20" x14ac:dyDescent="0.25">
      <c r="D35" s="183">
        <f>G21</f>
        <v>213.57293838491447</v>
      </c>
      <c r="E35" s="183">
        <f t="shared" ref="E35:M35" si="1">D35*(1+$E$68)</f>
        <v>217.84439715261277</v>
      </c>
      <c r="F35" s="183">
        <f t="shared" si="1"/>
        <v>222.20128509566504</v>
      </c>
      <c r="G35" s="183">
        <f t="shared" si="1"/>
        <v>226.64531079757836</v>
      </c>
      <c r="H35" s="183">
        <f t="shared" si="1"/>
        <v>231.17821701352995</v>
      </c>
      <c r="I35" s="183">
        <f t="shared" si="1"/>
        <v>235.80178135380055</v>
      </c>
      <c r="J35" s="183">
        <f t="shared" si="1"/>
        <v>240.51781698087657</v>
      </c>
      <c r="K35" s="183">
        <f t="shared" si="1"/>
        <v>245.3281733204941</v>
      </c>
      <c r="L35" s="183">
        <f t="shared" si="1"/>
        <v>250.23473678690399</v>
      </c>
      <c r="M35" s="183">
        <f t="shared" si="1"/>
        <v>255.23943152264206</v>
      </c>
      <c r="O35" s="152">
        <f>SUM(D35:N35)</f>
        <v>2338.564088409018</v>
      </c>
      <c r="T35" s="114">
        <f>T32/4047</f>
        <v>6177.4153694094393</v>
      </c>
    </row>
    <row r="36" spans="3:20" x14ac:dyDescent="0.25">
      <c r="D36" s="182">
        <f>G22</f>
        <v>670.68103829741688</v>
      </c>
      <c r="E36" s="183">
        <f t="shared" ref="E36:M36" si="2">D36*(1+$E$68)</f>
        <v>684.09465906336527</v>
      </c>
      <c r="F36" s="183">
        <f t="shared" si="2"/>
        <v>697.77655224463263</v>
      </c>
      <c r="G36" s="183">
        <f t="shared" si="2"/>
        <v>711.73208328952524</v>
      </c>
      <c r="H36" s="183">
        <f t="shared" si="2"/>
        <v>725.96672495531573</v>
      </c>
      <c r="I36" s="183">
        <f t="shared" si="2"/>
        <v>740.48605945442205</v>
      </c>
      <c r="J36" s="183">
        <f t="shared" si="2"/>
        <v>755.29578064351051</v>
      </c>
      <c r="K36" s="183">
        <f t="shared" si="2"/>
        <v>770.40169625638077</v>
      </c>
      <c r="L36" s="183">
        <f t="shared" si="2"/>
        <v>785.80973018150837</v>
      </c>
      <c r="M36" s="183">
        <f t="shared" si="2"/>
        <v>801.5259247851385</v>
      </c>
      <c r="O36" s="152">
        <f>SUM(D36:N36)</f>
        <v>7343.7702491712162</v>
      </c>
    </row>
    <row r="37" spans="3:20" x14ac:dyDescent="0.25">
      <c r="C37" s="16" t="s">
        <v>23</v>
      </c>
      <c r="D37" s="16" t="s">
        <v>24</v>
      </c>
      <c r="E37" s="16" t="s">
        <v>25</v>
      </c>
      <c r="F37" s="16" t="s">
        <v>26</v>
      </c>
      <c r="G37" s="16" t="s">
        <v>27</v>
      </c>
      <c r="H37" s="16" t="s">
        <v>28</v>
      </c>
      <c r="I37" s="16" t="s">
        <v>29</v>
      </c>
      <c r="J37" s="16" t="s">
        <v>185</v>
      </c>
      <c r="K37" s="16" t="s">
        <v>186</v>
      </c>
      <c r="L37" s="16" t="s">
        <v>236</v>
      </c>
      <c r="M37" s="16" t="s">
        <v>248</v>
      </c>
      <c r="N37" s="16" t="s">
        <v>249</v>
      </c>
    </row>
    <row r="38" spans="3:20" x14ac:dyDescent="0.25">
      <c r="C38" s="16" t="s">
        <v>30</v>
      </c>
      <c r="D38" s="17" t="s">
        <v>187</v>
      </c>
      <c r="E38" s="17" t="s">
        <v>188</v>
      </c>
      <c r="F38" s="17" t="s">
        <v>189</v>
      </c>
      <c r="G38" s="17" t="s">
        <v>190</v>
      </c>
      <c r="H38" s="17" t="s">
        <v>191</v>
      </c>
      <c r="I38" s="17" t="s">
        <v>192</v>
      </c>
      <c r="J38" s="17" t="s">
        <v>193</v>
      </c>
      <c r="K38" s="17" t="s">
        <v>194</v>
      </c>
      <c r="L38" s="17" t="s">
        <v>237</v>
      </c>
      <c r="M38" s="17" t="s">
        <v>250</v>
      </c>
      <c r="N38" s="17" t="s">
        <v>251</v>
      </c>
      <c r="O38" s="152">
        <f>O36*H70</f>
        <v>734.37702491712162</v>
      </c>
    </row>
    <row r="39" spans="3:20" x14ac:dyDescent="0.25">
      <c r="C39" s="19" t="str">
        <f>C8</f>
        <v>EWS</v>
      </c>
      <c r="D39" s="20"/>
      <c r="E39" s="22"/>
      <c r="F39" s="20"/>
      <c r="G39" s="20"/>
      <c r="H39" s="20"/>
      <c r="I39" s="20"/>
      <c r="J39" s="20"/>
      <c r="K39" s="20"/>
      <c r="L39" s="20"/>
      <c r="M39" s="20"/>
      <c r="N39" s="20"/>
    </row>
    <row r="40" spans="3:20" x14ac:dyDescent="0.25">
      <c r="C40" s="18" t="s">
        <v>256</v>
      </c>
      <c r="D40" s="21">
        <v>0</v>
      </c>
      <c r="E40" s="23">
        <v>0.15</v>
      </c>
      <c r="F40" s="21">
        <v>0.2</v>
      </c>
      <c r="G40" s="21">
        <v>0.2</v>
      </c>
      <c r="H40" s="21">
        <v>0.2</v>
      </c>
      <c r="I40" s="21">
        <v>0.1</v>
      </c>
      <c r="J40" s="21">
        <v>0.1</v>
      </c>
      <c r="K40" s="21">
        <v>0.05</v>
      </c>
      <c r="L40" s="21">
        <v>0</v>
      </c>
      <c r="M40" s="21">
        <v>0</v>
      </c>
      <c r="N40" s="21">
        <v>0</v>
      </c>
      <c r="O40" s="31">
        <f>SUM(D40:N40)</f>
        <v>1</v>
      </c>
    </row>
    <row r="41" spans="3:20" x14ac:dyDescent="0.25">
      <c r="C41" s="18" t="s">
        <v>257</v>
      </c>
      <c r="D41" s="21">
        <v>0</v>
      </c>
      <c r="E41" s="23">
        <v>0</v>
      </c>
      <c r="F41" s="21">
        <v>0</v>
      </c>
      <c r="G41" s="21">
        <v>0</v>
      </c>
      <c r="H41" s="21">
        <v>0.1</v>
      </c>
      <c r="I41" s="21">
        <v>0.1</v>
      </c>
      <c r="J41" s="21">
        <v>0.2</v>
      </c>
      <c r="K41" s="21">
        <v>0.2</v>
      </c>
      <c r="L41" s="21">
        <v>0.2</v>
      </c>
      <c r="M41" s="21">
        <v>0.1</v>
      </c>
      <c r="N41" s="21">
        <v>0.1</v>
      </c>
      <c r="O41" s="31">
        <f>SUM(D41:N41)</f>
        <v>1</v>
      </c>
    </row>
    <row r="42" spans="3:20" x14ac:dyDescent="0.25">
      <c r="C42" s="18" t="s">
        <v>258</v>
      </c>
      <c r="D42" s="29">
        <f>D40*$D$9</f>
        <v>0</v>
      </c>
      <c r="E42" s="29">
        <f t="shared" ref="E42:I42" si="3">E40*$D$9</f>
        <v>25694.524419249447</v>
      </c>
      <c r="F42" s="29">
        <f t="shared" si="3"/>
        <v>34259.365892332593</v>
      </c>
      <c r="G42" s="29">
        <f t="shared" si="3"/>
        <v>34259.365892332593</v>
      </c>
      <c r="H42" s="29">
        <f t="shared" si="3"/>
        <v>34259.365892332593</v>
      </c>
      <c r="I42" s="29">
        <f t="shared" si="3"/>
        <v>17129.682946166296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114">
        <f t="shared" ref="O42:O45" si="4">SUM(D42:N42)</f>
        <v>145602.30504241353</v>
      </c>
    </row>
    <row r="43" spans="3:20" x14ac:dyDescent="0.25">
      <c r="C43" s="18" t="s">
        <v>259</v>
      </c>
      <c r="D43" s="29">
        <v>0</v>
      </c>
      <c r="E43" s="29">
        <v>0</v>
      </c>
      <c r="F43" s="29">
        <v>0</v>
      </c>
      <c r="G43" s="29">
        <v>0</v>
      </c>
      <c r="H43" s="127">
        <f>H41*$D$10</f>
        <v>48941.951274760853</v>
      </c>
      <c r="I43" s="127">
        <f t="shared" ref="I43:N43" si="5">I41*$D$10</f>
        <v>48941.951274760853</v>
      </c>
      <c r="J43" s="127">
        <f t="shared" si="5"/>
        <v>97883.902549521707</v>
      </c>
      <c r="K43" s="127">
        <f t="shared" si="5"/>
        <v>97883.902549521707</v>
      </c>
      <c r="L43" s="127">
        <f t="shared" si="5"/>
        <v>97883.902549521707</v>
      </c>
      <c r="M43" s="127">
        <f t="shared" si="5"/>
        <v>48941.951274760853</v>
      </c>
      <c r="N43" s="127">
        <f t="shared" si="5"/>
        <v>48941.951274760853</v>
      </c>
      <c r="O43" s="114">
        <f t="shared" si="4"/>
        <v>489419.51274760859</v>
      </c>
    </row>
    <row r="44" spans="3:20" x14ac:dyDescent="0.25">
      <c r="C44" s="18" t="s">
        <v>197</v>
      </c>
      <c r="D44" s="29">
        <f>D24</f>
        <v>1764</v>
      </c>
      <c r="E44" s="29">
        <f>D44*(1+$D$29)</f>
        <v>1852.2</v>
      </c>
      <c r="F44" s="29">
        <f t="shared" ref="F44:N44" si="6">E44*(1+$D$29)</f>
        <v>1944.8100000000002</v>
      </c>
      <c r="G44" s="29">
        <f t="shared" si="6"/>
        <v>2042.0505000000003</v>
      </c>
      <c r="H44" s="29">
        <f t="shared" si="6"/>
        <v>2144.1530250000005</v>
      </c>
      <c r="I44" s="29">
        <f t="shared" si="6"/>
        <v>2251.3606762500008</v>
      </c>
      <c r="J44" s="29">
        <f t="shared" si="6"/>
        <v>2363.9287100625011</v>
      </c>
      <c r="K44" s="29">
        <f t="shared" si="6"/>
        <v>2482.1251455656261</v>
      </c>
      <c r="L44" s="29">
        <f t="shared" si="6"/>
        <v>2606.2314028439073</v>
      </c>
      <c r="M44" s="29">
        <f t="shared" si="6"/>
        <v>2736.542972986103</v>
      </c>
      <c r="N44" s="29">
        <f t="shared" si="6"/>
        <v>2873.3701216354084</v>
      </c>
      <c r="O44" s="174"/>
      <c r="P44" s="152"/>
      <c r="Q44" s="174"/>
      <c r="R44" s="152"/>
      <c r="S44" s="174"/>
      <c r="T44" s="152"/>
    </row>
    <row r="45" spans="3:20" s="15" customFormat="1" x14ac:dyDescent="0.25">
      <c r="C45" s="192" t="s">
        <v>198</v>
      </c>
      <c r="D45" s="193">
        <f>D44*(D43+D42)/10^7</f>
        <v>0</v>
      </c>
      <c r="E45" s="193">
        <f t="shared" ref="E45:N45" si="7">E44*(E43+E42)/10^7</f>
        <v>4.7591398129333822</v>
      </c>
      <c r="F45" s="193">
        <f t="shared" si="7"/>
        <v>6.6627957381067358</v>
      </c>
      <c r="G45" s="193">
        <f t="shared" si="7"/>
        <v>6.9959355250120732</v>
      </c>
      <c r="H45" s="193">
        <f t="shared" si="7"/>
        <v>17.839635588780791</v>
      </c>
      <c r="I45" s="193">
        <f t="shared" si="7"/>
        <v>14.875107910056926</v>
      </c>
      <c r="J45" s="193">
        <f t="shared" si="7"/>
        <v>23.139056748977442</v>
      </c>
      <c r="K45" s="193">
        <f t="shared" si="7"/>
        <v>24.296009586426312</v>
      </c>
      <c r="L45" s="193">
        <f t="shared" si="7"/>
        <v>25.510810065747627</v>
      </c>
      <c r="M45" s="193">
        <f t="shared" si="7"/>
        <v>13.393175284517506</v>
      </c>
      <c r="N45" s="193">
        <f t="shared" si="7"/>
        <v>14.062834048743381</v>
      </c>
      <c r="O45" s="153">
        <f t="shared" si="4"/>
        <v>151.53450030930216</v>
      </c>
    </row>
    <row r="46" spans="3:20" x14ac:dyDescent="0.25">
      <c r="C46" s="19" t="str">
        <f>C25</f>
        <v>LIG</v>
      </c>
      <c r="D46" s="20"/>
      <c r="E46" s="22"/>
      <c r="F46" s="20"/>
      <c r="G46" s="20"/>
      <c r="H46" s="20"/>
      <c r="I46" s="20"/>
      <c r="J46" s="20"/>
      <c r="K46" s="20"/>
      <c r="L46" s="20"/>
      <c r="M46" s="20"/>
      <c r="N46" s="20"/>
    </row>
    <row r="47" spans="3:20" x14ac:dyDescent="0.25">
      <c r="C47" s="18" t="s">
        <v>256</v>
      </c>
      <c r="D47" s="21">
        <v>0</v>
      </c>
      <c r="E47" s="23">
        <v>0.15</v>
      </c>
      <c r="F47" s="21">
        <v>0.2</v>
      </c>
      <c r="G47" s="21">
        <v>0.2</v>
      </c>
      <c r="H47" s="21">
        <v>0.2</v>
      </c>
      <c r="I47" s="21">
        <v>0.1</v>
      </c>
      <c r="J47" s="21">
        <v>0.1</v>
      </c>
      <c r="K47" s="21">
        <v>0</v>
      </c>
      <c r="L47" s="21">
        <v>0</v>
      </c>
      <c r="M47" s="21">
        <v>0</v>
      </c>
      <c r="N47" s="21">
        <v>0</v>
      </c>
    </row>
    <row r="48" spans="3:20" x14ac:dyDescent="0.25">
      <c r="C48" s="18" t="s">
        <v>257</v>
      </c>
      <c r="D48" s="21">
        <v>0</v>
      </c>
      <c r="E48" s="23">
        <v>0</v>
      </c>
      <c r="F48" s="21">
        <v>0</v>
      </c>
      <c r="G48" s="21">
        <v>0</v>
      </c>
      <c r="H48" s="21">
        <v>0.1</v>
      </c>
      <c r="I48" s="21">
        <v>0.1</v>
      </c>
      <c r="J48" s="21">
        <v>0.2</v>
      </c>
      <c r="K48" s="21">
        <v>0.2</v>
      </c>
      <c r="L48" s="21">
        <v>0.2</v>
      </c>
      <c r="M48" s="21">
        <v>0.1</v>
      </c>
      <c r="N48" s="21">
        <v>0.05</v>
      </c>
    </row>
    <row r="49" spans="3:15" x14ac:dyDescent="0.25">
      <c r="C49" s="18" t="s">
        <v>258</v>
      </c>
      <c r="D49" s="29">
        <f>D47*$D$12</f>
        <v>0</v>
      </c>
      <c r="E49" s="29">
        <f t="shared" ref="E49:I49" si="8">E47*$D$12</f>
        <v>13568.214333394748</v>
      </c>
      <c r="F49" s="29">
        <f t="shared" si="8"/>
        <v>18090.952444526334</v>
      </c>
      <c r="G49" s="29">
        <f t="shared" si="8"/>
        <v>18090.952444526334</v>
      </c>
      <c r="H49" s="29">
        <f t="shared" si="8"/>
        <v>18090.952444526334</v>
      </c>
      <c r="I49" s="29">
        <f t="shared" si="8"/>
        <v>9045.4762222631671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</row>
    <row r="50" spans="3:15" x14ac:dyDescent="0.25">
      <c r="C50" s="18" t="s">
        <v>259</v>
      </c>
      <c r="D50" s="29">
        <v>0</v>
      </c>
      <c r="E50" s="29">
        <v>0</v>
      </c>
      <c r="F50" s="29">
        <v>0</v>
      </c>
      <c r="G50" s="29">
        <v>0</v>
      </c>
      <c r="H50" s="127">
        <f>H48*$D$13</f>
        <v>15226.551640809666</v>
      </c>
      <c r="I50" s="127">
        <f t="shared" ref="I50:N50" si="9">I48*$D$13</f>
        <v>15226.551640809666</v>
      </c>
      <c r="J50" s="127">
        <f t="shared" si="9"/>
        <v>30453.103281619333</v>
      </c>
      <c r="K50" s="127">
        <f t="shared" si="9"/>
        <v>30453.103281619333</v>
      </c>
      <c r="L50" s="127">
        <f t="shared" si="9"/>
        <v>30453.103281619333</v>
      </c>
      <c r="M50" s="127">
        <f t="shared" si="9"/>
        <v>15226.551640809666</v>
      </c>
      <c r="N50" s="127">
        <f t="shared" si="9"/>
        <v>7613.2758204048332</v>
      </c>
    </row>
    <row r="51" spans="3:15" x14ac:dyDescent="0.25">
      <c r="C51" s="18" t="s">
        <v>197</v>
      </c>
      <c r="D51" s="29">
        <f>D25</f>
        <v>1764</v>
      </c>
      <c r="E51" s="29">
        <f>D51*(1+$D$29)</f>
        <v>1852.2</v>
      </c>
      <c r="F51" s="29">
        <f t="shared" ref="F51:N51" si="10">E51*(1+$D$29)</f>
        <v>1944.8100000000002</v>
      </c>
      <c r="G51" s="29">
        <f t="shared" si="10"/>
        <v>2042.0505000000003</v>
      </c>
      <c r="H51" s="29">
        <f t="shared" si="10"/>
        <v>2144.1530250000005</v>
      </c>
      <c r="I51" s="29">
        <f t="shared" si="10"/>
        <v>2251.3606762500008</v>
      </c>
      <c r="J51" s="29">
        <f t="shared" si="10"/>
        <v>2363.9287100625011</v>
      </c>
      <c r="K51" s="29">
        <f t="shared" si="10"/>
        <v>2482.1251455656261</v>
      </c>
      <c r="L51" s="29">
        <f t="shared" si="10"/>
        <v>2606.2314028439073</v>
      </c>
      <c r="M51" s="29">
        <f t="shared" si="10"/>
        <v>2736.542972986103</v>
      </c>
      <c r="N51" s="29">
        <f t="shared" si="10"/>
        <v>2873.3701216354084</v>
      </c>
    </row>
    <row r="52" spans="3:15" s="15" customFormat="1" x14ac:dyDescent="0.25">
      <c r="C52" s="192" t="s">
        <v>200</v>
      </c>
      <c r="D52" s="193">
        <f>D51*(D50+D49)/10^7</f>
        <v>0</v>
      </c>
      <c r="E52" s="193">
        <f t="shared" ref="E52:N52" si="11">E51*(E50+E49)/10^7</f>
        <v>2.513104658831375</v>
      </c>
      <c r="F52" s="193">
        <f t="shared" si="11"/>
        <v>3.5183465223639265</v>
      </c>
      <c r="G52" s="193">
        <f t="shared" si="11"/>
        <v>3.6942638484821231</v>
      </c>
      <c r="H52" s="193">
        <f t="shared" si="11"/>
        <v>7.1437827170023054</v>
      </c>
      <c r="I52" s="193">
        <f t="shared" si="11"/>
        <v>5.4645089063766514</v>
      </c>
      <c r="J52" s="193">
        <f t="shared" si="11"/>
        <v>7.1988965157918514</v>
      </c>
      <c r="K52" s="193">
        <f t="shared" si="11"/>
        <v>7.5588413415814433</v>
      </c>
      <c r="L52" s="193">
        <f t="shared" si="11"/>
        <v>7.9367834086605145</v>
      </c>
      <c r="M52" s="193">
        <f t="shared" si="11"/>
        <v>4.1668112895467706</v>
      </c>
      <c r="N52" s="193">
        <f t="shared" si="11"/>
        <v>2.1875759270120549</v>
      </c>
      <c r="O52" s="153">
        <f t="shared" ref="O52" si="12">SUM(D52:N52)</f>
        <v>51.382915135649021</v>
      </c>
    </row>
    <row r="53" spans="3:15" x14ac:dyDescent="0.25">
      <c r="C53" s="19" t="s">
        <v>150</v>
      </c>
      <c r="D53" s="20"/>
      <c r="E53" s="22"/>
      <c r="F53" s="20"/>
      <c r="G53" s="20"/>
      <c r="H53" s="20"/>
      <c r="I53" s="20"/>
      <c r="J53" s="20"/>
      <c r="K53" s="20"/>
      <c r="L53" s="20"/>
      <c r="M53" s="20"/>
      <c r="N53" s="20"/>
    </row>
    <row r="54" spans="3:15" x14ac:dyDescent="0.25">
      <c r="C54" s="18" t="s">
        <v>256</v>
      </c>
      <c r="D54" s="21">
        <v>0</v>
      </c>
      <c r="E54" s="23">
        <v>0.15</v>
      </c>
      <c r="F54" s="21">
        <v>0.2</v>
      </c>
      <c r="G54" s="21">
        <v>0.2</v>
      </c>
      <c r="H54" s="21">
        <v>0.2</v>
      </c>
      <c r="I54" s="21">
        <v>0.1</v>
      </c>
      <c r="J54" s="21">
        <v>0.1</v>
      </c>
      <c r="K54" s="21">
        <v>0</v>
      </c>
      <c r="L54" s="21">
        <v>0</v>
      </c>
      <c r="M54" s="21">
        <v>0</v>
      </c>
      <c r="N54" s="21">
        <v>0</v>
      </c>
    </row>
    <row r="55" spans="3:15" x14ac:dyDescent="0.25">
      <c r="C55" s="18" t="s">
        <v>257</v>
      </c>
      <c r="D55" s="21">
        <v>0</v>
      </c>
      <c r="E55" s="23">
        <v>0</v>
      </c>
      <c r="F55" s="21">
        <v>0</v>
      </c>
      <c r="G55" s="21">
        <v>0</v>
      </c>
      <c r="H55" s="21">
        <v>0.1</v>
      </c>
      <c r="I55" s="21">
        <v>0.1</v>
      </c>
      <c r="J55" s="21">
        <v>0.2</v>
      </c>
      <c r="K55" s="21">
        <v>0.2</v>
      </c>
      <c r="L55" s="21">
        <v>0.2</v>
      </c>
      <c r="M55" s="21">
        <v>0.1</v>
      </c>
      <c r="N55" s="21">
        <v>0.05</v>
      </c>
    </row>
    <row r="56" spans="3:15" x14ac:dyDescent="0.25">
      <c r="C56" s="18" t="s">
        <v>258</v>
      </c>
      <c r="D56" s="29">
        <f>D54*$D$15</f>
        <v>0</v>
      </c>
      <c r="E56" s="29">
        <f t="shared" ref="E56:I56" si="13">E54*$D$15</f>
        <v>121540.0469677099</v>
      </c>
      <c r="F56" s="29">
        <f t="shared" si="13"/>
        <v>162053.39595694654</v>
      </c>
      <c r="G56" s="29">
        <f t="shared" si="13"/>
        <v>162053.39595694654</v>
      </c>
      <c r="H56" s="29">
        <f t="shared" si="13"/>
        <v>162053.39595694654</v>
      </c>
      <c r="I56" s="29">
        <f t="shared" si="13"/>
        <v>81026.697978473268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</row>
    <row r="57" spans="3:15" x14ac:dyDescent="0.25">
      <c r="C57" s="18" t="s">
        <v>259</v>
      </c>
      <c r="D57" s="29">
        <v>0</v>
      </c>
      <c r="E57" s="29">
        <v>0</v>
      </c>
      <c r="F57" s="29">
        <v>0</v>
      </c>
      <c r="G57" s="29">
        <v>0</v>
      </c>
      <c r="H57" s="127">
        <f>H55*$D$16</f>
        <v>255973.34597352671</v>
      </c>
      <c r="I57" s="127">
        <f t="shared" ref="I57:N57" si="14">I55*$D$16</f>
        <v>255973.34597352671</v>
      </c>
      <c r="J57" s="127">
        <f t="shared" si="14"/>
        <v>511946.69194705342</v>
      </c>
      <c r="K57" s="127">
        <f t="shared" si="14"/>
        <v>511946.69194705342</v>
      </c>
      <c r="L57" s="127">
        <f t="shared" si="14"/>
        <v>511946.69194705342</v>
      </c>
      <c r="M57" s="127">
        <f t="shared" si="14"/>
        <v>255973.34597352671</v>
      </c>
      <c r="N57" s="127">
        <f t="shared" si="14"/>
        <v>127986.67298676335</v>
      </c>
    </row>
    <row r="58" spans="3:15" x14ac:dyDescent="0.25">
      <c r="C58" s="18" t="s">
        <v>197</v>
      </c>
      <c r="D58" s="29">
        <f>D26</f>
        <v>2800</v>
      </c>
      <c r="E58" s="29">
        <f>D58*(1+$D$29)</f>
        <v>2940</v>
      </c>
      <c r="F58" s="29">
        <f t="shared" ref="F58:N58" si="15">E58*(1+$D$29)</f>
        <v>3087</v>
      </c>
      <c r="G58" s="29">
        <f t="shared" si="15"/>
        <v>3241.3500000000004</v>
      </c>
      <c r="H58" s="29">
        <f t="shared" si="15"/>
        <v>3403.4175000000005</v>
      </c>
      <c r="I58" s="29">
        <f t="shared" si="15"/>
        <v>3573.5883750000007</v>
      </c>
      <c r="J58" s="29">
        <f t="shared" si="15"/>
        <v>3752.2677937500007</v>
      </c>
      <c r="K58" s="29">
        <f t="shared" si="15"/>
        <v>3939.881183437501</v>
      </c>
      <c r="L58" s="29">
        <f t="shared" si="15"/>
        <v>4136.8752426093761</v>
      </c>
      <c r="M58" s="29">
        <f t="shared" si="15"/>
        <v>4343.7190047398453</v>
      </c>
      <c r="N58" s="29">
        <f t="shared" si="15"/>
        <v>4560.9049549768379</v>
      </c>
    </row>
    <row r="59" spans="3:15" s="15" customFormat="1" x14ac:dyDescent="0.25">
      <c r="C59" s="192" t="s">
        <v>201</v>
      </c>
      <c r="D59" s="193">
        <f>D58*(D57+D56)/10^7</f>
        <v>0</v>
      </c>
      <c r="E59" s="193">
        <f t="shared" ref="E59:N59" si="16">E58*(E57+E56)/10^7</f>
        <v>35.732773808506707</v>
      </c>
      <c r="F59" s="193">
        <f t="shared" si="16"/>
        <v>50.025883331909391</v>
      </c>
      <c r="G59" s="193">
        <f t="shared" si="16"/>
        <v>52.527177498504869</v>
      </c>
      <c r="H59" s="193">
        <f t="shared" si="16"/>
        <v>142.27195289541567</v>
      </c>
      <c r="I59" s="193">
        <f t="shared" si="16"/>
        <v>120.42994394413564</v>
      </c>
      <c r="J59" s="193">
        <f t="shared" si="16"/>
        <v>192.09610843097812</v>
      </c>
      <c r="K59" s="193">
        <f t="shared" si="16"/>
        <v>201.70091385252707</v>
      </c>
      <c r="L59" s="193">
        <f t="shared" si="16"/>
        <v>211.78595954515339</v>
      </c>
      <c r="M59" s="193">
        <f t="shared" si="16"/>
        <v>111.18762876120556</v>
      </c>
      <c r="N59" s="193">
        <f t="shared" si="16"/>
        <v>58.373505099632922</v>
      </c>
      <c r="O59" s="153">
        <f t="shared" ref="O59" si="17">SUM(D59:N59)</f>
        <v>1176.1318471679692</v>
      </c>
    </row>
    <row r="60" spans="3:15" x14ac:dyDescent="0.25">
      <c r="C60" s="19" t="s">
        <v>151</v>
      </c>
      <c r="D60" s="20"/>
      <c r="E60" s="22"/>
      <c r="F60" s="20"/>
      <c r="G60" s="20"/>
      <c r="H60" s="20"/>
      <c r="I60" s="20"/>
      <c r="J60" s="20"/>
      <c r="K60" s="20"/>
      <c r="L60" s="20"/>
      <c r="M60" s="20"/>
      <c r="N60" s="20"/>
    </row>
    <row r="61" spans="3:15" x14ac:dyDescent="0.25">
      <c r="C61" s="18" t="s">
        <v>256</v>
      </c>
      <c r="D61" s="21">
        <v>0</v>
      </c>
      <c r="E61" s="23">
        <v>0.1</v>
      </c>
      <c r="F61" s="23">
        <v>0.1</v>
      </c>
      <c r="G61" s="23">
        <v>0.2</v>
      </c>
      <c r="H61" s="23">
        <v>0.2</v>
      </c>
      <c r="I61" s="21">
        <v>0.1</v>
      </c>
      <c r="J61" s="21">
        <v>0.1</v>
      </c>
      <c r="K61" s="21">
        <v>0.1</v>
      </c>
      <c r="L61" s="21">
        <v>0.1</v>
      </c>
      <c r="M61" s="21">
        <v>0</v>
      </c>
      <c r="N61" s="21">
        <v>0</v>
      </c>
      <c r="O61" s="31">
        <f>SUM(D61:N61)</f>
        <v>1</v>
      </c>
    </row>
    <row r="62" spans="3:15" x14ac:dyDescent="0.25">
      <c r="C62" s="18" t="s">
        <v>257</v>
      </c>
      <c r="D62" s="29">
        <v>0</v>
      </c>
      <c r="E62" s="29">
        <v>0</v>
      </c>
      <c r="F62" s="29">
        <v>0</v>
      </c>
      <c r="G62" s="29">
        <v>0</v>
      </c>
      <c r="H62" s="23">
        <v>0.1</v>
      </c>
      <c r="I62" s="23">
        <v>0.2</v>
      </c>
      <c r="J62" s="23">
        <v>0.2</v>
      </c>
      <c r="K62" s="23">
        <v>0.2</v>
      </c>
      <c r="L62" s="21">
        <v>0.1</v>
      </c>
      <c r="M62" s="21">
        <v>0.1</v>
      </c>
      <c r="N62" s="21">
        <v>0.1</v>
      </c>
      <c r="O62" s="31">
        <f>SUM(D62:N62)</f>
        <v>0.99999999999999989</v>
      </c>
    </row>
    <row r="63" spans="3:15" x14ac:dyDescent="0.25">
      <c r="C63" s="18" t="s">
        <v>258</v>
      </c>
      <c r="D63" s="29">
        <f>D61*$D$21</f>
        <v>0</v>
      </c>
      <c r="E63" s="182">
        <f>E61*$D$18</f>
        <v>1174.8152520000001</v>
      </c>
      <c r="F63" s="182">
        <f t="shared" ref="F63:K63" si="18">F61*$D$18</f>
        <v>1174.8152520000001</v>
      </c>
      <c r="G63" s="182">
        <f t="shared" si="18"/>
        <v>2349.6305040000002</v>
      </c>
      <c r="H63" s="182">
        <f t="shared" si="18"/>
        <v>2349.6305040000002</v>
      </c>
      <c r="I63" s="182">
        <f t="shared" si="18"/>
        <v>1174.8152520000001</v>
      </c>
      <c r="J63" s="182">
        <f t="shared" si="18"/>
        <v>1174.8152520000001</v>
      </c>
      <c r="K63" s="182">
        <f t="shared" si="18"/>
        <v>1174.8152520000001</v>
      </c>
      <c r="L63" s="29">
        <f t="shared" ref="L63:N63" si="19">L61*$D$21</f>
        <v>108376.67239890274</v>
      </c>
      <c r="M63" s="29">
        <f t="shared" si="19"/>
        <v>0</v>
      </c>
      <c r="N63" s="29">
        <f t="shared" si="19"/>
        <v>0</v>
      </c>
      <c r="O63" s="174">
        <f>SUM(D63:N63)</f>
        <v>118950.00966690274</v>
      </c>
    </row>
    <row r="64" spans="3:15" x14ac:dyDescent="0.25">
      <c r="C64" s="18" t="s">
        <v>259</v>
      </c>
      <c r="D64" s="29">
        <f>D62*$D$22</f>
        <v>0</v>
      </c>
      <c r="E64" s="29">
        <f t="shared" ref="E64:G64" si="20">E62*$D$22</f>
        <v>0</v>
      </c>
      <c r="F64" s="29">
        <f t="shared" si="20"/>
        <v>0</v>
      </c>
      <c r="G64" s="29">
        <f t="shared" si="20"/>
        <v>0</v>
      </c>
      <c r="H64" s="182">
        <f>H62*$D$19</f>
        <v>20192.3700498</v>
      </c>
      <c r="I64" s="182">
        <f t="shared" ref="I64:N64" si="21">I62*$D$19</f>
        <v>40384.7400996</v>
      </c>
      <c r="J64" s="182">
        <f t="shared" si="21"/>
        <v>40384.7400996</v>
      </c>
      <c r="K64" s="182">
        <f t="shared" si="21"/>
        <v>40384.7400996</v>
      </c>
      <c r="L64" s="182">
        <f t="shared" si="21"/>
        <v>20192.3700498</v>
      </c>
      <c r="M64" s="182">
        <f t="shared" si="21"/>
        <v>20192.3700498</v>
      </c>
      <c r="N64" s="182">
        <f t="shared" si="21"/>
        <v>20192.3700498</v>
      </c>
      <c r="O64" s="174">
        <f>SUM(D64:N64)</f>
        <v>201923.70049799999</v>
      </c>
    </row>
    <row r="65" spans="1:19" x14ac:dyDescent="0.25">
      <c r="C65" s="18" t="s">
        <v>197</v>
      </c>
      <c r="D65" s="29">
        <f>D27</f>
        <v>7500</v>
      </c>
      <c r="E65" s="29">
        <f>D65*(1+$D$29)</f>
        <v>7875</v>
      </c>
      <c r="F65" s="29">
        <f t="shared" ref="F65:N65" si="22">E65*(1+$D$29)</f>
        <v>8268.75</v>
      </c>
      <c r="G65" s="29">
        <f t="shared" si="22"/>
        <v>8682.1875</v>
      </c>
      <c r="H65" s="29">
        <f t="shared" si="22"/>
        <v>9116.296875</v>
      </c>
      <c r="I65" s="29">
        <f t="shared" si="22"/>
        <v>9572.1117187500004</v>
      </c>
      <c r="J65" s="29">
        <f t="shared" si="22"/>
        <v>10050.717304687501</v>
      </c>
      <c r="K65" s="29">
        <f t="shared" si="22"/>
        <v>10553.253169921876</v>
      </c>
      <c r="L65" s="29">
        <f t="shared" si="22"/>
        <v>11080.91582841797</v>
      </c>
      <c r="M65" s="29">
        <f t="shared" si="22"/>
        <v>11634.961619838869</v>
      </c>
      <c r="N65" s="29">
        <f t="shared" si="22"/>
        <v>12216.709700830812</v>
      </c>
    </row>
    <row r="66" spans="1:19" s="15" customFormat="1" x14ac:dyDescent="0.25">
      <c r="C66" s="192" t="s">
        <v>202</v>
      </c>
      <c r="D66" s="193">
        <f>D65*(D64+D63)/10^7</f>
        <v>0</v>
      </c>
      <c r="E66" s="193">
        <f t="shared" ref="E66:N66" si="23">E65*(E64+E63)/10^7</f>
        <v>0.92516701094999998</v>
      </c>
      <c r="F66" s="193">
        <f t="shared" si="23"/>
        <v>0.97142536149750014</v>
      </c>
      <c r="G66" s="193">
        <f t="shared" si="23"/>
        <v>2.03999325914475</v>
      </c>
      <c r="H66" s="193">
        <f t="shared" si="23"/>
        <v>20.549956920485521</v>
      </c>
      <c r="I66" s="193">
        <f t="shared" si="23"/>
        <v>39.781270680708964</v>
      </c>
      <c r="J66" s="193">
        <f t="shared" si="23"/>
        <v>41.770334214744416</v>
      </c>
      <c r="K66" s="193">
        <f t="shared" si="23"/>
        <v>43.858850925481633</v>
      </c>
      <c r="L66" s="193">
        <f t="shared" si="23"/>
        <v>142.4662737514372</v>
      </c>
      <c r="M66" s="193">
        <f t="shared" si="23"/>
        <v>23.493745054300685</v>
      </c>
      <c r="N66" s="193">
        <f t="shared" si="23"/>
        <v>24.668432307015721</v>
      </c>
      <c r="O66" s="153">
        <f t="shared" ref="O66:O76" si="24">SUM(D66:N66)</f>
        <v>340.52544948576639</v>
      </c>
    </row>
    <row r="67" spans="1:19" x14ac:dyDescent="0.25">
      <c r="C67" s="19" t="s">
        <v>195</v>
      </c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52">
        <f>O38*1.025</f>
        <v>752.73645054004965</v>
      </c>
    </row>
    <row r="68" spans="1:19" x14ac:dyDescent="0.25">
      <c r="C68" s="18" t="s">
        <v>234</v>
      </c>
      <c r="D68" s="21">
        <v>0</v>
      </c>
      <c r="E68" s="184">
        <v>0.02</v>
      </c>
      <c r="F68" s="184">
        <v>0.02</v>
      </c>
      <c r="G68" s="184">
        <v>0.02</v>
      </c>
      <c r="H68" s="184">
        <v>0.02</v>
      </c>
      <c r="I68" s="184">
        <v>0.02</v>
      </c>
      <c r="J68" s="184">
        <v>0.02</v>
      </c>
      <c r="K68" s="184">
        <v>0.02</v>
      </c>
      <c r="L68" s="184">
        <v>0.02</v>
      </c>
      <c r="M68" s="184">
        <v>0.02</v>
      </c>
      <c r="N68" s="184">
        <v>0.02</v>
      </c>
    </row>
    <row r="69" spans="1:19" x14ac:dyDescent="0.25">
      <c r="C69" s="18" t="s">
        <v>252</v>
      </c>
      <c r="D69" s="21">
        <v>0</v>
      </c>
      <c r="E69" s="23">
        <v>0.3</v>
      </c>
      <c r="F69" s="21">
        <v>0.3</v>
      </c>
      <c r="G69" s="21">
        <v>0.3</v>
      </c>
      <c r="H69" s="21">
        <v>0.1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31">
        <f>SUM(D69:L69)</f>
        <v>0.99999999999999989</v>
      </c>
    </row>
    <row r="70" spans="1:19" x14ac:dyDescent="0.25">
      <c r="C70" s="18" t="s">
        <v>253</v>
      </c>
      <c r="D70" s="21">
        <v>0</v>
      </c>
      <c r="E70" s="23">
        <v>0</v>
      </c>
      <c r="F70" s="21">
        <v>0</v>
      </c>
      <c r="G70" s="21">
        <v>0</v>
      </c>
      <c r="H70" s="21">
        <v>0.1</v>
      </c>
      <c r="I70" s="21">
        <v>0.2</v>
      </c>
      <c r="J70" s="21">
        <v>0.2</v>
      </c>
      <c r="K70" s="21">
        <v>0.2</v>
      </c>
      <c r="L70" s="21">
        <v>0.2</v>
      </c>
      <c r="M70" s="21">
        <v>0.1</v>
      </c>
      <c r="N70" s="21">
        <v>0</v>
      </c>
      <c r="O70" s="31">
        <f>SUM(D70:N70)</f>
        <v>0.99999999999999989</v>
      </c>
    </row>
    <row r="71" spans="1:19" s="123" customFormat="1" x14ac:dyDescent="0.25">
      <c r="C71" s="18" t="s">
        <v>254</v>
      </c>
      <c r="D71" s="126">
        <f>D69*D35</f>
        <v>0</v>
      </c>
      <c r="E71" s="126">
        <f t="shared" ref="E71:H72" si="25">E69*D35</f>
        <v>64.071881515474331</v>
      </c>
      <c r="F71" s="126">
        <f t="shared" si="25"/>
        <v>65.353319145783829</v>
      </c>
      <c r="G71" s="126">
        <f t="shared" si="25"/>
        <v>66.660385528699507</v>
      </c>
      <c r="H71" s="126">
        <f t="shared" si="25"/>
        <v>22.664531079757836</v>
      </c>
      <c r="I71" s="126">
        <f t="shared" ref="I71:N71" si="26">I69*I35</f>
        <v>0</v>
      </c>
      <c r="J71" s="126">
        <f t="shared" si="26"/>
        <v>0</v>
      </c>
      <c r="K71" s="126">
        <f t="shared" si="26"/>
        <v>0</v>
      </c>
      <c r="L71" s="126">
        <f t="shared" si="26"/>
        <v>0</v>
      </c>
      <c r="M71" s="126">
        <f t="shared" si="26"/>
        <v>0</v>
      </c>
      <c r="N71" s="126">
        <f t="shared" si="26"/>
        <v>0</v>
      </c>
      <c r="O71" s="123">
        <f>SUM(D71:L71)</f>
        <v>218.7501172697155</v>
      </c>
    </row>
    <row r="72" spans="1:19" x14ac:dyDescent="0.25">
      <c r="C72" s="18" t="s">
        <v>255</v>
      </c>
      <c r="D72" s="126">
        <f>D70*D36</f>
        <v>0</v>
      </c>
      <c r="E72" s="126">
        <f t="shared" si="25"/>
        <v>0</v>
      </c>
      <c r="F72" s="126">
        <f t="shared" si="25"/>
        <v>0</v>
      </c>
      <c r="G72" s="126">
        <f t="shared" si="25"/>
        <v>0</v>
      </c>
      <c r="H72" s="126">
        <f t="shared" si="25"/>
        <v>71.173208328952526</v>
      </c>
      <c r="I72" s="126">
        <f t="shared" ref="I72:N72" si="27">I70*H36</f>
        <v>145.19334499106316</v>
      </c>
      <c r="J72" s="126">
        <f t="shared" si="27"/>
        <v>148.09721189088441</v>
      </c>
      <c r="K72" s="126">
        <f t="shared" si="27"/>
        <v>151.05915612870211</v>
      </c>
      <c r="L72" s="126">
        <f t="shared" si="27"/>
        <v>154.08033925127617</v>
      </c>
      <c r="M72" s="126">
        <f t="shared" si="27"/>
        <v>78.580973018150843</v>
      </c>
      <c r="N72" s="126">
        <f t="shared" si="27"/>
        <v>0</v>
      </c>
      <c r="O72" s="123">
        <f>SUM(D72:L72)</f>
        <v>669.60326059087834</v>
      </c>
      <c r="Q72" s="152">
        <f>G22*1.05</f>
        <v>704.21509021228781</v>
      </c>
      <c r="R72" s="152">
        <f>Q72*1.05</f>
        <v>739.42584472290218</v>
      </c>
    </row>
    <row r="73" spans="1:19" s="15" customFormat="1" x14ac:dyDescent="0.25">
      <c r="C73" s="189" t="s">
        <v>273</v>
      </c>
      <c r="D73" s="190">
        <f>SUM(D71:D72)</f>
        <v>0</v>
      </c>
      <c r="E73" s="190">
        <f t="shared" ref="E73:M73" si="28">SUM(E71:E72)</f>
        <v>64.071881515474331</v>
      </c>
      <c r="F73" s="190">
        <f>SUM(F71:F72)</f>
        <v>65.353319145783829</v>
      </c>
      <c r="G73" s="190">
        <f t="shared" si="28"/>
        <v>66.660385528699507</v>
      </c>
      <c r="H73" s="190">
        <f t="shared" si="28"/>
        <v>93.837739408710362</v>
      </c>
      <c r="I73" s="190">
        <f t="shared" si="28"/>
        <v>145.19334499106316</v>
      </c>
      <c r="J73" s="190">
        <f t="shared" si="28"/>
        <v>148.09721189088441</v>
      </c>
      <c r="K73" s="190">
        <f t="shared" si="28"/>
        <v>151.05915612870211</v>
      </c>
      <c r="L73" s="190">
        <f t="shared" si="28"/>
        <v>154.08033925127617</v>
      </c>
      <c r="M73" s="190">
        <f t="shared" si="28"/>
        <v>78.580973018150843</v>
      </c>
      <c r="N73" s="191">
        <v>0</v>
      </c>
      <c r="O73" s="153">
        <f>SUM(D73:L73)</f>
        <v>888.35337786059404</v>
      </c>
    </row>
    <row r="74" spans="1:19" x14ac:dyDescent="0.25">
      <c r="A74" s="14" t="s">
        <v>199</v>
      </c>
      <c r="C74" s="18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</row>
    <row r="75" spans="1:19" s="15" customFormat="1" x14ac:dyDescent="0.25">
      <c r="C75" s="1" t="s">
        <v>260</v>
      </c>
      <c r="D75" s="98">
        <f>D66+D59+D52+D45</f>
        <v>0</v>
      </c>
      <c r="E75" s="98">
        <f t="shared" ref="E75:N75" si="29">E66+E59+E52+E45</f>
        <v>43.930185291221463</v>
      </c>
      <c r="F75" s="98">
        <f t="shared" si="29"/>
        <v>61.178450953877558</v>
      </c>
      <c r="G75" s="98">
        <f t="shared" si="29"/>
        <v>65.257370131143816</v>
      </c>
      <c r="H75" s="98">
        <f t="shared" si="29"/>
        <v>187.80532812168428</v>
      </c>
      <c r="I75" s="98">
        <f t="shared" si="29"/>
        <v>180.55083144127821</v>
      </c>
      <c r="J75" s="98">
        <f t="shared" si="29"/>
        <v>264.20439591049183</v>
      </c>
      <c r="K75" s="98">
        <f t="shared" si="29"/>
        <v>277.41461570601643</v>
      </c>
      <c r="L75" s="98">
        <f t="shared" si="29"/>
        <v>387.69982677099875</v>
      </c>
      <c r="M75" s="98">
        <f t="shared" si="29"/>
        <v>152.2413603895705</v>
      </c>
      <c r="N75" s="98">
        <f t="shared" si="29"/>
        <v>99.292347382404074</v>
      </c>
      <c r="O75" s="153">
        <f t="shared" si="24"/>
        <v>1719.5747120986869</v>
      </c>
    </row>
    <row r="76" spans="1:19" x14ac:dyDescent="0.25">
      <c r="C76" s="18" t="s">
        <v>261</v>
      </c>
      <c r="D76" s="98">
        <f t="shared" ref="D76:N76" si="30">D75-D73</f>
        <v>0</v>
      </c>
      <c r="E76" s="98">
        <f t="shared" si="30"/>
        <v>-20.141696224252868</v>
      </c>
      <c r="F76" s="98">
        <f t="shared" si="30"/>
        <v>-4.1748681919062705</v>
      </c>
      <c r="G76" s="98">
        <f t="shared" si="30"/>
        <v>-1.4030153975556914</v>
      </c>
      <c r="H76" s="98">
        <f t="shared" si="30"/>
        <v>93.967588712973921</v>
      </c>
      <c r="I76" s="98">
        <f t="shared" si="30"/>
        <v>35.357486450215049</v>
      </c>
      <c r="J76" s="98">
        <f t="shared" si="30"/>
        <v>116.10718401960742</v>
      </c>
      <c r="K76" s="98">
        <f t="shared" si="30"/>
        <v>126.35545957731432</v>
      </c>
      <c r="L76" s="98">
        <f t="shared" si="30"/>
        <v>233.61948751972258</v>
      </c>
      <c r="M76" s="98">
        <f t="shared" si="30"/>
        <v>73.66038737141966</v>
      </c>
      <c r="N76" s="98">
        <f t="shared" si="30"/>
        <v>99.292347382404074</v>
      </c>
      <c r="O76" s="153">
        <f t="shared" si="24"/>
        <v>752.64036121994218</v>
      </c>
    </row>
    <row r="77" spans="1:19" x14ac:dyDescent="0.25">
      <c r="C77" s="1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</row>
    <row r="78" spans="1:19" x14ac:dyDescent="0.25">
      <c r="C78" s="175" t="s">
        <v>31</v>
      </c>
      <c r="D78" s="98">
        <v>0.5</v>
      </c>
      <c r="E78" s="98">
        <f>D78+1</f>
        <v>1.5</v>
      </c>
      <c r="F78" s="98">
        <f t="shared" ref="F78:N78" si="31">E78+1</f>
        <v>2.5</v>
      </c>
      <c r="G78" s="98">
        <f t="shared" si="31"/>
        <v>3.5</v>
      </c>
      <c r="H78" s="98">
        <f t="shared" si="31"/>
        <v>4.5</v>
      </c>
      <c r="I78" s="98">
        <f t="shared" si="31"/>
        <v>5.5</v>
      </c>
      <c r="J78" s="98">
        <f t="shared" si="31"/>
        <v>6.5</v>
      </c>
      <c r="K78" s="98">
        <f t="shared" si="31"/>
        <v>7.5</v>
      </c>
      <c r="L78" s="98">
        <f t="shared" si="31"/>
        <v>8.5</v>
      </c>
      <c r="M78" s="98">
        <f t="shared" si="31"/>
        <v>9.5</v>
      </c>
      <c r="N78" s="98">
        <f t="shared" si="31"/>
        <v>10.5</v>
      </c>
      <c r="R78" s="14">
        <v>10000</v>
      </c>
      <c r="S78" s="14">
        <v>1900000</v>
      </c>
    </row>
    <row r="79" spans="1:19" x14ac:dyDescent="0.25">
      <c r="C79" s="175" t="s">
        <v>32</v>
      </c>
      <c r="D79" s="98">
        <f>1/(1+$D$32)^D78</f>
        <v>0.92847669088525941</v>
      </c>
      <c r="E79" s="98">
        <f t="shared" ref="E79:N79" si="32">1/(1+$D$32)^E78</f>
        <v>0.80041094041832705</v>
      </c>
      <c r="F79" s="98">
        <f t="shared" si="32"/>
        <v>0.69000943139510951</v>
      </c>
      <c r="G79" s="98">
        <f t="shared" si="32"/>
        <v>0.59483571671992208</v>
      </c>
      <c r="H79" s="98">
        <f t="shared" si="32"/>
        <v>0.51278941096545017</v>
      </c>
      <c r="I79" s="98">
        <f t="shared" si="32"/>
        <v>0.44205983703918117</v>
      </c>
      <c r="J79" s="98">
        <f t="shared" si="32"/>
        <v>0.38108606641308723</v>
      </c>
      <c r="K79" s="98">
        <f t="shared" si="32"/>
        <v>0.32852247104576487</v>
      </c>
      <c r="L79" s="98">
        <f t="shared" si="32"/>
        <v>0.28320902676359044</v>
      </c>
      <c r="M79" s="98">
        <f t="shared" si="32"/>
        <v>0.24414571272723312</v>
      </c>
      <c r="N79" s="98">
        <f t="shared" si="32"/>
        <v>0.21047044200623546</v>
      </c>
      <c r="S79" s="14">
        <f>S78/R78</f>
        <v>190</v>
      </c>
    </row>
    <row r="80" spans="1:19" x14ac:dyDescent="0.25">
      <c r="A80" s="14" t="s">
        <v>213</v>
      </c>
      <c r="C80" s="175" t="s">
        <v>33</v>
      </c>
      <c r="D80" s="98">
        <f>D79*D76</f>
        <v>0</v>
      </c>
      <c r="E80" s="98">
        <f t="shared" ref="E80:N80" si="33">E79*E76</f>
        <v>-16.121634016474506</v>
      </c>
      <c r="F80" s="98">
        <f t="shared" si="33"/>
        <v>-2.8806984272467746</v>
      </c>
      <c r="G80" s="98">
        <f t="shared" si="33"/>
        <v>-0.83456366957412609</v>
      </c>
      <c r="H80" s="98">
        <f t="shared" si="33"/>
        <v>48.185584465969583</v>
      </c>
      <c r="I80" s="98">
        <f t="shared" si="33"/>
        <v>15.63012469829712</v>
      </c>
      <c r="J80" s="98">
        <f t="shared" si="33"/>
        <v>44.246830040332654</v>
      </c>
      <c r="K80" s="98">
        <f t="shared" si="33"/>
        <v>41.51060781046256</v>
      </c>
      <c r="L80" s="98">
        <f t="shared" si="33"/>
        <v>66.163147693469398</v>
      </c>
      <c r="M80" s="98">
        <f t="shared" si="33"/>
        <v>17.983867774559336</v>
      </c>
      <c r="N80" s="98">
        <f t="shared" si="33"/>
        <v>20.898104241411261</v>
      </c>
      <c r="S80" s="114">
        <f>S79*250000</f>
        <v>47500000</v>
      </c>
    </row>
    <row r="81" spans="3:16" ht="18.75" x14ac:dyDescent="0.3">
      <c r="C81" s="186" t="s">
        <v>34</v>
      </c>
      <c r="D81" s="187">
        <f>SUM(D80:N80)</f>
        <v>234.78137061120651</v>
      </c>
      <c r="E81" s="179"/>
      <c r="F81" s="30"/>
      <c r="G81" s="30"/>
      <c r="H81" s="30"/>
      <c r="I81" s="30"/>
      <c r="J81" s="30"/>
      <c r="K81" s="30"/>
      <c r="L81" s="30"/>
      <c r="M81" s="30"/>
      <c r="N81" s="30"/>
      <c r="P81" s="114">
        <f>1800*10^7</f>
        <v>18000000000</v>
      </c>
    </row>
    <row r="82" spans="3:16" x14ac:dyDescent="0.25">
      <c r="C82" s="19"/>
      <c r="D82" s="20"/>
      <c r="E82" s="22"/>
      <c r="F82" s="20"/>
      <c r="G82" s="20"/>
      <c r="H82" s="20"/>
      <c r="I82" s="20"/>
      <c r="J82" s="20"/>
      <c r="K82" s="20"/>
      <c r="L82" s="20"/>
      <c r="M82" s="20"/>
      <c r="N82" s="20"/>
    </row>
    <row r="84" spans="3:16" x14ac:dyDescent="0.25">
      <c r="C84" s="15" t="s">
        <v>274</v>
      </c>
      <c r="D84" s="153">
        <f>D81*(1-E84)</f>
        <v>192.52072390118934</v>
      </c>
      <c r="E84" s="31">
        <v>0.18</v>
      </c>
    </row>
  </sheetData>
  <mergeCells count="1">
    <mergeCell ref="F24:F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Inventory-Detailed</vt:lpstr>
      <vt:lpstr>Sanctioned Plan</vt:lpstr>
      <vt:lpstr>Inventory-Detailed (2)</vt:lpstr>
      <vt:lpstr>rough</vt:lpstr>
      <vt:lpstr>COC Breakup (3)</vt:lpstr>
      <vt:lpstr>Valuation</vt:lpstr>
      <vt:lpstr>Valuation (all commercial)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Adil Afaque</dc:creator>
  <cp:lastModifiedBy>Adil Afaque</cp:lastModifiedBy>
  <dcterms:created xsi:type="dcterms:W3CDTF">2023-01-16T11:16:54Z</dcterms:created>
  <dcterms:modified xsi:type="dcterms:W3CDTF">2023-01-31T06:29:33Z</dcterms:modified>
</cp:coreProperties>
</file>