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25"/>
  </bookViews>
  <sheets>
    <sheet name="Sheet1 (2)" sheetId="3" r:id="rId1"/>
    <sheet name="Sheet1" sheetId="4" r:id="rId2"/>
    <sheet name="Sheet2" sheetId="5" r:id="rId3"/>
    <sheet name="Sheet3" sheetId="6" r:id="rId4"/>
  </sheets>
  <calcPr calcId="152511"/>
</workbook>
</file>

<file path=xl/calcChain.xml><?xml version="1.0" encoding="utf-8"?>
<calcChain xmlns="http://schemas.openxmlformats.org/spreadsheetml/2006/main">
  <c r="N14" i="4" l="1"/>
  <c r="N13" i="4"/>
  <c r="N12" i="4"/>
  <c r="N11" i="4"/>
  <c r="N10" i="4"/>
  <c r="N9" i="4"/>
  <c r="N8" i="4"/>
  <c r="N7" i="4"/>
  <c r="N6" i="4"/>
  <c r="N5" i="4"/>
  <c r="G20" i="4"/>
  <c r="G19" i="4"/>
  <c r="G17" i="4"/>
  <c r="M5" i="4"/>
  <c r="F11" i="4" l="1"/>
  <c r="K5" i="4" l="1"/>
  <c r="H14" i="6"/>
  <c r="H13" i="6"/>
  <c r="H12" i="6"/>
  <c r="H11" i="6"/>
  <c r="H10" i="6"/>
  <c r="H9" i="6"/>
  <c r="H8" i="6"/>
  <c r="H7" i="6"/>
  <c r="H6" i="6"/>
  <c r="K15" i="4"/>
  <c r="M20" i="5"/>
  <c r="K14" i="4"/>
  <c r="K13" i="4"/>
  <c r="K12" i="4"/>
  <c r="K10" i="4"/>
  <c r="K9" i="4"/>
  <c r="K8" i="4"/>
  <c r="K7" i="4"/>
  <c r="K6" i="4"/>
  <c r="H23" i="5"/>
  <c r="H22" i="5"/>
  <c r="K20" i="5"/>
  <c r="K19" i="5"/>
  <c r="K17" i="5"/>
  <c r="K14" i="5"/>
  <c r="J20" i="5"/>
  <c r="J19" i="5"/>
  <c r="J17" i="5"/>
  <c r="J14" i="5"/>
  <c r="I20" i="5"/>
  <c r="I19" i="5"/>
  <c r="I17" i="5"/>
  <c r="I14" i="5"/>
  <c r="H20" i="5"/>
  <c r="H19" i="5"/>
  <c r="H17" i="5"/>
  <c r="H14" i="5"/>
  <c r="H11" i="5"/>
  <c r="I17" i="4"/>
  <c r="I16" i="4"/>
  <c r="I15" i="4"/>
  <c r="I14" i="4"/>
  <c r="I13" i="4"/>
  <c r="I12" i="4"/>
  <c r="I11" i="4"/>
  <c r="K11" i="4" s="1"/>
  <c r="I10" i="4"/>
  <c r="I9" i="4"/>
  <c r="I8" i="4"/>
  <c r="I7" i="4"/>
  <c r="I6" i="4"/>
  <c r="K4" i="4" l="1"/>
  <c r="K3" i="4"/>
  <c r="G23" i="5" l="1"/>
  <c r="G22" i="5"/>
  <c r="G11" i="4"/>
  <c r="G18" i="4" s="1"/>
  <c r="G10" i="4"/>
  <c r="G8" i="4"/>
  <c r="F10" i="4"/>
  <c r="F9" i="4"/>
  <c r="D6" i="5"/>
  <c r="D5" i="5"/>
  <c r="D4" i="5"/>
  <c r="D3" i="5"/>
  <c r="D7" i="5" l="1"/>
  <c r="E16" i="3"/>
  <c r="I7" i="3"/>
  <c r="G16" i="3"/>
  <c r="G15" i="3"/>
  <c r="G14" i="3"/>
  <c r="G13" i="3"/>
  <c r="G12" i="3"/>
  <c r="G11" i="3"/>
  <c r="G10" i="3"/>
  <c r="G9" i="3"/>
  <c r="G8" i="3"/>
  <c r="G7" i="3"/>
  <c r="F16" i="3"/>
  <c r="F15" i="3"/>
  <c r="F14" i="3"/>
  <c r="F13" i="3"/>
  <c r="F12" i="3"/>
  <c r="F11" i="3"/>
  <c r="F10" i="3"/>
  <c r="F9" i="3"/>
  <c r="F8" i="3"/>
  <c r="F7" i="3"/>
  <c r="H17" i="3" l="1"/>
  <c r="G17" i="3"/>
  <c r="F17" i="3"/>
  <c r="D43" i="3"/>
  <c r="D42" i="3"/>
  <c r="D41" i="3"/>
  <c r="D40" i="3"/>
  <c r="D39" i="3"/>
  <c r="D38" i="3"/>
  <c r="D37" i="3"/>
  <c r="D36" i="3"/>
  <c r="D35" i="3"/>
  <c r="C17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17" i="3" l="1"/>
  <c r="D17" i="3"/>
  <c r="D18" i="3" s="1"/>
</calcChain>
</file>

<file path=xl/sharedStrings.xml><?xml version="1.0" encoding="utf-8"?>
<sst xmlns="http://schemas.openxmlformats.org/spreadsheetml/2006/main" count="137" uniqueCount="93">
  <si>
    <t>S. No.</t>
  </si>
  <si>
    <t>Different Parameters</t>
  </si>
  <si>
    <t>Cutting, Filling and Levelling</t>
  </si>
  <si>
    <t>Footings</t>
  </si>
  <si>
    <t>Slab Casting</t>
  </si>
  <si>
    <t>Common Staircase, lift and lobby etc.</t>
  </si>
  <si>
    <t>Brickwork</t>
  </si>
  <si>
    <t>Plaster</t>
  </si>
  <si>
    <t>Flooring</t>
  </si>
  <si>
    <t>MEP Services</t>
  </si>
  <si>
    <t>Door/ Window</t>
  </si>
  <si>
    <t>Finishing</t>
  </si>
  <si>
    <t>Completion status (in %)</t>
  </si>
  <si>
    <t>Average Completion Status (in %)</t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</si>
  <si>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</si>
  <si>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</si>
  <si>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</si>
  <si>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</si>
  <si>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</si>
  <si>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</si>
  <si>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</si>
  <si>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t>MEP Works (Mechanical, Electrical &amp; Plumbing)</t>
  </si>
  <si>
    <t>v</t>
  </si>
  <si>
    <t>Internal &amp; External Development charges</t>
  </si>
  <si>
    <t>vi</t>
  </si>
  <si>
    <t xml:space="preserve">Other expenses (Firefighting, intercom &amp; etc.) @ 1.5% of total cost (i+ii+iii+iv+v)             </t>
  </si>
  <si>
    <t>vii</t>
  </si>
  <si>
    <t xml:space="preserve">Pre-operative &amp; Administrative expenses @ 5% of total cost  (i+ii+iii+iv+v+vi)           </t>
  </si>
  <si>
    <t>viii</t>
  </si>
  <si>
    <t>Marketing &amp; Selling charges @ 3% of Rs.2,800/- &amp; Rs.7,500/-</t>
  </si>
  <si>
    <t>ix</t>
  </si>
  <si>
    <t>Institutional Borrowing for 03 years @ 12.5% on 75% of total cost (i+ii+iii+iv+v+vi+vii+viii)</t>
  </si>
  <si>
    <t xml:space="preserve">Total </t>
  </si>
  <si>
    <t>Tower-D</t>
  </si>
  <si>
    <t>Block-A</t>
  </si>
  <si>
    <t>Block-B</t>
  </si>
  <si>
    <t>Block-C</t>
  </si>
  <si>
    <t>GF</t>
  </si>
  <si>
    <t>FF</t>
  </si>
  <si>
    <t>SF</t>
  </si>
  <si>
    <t>Hall</t>
  </si>
  <si>
    <t>UC</t>
  </si>
  <si>
    <t>Complete</t>
  </si>
  <si>
    <t>Kitechn, Restaurant</t>
  </si>
  <si>
    <t>Block-D</t>
  </si>
  <si>
    <t>Power House</t>
  </si>
  <si>
    <t>A</t>
  </si>
  <si>
    <t>B</t>
  </si>
  <si>
    <t>C</t>
  </si>
  <si>
    <t>D</t>
  </si>
  <si>
    <t>Huts-1</t>
  </si>
  <si>
    <t>Huts-2</t>
  </si>
  <si>
    <t>Huts-3</t>
  </si>
  <si>
    <t>Huts-4</t>
  </si>
  <si>
    <t>Huts-5</t>
  </si>
  <si>
    <t>Huts-6</t>
  </si>
  <si>
    <t>Collumn</t>
  </si>
  <si>
    <t>Foundation</t>
  </si>
  <si>
    <t>BUA</t>
  </si>
  <si>
    <t>Site development</t>
  </si>
  <si>
    <t>Cutting levelling &amp; construction of retaining walls</t>
  </si>
  <si>
    <t>Block-A (Yoga Hall)</t>
  </si>
  <si>
    <t>Ground Floor</t>
  </si>
  <si>
    <t>First Floor</t>
  </si>
  <si>
    <t>Second Floor</t>
  </si>
  <si>
    <t xml:space="preserve">Ground Floor </t>
  </si>
  <si>
    <t>10 nos. of Hut (1 x 13,38,838.50)</t>
  </si>
  <si>
    <t xml:space="preserve">Amenities &amp; Miscellaneous items </t>
  </si>
  <si>
    <t>Amenities &amp; Miscellaneous items</t>
  </si>
  <si>
    <t>Particulars</t>
  </si>
  <si>
    <t>Area of Work</t>
  </si>
  <si>
    <t>Amount</t>
  </si>
  <si>
    <t>Details of Retaining Wall</t>
  </si>
  <si>
    <t>Wall of Block B</t>
  </si>
  <si>
    <t>New Wall</t>
  </si>
  <si>
    <t>Yoga Hall Building Backside</t>
  </si>
  <si>
    <t>Front Side of Kitchen Wall</t>
  </si>
  <si>
    <t>Dining side front wall</t>
  </si>
  <si>
    <t>back side of kitchen</t>
  </si>
  <si>
    <t>backside wall of hut 2&amp;3</t>
  </si>
  <si>
    <t>backside wall of hut 1</t>
  </si>
  <si>
    <t>top wall under construction (Hut)</t>
  </si>
  <si>
    <t>Top</t>
  </si>
  <si>
    <t>ft</t>
  </si>
  <si>
    <t>Length</t>
  </si>
  <si>
    <t>Height</t>
  </si>
  <si>
    <t>Actual Work</t>
  </si>
  <si>
    <t>Hall MD Office, GM Office</t>
  </si>
  <si>
    <t>sqft</t>
  </si>
  <si>
    <t>sqn</t>
  </si>
  <si>
    <t>CoC/sqft</t>
  </si>
  <si>
    <t>total height</t>
  </si>
  <si>
    <t>Common Staircase and lobby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</si>
</sst>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2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2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9" fontId="3" fillId="0" borderId="1" xfId="2" applyFont="1" applyBorder="1" applyAlignment="1">
      <alignment vertical="center"/>
    </xf>
    <xf numFmtId="165" fontId="0" fillId="3" borderId="1" xfId="3" applyNumberFormat="1" applyFont="1" applyFill="1" applyBorder="1" applyAlignment="1">
      <alignment horizontal="right" vertical="center"/>
    </xf>
    <xf numFmtId="165" fontId="0" fillId="3" borderId="2" xfId="3" applyNumberFormat="1" applyFont="1" applyFill="1" applyBorder="1" applyAlignment="1">
      <alignment horizontal="right" vertical="center"/>
    </xf>
    <xf numFmtId="165" fontId="0" fillId="4" borderId="1" xfId="3" applyNumberFormat="1" applyFont="1" applyFill="1" applyBorder="1" applyAlignment="1">
      <alignment horizontal="right" vertical="center"/>
    </xf>
    <xf numFmtId="165" fontId="4" fillId="0" borderId="3" xfId="3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43" fontId="0" fillId="0" borderId="0" xfId="1" applyFont="1"/>
    <xf numFmtId="164" fontId="0" fillId="0" borderId="0" xfId="1" applyNumberFormat="1" applyFont="1"/>
    <xf numFmtId="43" fontId="0" fillId="0" borderId="0" xfId="0" applyNumberFormat="1"/>
    <xf numFmtId="0" fontId="0" fillId="0" borderId="0" xfId="0" applyAlignment="1"/>
    <xf numFmtId="164" fontId="0" fillId="0" borderId="0" xfId="1" applyNumberFormat="1" applyFont="1" applyAlignment="1"/>
    <xf numFmtId="0" fontId="0" fillId="0" borderId="0" xfId="0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164" fontId="0" fillId="0" borderId="1" xfId="1" applyNumberFormat="1" applyFont="1" applyBorder="1" applyAlignment="1"/>
    <xf numFmtId="10" fontId="0" fillId="0" borderId="1" xfId="0" applyNumberFormat="1" applyBorder="1" applyAlignmen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/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43" fontId="0" fillId="0" borderId="0" xfId="0" applyNumberFormat="1" applyAlignment="1"/>
    <xf numFmtId="9" fontId="0" fillId="0" borderId="0" xfId="2" applyFont="1"/>
    <xf numFmtId="0" fontId="6" fillId="0" borderId="7" xfId="0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</cellXfs>
  <cellStyles count="4">
    <cellStyle name="Comma" xfId="1" builtinId="3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4"/>
  <sheetViews>
    <sheetView tabSelected="1" workbookViewId="0">
      <selection activeCell="I19" sqref="I19"/>
    </sheetView>
  </sheetViews>
  <sheetFormatPr defaultRowHeight="15" x14ac:dyDescent="0.25"/>
  <cols>
    <col min="1" max="1" width="9.140625" style="1"/>
    <col min="2" max="2" width="35.5703125" style="1" customWidth="1"/>
    <col min="3" max="3" width="9.140625" style="2"/>
    <col min="4" max="13" width="9.140625" style="1"/>
    <col min="14" max="14" width="11.5703125" style="18" bestFit="1" customWidth="1"/>
    <col min="15" max="16384" width="9.140625" style="1"/>
  </cols>
  <sheetData>
    <row r="6" spans="1:9" x14ac:dyDescent="0.25">
      <c r="A6" s="3" t="s">
        <v>0</v>
      </c>
      <c r="B6" s="3" t="s">
        <v>1</v>
      </c>
      <c r="C6" s="4"/>
      <c r="D6" s="3" t="s">
        <v>34</v>
      </c>
      <c r="E6" s="3" t="s">
        <v>35</v>
      </c>
      <c r="F6" s="3" t="s">
        <v>36</v>
      </c>
      <c r="G6" s="3" t="s">
        <v>45</v>
      </c>
      <c r="H6" s="3" t="s">
        <v>33</v>
      </c>
    </row>
    <row r="7" spans="1:9" x14ac:dyDescent="0.25">
      <c r="A7" s="5">
        <v>1</v>
      </c>
      <c r="B7" s="6" t="s">
        <v>2</v>
      </c>
      <c r="C7" s="7">
        <v>0.15</v>
      </c>
      <c r="D7" s="8">
        <f t="shared" ref="D7:D16" si="0">D23/$D$21</f>
        <v>1</v>
      </c>
      <c r="E7" s="7">
        <f t="shared" ref="E7:E16" si="1">E23/$E$21</f>
        <v>1</v>
      </c>
      <c r="F7" s="8">
        <f>F23/$F$21</f>
        <v>1</v>
      </c>
      <c r="G7" s="8">
        <f>G23/$G$21</f>
        <v>1</v>
      </c>
      <c r="H7" s="8">
        <v>0.35</v>
      </c>
      <c r="I7" s="2">
        <f>4/10</f>
        <v>0.4</v>
      </c>
    </row>
    <row r="8" spans="1:9" x14ac:dyDescent="0.25">
      <c r="A8" s="5">
        <v>3</v>
      </c>
      <c r="B8" s="6" t="s">
        <v>3</v>
      </c>
      <c r="C8" s="7">
        <v>0.05</v>
      </c>
      <c r="D8" s="8">
        <f t="shared" si="0"/>
        <v>1</v>
      </c>
      <c r="E8" s="7">
        <f t="shared" si="1"/>
        <v>1</v>
      </c>
      <c r="F8" s="8">
        <f t="shared" ref="F8:F16" si="2">F24/$F$21</f>
        <v>1</v>
      </c>
      <c r="G8" s="8">
        <f t="shared" ref="G8:G16" si="3">G24/$G$21</f>
        <v>1</v>
      </c>
      <c r="H8" s="8">
        <v>0.35</v>
      </c>
    </row>
    <row r="9" spans="1:9" x14ac:dyDescent="0.25">
      <c r="A9" s="5">
        <v>4</v>
      </c>
      <c r="B9" s="6" t="s">
        <v>4</v>
      </c>
      <c r="C9" s="7">
        <v>0.25</v>
      </c>
      <c r="D9" s="8">
        <f t="shared" si="0"/>
        <v>1</v>
      </c>
      <c r="E9" s="7">
        <f t="shared" si="1"/>
        <v>1</v>
      </c>
      <c r="F9" s="8">
        <f t="shared" si="2"/>
        <v>1</v>
      </c>
      <c r="G9" s="8">
        <f t="shared" si="3"/>
        <v>1</v>
      </c>
      <c r="H9" s="8">
        <v>0.35</v>
      </c>
    </row>
    <row r="10" spans="1:9" x14ac:dyDescent="0.25">
      <c r="A10" s="5">
        <v>5</v>
      </c>
      <c r="B10" s="6" t="s">
        <v>92</v>
      </c>
      <c r="C10" s="7">
        <v>0.02</v>
      </c>
      <c r="D10" s="8">
        <f t="shared" si="0"/>
        <v>1</v>
      </c>
      <c r="E10" s="7">
        <f t="shared" si="1"/>
        <v>0.33333333333333331</v>
      </c>
      <c r="F10" s="8">
        <f t="shared" si="2"/>
        <v>1</v>
      </c>
      <c r="G10" s="8">
        <f t="shared" si="3"/>
        <v>1</v>
      </c>
      <c r="H10" s="8">
        <v>0.35</v>
      </c>
    </row>
    <row r="11" spans="1:9" x14ac:dyDescent="0.25">
      <c r="A11" s="5">
        <v>7</v>
      </c>
      <c r="B11" s="6" t="s">
        <v>6</v>
      </c>
      <c r="C11" s="7">
        <v>0.06</v>
      </c>
      <c r="D11" s="8">
        <f t="shared" si="0"/>
        <v>1</v>
      </c>
      <c r="E11" s="7">
        <f t="shared" si="1"/>
        <v>0.33333333333333331</v>
      </c>
      <c r="F11" s="8">
        <f t="shared" si="2"/>
        <v>1</v>
      </c>
      <c r="G11" s="8">
        <f t="shared" si="3"/>
        <v>1</v>
      </c>
      <c r="H11" s="8">
        <v>0.35</v>
      </c>
    </row>
    <row r="12" spans="1:9" x14ac:dyDescent="0.25">
      <c r="A12" s="5">
        <v>9</v>
      </c>
      <c r="B12" s="6" t="s">
        <v>7</v>
      </c>
      <c r="C12" s="7">
        <v>0.05</v>
      </c>
      <c r="D12" s="8">
        <f t="shared" si="0"/>
        <v>1</v>
      </c>
      <c r="E12" s="7">
        <f t="shared" si="1"/>
        <v>0.33333333333333331</v>
      </c>
      <c r="F12" s="8">
        <f t="shared" si="2"/>
        <v>1</v>
      </c>
      <c r="G12" s="8">
        <f t="shared" si="3"/>
        <v>1</v>
      </c>
      <c r="H12" s="8">
        <v>0.35</v>
      </c>
    </row>
    <row r="13" spans="1:9" x14ac:dyDescent="0.25">
      <c r="A13" s="5">
        <v>10</v>
      </c>
      <c r="B13" s="6" t="s">
        <v>8</v>
      </c>
      <c r="C13" s="7">
        <v>0.1</v>
      </c>
      <c r="D13" s="8">
        <f t="shared" si="0"/>
        <v>1</v>
      </c>
      <c r="E13" s="7">
        <f t="shared" si="1"/>
        <v>0.33333333333333331</v>
      </c>
      <c r="F13" s="8">
        <f t="shared" si="2"/>
        <v>1</v>
      </c>
      <c r="G13" s="8">
        <f t="shared" si="3"/>
        <v>1</v>
      </c>
      <c r="H13" s="8">
        <v>0.35</v>
      </c>
    </row>
    <row r="14" spans="1:9" x14ac:dyDescent="0.25">
      <c r="A14" s="5">
        <v>11</v>
      </c>
      <c r="B14" s="6" t="s">
        <v>9</v>
      </c>
      <c r="C14" s="7">
        <v>0.1</v>
      </c>
      <c r="D14" s="8">
        <f t="shared" si="0"/>
        <v>1</v>
      </c>
      <c r="E14" s="7">
        <f t="shared" si="1"/>
        <v>0.16666666666666666</v>
      </c>
      <c r="F14" s="8">
        <f t="shared" si="2"/>
        <v>1</v>
      </c>
      <c r="G14" s="8">
        <f t="shared" si="3"/>
        <v>1</v>
      </c>
      <c r="H14" s="8">
        <v>0.35</v>
      </c>
    </row>
    <row r="15" spans="1:9" x14ac:dyDescent="0.25">
      <c r="A15" s="5">
        <v>12</v>
      </c>
      <c r="B15" s="6" t="s">
        <v>10</v>
      </c>
      <c r="C15" s="7">
        <v>0.1</v>
      </c>
      <c r="D15" s="8">
        <f t="shared" si="0"/>
        <v>1</v>
      </c>
      <c r="E15" s="7">
        <f t="shared" si="1"/>
        <v>0.16666666666666666</v>
      </c>
      <c r="F15" s="8">
        <f t="shared" si="2"/>
        <v>1</v>
      </c>
      <c r="G15" s="8">
        <f t="shared" si="3"/>
        <v>1</v>
      </c>
      <c r="H15" s="8">
        <v>0.35</v>
      </c>
    </row>
    <row r="16" spans="1:9" x14ac:dyDescent="0.25">
      <c r="A16" s="5">
        <v>13</v>
      </c>
      <c r="B16" s="6" t="s">
        <v>11</v>
      </c>
      <c r="C16" s="7">
        <v>0.12</v>
      </c>
      <c r="D16" s="8">
        <f t="shared" si="0"/>
        <v>1</v>
      </c>
      <c r="E16" s="7">
        <f t="shared" si="1"/>
        <v>0</v>
      </c>
      <c r="F16" s="8">
        <f t="shared" si="2"/>
        <v>1</v>
      </c>
      <c r="G16" s="8">
        <f t="shared" si="3"/>
        <v>1</v>
      </c>
      <c r="H16" s="8">
        <v>0.35</v>
      </c>
    </row>
    <row r="17" spans="1:8" x14ac:dyDescent="0.25">
      <c r="A17" s="5"/>
      <c r="B17" s="9" t="s">
        <v>12</v>
      </c>
      <c r="C17" s="10">
        <f>SUM(C7:C16)</f>
        <v>1</v>
      </c>
      <c r="D17" s="10">
        <f>SUMPRODUCT($C$7:$C$16,D7:D16)</f>
        <v>1</v>
      </c>
      <c r="E17" s="10">
        <f>SUMPRODUCT($C$7:$C$16,E7:E16)</f>
        <v>0.56000000000000016</v>
      </c>
      <c r="F17" s="10">
        <f t="shared" ref="F17:H17" si="4">SUMPRODUCT($C$7:$C$16,F7:F16)</f>
        <v>1</v>
      </c>
      <c r="G17" s="10">
        <f t="shared" si="4"/>
        <v>1</v>
      </c>
      <c r="H17" s="10">
        <f t="shared" si="4"/>
        <v>0.34999999999999992</v>
      </c>
    </row>
    <row r="18" spans="1:8" x14ac:dyDescent="0.25">
      <c r="A18" s="5"/>
      <c r="B18" s="6" t="s">
        <v>13</v>
      </c>
      <c r="C18" s="7"/>
      <c r="D18" s="39">
        <f>AVERAGE(D17:H17)</f>
        <v>0.78200000000000003</v>
      </c>
      <c r="E18" s="40"/>
      <c r="F18" s="40"/>
      <c r="G18" s="40"/>
      <c r="H18" s="40"/>
    </row>
    <row r="19" spans="1:8" x14ac:dyDescent="0.25">
      <c r="D19" s="2"/>
      <c r="E19" s="2"/>
      <c r="F19" s="2"/>
      <c r="G19" s="2"/>
    </row>
    <row r="20" spans="1:8" x14ac:dyDescent="0.25">
      <c r="D20" s="17"/>
      <c r="E20" s="17"/>
      <c r="F20" s="17"/>
      <c r="G20" s="17"/>
    </row>
    <row r="21" spans="1:8" x14ac:dyDescent="0.25">
      <c r="C21" s="16"/>
      <c r="D21" s="1">
        <v>2</v>
      </c>
      <c r="E21" s="1">
        <v>3</v>
      </c>
      <c r="F21" s="1">
        <v>1</v>
      </c>
      <c r="G21" s="1">
        <v>1</v>
      </c>
    </row>
    <row r="22" spans="1:8" x14ac:dyDescent="0.25">
      <c r="D22" s="3" t="s">
        <v>34</v>
      </c>
      <c r="E22" s="3" t="s">
        <v>35</v>
      </c>
      <c r="F22" s="3" t="s">
        <v>36</v>
      </c>
      <c r="G22" s="3" t="s">
        <v>45</v>
      </c>
      <c r="H22" s="3" t="s">
        <v>33</v>
      </c>
    </row>
    <row r="23" spans="1:8" x14ac:dyDescent="0.25">
      <c r="B23" s="6" t="s">
        <v>2</v>
      </c>
      <c r="D23" s="1">
        <v>2</v>
      </c>
      <c r="E23" s="1">
        <v>3</v>
      </c>
      <c r="F23" s="1">
        <v>1</v>
      </c>
      <c r="G23" s="1">
        <v>1</v>
      </c>
      <c r="H23" s="1">
        <v>0</v>
      </c>
    </row>
    <row r="24" spans="1:8" x14ac:dyDescent="0.25">
      <c r="B24" s="6" t="s">
        <v>3</v>
      </c>
      <c r="D24" s="1">
        <v>2</v>
      </c>
      <c r="E24" s="1">
        <v>3</v>
      </c>
      <c r="F24" s="1">
        <v>1</v>
      </c>
      <c r="G24" s="1">
        <v>1</v>
      </c>
      <c r="H24" s="1">
        <v>0</v>
      </c>
    </row>
    <row r="25" spans="1:8" x14ac:dyDescent="0.25">
      <c r="B25" s="6" t="s">
        <v>4</v>
      </c>
      <c r="D25" s="1">
        <v>2</v>
      </c>
      <c r="E25" s="1">
        <v>3</v>
      </c>
      <c r="F25" s="1">
        <v>1</v>
      </c>
      <c r="G25" s="1">
        <v>1</v>
      </c>
      <c r="H25" s="1">
        <v>0</v>
      </c>
    </row>
    <row r="26" spans="1:8" x14ac:dyDescent="0.25">
      <c r="B26" s="6" t="s">
        <v>5</v>
      </c>
      <c r="D26" s="1">
        <v>2</v>
      </c>
      <c r="E26" s="1">
        <v>1</v>
      </c>
      <c r="F26" s="1">
        <v>1</v>
      </c>
      <c r="G26" s="1">
        <v>1</v>
      </c>
      <c r="H26" s="1">
        <v>0</v>
      </c>
    </row>
    <row r="27" spans="1:8" x14ac:dyDescent="0.25">
      <c r="B27" s="6" t="s">
        <v>6</v>
      </c>
      <c r="D27" s="1">
        <v>2</v>
      </c>
      <c r="E27" s="1">
        <v>1</v>
      </c>
      <c r="F27" s="1">
        <v>1</v>
      </c>
      <c r="G27" s="1">
        <v>1</v>
      </c>
      <c r="H27" s="1">
        <v>0</v>
      </c>
    </row>
    <row r="28" spans="1:8" x14ac:dyDescent="0.25">
      <c r="B28" s="6" t="s">
        <v>7</v>
      </c>
      <c r="D28" s="1">
        <v>2</v>
      </c>
      <c r="E28" s="1">
        <v>1</v>
      </c>
      <c r="F28" s="1">
        <v>1</v>
      </c>
      <c r="G28" s="1">
        <v>1</v>
      </c>
      <c r="H28" s="1">
        <v>0</v>
      </c>
    </row>
    <row r="29" spans="1:8" x14ac:dyDescent="0.25">
      <c r="B29" s="6" t="s">
        <v>8</v>
      </c>
      <c r="D29" s="1">
        <v>2</v>
      </c>
      <c r="E29" s="1">
        <v>1</v>
      </c>
      <c r="F29" s="1">
        <v>1</v>
      </c>
      <c r="G29" s="1">
        <v>1</v>
      </c>
      <c r="H29" s="1">
        <v>0</v>
      </c>
    </row>
    <row r="30" spans="1:8" x14ac:dyDescent="0.25">
      <c r="B30" s="6" t="s">
        <v>9</v>
      </c>
      <c r="D30" s="1">
        <v>2</v>
      </c>
      <c r="E30" s="1">
        <v>0.5</v>
      </c>
      <c r="F30" s="1">
        <v>1</v>
      </c>
      <c r="G30" s="1">
        <v>1</v>
      </c>
      <c r="H30" s="1">
        <v>0</v>
      </c>
    </row>
    <row r="31" spans="1:8" x14ac:dyDescent="0.25">
      <c r="B31" s="6" t="s">
        <v>10</v>
      </c>
      <c r="D31" s="1">
        <v>2</v>
      </c>
      <c r="E31" s="1">
        <v>0.5</v>
      </c>
      <c r="F31" s="1">
        <v>1</v>
      </c>
      <c r="G31" s="1">
        <v>1</v>
      </c>
      <c r="H31" s="1">
        <v>0</v>
      </c>
    </row>
    <row r="32" spans="1:8" x14ac:dyDescent="0.25">
      <c r="B32" s="6" t="s">
        <v>11</v>
      </c>
      <c r="D32" s="1">
        <v>2</v>
      </c>
      <c r="E32" s="1">
        <v>0</v>
      </c>
      <c r="F32" s="1">
        <v>1</v>
      </c>
      <c r="G32" s="1">
        <v>1</v>
      </c>
      <c r="H32" s="1">
        <v>0</v>
      </c>
    </row>
    <row r="35" spans="1:4" x14ac:dyDescent="0.25">
      <c r="A35" s="1" t="s">
        <v>14</v>
      </c>
      <c r="B35" s="1" t="s">
        <v>15</v>
      </c>
      <c r="C35" s="11">
        <v>850</v>
      </c>
      <c r="D35" s="2">
        <f>C35/$C$44</f>
        <v>0.37694013303769403</v>
      </c>
    </row>
    <row r="36" spans="1:4" x14ac:dyDescent="0.25">
      <c r="A36" s="1" t="s">
        <v>16</v>
      </c>
      <c r="B36" s="1" t="s">
        <v>17</v>
      </c>
      <c r="C36" s="11">
        <v>50</v>
      </c>
      <c r="D36" s="2">
        <f t="shared" ref="D36:D43" si="5">C36/$C$44</f>
        <v>2.2172949002217297E-2</v>
      </c>
    </row>
    <row r="37" spans="1:4" x14ac:dyDescent="0.25">
      <c r="A37" s="1" t="s">
        <v>18</v>
      </c>
      <c r="B37" s="1" t="s">
        <v>19</v>
      </c>
      <c r="C37" s="11">
        <v>300</v>
      </c>
      <c r="D37" s="2">
        <f t="shared" si="5"/>
        <v>0.13303769401330376</v>
      </c>
    </row>
    <row r="38" spans="1:4" x14ac:dyDescent="0.25">
      <c r="A38" s="1" t="s">
        <v>20</v>
      </c>
      <c r="B38" s="1" t="s">
        <v>21</v>
      </c>
      <c r="C38" s="11">
        <v>200</v>
      </c>
      <c r="D38" s="2">
        <f t="shared" si="5"/>
        <v>8.8691796008869186E-2</v>
      </c>
    </row>
    <row r="39" spans="1:4" x14ac:dyDescent="0.25">
      <c r="A39" s="1" t="s">
        <v>22</v>
      </c>
      <c r="B39" s="1" t="s">
        <v>23</v>
      </c>
      <c r="C39" s="12">
        <v>200</v>
      </c>
      <c r="D39" s="2">
        <f t="shared" si="5"/>
        <v>8.8691796008869186E-2</v>
      </c>
    </row>
    <row r="40" spans="1:4" x14ac:dyDescent="0.25">
      <c r="A40" s="1" t="s">
        <v>24</v>
      </c>
      <c r="B40" s="1" t="s">
        <v>25</v>
      </c>
      <c r="C40" s="13">
        <v>24</v>
      </c>
      <c r="D40" s="2">
        <f t="shared" si="5"/>
        <v>1.0643015521064302E-2</v>
      </c>
    </row>
    <row r="41" spans="1:4" x14ac:dyDescent="0.25">
      <c r="A41" s="1" t="s">
        <v>26</v>
      </c>
      <c r="B41" s="1" t="s">
        <v>27</v>
      </c>
      <c r="C41" s="13">
        <v>81</v>
      </c>
      <c r="D41" s="2">
        <f t="shared" si="5"/>
        <v>3.5920177383592017E-2</v>
      </c>
    </row>
    <row r="42" spans="1:4" x14ac:dyDescent="0.25">
      <c r="A42" s="1" t="s">
        <v>28</v>
      </c>
      <c r="B42" s="1" t="s">
        <v>29</v>
      </c>
      <c r="C42" s="11">
        <v>70</v>
      </c>
      <c r="D42" s="2">
        <f t="shared" si="5"/>
        <v>3.1042128603104215E-2</v>
      </c>
    </row>
    <row r="43" spans="1:4" x14ac:dyDescent="0.25">
      <c r="A43" s="1" t="s">
        <v>30</v>
      </c>
      <c r="B43" s="1" t="s">
        <v>31</v>
      </c>
      <c r="C43" s="13">
        <v>479</v>
      </c>
      <c r="D43" s="2">
        <f t="shared" si="5"/>
        <v>0.21241685144124167</v>
      </c>
    </row>
    <row r="44" spans="1:4" ht="15.75" x14ac:dyDescent="0.25">
      <c r="A44" s="1" t="s">
        <v>32</v>
      </c>
      <c r="C44" s="14">
        <v>2255</v>
      </c>
    </row>
  </sheetData>
  <mergeCells count="1">
    <mergeCell ref="D18:H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2"/>
  <sheetViews>
    <sheetView workbookViewId="0">
      <selection activeCell="J5" sqref="J5:J14"/>
    </sheetView>
  </sheetViews>
  <sheetFormatPr defaultRowHeight="15" x14ac:dyDescent="0.25"/>
  <cols>
    <col min="2" max="2" width="7.7109375" style="15" bestFit="1" customWidth="1"/>
    <col min="3" max="3" width="3.28515625" bestFit="1" customWidth="1"/>
    <col min="4" max="4" width="23.85546875" bestFit="1" customWidth="1"/>
    <col min="5" max="5" width="11.140625" bestFit="1" customWidth="1"/>
    <col min="6" max="6" width="9.140625" style="19"/>
    <col min="7" max="7" width="10" style="19" bestFit="1" customWidth="1"/>
    <col min="9" max="9" width="9" style="20" bestFit="1" customWidth="1"/>
    <col min="11" max="11" width="12.5703125" style="20" bestFit="1" customWidth="1"/>
  </cols>
  <sheetData>
    <row r="3" spans="2:14" x14ac:dyDescent="0.25">
      <c r="B3" s="42" t="s">
        <v>86</v>
      </c>
      <c r="C3" s="42"/>
      <c r="D3" s="42"/>
      <c r="E3" s="42"/>
      <c r="F3" s="42"/>
      <c r="K3" s="36">
        <f>K4/Sheet2!G24</f>
        <v>0.38785140090048703</v>
      </c>
    </row>
    <row r="4" spans="2:14" x14ac:dyDescent="0.25">
      <c r="F4" s="19" t="s">
        <v>58</v>
      </c>
      <c r="I4" s="20" t="s">
        <v>88</v>
      </c>
      <c r="J4" t="s">
        <v>90</v>
      </c>
      <c r="K4" s="20">
        <f>SUM(K5:K15)</f>
        <v>25325920.776000001</v>
      </c>
    </row>
    <row r="5" spans="2:14" x14ac:dyDescent="0.25">
      <c r="B5" s="30"/>
      <c r="D5" t="s">
        <v>45</v>
      </c>
      <c r="I5" s="20">
        <v>486</v>
      </c>
      <c r="J5">
        <v>700</v>
      </c>
      <c r="K5" s="20">
        <f>J5*I5</f>
        <v>340200</v>
      </c>
      <c r="M5" s="19">
        <f>I5/10.764</f>
        <v>45.150501672240807</v>
      </c>
      <c r="N5" s="21">
        <f>I5/10.764</f>
        <v>45.150501672240807</v>
      </c>
    </row>
    <row r="6" spans="2:14" x14ac:dyDescent="0.25">
      <c r="B6" s="41" t="s">
        <v>35</v>
      </c>
      <c r="C6" t="s">
        <v>37</v>
      </c>
      <c r="D6" t="s">
        <v>87</v>
      </c>
      <c r="E6" t="s">
        <v>41</v>
      </c>
      <c r="F6" s="19">
        <v>323.97000000000003</v>
      </c>
      <c r="I6" s="20">
        <f>F6*10.764</f>
        <v>3487.21308</v>
      </c>
      <c r="J6">
        <v>800</v>
      </c>
      <c r="K6" s="20">
        <f>J6*I6</f>
        <v>2789770.4640000002</v>
      </c>
      <c r="N6" s="21">
        <f t="shared" ref="N6:N14" si="0">I6/10.764</f>
        <v>323.97000000000003</v>
      </c>
    </row>
    <row r="7" spans="2:14" x14ac:dyDescent="0.25">
      <c r="B7" s="41"/>
      <c r="C7" t="s">
        <v>38</v>
      </c>
      <c r="D7" t="s">
        <v>40</v>
      </c>
      <c r="E7" t="s">
        <v>42</v>
      </c>
      <c r="F7" s="19">
        <v>323.97000000000003</v>
      </c>
      <c r="I7" s="20">
        <f t="shared" ref="I7:I17" si="1">F7*10.764</f>
        <v>3487.21308</v>
      </c>
      <c r="J7">
        <v>1400</v>
      </c>
      <c r="K7" s="20">
        <f t="shared" ref="K7:K14" si="2">J7*I7</f>
        <v>4882098.3119999999</v>
      </c>
      <c r="N7" s="21">
        <f t="shared" si="0"/>
        <v>323.97000000000003</v>
      </c>
    </row>
    <row r="8" spans="2:14" x14ac:dyDescent="0.25">
      <c r="B8" s="41"/>
      <c r="C8" t="s">
        <v>39</v>
      </c>
      <c r="E8" t="s">
        <v>41</v>
      </c>
      <c r="F8" s="19">
        <v>70</v>
      </c>
      <c r="G8" s="19">
        <f>SUM(F6:F8)</f>
        <v>717.94</v>
      </c>
      <c r="I8" s="20">
        <f t="shared" si="1"/>
        <v>753.4799999999999</v>
      </c>
      <c r="J8">
        <v>750</v>
      </c>
      <c r="K8" s="20">
        <f t="shared" si="2"/>
        <v>565109.99999999988</v>
      </c>
      <c r="N8" s="21">
        <f t="shared" si="0"/>
        <v>70</v>
      </c>
    </row>
    <row r="9" spans="2:14" x14ac:dyDescent="0.25">
      <c r="B9" s="41" t="s">
        <v>34</v>
      </c>
      <c r="C9" t="s">
        <v>37</v>
      </c>
      <c r="D9" t="s">
        <v>40</v>
      </c>
      <c r="E9" t="s">
        <v>42</v>
      </c>
      <c r="F9" s="19">
        <f>525/10.764</f>
        <v>48.773690078037909</v>
      </c>
      <c r="I9" s="20">
        <f t="shared" si="1"/>
        <v>525</v>
      </c>
      <c r="J9">
        <v>1400</v>
      </c>
      <c r="K9" s="20">
        <f t="shared" si="2"/>
        <v>735000</v>
      </c>
      <c r="N9" s="21">
        <f t="shared" si="0"/>
        <v>48.773690078037909</v>
      </c>
    </row>
    <row r="10" spans="2:14" x14ac:dyDescent="0.25">
      <c r="B10" s="41"/>
      <c r="C10" t="s">
        <v>38</v>
      </c>
      <c r="D10" t="s">
        <v>40</v>
      </c>
      <c r="E10" t="s">
        <v>42</v>
      </c>
      <c r="F10" s="19">
        <f>525/10.764</f>
        <v>48.773690078037909</v>
      </c>
      <c r="G10" s="19">
        <f>SUM(F9:F10)</f>
        <v>97.547380156075818</v>
      </c>
      <c r="I10" s="20">
        <f t="shared" si="1"/>
        <v>525</v>
      </c>
      <c r="J10">
        <v>1400</v>
      </c>
      <c r="K10" s="20">
        <f t="shared" si="2"/>
        <v>735000</v>
      </c>
      <c r="N10" s="21">
        <f t="shared" si="0"/>
        <v>48.773690078037909</v>
      </c>
    </row>
    <row r="11" spans="2:14" x14ac:dyDescent="0.25">
      <c r="B11" s="15" t="s">
        <v>36</v>
      </c>
      <c r="C11" t="s">
        <v>37</v>
      </c>
      <c r="D11" t="s">
        <v>43</v>
      </c>
      <c r="E11" t="s">
        <v>42</v>
      </c>
      <c r="F11" s="19">
        <f>3450/10.764</f>
        <v>320.51282051282055</v>
      </c>
      <c r="G11" s="19">
        <f>F11</f>
        <v>320.51282051282055</v>
      </c>
      <c r="I11" s="20">
        <f t="shared" si="1"/>
        <v>3450.0000000000005</v>
      </c>
      <c r="J11">
        <v>1200</v>
      </c>
      <c r="K11" s="20">
        <f t="shared" si="2"/>
        <v>4140000.0000000005</v>
      </c>
      <c r="N11" s="21">
        <f t="shared" si="0"/>
        <v>320.51282051282055</v>
      </c>
    </row>
    <row r="12" spans="2:14" x14ac:dyDescent="0.25">
      <c r="B12" s="15" t="s">
        <v>44</v>
      </c>
      <c r="C12" t="s">
        <v>37</v>
      </c>
      <c r="D12" t="s">
        <v>50</v>
      </c>
      <c r="E12" t="s">
        <v>42</v>
      </c>
      <c r="F12" s="19">
        <v>73.599999999999994</v>
      </c>
      <c r="H12" s="21"/>
      <c r="I12" s="20">
        <f t="shared" si="1"/>
        <v>792.23039999999992</v>
      </c>
      <c r="J12">
        <v>1500</v>
      </c>
      <c r="K12" s="20">
        <f t="shared" si="2"/>
        <v>1188345.5999999999</v>
      </c>
      <c r="N12" s="21">
        <f t="shared" si="0"/>
        <v>73.599999999999994</v>
      </c>
    </row>
    <row r="13" spans="2:14" x14ac:dyDescent="0.25">
      <c r="D13" t="s">
        <v>51</v>
      </c>
      <c r="E13" t="s">
        <v>42</v>
      </c>
      <c r="F13" s="19">
        <v>73.599999999999994</v>
      </c>
      <c r="H13" s="21"/>
      <c r="I13" s="20">
        <f t="shared" si="1"/>
        <v>792.23039999999992</v>
      </c>
      <c r="J13">
        <v>1500</v>
      </c>
      <c r="K13" s="20">
        <f t="shared" si="2"/>
        <v>1188345.5999999999</v>
      </c>
      <c r="N13" s="21">
        <f t="shared" si="0"/>
        <v>73.599999999999994</v>
      </c>
    </row>
    <row r="14" spans="2:14" x14ac:dyDescent="0.25">
      <c r="D14" t="s">
        <v>52</v>
      </c>
      <c r="E14" t="s">
        <v>42</v>
      </c>
      <c r="F14" s="19">
        <v>73.599999999999994</v>
      </c>
      <c r="H14" s="21"/>
      <c r="I14" s="20">
        <f t="shared" si="1"/>
        <v>792.23039999999992</v>
      </c>
      <c r="J14">
        <v>1500</v>
      </c>
      <c r="K14" s="20">
        <f t="shared" si="2"/>
        <v>1188345.5999999999</v>
      </c>
      <c r="N14" s="21">
        <f t="shared" si="0"/>
        <v>73.599999999999994</v>
      </c>
    </row>
    <row r="15" spans="2:14" x14ac:dyDescent="0.25">
      <c r="D15" t="s">
        <v>53</v>
      </c>
      <c r="E15" t="s">
        <v>56</v>
      </c>
      <c r="H15" s="21"/>
      <c r="I15" s="20">
        <f t="shared" si="1"/>
        <v>0</v>
      </c>
      <c r="K15" s="20">
        <f>Sheet2!G11*0.8</f>
        <v>7573705.2000000002</v>
      </c>
    </row>
    <row r="16" spans="2:14" x14ac:dyDescent="0.25">
      <c r="D16" t="s">
        <v>54</v>
      </c>
      <c r="E16" t="s">
        <v>57</v>
      </c>
      <c r="H16" s="21"/>
      <c r="I16" s="20">
        <f t="shared" si="1"/>
        <v>0</v>
      </c>
    </row>
    <row r="17" spans="4:11" x14ac:dyDescent="0.25">
      <c r="D17" t="s">
        <v>55</v>
      </c>
      <c r="E17" t="s">
        <v>57</v>
      </c>
      <c r="G17" s="19">
        <f>SUM(F12:F14)</f>
        <v>220.79999999999998</v>
      </c>
      <c r="H17" s="21"/>
      <c r="I17" s="20">
        <f t="shared" si="1"/>
        <v>0</v>
      </c>
    </row>
    <row r="18" spans="4:11" x14ac:dyDescent="0.25">
      <c r="G18" s="19">
        <f>G17+G11+G10+G8</f>
        <v>1356.8002006688964</v>
      </c>
    </row>
    <row r="19" spans="4:11" x14ac:dyDescent="0.25">
      <c r="G19" s="19">
        <f>M5</f>
        <v>45.150501672240807</v>
      </c>
    </row>
    <row r="20" spans="4:11" x14ac:dyDescent="0.25">
      <c r="G20" s="19">
        <f>G19+G18</f>
        <v>1401.9507023411372</v>
      </c>
    </row>
    <row r="25" spans="4:11" ht="15.75" thickBot="1" x14ac:dyDescent="0.3">
      <c r="K25" s="37"/>
    </row>
    <row r="26" spans="4:11" ht="15.75" thickBot="1" x14ac:dyDescent="0.3">
      <c r="K26" s="37"/>
    </row>
    <row r="27" spans="4:11" ht="15.75" thickBot="1" x14ac:dyDescent="0.3">
      <c r="K27" s="38"/>
    </row>
    <row r="28" spans="4:11" ht="15.75" thickBot="1" x14ac:dyDescent="0.3">
      <c r="K28" s="38"/>
    </row>
    <row r="29" spans="4:11" ht="15.75" thickBot="1" x14ac:dyDescent="0.3">
      <c r="K29" s="37"/>
    </row>
    <row r="30" spans="4:11" ht="15.75" thickBot="1" x14ac:dyDescent="0.3">
      <c r="K30" s="38"/>
    </row>
    <row r="31" spans="4:11" ht="15.75" thickBot="1" x14ac:dyDescent="0.3">
      <c r="K31" s="37"/>
    </row>
    <row r="32" spans="4:11" ht="15.75" thickBot="1" x14ac:dyDescent="0.3">
      <c r="K32" s="37"/>
    </row>
  </sheetData>
  <mergeCells count="3">
    <mergeCell ref="B6:B8"/>
    <mergeCell ref="B9:B10"/>
    <mergeCell ref="B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"/>
  <sheetViews>
    <sheetView topLeftCell="A4" workbookViewId="0">
      <selection activeCell="E27" sqref="E27"/>
    </sheetView>
  </sheetViews>
  <sheetFormatPr defaultRowHeight="15" x14ac:dyDescent="0.25"/>
  <cols>
    <col min="1" max="1" width="2.28515625" bestFit="1" customWidth="1"/>
    <col min="2" max="2" width="4.85546875" style="20" bestFit="1" customWidth="1"/>
    <col min="3" max="3" width="2" bestFit="1" customWidth="1"/>
    <col min="4" max="4" width="6.42578125" style="20" bestFit="1" customWidth="1"/>
    <col min="5" max="5" width="31.28515625" style="24" bestFit="1" customWidth="1"/>
    <col min="6" max="6" width="40.5703125" style="22" bestFit="1" customWidth="1"/>
    <col min="7" max="7" width="14.28515625" style="23" bestFit="1" customWidth="1"/>
    <col min="8" max="8" width="14.28515625" bestFit="1" customWidth="1"/>
    <col min="11" max="11" width="9.140625" style="20"/>
    <col min="13" max="13" width="12.5703125" bestFit="1" customWidth="1"/>
  </cols>
  <sheetData>
    <row r="3" spans="1:12" x14ac:dyDescent="0.25">
      <c r="A3" t="s">
        <v>46</v>
      </c>
      <c r="B3" s="20">
        <v>534.85</v>
      </c>
      <c r="C3">
        <v>3</v>
      </c>
      <c r="D3" s="20">
        <f>C3*B3</f>
        <v>1604.5500000000002</v>
      </c>
    </row>
    <row r="4" spans="1:12" x14ac:dyDescent="0.25">
      <c r="A4" t="s">
        <v>47</v>
      </c>
      <c r="B4" s="20">
        <v>323.97000000000003</v>
      </c>
      <c r="C4">
        <v>3</v>
      </c>
      <c r="D4" s="20">
        <f t="shared" ref="D4:D6" si="0">C4*B4</f>
        <v>971.91000000000008</v>
      </c>
    </row>
    <row r="5" spans="1:12" x14ac:dyDescent="0.25">
      <c r="A5" t="s">
        <v>48</v>
      </c>
      <c r="B5" s="20">
        <v>145.07</v>
      </c>
      <c r="C5">
        <v>2</v>
      </c>
      <c r="D5" s="20">
        <f t="shared" si="0"/>
        <v>290.14</v>
      </c>
    </row>
    <row r="6" spans="1:12" x14ac:dyDescent="0.25">
      <c r="A6" t="s">
        <v>49</v>
      </c>
      <c r="B6" s="20">
        <v>736.05</v>
      </c>
      <c r="C6">
        <v>1</v>
      </c>
      <c r="D6" s="20">
        <f t="shared" si="0"/>
        <v>736.05</v>
      </c>
    </row>
    <row r="7" spans="1:12" ht="15.75" thickBot="1" x14ac:dyDescent="0.3">
      <c r="D7" s="20">
        <f>SUM(D3:D6)</f>
        <v>3602.6499999999996</v>
      </c>
    </row>
    <row r="8" spans="1:12" ht="15.75" thickBot="1" x14ac:dyDescent="0.3">
      <c r="L8" s="33">
        <v>1604.55</v>
      </c>
    </row>
    <row r="9" spans="1:12" ht="15.75" thickBot="1" x14ac:dyDescent="0.3">
      <c r="L9" s="34">
        <v>971.91</v>
      </c>
    </row>
    <row r="10" spans="1:12" ht="15.75" thickBot="1" x14ac:dyDescent="0.3">
      <c r="E10" s="3" t="s">
        <v>69</v>
      </c>
      <c r="F10" s="3" t="s">
        <v>70</v>
      </c>
      <c r="G10" s="25" t="s">
        <v>71</v>
      </c>
      <c r="L10" s="34">
        <v>290.14</v>
      </c>
    </row>
    <row r="11" spans="1:12" s="22" customFormat="1" ht="15.75" thickBot="1" x14ac:dyDescent="0.3">
      <c r="B11" s="23"/>
      <c r="D11" s="23"/>
      <c r="E11" s="26" t="s">
        <v>59</v>
      </c>
      <c r="F11" s="27" t="s">
        <v>60</v>
      </c>
      <c r="G11" s="28">
        <v>9467131.5</v>
      </c>
      <c r="H11" s="32">
        <f>G11</f>
        <v>9467131.5</v>
      </c>
      <c r="K11" s="23"/>
      <c r="L11" s="34">
        <v>736.05</v>
      </c>
    </row>
    <row r="12" spans="1:12" s="22" customFormat="1" x14ac:dyDescent="0.25">
      <c r="B12" s="23"/>
      <c r="D12" s="23"/>
      <c r="E12" s="43" t="s">
        <v>61</v>
      </c>
      <c r="F12" s="27" t="s">
        <v>62</v>
      </c>
      <c r="G12" s="28">
        <v>5115334.8</v>
      </c>
      <c r="K12" s="23"/>
    </row>
    <row r="13" spans="1:12" s="22" customFormat="1" x14ac:dyDescent="0.25">
      <c r="B13" s="23"/>
      <c r="D13" s="23"/>
      <c r="E13" s="43"/>
      <c r="F13" s="27" t="s">
        <v>63</v>
      </c>
      <c r="G13" s="28">
        <v>4301312.7</v>
      </c>
      <c r="I13" s="22" t="s">
        <v>89</v>
      </c>
      <c r="J13" s="22" t="s">
        <v>88</v>
      </c>
      <c r="K13" s="23"/>
    </row>
    <row r="14" spans="1:12" s="22" customFormat="1" x14ac:dyDescent="0.25">
      <c r="B14" s="23"/>
      <c r="D14" s="23"/>
      <c r="E14" s="43"/>
      <c r="F14" s="27" t="s">
        <v>64</v>
      </c>
      <c r="G14" s="28">
        <v>4336368.7</v>
      </c>
      <c r="H14" s="32">
        <f>SUM(G12:G14)</f>
        <v>13753016.199999999</v>
      </c>
      <c r="I14" s="22">
        <f>L8</f>
        <v>1604.55</v>
      </c>
      <c r="J14" s="22">
        <f>I14*10.764</f>
        <v>17271.376199999999</v>
      </c>
      <c r="K14" s="23">
        <f>H14/J14</f>
        <v>796.28953945198646</v>
      </c>
    </row>
    <row r="15" spans="1:12" s="22" customFormat="1" x14ac:dyDescent="0.25">
      <c r="B15" s="23"/>
      <c r="D15" s="23"/>
      <c r="E15" s="43" t="s">
        <v>35</v>
      </c>
      <c r="F15" s="27" t="s">
        <v>65</v>
      </c>
      <c r="G15" s="28">
        <v>3794635.3</v>
      </c>
      <c r="K15" s="23"/>
    </row>
    <row r="16" spans="1:12" s="22" customFormat="1" x14ac:dyDescent="0.25">
      <c r="B16" s="23"/>
      <c r="D16" s="23"/>
      <c r="E16" s="43"/>
      <c r="F16" s="27" t="s">
        <v>63</v>
      </c>
      <c r="G16" s="28">
        <v>3058131</v>
      </c>
      <c r="K16" s="23"/>
    </row>
    <row r="17" spans="2:13" s="22" customFormat="1" x14ac:dyDescent="0.25">
      <c r="B17" s="23"/>
      <c r="D17" s="23"/>
      <c r="E17" s="43"/>
      <c r="F17" s="27" t="s">
        <v>64</v>
      </c>
      <c r="G17" s="28">
        <v>3149927.1</v>
      </c>
      <c r="H17" s="32">
        <f>SUM(G15:G17)</f>
        <v>10002693.4</v>
      </c>
      <c r="I17" s="22">
        <f>L9</f>
        <v>971.91</v>
      </c>
      <c r="J17" s="22">
        <f>I17*10.764</f>
        <v>10461.639239999999</v>
      </c>
      <c r="K17" s="23">
        <f>H17/J17</f>
        <v>956.13059966307935</v>
      </c>
    </row>
    <row r="18" spans="2:13" s="22" customFormat="1" x14ac:dyDescent="0.25">
      <c r="B18" s="23"/>
      <c r="D18" s="23"/>
      <c r="E18" s="43" t="s">
        <v>36</v>
      </c>
      <c r="F18" s="27" t="s">
        <v>62</v>
      </c>
      <c r="G18" s="28">
        <v>1625831.25</v>
      </c>
      <c r="K18" s="23"/>
    </row>
    <row r="19" spans="2:13" s="22" customFormat="1" x14ac:dyDescent="0.25">
      <c r="B19" s="23"/>
      <c r="D19" s="23"/>
      <c r="E19" s="43"/>
      <c r="F19" s="27" t="s">
        <v>63</v>
      </c>
      <c r="G19" s="28">
        <v>2965492</v>
      </c>
      <c r="H19" s="32">
        <f>G19+G18</f>
        <v>4591323.25</v>
      </c>
      <c r="I19" s="22">
        <f>L10</f>
        <v>290.14</v>
      </c>
      <c r="J19" s="22">
        <f t="shared" ref="J19:J20" si="1">I19*10.764</f>
        <v>3123.0669599999997</v>
      </c>
      <c r="K19" s="23">
        <f>H19/J19</f>
        <v>1470.1328241774236</v>
      </c>
    </row>
    <row r="20" spans="2:13" s="22" customFormat="1" x14ac:dyDescent="0.25">
      <c r="B20" s="23"/>
      <c r="D20" s="23"/>
      <c r="E20" s="26" t="s">
        <v>44</v>
      </c>
      <c r="F20" s="27" t="s">
        <v>66</v>
      </c>
      <c r="G20" s="28">
        <v>13388385</v>
      </c>
      <c r="H20" s="32">
        <f>G20</f>
        <v>13388385</v>
      </c>
      <c r="I20" s="22">
        <f>L11</f>
        <v>736.05</v>
      </c>
      <c r="J20" s="22">
        <f t="shared" si="1"/>
        <v>7922.8421999999991</v>
      </c>
      <c r="K20" s="23">
        <f>H20/J20</f>
        <v>1689.8462271531801</v>
      </c>
      <c r="M20" s="35">
        <f>H20/10</f>
        <v>1338838.5</v>
      </c>
    </row>
    <row r="21" spans="2:13" s="22" customFormat="1" x14ac:dyDescent="0.25">
      <c r="B21" s="23"/>
      <c r="D21" s="23"/>
      <c r="E21" s="26" t="s">
        <v>67</v>
      </c>
      <c r="F21" s="27" t="s">
        <v>68</v>
      </c>
      <c r="G21" s="28">
        <v>6839563</v>
      </c>
      <c r="K21" s="23"/>
    </row>
    <row r="22" spans="2:13" x14ac:dyDescent="0.25">
      <c r="E22" s="26"/>
      <c r="F22" s="27"/>
      <c r="G22" s="28">
        <f>SUM(G11:G21)</f>
        <v>58042112.350000001</v>
      </c>
      <c r="H22" s="31">
        <f>SUM(H14:H20)</f>
        <v>41735417.850000001</v>
      </c>
    </row>
    <row r="23" spans="2:13" x14ac:dyDescent="0.25">
      <c r="E23" s="26"/>
      <c r="F23" s="29">
        <v>0.125</v>
      </c>
      <c r="G23" s="28">
        <f>F23*G22</f>
        <v>7255264.0437500002</v>
      </c>
      <c r="H23" s="20">
        <f>G24-H22</f>
        <v>23562582.149999999</v>
      </c>
    </row>
    <row r="24" spans="2:13" x14ac:dyDescent="0.25">
      <c r="E24" s="26"/>
      <c r="F24" s="27"/>
      <c r="G24" s="28">
        <v>65298000</v>
      </c>
      <c r="H24" s="21"/>
    </row>
  </sheetData>
  <mergeCells count="3">
    <mergeCell ref="E12:E14"/>
    <mergeCell ref="E15:E17"/>
    <mergeCell ref="E18:E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workbookViewId="0">
      <selection activeCell="I6" sqref="I6"/>
    </sheetView>
  </sheetViews>
  <sheetFormatPr defaultRowHeight="15" x14ac:dyDescent="0.25"/>
  <cols>
    <col min="2" max="2" width="31" bestFit="1" customWidth="1"/>
    <col min="6" max="6" width="11.140625" hidden="1" customWidth="1"/>
    <col min="7" max="7" width="0" hidden="1" customWidth="1"/>
    <col min="8" max="8" width="11.28515625" hidden="1" customWidth="1"/>
  </cols>
  <sheetData>
    <row r="3" spans="2:8" x14ac:dyDescent="0.25">
      <c r="B3" s="44" t="s">
        <v>72</v>
      </c>
      <c r="C3" s="44"/>
      <c r="D3" s="44"/>
    </row>
    <row r="4" spans="2:8" x14ac:dyDescent="0.25">
      <c r="C4" s="15" t="s">
        <v>83</v>
      </c>
      <c r="D4" s="15" t="s">
        <v>83</v>
      </c>
      <c r="E4" s="15"/>
      <c r="F4" s="15" t="s">
        <v>83</v>
      </c>
      <c r="G4" s="15" t="s">
        <v>83</v>
      </c>
      <c r="H4" s="30" t="s">
        <v>91</v>
      </c>
    </row>
    <row r="5" spans="2:8" x14ac:dyDescent="0.25">
      <c r="C5" t="s">
        <v>84</v>
      </c>
      <c r="D5" t="s">
        <v>85</v>
      </c>
      <c r="F5" t="s">
        <v>57</v>
      </c>
      <c r="G5" t="s">
        <v>82</v>
      </c>
    </row>
    <row r="6" spans="2:8" x14ac:dyDescent="0.25">
      <c r="B6" t="s">
        <v>73</v>
      </c>
      <c r="C6">
        <v>259</v>
      </c>
      <c r="D6">
        <v>13</v>
      </c>
      <c r="F6">
        <v>6</v>
      </c>
      <c r="G6">
        <v>3</v>
      </c>
      <c r="H6">
        <f>SUM(F6:G6)</f>
        <v>9</v>
      </c>
    </row>
    <row r="7" spans="2:8" x14ac:dyDescent="0.25">
      <c r="B7" t="s">
        <v>74</v>
      </c>
      <c r="C7">
        <v>30</v>
      </c>
      <c r="D7">
        <v>7</v>
      </c>
      <c r="F7">
        <v>2</v>
      </c>
      <c r="G7">
        <v>2</v>
      </c>
      <c r="H7">
        <f t="shared" ref="H7:H14" si="0">SUM(F7:G7)</f>
        <v>4</v>
      </c>
    </row>
    <row r="8" spans="2:8" x14ac:dyDescent="0.25">
      <c r="B8" t="s">
        <v>75</v>
      </c>
      <c r="C8">
        <v>100</v>
      </c>
      <c r="D8">
        <v>22</v>
      </c>
      <c r="F8">
        <v>6</v>
      </c>
      <c r="G8">
        <v>3</v>
      </c>
      <c r="H8">
        <f t="shared" si="0"/>
        <v>9</v>
      </c>
    </row>
    <row r="9" spans="2:8" x14ac:dyDescent="0.25">
      <c r="B9" t="s">
        <v>76</v>
      </c>
      <c r="C9">
        <v>342</v>
      </c>
      <c r="D9">
        <v>10</v>
      </c>
      <c r="F9">
        <v>6</v>
      </c>
      <c r="G9">
        <v>3</v>
      </c>
      <c r="H9">
        <f t="shared" si="0"/>
        <v>9</v>
      </c>
    </row>
    <row r="10" spans="2:8" x14ac:dyDescent="0.25">
      <c r="B10" t="s">
        <v>77</v>
      </c>
      <c r="C10">
        <v>211</v>
      </c>
      <c r="D10">
        <v>28</v>
      </c>
      <c r="F10">
        <v>8</v>
      </c>
      <c r="G10">
        <v>3</v>
      </c>
      <c r="H10">
        <f t="shared" si="0"/>
        <v>11</v>
      </c>
    </row>
    <row r="11" spans="2:8" x14ac:dyDescent="0.25">
      <c r="B11" t="s">
        <v>78</v>
      </c>
      <c r="C11">
        <v>210</v>
      </c>
      <c r="D11">
        <v>25</v>
      </c>
      <c r="F11">
        <v>6</v>
      </c>
      <c r="G11">
        <v>3</v>
      </c>
      <c r="H11">
        <f t="shared" si="0"/>
        <v>9</v>
      </c>
    </row>
    <row r="12" spans="2:8" x14ac:dyDescent="0.25">
      <c r="B12" t="s">
        <v>79</v>
      </c>
      <c r="C12">
        <v>115</v>
      </c>
      <c r="D12">
        <v>20</v>
      </c>
      <c r="F12">
        <v>6</v>
      </c>
      <c r="G12">
        <v>3</v>
      </c>
      <c r="H12">
        <f t="shared" si="0"/>
        <v>9</v>
      </c>
    </row>
    <row r="13" spans="2:8" x14ac:dyDescent="0.25">
      <c r="B13" t="s">
        <v>80</v>
      </c>
      <c r="C13">
        <v>482</v>
      </c>
      <c r="D13">
        <v>22</v>
      </c>
      <c r="F13">
        <v>6</v>
      </c>
      <c r="G13">
        <v>3</v>
      </c>
      <c r="H13">
        <f t="shared" si="0"/>
        <v>9</v>
      </c>
    </row>
    <row r="14" spans="2:8" x14ac:dyDescent="0.25">
      <c r="B14" t="s">
        <v>81</v>
      </c>
      <c r="C14">
        <v>258</v>
      </c>
      <c r="D14">
        <v>22</v>
      </c>
      <c r="F14">
        <v>6</v>
      </c>
      <c r="G14">
        <v>3</v>
      </c>
      <c r="H14">
        <f t="shared" si="0"/>
        <v>9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2023-03-14T11:11:16Z</dcterms:modified>
</cp:coreProperties>
</file>