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04" windowWidth="23256" windowHeight="13176" activeTab="2"/>
  </bookViews>
  <sheets>
    <sheet name="Project Brief" sheetId="5" r:id="rId1"/>
    <sheet name="UNIT LIST BUILDING NO 1" sheetId="20" state="hidden" r:id="rId2"/>
    <sheet name="Implementation and Revenue" sheetId="1" r:id="rId3"/>
    <sheet name="Inflow Calculation" sheetId="6" r:id="rId4"/>
    <sheet name="Cashflow" sheetId="7" r:id="rId5"/>
    <sheet name="Loan - SBI" sheetId="15" r:id="rId6"/>
    <sheet name="FACR" sheetId="21" r:id="rId7"/>
    <sheet name="Annualised Cashflow" sheetId="22" r:id="rId8"/>
    <sheet name="CMA" sheetId="23" r:id="rId9"/>
    <sheet name="Bar Chart Construction - Sale" sheetId="8" state="hidden" r:id="rId10"/>
  </sheets>
  <externalReferences>
    <externalReference r:id="rId11"/>
  </externalReferences>
  <definedNames>
    <definedName name="Beg_Bal" localSheetId="5">#REF!</definedName>
    <definedName name="Beg_Bal" localSheetId="1">#REF!</definedName>
    <definedName name="Beg_Bal">#REF!</definedName>
    <definedName name="Cum_Int" localSheetId="5">#REF!</definedName>
    <definedName name="Cum_Int" localSheetId="1">#REF!</definedName>
    <definedName name="Cum_Int">#REF!</definedName>
    <definedName name="Data" localSheetId="5">#REF!</definedName>
    <definedName name="Data" localSheetId="1">#REF!</definedName>
    <definedName name="Data">#REF!</definedName>
    <definedName name="End_Bal" localSheetId="5">#REF!</definedName>
    <definedName name="End_Bal" localSheetId="1">#REF!</definedName>
    <definedName name="End_Bal">#REF!</definedName>
    <definedName name="Extra_Pay" localSheetId="5">#REF!</definedName>
    <definedName name="Extra_Pay" localSheetId="1">#REF!</definedName>
    <definedName name="Extra_Pay">#REF!</definedName>
    <definedName name="Full_Print" localSheetId="5">#REF!</definedName>
    <definedName name="Full_Print" localSheetId="1">#REF!</definedName>
    <definedName name="Full_Print">#REF!</definedName>
    <definedName name="Header_Row">ROW(#REF!)</definedName>
    <definedName name="Int" localSheetId="5">#REF!</definedName>
    <definedName name="Int" localSheetId="1">#REF!</definedName>
    <definedName name="Int">#REF!</definedName>
    <definedName name="Interest_Rate" localSheetId="5">#REF!</definedName>
    <definedName name="Interest_Rate" localSheetId="1">#REF!</definedName>
    <definedName name="Interest_Rate">#REF!</definedName>
    <definedName name="Jinesh">#REF!</definedName>
    <definedName name="Last_Row" localSheetId="5">IF('Loan - SBI'!Values_Entered,Header_Row+'Loan - SBI'!Number_of_Payments,Header_Row)</definedName>
    <definedName name="Last_Row" localSheetId="1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5">#REF!</definedName>
    <definedName name="Loan_Amount" localSheetId="1">#REF!</definedName>
    <definedName name="Loan_Amount">#REF!</definedName>
    <definedName name="Loan_Start" localSheetId="5">#REF!</definedName>
    <definedName name="Loan_Start" localSheetId="1">#REF!</definedName>
    <definedName name="Loan_Start">#REF!</definedName>
    <definedName name="Loan_Years" localSheetId="5">#REF!</definedName>
    <definedName name="Loan_Years" localSheetId="1">#REF!</definedName>
    <definedName name="Loan_Years">#REF!</definedName>
    <definedName name="Num_Pmt_Per_Year" localSheetId="5">#REF!</definedName>
    <definedName name="Num_Pmt_Per_Year" localSheetId="1">#REF!</definedName>
    <definedName name="Num_Pmt_Per_Year">#REF!</definedName>
    <definedName name="Number_of_Payments" localSheetId="5">MATCH(0.01,'Loan - SBI'!End_Bal,-1)+1</definedName>
    <definedName name="Number_of_Payments" localSheetId="1">MATCH(0.01,'UNIT LIST BUILDING NO 1'!End_Bal,-1)+1</definedName>
    <definedName name="Number_of_Payments">MATCH(0.01,End_Bal,-1)+1</definedName>
    <definedName name="Oct_17">#REF!</definedName>
    <definedName name="Pay_Date" localSheetId="5">#REF!</definedName>
    <definedName name="Pay_Date" localSheetId="1">#REF!</definedName>
    <definedName name="Pay_Date">#REF!</definedName>
    <definedName name="Pay_Num" localSheetId="5">#REF!</definedName>
    <definedName name="Pay_Num" localSheetId="1">#REF!</definedName>
    <definedName name="Pay_Num">#REF!</definedName>
    <definedName name="Payment_Date" localSheetId="5">DATE(YEAR('Loan - SBI'!Loan_Start),MONTH('Loan - SBI'!Loan_Start)+Payment_Number,DAY('Loan - SBI'!Loan_Start))</definedName>
    <definedName name="Payment_Date" localSheetId="1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5">#REF!</definedName>
    <definedName name="Princ" localSheetId="1">#REF!</definedName>
    <definedName name="Princ">#REF!</definedName>
    <definedName name="Print_Area_Reset" localSheetId="5">OFFSET('Loan - SBI'!Full_Print,0,0,'Loan - SBI'!Last_Row)</definedName>
    <definedName name="Print_Area_Reset" localSheetId="1">OFFSET('UNIT LIST BUILDING NO 1'!Full_Print,0,0,'UNIT LIST BUILDING NO 1'!Last_Row)</definedName>
    <definedName name="Print_Area_Reset">OFFSET(Full_Print,0,0,Last_Row)</definedName>
    <definedName name="Sched_Pay" localSheetId="5">#REF!</definedName>
    <definedName name="Sched_Pay" localSheetId="1">#REF!</definedName>
    <definedName name="Sched_Pay">#REF!</definedName>
    <definedName name="Scheduled_Extra_Payments" localSheetId="5">#REF!</definedName>
    <definedName name="Scheduled_Extra_Payments" localSheetId="1">#REF!</definedName>
    <definedName name="Scheduled_Extra_Payments">#REF!</definedName>
    <definedName name="Scheduled_Interest_Rate" localSheetId="5">#REF!</definedName>
    <definedName name="Scheduled_Interest_Rate" localSheetId="1">#REF!</definedName>
    <definedName name="Scheduled_Interest_Rate">#REF!</definedName>
    <definedName name="Scheduled_Monthly_Payment" localSheetId="5">#REF!</definedName>
    <definedName name="Scheduled_Monthly_Payment" localSheetId="1">#REF!</definedName>
    <definedName name="Scheduled_Monthly_Payment">#REF!</definedName>
    <definedName name="Total_Interest" localSheetId="5">#REF!</definedName>
    <definedName name="Total_Interest" localSheetId="1">#REF!</definedName>
    <definedName name="Total_Interest">#REF!</definedName>
    <definedName name="Total_Pay" localSheetId="5">#REF!</definedName>
    <definedName name="Total_Pay" localSheetId="1">#REF!</definedName>
    <definedName name="Total_Pay">#REF!</definedName>
    <definedName name="Total_Payment" localSheetId="5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5">IF('Loan - SBI'!Loan_Amount*'Loan - SBI'!Interest_Rate*'Loan - SBI'!Loan_Years*'Loan - SBI'!Loan_Start&gt;0,1,0)</definedName>
    <definedName name="Values_Entered" localSheetId="1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J7" i="1"/>
  <c r="D25" i="5"/>
  <c r="D24"/>
  <c r="D23"/>
  <c r="D22"/>
  <c r="D21"/>
  <c r="D20"/>
  <c r="C25"/>
  <c r="B23"/>
  <c r="B15"/>
  <c r="C6" i="21" l="1"/>
  <c r="I20" i="23"/>
  <c r="I23" i="22"/>
  <c r="H23"/>
  <c r="G23"/>
  <c r="F23"/>
  <c r="E23"/>
  <c r="D23"/>
  <c r="C23"/>
  <c r="B23"/>
  <c r="I21"/>
  <c r="H21"/>
  <c r="G21"/>
  <c r="F21"/>
  <c r="E21"/>
  <c r="D21"/>
  <c r="C21"/>
  <c r="B21"/>
  <c r="I10"/>
  <c r="I11"/>
  <c r="H11"/>
  <c r="G11"/>
  <c r="F11"/>
  <c r="E11"/>
  <c r="D11"/>
  <c r="C11"/>
  <c r="AF20" i="7"/>
  <c r="A8" i="23"/>
  <c r="A7"/>
  <c r="A6"/>
  <c r="I2"/>
  <c r="H2"/>
  <c r="G20" s="1"/>
  <c r="G2"/>
  <c r="F20" s="1"/>
  <c r="F2"/>
  <c r="E2"/>
  <c r="D2"/>
  <c r="C2"/>
  <c r="B2" i="22"/>
  <c r="E20" i="23" l="1"/>
  <c r="D20"/>
  <c r="H24" i="22"/>
  <c r="C20" i="23"/>
  <c r="B20"/>
  <c r="I30"/>
  <c r="H30"/>
  <c r="G30"/>
  <c r="H20"/>
  <c r="I24" i="22"/>
  <c r="E30" i="23"/>
  <c r="F30"/>
  <c r="B20" i="22"/>
  <c r="C20" s="1"/>
  <c r="D20" s="1"/>
  <c r="E20" s="1"/>
  <c r="F20" s="1"/>
  <c r="G20" s="1"/>
  <c r="G24"/>
  <c r="G25" s="1"/>
  <c r="G22" i="23" s="1"/>
  <c r="C30"/>
  <c r="D30"/>
  <c r="H22" i="22"/>
  <c r="I22"/>
  <c r="I25" s="1"/>
  <c r="I22" i="23" s="1"/>
  <c r="G22" i="22"/>
  <c r="B11"/>
  <c r="B2" i="23"/>
  <c r="H25" i="22" l="1"/>
  <c r="H22" i="23" s="1"/>
  <c r="H20" i="22"/>
  <c r="G25" i="23"/>
  <c r="B25"/>
  <c r="C25"/>
  <c r="B30"/>
  <c r="D25"/>
  <c r="D22" i="22"/>
  <c r="C22"/>
  <c r="F22"/>
  <c r="B22"/>
  <c r="E22"/>
  <c r="F24"/>
  <c r="B24"/>
  <c r="E24"/>
  <c r="D24"/>
  <c r="C24"/>
  <c r="I20" l="1"/>
  <c r="I25" i="23" s="1"/>
  <c r="H25"/>
  <c r="E25"/>
  <c r="E25" i="22"/>
  <c r="E22" i="23" s="1"/>
  <c r="D25" i="22"/>
  <c r="D22" i="23" s="1"/>
  <c r="B25" i="22"/>
  <c r="B22" i="23" s="1"/>
  <c r="C25" i="22"/>
  <c r="C22" i="23" s="1"/>
  <c r="F25" i="22"/>
  <c r="F22" i="23" s="1"/>
  <c r="F25" l="1"/>
  <c r="D4" i="15" l="1"/>
  <c r="D5"/>
  <c r="D6"/>
  <c r="D7"/>
  <c r="D22"/>
  <c r="D28"/>
  <c r="D29"/>
  <c r="D30"/>
  <c r="D31"/>
  <c r="E7"/>
  <c r="E31"/>
  <c r="AA13" i="7"/>
  <c r="B4" i="15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"/>
  <c r="C4"/>
  <c r="E4" s="1"/>
  <c r="C5"/>
  <c r="E5" s="1"/>
  <c r="C6"/>
  <c r="E6" s="1"/>
  <c r="C7"/>
  <c r="C8"/>
  <c r="E8" s="1"/>
  <c r="C9"/>
  <c r="E9" s="1"/>
  <c r="C10"/>
  <c r="E10" s="1"/>
  <c r="C11"/>
  <c r="D11" s="1"/>
  <c r="C12"/>
  <c r="D12" s="1"/>
  <c r="C13"/>
  <c r="D13" s="1"/>
  <c r="C14"/>
  <c r="D14" s="1"/>
  <c r="C15"/>
  <c r="D15" s="1"/>
  <c r="C16"/>
  <c r="E16" s="1"/>
  <c r="C17"/>
  <c r="E17" s="1"/>
  <c r="C18"/>
  <c r="E18" s="1"/>
  <c r="C19"/>
  <c r="D19" s="1"/>
  <c r="C20"/>
  <c r="E20" s="1"/>
  <c r="C21"/>
  <c r="E21" s="1"/>
  <c r="C22"/>
  <c r="E22" s="1"/>
  <c r="C23"/>
  <c r="D23" s="1"/>
  <c r="C24"/>
  <c r="D24" s="1"/>
  <c r="C25"/>
  <c r="D25" s="1"/>
  <c r="C26"/>
  <c r="D26" s="1"/>
  <c r="C27"/>
  <c r="D27" s="1"/>
  <c r="C28"/>
  <c r="E28" s="1"/>
  <c r="C29"/>
  <c r="E29" s="1"/>
  <c r="C30"/>
  <c r="E30" s="1"/>
  <c r="C31"/>
  <c r="C3"/>
  <c r="E3" s="1"/>
  <c r="AF25" i="7"/>
  <c r="H41" i="1"/>
  <c r="G41"/>
  <c r="D9" i="15" l="1"/>
  <c r="E11"/>
  <c r="D16"/>
  <c r="D17"/>
  <c r="E19"/>
  <c r="D18"/>
  <c r="E23"/>
  <c r="D10"/>
  <c r="D21"/>
  <c r="E24"/>
  <c r="E13"/>
  <c r="E14"/>
  <c r="E27"/>
  <c r="E15"/>
  <c r="D3"/>
  <c r="D20"/>
  <c r="D8"/>
  <c r="E12"/>
  <c r="E25"/>
  <c r="E26"/>
  <c r="E32" l="1"/>
  <c r="AE30" i="7"/>
  <c r="AD30"/>
  <c r="AC30"/>
  <c r="AB30"/>
  <c r="AA30"/>
  <c r="Z30"/>
  <c r="Y30"/>
  <c r="X30"/>
  <c r="W30"/>
  <c r="V30"/>
  <c r="U30"/>
  <c r="T30"/>
  <c r="S30"/>
  <c r="R30"/>
  <c r="Q30"/>
  <c r="P30"/>
  <c r="C10"/>
  <c r="C11"/>
  <c r="C12"/>
  <c r="C13"/>
  <c r="C3" i="21" s="1"/>
  <c r="C14" i="7"/>
  <c r="C15"/>
  <c r="C4" i="21" s="1"/>
  <c r="C16" i="7"/>
  <c r="C17"/>
  <c r="AF17" s="1"/>
  <c r="C18"/>
  <c r="B10" i="22" s="1"/>
  <c r="C19" i="7"/>
  <c r="C9"/>
  <c r="B10"/>
  <c r="B11"/>
  <c r="B12"/>
  <c r="B13"/>
  <c r="B14"/>
  <c r="B15"/>
  <c r="B17"/>
  <c r="B18"/>
  <c r="B9"/>
  <c r="A18"/>
  <c r="A19"/>
  <c r="A10"/>
  <c r="A11"/>
  <c r="A12"/>
  <c r="A13"/>
  <c r="A14"/>
  <c r="A15"/>
  <c r="A16"/>
  <c r="A17"/>
  <c r="A9"/>
  <c r="S2"/>
  <c r="T2"/>
  <c r="U2"/>
  <c r="V2"/>
  <c r="W2"/>
  <c r="X2"/>
  <c r="Y2"/>
  <c r="Z2"/>
  <c r="AA2"/>
  <c r="AB2"/>
  <c r="AC2"/>
  <c r="AD2"/>
  <c r="AE2"/>
  <c r="D2"/>
  <c r="E2"/>
  <c r="F2"/>
  <c r="G2"/>
  <c r="H2"/>
  <c r="I2"/>
  <c r="J2"/>
  <c r="K2"/>
  <c r="L2"/>
  <c r="M2"/>
  <c r="N2"/>
  <c r="O2"/>
  <c r="P2"/>
  <c r="Q2"/>
  <c r="R2"/>
  <c r="C2"/>
  <c r="I32" i="6"/>
  <c r="H32"/>
  <c r="I2"/>
  <c r="H2"/>
  <c r="G2"/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2"/>
  <c r="I7" i="22" l="1"/>
  <c r="I6" i="23" s="1"/>
  <c r="B7" i="22"/>
  <c r="C7"/>
  <c r="D7"/>
  <c r="E7"/>
  <c r="F7"/>
  <c r="G7"/>
  <c r="H7"/>
  <c r="B6"/>
  <c r="C6"/>
  <c r="C5" i="23" s="1"/>
  <c r="D6" i="22"/>
  <c r="D5" i="23" s="1"/>
  <c r="E6" i="22"/>
  <c r="E5" i="23" s="1"/>
  <c r="F6" i="22"/>
  <c r="F5" i="23" s="1"/>
  <c r="G6" i="22"/>
  <c r="G5" i="23" s="1"/>
  <c r="H6" i="22"/>
  <c r="H5" i="23" s="1"/>
  <c r="I6" i="22"/>
  <c r="I5" i="23" s="1"/>
  <c r="Z18" i="7"/>
  <c r="V18"/>
  <c r="R18"/>
  <c r="N18"/>
  <c r="J18"/>
  <c r="Y18"/>
  <c r="U18"/>
  <c r="Q18"/>
  <c r="M18"/>
  <c r="I18"/>
  <c r="X18"/>
  <c r="T18"/>
  <c r="P18"/>
  <c r="L18"/>
  <c r="H18"/>
  <c r="AA18"/>
  <c r="W18"/>
  <c r="S18"/>
  <c r="O18"/>
  <c r="K18"/>
  <c r="G18"/>
  <c r="C21"/>
  <c r="H10" i="22" l="1"/>
  <c r="H6" i="23" s="1"/>
  <c r="F15" i="22"/>
  <c r="D15"/>
  <c r="B15"/>
  <c r="B3" i="23" s="1"/>
  <c r="I15" i="22"/>
  <c r="H15"/>
  <c r="E15"/>
  <c r="G15"/>
  <c r="C15"/>
  <c r="B6" i="23"/>
  <c r="G10" i="22"/>
  <c r="G6" i="23" s="1"/>
  <c r="AF18" i="7"/>
  <c r="C10" i="22"/>
  <c r="C6" i="23" s="1"/>
  <c r="D10" i="22"/>
  <c r="D6" i="23" s="1"/>
  <c r="B5"/>
  <c r="F10" i="22"/>
  <c r="F6" i="23" s="1"/>
  <c r="E10" i="22"/>
  <c r="E6" i="23" s="1"/>
  <c r="D11" i="5"/>
  <c r="D9"/>
  <c r="D8"/>
  <c r="D7"/>
  <c r="B31" i="23" l="1"/>
  <c r="C3"/>
  <c r="C31" l="1"/>
  <c r="D3"/>
  <c r="AF9" i="7"/>
  <c r="C17" i="5"/>
  <c r="D6"/>
  <c r="E3" i="23" l="1"/>
  <c r="D31"/>
  <c r="AF28" i="7"/>
  <c r="AF26"/>
  <c r="AF27" s="1"/>
  <c r="AF12"/>
  <c r="D24" i="6"/>
  <c r="D25"/>
  <c r="D26"/>
  <c r="D27"/>
  <c r="B24"/>
  <c r="C24" s="1"/>
  <c r="B25"/>
  <c r="C25" s="1"/>
  <c r="B26"/>
  <c r="C26" s="1"/>
  <c r="B27"/>
  <c r="C27" s="1"/>
  <c r="F3" i="23" l="1"/>
  <c r="E31"/>
  <c r="AF11" i="7"/>
  <c r="N26" i="6"/>
  <c r="N25"/>
  <c r="N24"/>
  <c r="N27"/>
  <c r="F31" i="23" l="1"/>
  <c r="G3"/>
  <c r="AF14" i="7"/>
  <c r="G32" i="6"/>
  <c r="E32" l="1"/>
  <c r="G5" i="1"/>
  <c r="G4"/>
  <c r="G3"/>
  <c r="D28" i="6"/>
  <c r="D29"/>
  <c r="D30"/>
  <c r="D31"/>
  <c r="B28"/>
  <c r="C28" s="1"/>
  <c r="B29"/>
  <c r="C29" s="1"/>
  <c r="B30"/>
  <c r="C30" s="1"/>
  <c r="B31"/>
  <c r="C31" s="1"/>
  <c r="N29" l="1"/>
  <c r="N28"/>
  <c r="N31"/>
  <c r="N30"/>
  <c r="O24" l="1"/>
  <c r="O25" l="1"/>
  <c r="O26" l="1"/>
  <c r="O27" l="1"/>
  <c r="O28" l="1"/>
  <c r="O29" l="1"/>
  <c r="D368" i="20"/>
  <c r="O30" i="6" l="1"/>
  <c r="G6" i="1"/>
  <c r="G7"/>
  <c r="J368" i="20"/>
  <c r="E368"/>
  <c r="H368" s="1"/>
  <c r="H367"/>
  <c r="G367"/>
  <c r="F367"/>
  <c r="H366"/>
  <c r="G366"/>
  <c r="F366"/>
  <c r="H365"/>
  <c r="G365"/>
  <c r="F365"/>
  <c r="K365" s="1"/>
  <c r="H364"/>
  <c r="G364"/>
  <c r="F364"/>
  <c r="H363"/>
  <c r="G363"/>
  <c r="F363"/>
  <c r="K363" s="1"/>
  <c r="H362"/>
  <c r="G362"/>
  <c r="F362"/>
  <c r="K362" s="1"/>
  <c r="H361"/>
  <c r="G361"/>
  <c r="F361"/>
  <c r="H360"/>
  <c r="G360"/>
  <c r="F360"/>
  <c r="K360" s="1"/>
  <c r="K359"/>
  <c r="H359"/>
  <c r="G359"/>
  <c r="F359"/>
  <c r="H358"/>
  <c r="G358"/>
  <c r="F358"/>
  <c r="H357"/>
  <c r="G357"/>
  <c r="F357"/>
  <c r="K357" s="1"/>
  <c r="H356"/>
  <c r="G356"/>
  <c r="F356"/>
  <c r="H355"/>
  <c r="G355"/>
  <c r="F355"/>
  <c r="H354"/>
  <c r="G354"/>
  <c r="F354"/>
  <c r="H353"/>
  <c r="G353"/>
  <c r="F353"/>
  <c r="K353" s="1"/>
  <c r="H352"/>
  <c r="G352"/>
  <c r="F352"/>
  <c r="K352" s="1"/>
  <c r="H351"/>
  <c r="G351"/>
  <c r="F351"/>
  <c r="I351" s="1"/>
  <c r="K350"/>
  <c r="H350"/>
  <c r="G350"/>
  <c r="F350"/>
  <c r="H349"/>
  <c r="G349"/>
  <c r="F349"/>
  <c r="K348"/>
  <c r="H348"/>
  <c r="G348"/>
  <c r="F348"/>
  <c r="K347"/>
  <c r="H347"/>
  <c r="G347"/>
  <c r="F347"/>
  <c r="H346"/>
  <c r="G346"/>
  <c r="F346"/>
  <c r="H345"/>
  <c r="G345"/>
  <c r="F345"/>
  <c r="K345" s="1"/>
  <c r="H344"/>
  <c r="G344"/>
  <c r="F344"/>
  <c r="H343"/>
  <c r="G343"/>
  <c r="F343"/>
  <c r="H342"/>
  <c r="G342"/>
  <c r="F342"/>
  <c r="H341"/>
  <c r="G341"/>
  <c r="F341"/>
  <c r="K341" s="1"/>
  <c r="H340"/>
  <c r="G340"/>
  <c r="F340"/>
  <c r="K340" s="1"/>
  <c r="H339"/>
  <c r="G339"/>
  <c r="F339"/>
  <c r="K339" s="1"/>
  <c r="H338"/>
  <c r="G338"/>
  <c r="F338"/>
  <c r="K338" s="1"/>
  <c r="H337"/>
  <c r="G337"/>
  <c r="F337"/>
  <c r="H336"/>
  <c r="G336"/>
  <c r="F336"/>
  <c r="I336" s="1"/>
  <c r="H335"/>
  <c r="G335"/>
  <c r="F335"/>
  <c r="K335" s="1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K328" s="1"/>
  <c r="H327"/>
  <c r="G327"/>
  <c r="F327"/>
  <c r="K327" s="1"/>
  <c r="H326"/>
  <c r="G326"/>
  <c r="F326"/>
  <c r="K326" s="1"/>
  <c r="H325"/>
  <c r="G325"/>
  <c r="F325"/>
  <c r="H324"/>
  <c r="G324"/>
  <c r="F324"/>
  <c r="I324" s="1"/>
  <c r="H323"/>
  <c r="G323"/>
  <c r="F323"/>
  <c r="K322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K316" s="1"/>
  <c r="H315"/>
  <c r="G315"/>
  <c r="F315"/>
  <c r="K315" s="1"/>
  <c r="H314"/>
  <c r="G314"/>
  <c r="F314"/>
  <c r="K314" s="1"/>
  <c r="H313"/>
  <c r="G313"/>
  <c r="F313"/>
  <c r="H312"/>
  <c r="G312"/>
  <c r="F312"/>
  <c r="H311"/>
  <c r="G311"/>
  <c r="F311"/>
  <c r="H310"/>
  <c r="G310"/>
  <c r="F310"/>
  <c r="K310" s="1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K303" s="1"/>
  <c r="H302"/>
  <c r="G302"/>
  <c r="F302"/>
  <c r="K302" s="1"/>
  <c r="H301"/>
  <c r="G301"/>
  <c r="F301"/>
  <c r="H300"/>
  <c r="G300"/>
  <c r="F300"/>
  <c r="H299"/>
  <c r="G299"/>
  <c r="F299"/>
  <c r="H298"/>
  <c r="G298"/>
  <c r="F298"/>
  <c r="K298" s="1"/>
  <c r="H297"/>
  <c r="G297"/>
  <c r="F297"/>
  <c r="K297" s="1"/>
  <c r="H296"/>
  <c r="G296"/>
  <c r="F296"/>
  <c r="H295"/>
  <c r="G295"/>
  <c r="F295"/>
  <c r="H294"/>
  <c r="G294"/>
  <c r="F294"/>
  <c r="H293"/>
  <c r="G293"/>
  <c r="F293"/>
  <c r="H292"/>
  <c r="G292"/>
  <c r="F292"/>
  <c r="K292" s="1"/>
  <c r="H291"/>
  <c r="G291"/>
  <c r="F291"/>
  <c r="K291" s="1"/>
  <c r="H290"/>
  <c r="G290"/>
  <c r="F290"/>
  <c r="K290" s="1"/>
  <c r="H289"/>
  <c r="G289"/>
  <c r="F289"/>
  <c r="H288"/>
  <c r="G288"/>
  <c r="F288"/>
  <c r="K288" s="1"/>
  <c r="H287"/>
  <c r="G287"/>
  <c r="F287"/>
  <c r="H286"/>
  <c r="G286"/>
  <c r="F286"/>
  <c r="K286" s="1"/>
  <c r="H285"/>
  <c r="G285"/>
  <c r="F285"/>
  <c r="K285" s="1"/>
  <c r="H284"/>
  <c r="G284"/>
  <c r="F284"/>
  <c r="H283"/>
  <c r="G283"/>
  <c r="F283"/>
  <c r="H282"/>
  <c r="G282"/>
  <c r="F282"/>
  <c r="H281"/>
  <c r="G281"/>
  <c r="F281"/>
  <c r="K281" s="1"/>
  <c r="H280"/>
  <c r="G280"/>
  <c r="F280"/>
  <c r="K280" s="1"/>
  <c r="H279"/>
  <c r="G279"/>
  <c r="F279"/>
  <c r="K279" s="1"/>
  <c r="H278"/>
  <c r="G278"/>
  <c r="F278"/>
  <c r="K278" s="1"/>
  <c r="H277"/>
  <c r="G277"/>
  <c r="F277"/>
  <c r="H276"/>
  <c r="G276"/>
  <c r="F276"/>
  <c r="K276" s="1"/>
  <c r="H275"/>
  <c r="G275"/>
  <c r="F275"/>
  <c r="H274"/>
  <c r="G274"/>
  <c r="F274"/>
  <c r="K274" s="1"/>
  <c r="H273"/>
  <c r="G273"/>
  <c r="F273"/>
  <c r="K273" s="1"/>
  <c r="H272"/>
  <c r="G272"/>
  <c r="F272"/>
  <c r="H271"/>
  <c r="G271"/>
  <c r="F271"/>
  <c r="H270"/>
  <c r="G270"/>
  <c r="F270"/>
  <c r="H269"/>
  <c r="G269"/>
  <c r="F269"/>
  <c r="K269" s="1"/>
  <c r="H268"/>
  <c r="G268"/>
  <c r="F268"/>
  <c r="H267"/>
  <c r="G267"/>
  <c r="F267"/>
  <c r="K267" s="1"/>
  <c r="H266"/>
  <c r="G266"/>
  <c r="F266"/>
  <c r="K266" s="1"/>
  <c r="H265"/>
  <c r="G265"/>
  <c r="F265"/>
  <c r="H264"/>
  <c r="G264"/>
  <c r="F264"/>
  <c r="H263"/>
  <c r="G263"/>
  <c r="F263"/>
  <c r="K263" s="1"/>
  <c r="H262"/>
  <c r="G262"/>
  <c r="F262"/>
  <c r="H261"/>
  <c r="G261"/>
  <c r="F261"/>
  <c r="K261" s="1"/>
  <c r="H260"/>
  <c r="G260"/>
  <c r="F260"/>
  <c r="H259"/>
  <c r="G259"/>
  <c r="F259"/>
  <c r="H258"/>
  <c r="G258"/>
  <c r="F258"/>
  <c r="H257"/>
  <c r="G257"/>
  <c r="F257"/>
  <c r="K257" s="1"/>
  <c r="H256"/>
  <c r="G256"/>
  <c r="F256"/>
  <c r="H255"/>
  <c r="G255"/>
  <c r="F255"/>
  <c r="K255" s="1"/>
  <c r="K254"/>
  <c r="H254"/>
  <c r="G254"/>
  <c r="F254"/>
  <c r="H253"/>
  <c r="G253"/>
  <c r="F253"/>
  <c r="H252"/>
  <c r="G252"/>
  <c r="F252"/>
  <c r="H251"/>
  <c r="G251"/>
  <c r="F251"/>
  <c r="I251" s="1"/>
  <c r="K250"/>
  <c r="H250"/>
  <c r="G250"/>
  <c r="F250"/>
  <c r="I250" s="1"/>
  <c r="H249"/>
  <c r="G249"/>
  <c r="F249"/>
  <c r="H248"/>
  <c r="G248"/>
  <c r="F248"/>
  <c r="H247"/>
  <c r="G247"/>
  <c r="F247"/>
  <c r="H246"/>
  <c r="G246"/>
  <c r="F246"/>
  <c r="H245"/>
  <c r="G245"/>
  <c r="F245"/>
  <c r="K245" s="1"/>
  <c r="H244"/>
  <c r="G244"/>
  <c r="F244"/>
  <c r="K244" s="1"/>
  <c r="H243"/>
  <c r="G243"/>
  <c r="F243"/>
  <c r="K243" s="1"/>
  <c r="H242"/>
  <c r="G242"/>
  <c r="F242"/>
  <c r="K242" s="1"/>
  <c r="H241"/>
  <c r="G241"/>
  <c r="F241"/>
  <c r="H240"/>
  <c r="G240"/>
  <c r="F240"/>
  <c r="H239"/>
  <c r="G239"/>
  <c r="F239"/>
  <c r="H238"/>
  <c r="G238"/>
  <c r="F238"/>
  <c r="K238" s="1"/>
  <c r="H237"/>
  <c r="G237"/>
  <c r="F237"/>
  <c r="H236"/>
  <c r="G236"/>
  <c r="F236"/>
  <c r="H235"/>
  <c r="G235"/>
  <c r="F235"/>
  <c r="H234"/>
  <c r="G234"/>
  <c r="F234"/>
  <c r="H233"/>
  <c r="G233"/>
  <c r="F233"/>
  <c r="K233" s="1"/>
  <c r="H232"/>
  <c r="G232"/>
  <c r="F232"/>
  <c r="H231"/>
  <c r="G231"/>
  <c r="F231"/>
  <c r="K231" s="1"/>
  <c r="H230"/>
  <c r="G230"/>
  <c r="F230"/>
  <c r="K230" s="1"/>
  <c r="H229"/>
  <c r="G229"/>
  <c r="F229"/>
  <c r="H228"/>
  <c r="G228"/>
  <c r="F228"/>
  <c r="H227"/>
  <c r="G227"/>
  <c r="F227"/>
  <c r="I227" s="1"/>
  <c r="H226"/>
  <c r="G226"/>
  <c r="F226"/>
  <c r="K226" s="1"/>
  <c r="H225"/>
  <c r="G225"/>
  <c r="F225"/>
  <c r="H224"/>
  <c r="G224"/>
  <c r="F224"/>
  <c r="H223"/>
  <c r="G223"/>
  <c r="F223"/>
  <c r="H222"/>
  <c r="G222"/>
  <c r="F222"/>
  <c r="H221"/>
  <c r="G221"/>
  <c r="F221"/>
  <c r="K221" s="1"/>
  <c r="H220"/>
  <c r="G220"/>
  <c r="F220"/>
  <c r="K220" s="1"/>
  <c r="H219"/>
  <c r="G219"/>
  <c r="F219"/>
  <c r="K219" s="1"/>
  <c r="H218"/>
  <c r="G218"/>
  <c r="F218"/>
  <c r="K218" s="1"/>
  <c r="H217"/>
  <c r="G217"/>
  <c r="F217"/>
  <c r="H216"/>
  <c r="G216"/>
  <c r="F216"/>
  <c r="K216" s="1"/>
  <c r="H215"/>
  <c r="G215"/>
  <c r="F215"/>
  <c r="H214"/>
  <c r="G214"/>
  <c r="F214"/>
  <c r="K214" s="1"/>
  <c r="H213"/>
  <c r="G213"/>
  <c r="F213"/>
  <c r="H212"/>
  <c r="G212"/>
  <c r="F212"/>
  <c r="H211"/>
  <c r="G211"/>
  <c r="F211"/>
  <c r="H210"/>
  <c r="G210"/>
  <c r="F210"/>
  <c r="H209"/>
  <c r="G209"/>
  <c r="F209"/>
  <c r="K209" s="1"/>
  <c r="H208"/>
  <c r="G208"/>
  <c r="F208"/>
  <c r="K208" s="1"/>
  <c r="H207"/>
  <c r="G207"/>
  <c r="F207"/>
  <c r="H206"/>
  <c r="G206"/>
  <c r="F206"/>
  <c r="K206" s="1"/>
  <c r="H205"/>
  <c r="G205"/>
  <c r="F205"/>
  <c r="K204"/>
  <c r="H204"/>
  <c r="G204"/>
  <c r="F204"/>
  <c r="H203"/>
  <c r="G203"/>
  <c r="F203"/>
  <c r="H202"/>
  <c r="G202"/>
  <c r="F202"/>
  <c r="K202" s="1"/>
  <c r="H201"/>
  <c r="G201"/>
  <c r="F201"/>
  <c r="H200"/>
  <c r="G200"/>
  <c r="F200"/>
  <c r="H199"/>
  <c r="G199"/>
  <c r="F199"/>
  <c r="H198"/>
  <c r="G198"/>
  <c r="F198"/>
  <c r="H197"/>
  <c r="G197"/>
  <c r="F197"/>
  <c r="K197" s="1"/>
  <c r="H196"/>
  <c r="G196"/>
  <c r="F196"/>
  <c r="K196" s="1"/>
  <c r="K195"/>
  <c r="H195"/>
  <c r="G195"/>
  <c r="F195"/>
  <c r="H194"/>
  <c r="G194"/>
  <c r="F194"/>
  <c r="K194" s="1"/>
  <c r="H193"/>
  <c r="G193"/>
  <c r="F193"/>
  <c r="H192"/>
  <c r="G192"/>
  <c r="F192"/>
  <c r="H191"/>
  <c r="G191"/>
  <c r="F191"/>
  <c r="H190"/>
  <c r="G190"/>
  <c r="F190"/>
  <c r="K190" s="1"/>
  <c r="H189"/>
  <c r="G189"/>
  <c r="I189" s="1"/>
  <c r="F189"/>
  <c r="K189" s="1"/>
  <c r="H188"/>
  <c r="G188"/>
  <c r="F188"/>
  <c r="H187"/>
  <c r="G187"/>
  <c r="F187"/>
  <c r="H186"/>
  <c r="G186"/>
  <c r="F186"/>
  <c r="H185"/>
  <c r="G185"/>
  <c r="F185"/>
  <c r="K185" s="1"/>
  <c r="H184"/>
  <c r="G184"/>
  <c r="F184"/>
  <c r="K184" s="1"/>
  <c r="H183"/>
  <c r="G183"/>
  <c r="F183"/>
  <c r="K183" s="1"/>
  <c r="H182"/>
  <c r="G182"/>
  <c r="F182"/>
  <c r="K182" s="1"/>
  <c r="H181"/>
  <c r="G181"/>
  <c r="F181"/>
  <c r="H180"/>
  <c r="G180"/>
  <c r="F180"/>
  <c r="H179"/>
  <c r="G179"/>
  <c r="F179"/>
  <c r="K179" s="1"/>
  <c r="H178"/>
  <c r="G178"/>
  <c r="F178"/>
  <c r="K177"/>
  <c r="H177"/>
  <c r="G177"/>
  <c r="I177" s="1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K171" s="1"/>
  <c r="H170"/>
  <c r="G170"/>
  <c r="F170"/>
  <c r="K170" s="1"/>
  <c r="H169"/>
  <c r="G169"/>
  <c r="F169"/>
  <c r="H168"/>
  <c r="G168"/>
  <c r="F168"/>
  <c r="H167"/>
  <c r="G167"/>
  <c r="F167"/>
  <c r="K167" s="1"/>
  <c r="H166"/>
  <c r="G166"/>
  <c r="F166"/>
  <c r="H165"/>
  <c r="G165"/>
  <c r="F165"/>
  <c r="K165" s="1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K159" s="1"/>
  <c r="H158"/>
  <c r="G158"/>
  <c r="F158"/>
  <c r="K158" s="1"/>
  <c r="H157"/>
  <c r="G157"/>
  <c r="F157"/>
  <c r="H156"/>
  <c r="G156"/>
  <c r="F156"/>
  <c r="H155"/>
  <c r="G155"/>
  <c r="F155"/>
  <c r="H154"/>
  <c r="G154"/>
  <c r="F154"/>
  <c r="H153"/>
  <c r="G153"/>
  <c r="F153"/>
  <c r="K153" s="1"/>
  <c r="H152"/>
  <c r="G152"/>
  <c r="F152"/>
  <c r="H151"/>
  <c r="G151"/>
  <c r="F151"/>
  <c r="H150"/>
  <c r="G150"/>
  <c r="F150"/>
  <c r="H149"/>
  <c r="G149"/>
  <c r="F149"/>
  <c r="K149" s="1"/>
  <c r="H148"/>
  <c r="G148"/>
  <c r="F148"/>
  <c r="H147"/>
  <c r="G147"/>
  <c r="F147"/>
  <c r="K147" s="1"/>
  <c r="H146"/>
  <c r="G146"/>
  <c r="F146"/>
  <c r="K146" s="1"/>
  <c r="H145"/>
  <c r="G145"/>
  <c r="F145"/>
  <c r="H144"/>
  <c r="G144"/>
  <c r="F144"/>
  <c r="K144" s="1"/>
  <c r="H143"/>
  <c r="G143"/>
  <c r="F143"/>
  <c r="H142"/>
  <c r="G142"/>
  <c r="F142"/>
  <c r="K142" s="1"/>
  <c r="H141"/>
  <c r="G141"/>
  <c r="F141"/>
  <c r="K141" s="1"/>
  <c r="H140"/>
  <c r="G140"/>
  <c r="F140"/>
  <c r="H139"/>
  <c r="G139"/>
  <c r="F139"/>
  <c r="H138"/>
  <c r="G138"/>
  <c r="F138"/>
  <c r="H137"/>
  <c r="G137"/>
  <c r="F137"/>
  <c r="K137" s="1"/>
  <c r="H136"/>
  <c r="G136"/>
  <c r="F136"/>
  <c r="K136" s="1"/>
  <c r="H135"/>
  <c r="G135"/>
  <c r="F135"/>
  <c r="H134"/>
  <c r="G134"/>
  <c r="F134"/>
  <c r="K134" s="1"/>
  <c r="H133"/>
  <c r="G133"/>
  <c r="F133"/>
  <c r="H132"/>
  <c r="G132"/>
  <c r="F132"/>
  <c r="K132" s="1"/>
  <c r="H131"/>
  <c r="G131"/>
  <c r="F131"/>
  <c r="H130"/>
  <c r="G130"/>
  <c r="F130"/>
  <c r="K130" s="1"/>
  <c r="H129"/>
  <c r="G129"/>
  <c r="F129"/>
  <c r="K129" s="1"/>
  <c r="H128"/>
  <c r="G128"/>
  <c r="F128"/>
  <c r="H127"/>
  <c r="G127"/>
  <c r="F127"/>
  <c r="H126"/>
  <c r="G126"/>
  <c r="F126"/>
  <c r="H125"/>
  <c r="G125"/>
  <c r="F125"/>
  <c r="K125" s="1"/>
  <c r="H124"/>
  <c r="G124"/>
  <c r="F124"/>
  <c r="K124" s="1"/>
  <c r="H123"/>
  <c r="G123"/>
  <c r="F123"/>
  <c r="H122"/>
  <c r="G122"/>
  <c r="F122"/>
  <c r="K122" s="1"/>
  <c r="H121"/>
  <c r="G121"/>
  <c r="F121"/>
  <c r="H120"/>
  <c r="G120"/>
  <c r="F120"/>
  <c r="H119"/>
  <c r="G119"/>
  <c r="F119"/>
  <c r="I119" s="1"/>
  <c r="H118"/>
  <c r="G118"/>
  <c r="F118"/>
  <c r="K118" s="1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I112" s="1"/>
  <c r="H111"/>
  <c r="G111"/>
  <c r="F111"/>
  <c r="K111" s="1"/>
  <c r="H110"/>
  <c r="G110"/>
  <c r="F110"/>
  <c r="K110" s="1"/>
  <c r="H109"/>
  <c r="G109"/>
  <c r="F109"/>
  <c r="H108"/>
  <c r="G108"/>
  <c r="F108"/>
  <c r="H107"/>
  <c r="G107"/>
  <c r="F107"/>
  <c r="H106"/>
  <c r="G106"/>
  <c r="F106"/>
  <c r="K106" s="1"/>
  <c r="H105"/>
  <c r="G105"/>
  <c r="F105"/>
  <c r="K105" s="1"/>
  <c r="H104"/>
  <c r="G104"/>
  <c r="F104"/>
  <c r="H103"/>
  <c r="G103"/>
  <c r="F103"/>
  <c r="H102"/>
  <c r="G102"/>
  <c r="F102"/>
  <c r="H101"/>
  <c r="G101"/>
  <c r="F101"/>
  <c r="H100"/>
  <c r="G100"/>
  <c r="F100"/>
  <c r="K100" s="1"/>
  <c r="H99"/>
  <c r="G99"/>
  <c r="F99"/>
  <c r="K99" s="1"/>
  <c r="H98"/>
  <c r="G98"/>
  <c r="F98"/>
  <c r="H97"/>
  <c r="G97"/>
  <c r="F97"/>
  <c r="H96"/>
  <c r="G96"/>
  <c r="F96"/>
  <c r="H95"/>
  <c r="G95"/>
  <c r="F95"/>
  <c r="K95" s="1"/>
  <c r="H94"/>
  <c r="G94"/>
  <c r="F94"/>
  <c r="K94" s="1"/>
  <c r="H93"/>
  <c r="G93"/>
  <c r="F93"/>
  <c r="K93" s="1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K87" s="1"/>
  <c r="H86"/>
  <c r="G86"/>
  <c r="F86"/>
  <c r="H85"/>
  <c r="G85"/>
  <c r="F85"/>
  <c r="H84"/>
  <c r="G84"/>
  <c r="F84"/>
  <c r="H83"/>
  <c r="G83"/>
  <c r="F83"/>
  <c r="H82"/>
  <c r="G82"/>
  <c r="F82"/>
  <c r="K82" s="1"/>
  <c r="H81"/>
  <c r="G81"/>
  <c r="F81"/>
  <c r="H80"/>
  <c r="G80"/>
  <c r="F80"/>
  <c r="K80" s="1"/>
  <c r="H79"/>
  <c r="G79"/>
  <c r="F79"/>
  <c r="K79" s="1"/>
  <c r="H78"/>
  <c r="G78"/>
  <c r="F78"/>
  <c r="H77"/>
  <c r="G77"/>
  <c r="F77"/>
  <c r="K77" s="1"/>
  <c r="K76"/>
  <c r="H76"/>
  <c r="G76"/>
  <c r="F76"/>
  <c r="H75"/>
  <c r="G75"/>
  <c r="F75"/>
  <c r="K75" s="1"/>
  <c r="H74"/>
  <c r="G74"/>
  <c r="F74"/>
  <c r="K74" s="1"/>
  <c r="H73"/>
  <c r="G73"/>
  <c r="F73"/>
  <c r="H72"/>
  <c r="G72"/>
  <c r="F72"/>
  <c r="H71"/>
  <c r="G71"/>
  <c r="F71"/>
  <c r="H70"/>
  <c r="G70"/>
  <c r="F70"/>
  <c r="K70" s="1"/>
  <c r="H69"/>
  <c r="G69"/>
  <c r="F69"/>
  <c r="H68"/>
  <c r="G68"/>
  <c r="F68"/>
  <c r="K68" s="1"/>
  <c r="H67"/>
  <c r="G67"/>
  <c r="I67" s="1"/>
  <c r="F67"/>
  <c r="K67" s="1"/>
  <c r="H66"/>
  <c r="G66"/>
  <c r="F66"/>
  <c r="H65"/>
  <c r="G65"/>
  <c r="F65"/>
  <c r="H64"/>
  <c r="G64"/>
  <c r="F64"/>
  <c r="K64" s="1"/>
  <c r="H63"/>
  <c r="G63"/>
  <c r="F63"/>
  <c r="K63" s="1"/>
  <c r="H62"/>
  <c r="G62"/>
  <c r="F62"/>
  <c r="K62" s="1"/>
  <c r="H61"/>
  <c r="G61"/>
  <c r="F61"/>
  <c r="H60"/>
  <c r="G60"/>
  <c r="F60"/>
  <c r="H59"/>
  <c r="G59"/>
  <c r="F59"/>
  <c r="H58"/>
  <c r="G58"/>
  <c r="F58"/>
  <c r="K58" s="1"/>
  <c r="H57"/>
  <c r="G57"/>
  <c r="F57"/>
  <c r="K57" s="1"/>
  <c r="H56"/>
  <c r="G56"/>
  <c r="F56"/>
  <c r="H55"/>
  <c r="G55"/>
  <c r="F55"/>
  <c r="K55" s="1"/>
  <c r="H54"/>
  <c r="G54"/>
  <c r="F54"/>
  <c r="H53"/>
  <c r="G53"/>
  <c r="F53"/>
  <c r="H52"/>
  <c r="G52"/>
  <c r="F52"/>
  <c r="K52" s="1"/>
  <c r="H51"/>
  <c r="G51"/>
  <c r="F51"/>
  <c r="K51" s="1"/>
  <c r="H50"/>
  <c r="G50"/>
  <c r="F50"/>
  <c r="H49"/>
  <c r="G49"/>
  <c r="F49"/>
  <c r="H48"/>
  <c r="G48"/>
  <c r="F48"/>
  <c r="H47"/>
  <c r="G47"/>
  <c r="F47"/>
  <c r="H46"/>
  <c r="G46"/>
  <c r="F46"/>
  <c r="I46" s="1"/>
  <c r="H45"/>
  <c r="G45"/>
  <c r="F45"/>
  <c r="K45" s="1"/>
  <c r="H44"/>
  <c r="G44"/>
  <c r="F44"/>
  <c r="K44" s="1"/>
  <c r="H43"/>
  <c r="G43"/>
  <c r="F43"/>
  <c r="K43" s="1"/>
  <c r="H42"/>
  <c r="G42"/>
  <c r="F42"/>
  <c r="H41"/>
  <c r="G41"/>
  <c r="F41"/>
  <c r="K41" s="1"/>
  <c r="H40"/>
  <c r="G40"/>
  <c r="F40"/>
  <c r="H39"/>
  <c r="G39"/>
  <c r="F39"/>
  <c r="K39" s="1"/>
  <c r="H38"/>
  <c r="G38"/>
  <c r="I38" s="1"/>
  <c r="F38"/>
  <c r="K38" s="1"/>
  <c r="H37"/>
  <c r="G37"/>
  <c r="F37"/>
  <c r="H36"/>
  <c r="G36"/>
  <c r="F36"/>
  <c r="H35"/>
  <c r="G35"/>
  <c r="F35"/>
  <c r="I34"/>
  <c r="H34"/>
  <c r="G34"/>
  <c r="F34"/>
  <c r="K34" s="1"/>
  <c r="H33"/>
  <c r="G33"/>
  <c r="F33"/>
  <c r="K33" s="1"/>
  <c r="H32"/>
  <c r="G32"/>
  <c r="F32"/>
  <c r="K32" s="1"/>
  <c r="H31"/>
  <c r="G31"/>
  <c r="F31"/>
  <c r="K31" s="1"/>
  <c r="H30"/>
  <c r="G30"/>
  <c r="F30"/>
  <c r="H29"/>
  <c r="G29"/>
  <c r="F29"/>
  <c r="K29" s="1"/>
  <c r="H28"/>
  <c r="G28"/>
  <c r="F28"/>
  <c r="K28" s="1"/>
  <c r="H27"/>
  <c r="G27"/>
  <c r="F27"/>
  <c r="K27" s="1"/>
  <c r="H26"/>
  <c r="G26"/>
  <c r="F26"/>
  <c r="K26" s="1"/>
  <c r="H25"/>
  <c r="G25"/>
  <c r="F25"/>
  <c r="H24"/>
  <c r="G24"/>
  <c r="F24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F8"/>
  <c r="J8" s="1"/>
  <c r="F7"/>
  <c r="J7" s="1"/>
  <c r="F6"/>
  <c r="J6" s="1"/>
  <c r="O31" i="6" l="1"/>
  <c r="I45" i="20"/>
  <c r="I88"/>
  <c r="I143"/>
  <c r="I148"/>
  <c r="I156"/>
  <c r="I207"/>
  <c r="I215"/>
  <c r="I228"/>
  <c r="I232"/>
  <c r="I304"/>
  <c r="I365"/>
  <c r="I345"/>
  <c r="I60"/>
  <c r="I131"/>
  <c r="I195"/>
  <c r="I249"/>
  <c r="I275"/>
  <c r="I309"/>
  <c r="I317"/>
  <c r="I322"/>
  <c r="I334"/>
  <c r="K232"/>
  <c r="I52"/>
  <c r="I71"/>
  <c r="I89"/>
  <c r="I96"/>
  <c r="I101"/>
  <c r="I154"/>
  <c r="I155"/>
  <c r="I240"/>
  <c r="I254"/>
  <c r="I261"/>
  <c r="I264"/>
  <c r="I285"/>
  <c r="I323"/>
  <c r="I51"/>
  <c r="I87"/>
  <c r="I93"/>
  <c r="I130"/>
  <c r="I184"/>
  <c r="I238"/>
  <c r="I24"/>
  <c r="F368"/>
  <c r="I31"/>
  <c r="I35"/>
  <c r="I70"/>
  <c r="I81"/>
  <c r="K89"/>
  <c r="I100"/>
  <c r="I124"/>
  <c r="K154"/>
  <c r="I161"/>
  <c r="I226"/>
  <c r="I118"/>
  <c r="I220"/>
  <c r="I279"/>
  <c r="I297"/>
  <c r="I136"/>
  <c r="I158"/>
  <c r="I173"/>
  <c r="I180"/>
  <c r="I239"/>
  <c r="K304"/>
  <c r="K334"/>
  <c r="I338"/>
  <c r="K351"/>
  <c r="I64"/>
  <c r="I218"/>
  <c r="I28"/>
  <c r="I83"/>
  <c r="I120"/>
  <c r="I170"/>
  <c r="I273"/>
  <c r="K309"/>
  <c r="I328"/>
  <c r="I214"/>
  <c r="I141"/>
  <c r="I47"/>
  <c r="I57"/>
  <c r="I65"/>
  <c r="I76"/>
  <c r="I105"/>
  <c r="I113"/>
  <c r="K148"/>
  <c r="K207"/>
  <c r="I244"/>
  <c r="I252"/>
  <c r="I329"/>
  <c r="I333"/>
  <c r="I340"/>
  <c r="I350"/>
  <c r="I221"/>
  <c r="I291"/>
  <c r="I298"/>
  <c r="I84"/>
  <c r="I95"/>
  <c r="I142"/>
  <c r="I168"/>
  <c r="K56"/>
  <c r="I56"/>
  <c r="K53"/>
  <c r="I53"/>
  <c r="I208"/>
  <c r="K251"/>
  <c r="I39"/>
  <c r="I202"/>
  <c r="I363"/>
  <c r="I26"/>
  <c r="K92"/>
  <c r="I92"/>
  <c r="K161"/>
  <c r="K213"/>
  <c r="I213"/>
  <c r="I242"/>
  <c r="K81"/>
  <c r="K88"/>
  <c r="I165"/>
  <c r="K172"/>
  <c r="I172"/>
  <c r="I203"/>
  <c r="K203"/>
  <c r="I286"/>
  <c r="K293"/>
  <c r="I293"/>
  <c r="I316"/>
  <c r="K333"/>
  <c r="K40"/>
  <c r="I40"/>
  <c r="I75"/>
  <c r="K86"/>
  <c r="I86"/>
  <c r="K155"/>
  <c r="I183"/>
  <c r="K249"/>
  <c r="I290"/>
  <c r="K323"/>
  <c r="I327"/>
  <c r="I357"/>
  <c r="K364"/>
  <c r="I364"/>
  <c r="I33"/>
  <c r="K112"/>
  <c r="K119"/>
  <c r="I149"/>
  <c r="K166"/>
  <c r="I166"/>
  <c r="I196"/>
  <c r="K237"/>
  <c r="I237"/>
  <c r="I243"/>
  <c r="I287"/>
  <c r="K287"/>
  <c r="I310"/>
  <c r="K321"/>
  <c r="I321"/>
  <c r="I27"/>
  <c r="I62"/>
  <c r="I69"/>
  <c r="K69"/>
  <c r="K117"/>
  <c r="I117"/>
  <c r="I233"/>
  <c r="I267"/>
  <c r="I280"/>
  <c r="K358"/>
  <c r="I358"/>
  <c r="I106"/>
  <c r="I110"/>
  <c r="K143"/>
  <c r="I147"/>
  <c r="I153"/>
  <c r="K160"/>
  <c r="I160"/>
  <c r="I190"/>
  <c r="I194"/>
  <c r="K201"/>
  <c r="I201"/>
  <c r="I274"/>
  <c r="I311"/>
  <c r="K311"/>
  <c r="I314"/>
  <c r="I107"/>
  <c r="K107"/>
  <c r="I191"/>
  <c r="K191"/>
  <c r="K225"/>
  <c r="I225"/>
  <c r="K305"/>
  <c r="I305"/>
  <c r="K135"/>
  <c r="I135"/>
  <c r="K178"/>
  <c r="I178"/>
  <c r="K262"/>
  <c r="I262"/>
  <c r="I302"/>
  <c r="K346"/>
  <c r="I346"/>
  <c r="K50"/>
  <c r="I50"/>
  <c r="I74"/>
  <c r="K98"/>
  <c r="I98"/>
  <c r="K131"/>
  <c r="I171"/>
  <c r="I255"/>
  <c r="I326"/>
  <c r="I94"/>
  <c r="I122"/>
  <c r="K215"/>
  <c r="I292"/>
  <c r="I299"/>
  <c r="K299"/>
  <c r="I339"/>
  <c r="I206"/>
  <c r="I129"/>
  <c r="I146"/>
  <c r="K256"/>
  <c r="I256"/>
  <c r="I99"/>
  <c r="K123"/>
  <c r="I123"/>
  <c r="I159"/>
  <c r="I230"/>
  <c r="K239"/>
  <c r="I59"/>
  <c r="I134"/>
  <c r="I167"/>
  <c r="K227"/>
  <c r="I231"/>
  <c r="K268"/>
  <c r="I268"/>
  <c r="I335"/>
  <c r="I63"/>
  <c r="I219"/>
  <c r="I278"/>
  <c r="I182"/>
  <c r="I266"/>
  <c r="I111"/>
  <c r="I179"/>
  <c r="I263"/>
  <c r="I303"/>
  <c r="I312"/>
  <c r="I315"/>
  <c r="I352"/>
  <c r="I359"/>
  <c r="I362"/>
  <c r="I48"/>
  <c r="I108"/>
  <c r="I192"/>
  <c r="K275"/>
  <c r="I300"/>
  <c r="I347"/>
  <c r="K73"/>
  <c r="I73"/>
  <c r="K354"/>
  <c r="I354"/>
  <c r="K127"/>
  <c r="I127"/>
  <c r="K205"/>
  <c r="I205"/>
  <c r="K271"/>
  <c r="I271"/>
  <c r="K343"/>
  <c r="I343"/>
  <c r="I188"/>
  <c r="K188"/>
  <c r="K332"/>
  <c r="I332"/>
  <c r="K48"/>
  <c r="K54"/>
  <c r="I54"/>
  <c r="K84"/>
  <c r="K139"/>
  <c r="I139"/>
  <c r="K217"/>
  <c r="I217"/>
  <c r="K355"/>
  <c r="I355"/>
  <c r="K49"/>
  <c r="I49"/>
  <c r="K85"/>
  <c r="I85"/>
  <c r="K128"/>
  <c r="I128"/>
  <c r="K156"/>
  <c r="I200"/>
  <c r="K200"/>
  <c r="I245"/>
  <c r="K300"/>
  <c r="K344"/>
  <c r="I344"/>
  <c r="G368"/>
  <c r="I32"/>
  <c r="K151"/>
  <c r="I151"/>
  <c r="K173"/>
  <c r="K229"/>
  <c r="I229"/>
  <c r="K295"/>
  <c r="I295"/>
  <c r="K317"/>
  <c r="K65"/>
  <c r="I82"/>
  <c r="K91"/>
  <c r="I91"/>
  <c r="K168"/>
  <c r="K174"/>
  <c r="I174"/>
  <c r="I185"/>
  <c r="I257"/>
  <c r="K312"/>
  <c r="K318"/>
  <c r="I318"/>
  <c r="K24"/>
  <c r="K30"/>
  <c r="I30"/>
  <c r="K35"/>
  <c r="K46"/>
  <c r="K97"/>
  <c r="I97"/>
  <c r="K113"/>
  <c r="K163"/>
  <c r="I163"/>
  <c r="K169"/>
  <c r="I169"/>
  <c r="K235"/>
  <c r="I235"/>
  <c r="K241"/>
  <c r="I241"/>
  <c r="K307"/>
  <c r="I307"/>
  <c r="K313"/>
  <c r="I313"/>
  <c r="K329"/>
  <c r="K25"/>
  <c r="I25"/>
  <c r="I36"/>
  <c r="K61"/>
  <c r="I61"/>
  <c r="I72"/>
  <c r="K108"/>
  <c r="K114"/>
  <c r="I114"/>
  <c r="I125"/>
  <c r="I152"/>
  <c r="K152"/>
  <c r="K180"/>
  <c r="K186"/>
  <c r="I186"/>
  <c r="I197"/>
  <c r="I224"/>
  <c r="K224"/>
  <c r="K252"/>
  <c r="K258"/>
  <c r="I258"/>
  <c r="I269"/>
  <c r="I296"/>
  <c r="K296"/>
  <c r="K324"/>
  <c r="K330"/>
  <c r="I330"/>
  <c r="I341"/>
  <c r="K59"/>
  <c r="K145"/>
  <c r="I145"/>
  <c r="K211"/>
  <c r="I211"/>
  <c r="I79"/>
  <c r="K101"/>
  <c r="K60"/>
  <c r="K66"/>
  <c r="I66"/>
  <c r="K71"/>
  <c r="I41"/>
  <c r="I44"/>
  <c r="I55"/>
  <c r="I77"/>
  <c r="I80"/>
  <c r="K103"/>
  <c r="I103"/>
  <c r="K109"/>
  <c r="I109"/>
  <c r="I132"/>
  <c r="K175"/>
  <c r="I175"/>
  <c r="K181"/>
  <c r="I181"/>
  <c r="I204"/>
  <c r="K247"/>
  <c r="I247"/>
  <c r="K253"/>
  <c r="I253"/>
  <c r="I276"/>
  <c r="K319"/>
  <c r="I319"/>
  <c r="K325"/>
  <c r="I325"/>
  <c r="I348"/>
  <c r="K138"/>
  <c r="I138"/>
  <c r="K90"/>
  <c r="I90"/>
  <c r="K283"/>
  <c r="I283"/>
  <c r="K361"/>
  <c r="I361"/>
  <c r="K37"/>
  <c r="I37"/>
  <c r="K104"/>
  <c r="I104"/>
  <c r="K176"/>
  <c r="I176"/>
  <c r="K210"/>
  <c r="I210"/>
  <c r="K248"/>
  <c r="I248"/>
  <c r="K282"/>
  <c r="I282"/>
  <c r="K320"/>
  <c r="I320"/>
  <c r="K133"/>
  <c r="I133"/>
  <c r="K199"/>
  <c r="I199"/>
  <c r="K277"/>
  <c r="I277"/>
  <c r="K349"/>
  <c r="I349"/>
  <c r="I116"/>
  <c r="K116"/>
  <c r="K150"/>
  <c r="I150"/>
  <c r="K222"/>
  <c r="I222"/>
  <c r="I260"/>
  <c r="K260"/>
  <c r="K294"/>
  <c r="I294"/>
  <c r="K366"/>
  <c r="I366"/>
  <c r="K289"/>
  <c r="I289"/>
  <c r="K162"/>
  <c r="I162"/>
  <c r="K228"/>
  <c r="K234"/>
  <c r="I234"/>
  <c r="I272"/>
  <c r="K272"/>
  <c r="K306"/>
  <c r="I306"/>
  <c r="I29"/>
  <c r="I43"/>
  <c r="I68"/>
  <c r="K157"/>
  <c r="I157"/>
  <c r="K223"/>
  <c r="I223"/>
  <c r="K301"/>
  <c r="I301"/>
  <c r="K367"/>
  <c r="I367"/>
  <c r="K96"/>
  <c r="K102"/>
  <c r="I102"/>
  <c r="I140"/>
  <c r="K140"/>
  <c r="I212"/>
  <c r="K212"/>
  <c r="K240"/>
  <c r="K246"/>
  <c r="I246"/>
  <c r="K284"/>
  <c r="I284"/>
  <c r="K356"/>
  <c r="I356"/>
  <c r="I58"/>
  <c r="K120"/>
  <c r="K126"/>
  <c r="I126"/>
  <c r="I137"/>
  <c r="K164"/>
  <c r="I164"/>
  <c r="K192"/>
  <c r="K198"/>
  <c r="I198"/>
  <c r="I209"/>
  <c r="K236"/>
  <c r="I236"/>
  <c r="K264"/>
  <c r="K270"/>
  <c r="I270"/>
  <c r="I281"/>
  <c r="I308"/>
  <c r="K308"/>
  <c r="K336"/>
  <c r="K342"/>
  <c r="I342"/>
  <c r="I353"/>
  <c r="K36"/>
  <c r="K42"/>
  <c r="I42"/>
  <c r="K47"/>
  <c r="K72"/>
  <c r="K78"/>
  <c r="I78"/>
  <c r="K83"/>
  <c r="K115"/>
  <c r="I115"/>
  <c r="K121"/>
  <c r="I121"/>
  <c r="I144"/>
  <c r="K187"/>
  <c r="I187"/>
  <c r="K193"/>
  <c r="I193"/>
  <c r="I216"/>
  <c r="K259"/>
  <c r="I259"/>
  <c r="K265"/>
  <c r="I265"/>
  <c r="I288"/>
  <c r="K331"/>
  <c r="I331"/>
  <c r="K337"/>
  <c r="I337"/>
  <c r="I360"/>
  <c r="I368" l="1"/>
  <c r="D23" i="6"/>
  <c r="B23"/>
  <c r="C23" s="1"/>
  <c r="O23" l="1"/>
  <c r="N23"/>
  <c r="D20" l="1"/>
  <c r="D21"/>
  <c r="D22"/>
  <c r="B20"/>
  <c r="C20" s="1"/>
  <c r="B21"/>
  <c r="C21" s="1"/>
  <c r="B22"/>
  <c r="C22" s="1"/>
  <c r="D18"/>
  <c r="D19"/>
  <c r="B18"/>
  <c r="C18" s="1"/>
  <c r="B19"/>
  <c r="C19" s="1"/>
  <c r="D32" i="15" l="1"/>
  <c r="O18" i="6"/>
  <c r="N18"/>
  <c r="O19"/>
  <c r="N19"/>
  <c r="O22"/>
  <c r="N22"/>
  <c r="O21"/>
  <c r="N21"/>
  <c r="O20"/>
  <c r="N20"/>
  <c r="D12" i="5"/>
  <c r="F2" i="6" l="1"/>
  <c r="D13"/>
  <c r="D14"/>
  <c r="D15"/>
  <c r="D16"/>
  <c r="D17"/>
  <c r="B13"/>
  <c r="C13" s="1"/>
  <c r="B14"/>
  <c r="C14" s="1"/>
  <c r="B15"/>
  <c r="C15" s="1"/>
  <c r="B16"/>
  <c r="C16" s="1"/>
  <c r="B17"/>
  <c r="C17" s="1"/>
  <c r="O17" l="1"/>
  <c r="N17"/>
  <c r="O16"/>
  <c r="N16"/>
  <c r="O15"/>
  <c r="N15"/>
  <c r="N14"/>
  <c r="O14"/>
  <c r="O13"/>
  <c r="N13"/>
  <c r="D14" i="5" l="1"/>
  <c r="D10"/>
  <c r="C20" l="1"/>
  <c r="B21" i="8" l="1"/>
  <c r="AF10" i="7" l="1"/>
  <c r="A2" i="8"/>
  <c r="T24"/>
  <c r="T22"/>
  <c r="T20"/>
  <c r="T18"/>
  <c r="T16"/>
  <c r="T14"/>
  <c r="T12"/>
  <c r="T10"/>
  <c r="T8"/>
  <c r="T6"/>
  <c r="T4"/>
  <c r="C8" i="7" l="1"/>
  <c r="C22" s="1"/>
  <c r="C34" s="1"/>
  <c r="A1" l="1"/>
  <c r="C27" l="1"/>
  <c r="C30" s="1"/>
  <c r="E2" i="6"/>
  <c r="B3"/>
  <c r="C3" s="1"/>
  <c r="D3"/>
  <c r="B4"/>
  <c r="C4" s="1"/>
  <c r="D4"/>
  <c r="B5"/>
  <c r="C5" s="1"/>
  <c r="D5"/>
  <c r="B6"/>
  <c r="C6" s="1"/>
  <c r="D6"/>
  <c r="B7"/>
  <c r="C7" s="1"/>
  <c r="D7"/>
  <c r="B8"/>
  <c r="C8" s="1"/>
  <c r="D8"/>
  <c r="B9"/>
  <c r="C9" s="1"/>
  <c r="D9"/>
  <c r="B10"/>
  <c r="C10" s="1"/>
  <c r="D10"/>
  <c r="B11"/>
  <c r="C11" s="1"/>
  <c r="D11"/>
  <c r="B12"/>
  <c r="C12" s="1"/>
  <c r="D12"/>
  <c r="G13" i="22" l="1"/>
  <c r="L5" i="6"/>
  <c r="L9"/>
  <c r="L13"/>
  <c r="L17"/>
  <c r="L21"/>
  <c r="L25"/>
  <c r="L29"/>
  <c r="J7"/>
  <c r="J11"/>
  <c r="J15"/>
  <c r="J19"/>
  <c r="J23"/>
  <c r="J27"/>
  <c r="J31"/>
  <c r="L11"/>
  <c r="L23"/>
  <c r="L31"/>
  <c r="J5"/>
  <c r="J13"/>
  <c r="J21"/>
  <c r="J29"/>
  <c r="L4"/>
  <c r="L12"/>
  <c r="L20"/>
  <c r="L28"/>
  <c r="J14"/>
  <c r="J22"/>
  <c r="J26"/>
  <c r="L6"/>
  <c r="L10"/>
  <c r="L14"/>
  <c r="L18"/>
  <c r="L22"/>
  <c r="L26"/>
  <c r="L30"/>
  <c r="J4"/>
  <c r="J8"/>
  <c r="J12"/>
  <c r="J16"/>
  <c r="J20"/>
  <c r="J24"/>
  <c r="J28"/>
  <c r="J3"/>
  <c r="K3" s="1"/>
  <c r="L7"/>
  <c r="L15"/>
  <c r="L19"/>
  <c r="L27"/>
  <c r="J9"/>
  <c r="D13" i="22" s="1"/>
  <c r="J17" i="6"/>
  <c r="J25"/>
  <c r="H13" i="22" s="1"/>
  <c r="L8" i="6"/>
  <c r="L16"/>
  <c r="L24"/>
  <c r="G17" i="22" s="1"/>
  <c r="L3" i="6"/>
  <c r="J6"/>
  <c r="J10"/>
  <c r="J18"/>
  <c r="J30"/>
  <c r="N5"/>
  <c r="O5"/>
  <c r="O3"/>
  <c r="N3"/>
  <c r="O12"/>
  <c r="N12"/>
  <c r="O10"/>
  <c r="N10"/>
  <c r="N4"/>
  <c r="O4"/>
  <c r="O7"/>
  <c r="N7"/>
  <c r="O6"/>
  <c r="N6"/>
  <c r="O11"/>
  <c r="N11"/>
  <c r="O9"/>
  <c r="N9"/>
  <c r="O8"/>
  <c r="N8"/>
  <c r="C13" i="22" l="1"/>
  <c r="E17"/>
  <c r="F13"/>
  <c r="C17"/>
  <c r="F17"/>
  <c r="B17"/>
  <c r="D17"/>
  <c r="H17"/>
  <c r="E13"/>
  <c r="I17"/>
  <c r="I13"/>
  <c r="B13"/>
  <c r="K4" i="6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M4"/>
  <c r="M8"/>
  <c r="M12"/>
  <c r="M16"/>
  <c r="M20"/>
  <c r="M24"/>
  <c r="M28"/>
  <c r="M3"/>
  <c r="M7"/>
  <c r="M11"/>
  <c r="M19"/>
  <c r="M23"/>
  <c r="M31"/>
  <c r="M5"/>
  <c r="M9"/>
  <c r="M13"/>
  <c r="M17"/>
  <c r="M21"/>
  <c r="M25"/>
  <c r="M29"/>
  <c r="M6"/>
  <c r="M10"/>
  <c r="M14"/>
  <c r="M18"/>
  <c r="M22"/>
  <c r="M26"/>
  <c r="M30"/>
  <c r="M15"/>
  <c r="M27"/>
  <c r="H3" i="23" l="1"/>
  <c r="I3" s="1"/>
  <c r="B14" i="22"/>
  <c r="H14"/>
  <c r="F14"/>
  <c r="I14"/>
  <c r="C14"/>
  <c r="E14"/>
  <c r="D14"/>
  <c r="G14"/>
  <c r="G3" i="15"/>
  <c r="F3" s="1"/>
  <c r="H18" i="23" l="1"/>
  <c r="I18"/>
  <c r="B26" i="8"/>
  <c r="G8" i="1" l="1"/>
  <c r="B16" i="7" l="1"/>
  <c r="AE16" s="1"/>
  <c r="Q3" i="6"/>
  <c r="C7" i="7" s="1"/>
  <c r="P3" i="6"/>
  <c r="AF16" i="7" l="1"/>
  <c r="E8" i="22"/>
  <c r="E7" i="23" s="1"/>
  <c r="F8" i="22"/>
  <c r="F7" i="23" s="1"/>
  <c r="H8" i="22"/>
  <c r="H7" i="23" s="1"/>
  <c r="C8" i="22"/>
  <c r="C7" i="23" s="1"/>
  <c r="D8" i="22"/>
  <c r="D7" i="23" s="1"/>
  <c r="B8" i="22"/>
  <c r="G8"/>
  <c r="G7" i="23" s="1"/>
  <c r="I8" i="22"/>
  <c r="I7" i="23" s="1"/>
  <c r="C26" i="8"/>
  <c r="C5" s="1"/>
  <c r="D5" s="1"/>
  <c r="D13" i="5"/>
  <c r="Q4" i="6"/>
  <c r="P4"/>
  <c r="B7" i="23" l="1"/>
  <c r="D7" i="7"/>
  <c r="Q5" i="6"/>
  <c r="P5"/>
  <c r="D8" i="7" l="1"/>
  <c r="B4" i="22" s="1"/>
  <c r="E7" i="7"/>
  <c r="E8" s="1"/>
  <c r="AF13"/>
  <c r="Q6" i="6"/>
  <c r="P6"/>
  <c r="C19" i="8"/>
  <c r="C11"/>
  <c r="C17"/>
  <c r="J17" s="1"/>
  <c r="C9"/>
  <c r="L9" s="1"/>
  <c r="C25"/>
  <c r="C23"/>
  <c r="C15"/>
  <c r="J15" s="1"/>
  <c r="C7"/>
  <c r="D7" s="1"/>
  <c r="C21"/>
  <c r="S21" s="1"/>
  <c r="S26" s="1"/>
  <c r="C13"/>
  <c r="B18" i="23" l="1"/>
  <c r="F7" i="7"/>
  <c r="F8" s="1"/>
  <c r="O7" i="8"/>
  <c r="N7"/>
  <c r="P7" i="6"/>
  <c r="Q7"/>
  <c r="G7" i="7" s="1"/>
  <c r="G8" s="1"/>
  <c r="D25"/>
  <c r="D27" s="1"/>
  <c r="Q8" i="6" l="1"/>
  <c r="P8"/>
  <c r="H7" i="7" l="1"/>
  <c r="H8" s="1"/>
  <c r="C4" i="22" s="1"/>
  <c r="Q9" i="6"/>
  <c r="P9"/>
  <c r="C18" i="23" l="1"/>
  <c r="I7" i="7"/>
  <c r="I8" s="1"/>
  <c r="Q10" i="6"/>
  <c r="J7" i="7" s="1"/>
  <c r="J8" s="1"/>
  <c r="P10" i="6"/>
  <c r="Q11" l="1"/>
  <c r="K7" i="7" s="1"/>
  <c r="K8" s="1"/>
  <c r="P11" i="6"/>
  <c r="Q12" l="1"/>
  <c r="P12"/>
  <c r="L7" i="7" l="1"/>
  <c r="L8" s="1"/>
  <c r="D4" i="22" s="1"/>
  <c r="C32" i="7"/>
  <c r="D18" i="23" l="1"/>
  <c r="C35" i="7"/>
  <c r="C36"/>
  <c r="C33"/>
  <c r="Q13" i="6"/>
  <c r="P13"/>
  <c r="Q19" i="8"/>
  <c r="J19"/>
  <c r="F19"/>
  <c r="R19"/>
  <c r="N19"/>
  <c r="L19"/>
  <c r="K19"/>
  <c r="G19"/>
  <c r="D19"/>
  <c r="I19"/>
  <c r="O19"/>
  <c r="M19"/>
  <c r="P19"/>
  <c r="E19"/>
  <c r="H19"/>
  <c r="R13"/>
  <c r="M13"/>
  <c r="F13"/>
  <c r="E13"/>
  <c r="L13"/>
  <c r="N13"/>
  <c r="P13"/>
  <c r="G13"/>
  <c r="D13"/>
  <c r="Q13"/>
  <c r="K13"/>
  <c r="H13"/>
  <c r="J13"/>
  <c r="O13"/>
  <c r="I13"/>
  <c r="P7"/>
  <c r="J7"/>
  <c r="E7"/>
  <c r="I7"/>
  <c r="R7"/>
  <c r="M7"/>
  <c r="H7"/>
  <c r="Q7"/>
  <c r="F7"/>
  <c r="L7"/>
  <c r="K7"/>
  <c r="G7"/>
  <c r="M23"/>
  <c r="E23"/>
  <c r="L23"/>
  <c r="D23"/>
  <c r="Q23"/>
  <c r="I23"/>
  <c r="P23"/>
  <c r="H23"/>
  <c r="N23"/>
  <c r="K23"/>
  <c r="F23"/>
  <c r="R23"/>
  <c r="O23"/>
  <c r="J23"/>
  <c r="G23"/>
  <c r="P17"/>
  <c r="R17"/>
  <c r="I17"/>
  <c r="N17"/>
  <c r="M17"/>
  <c r="F17"/>
  <c r="E17"/>
  <c r="O17"/>
  <c r="L17"/>
  <c r="K17"/>
  <c r="G17"/>
  <c r="D17"/>
  <c r="H17"/>
  <c r="Q11"/>
  <c r="J11"/>
  <c r="F11"/>
  <c r="R11"/>
  <c r="N11"/>
  <c r="G11"/>
  <c r="L11"/>
  <c r="H11"/>
  <c r="O11"/>
  <c r="P11"/>
  <c r="E11"/>
  <c r="D11"/>
  <c r="K11"/>
  <c r="I11"/>
  <c r="M11"/>
  <c r="R5"/>
  <c r="G5"/>
  <c r="H5"/>
  <c r="E5"/>
  <c r="F5"/>
  <c r="K5"/>
  <c r="M5"/>
  <c r="Q5"/>
  <c r="P5"/>
  <c r="I5"/>
  <c r="J5"/>
  <c r="N5"/>
  <c r="L5"/>
  <c r="O5"/>
  <c r="R21"/>
  <c r="D21"/>
  <c r="M21"/>
  <c r="K21"/>
  <c r="F21"/>
  <c r="I21"/>
  <c r="P21"/>
  <c r="Q21"/>
  <c r="O21"/>
  <c r="J21"/>
  <c r="G21"/>
  <c r="E21"/>
  <c r="H21"/>
  <c r="N21"/>
  <c r="L21"/>
  <c r="P15"/>
  <c r="E15"/>
  <c r="N15"/>
  <c r="I15"/>
  <c r="D15"/>
  <c r="R15"/>
  <c r="M15"/>
  <c r="H15"/>
  <c r="F15"/>
  <c r="L15"/>
  <c r="K15"/>
  <c r="G15"/>
  <c r="O15"/>
  <c r="P9"/>
  <c r="R9"/>
  <c r="J9"/>
  <c r="Q9"/>
  <c r="I9"/>
  <c r="N9"/>
  <c r="F9"/>
  <c r="M9"/>
  <c r="E9"/>
  <c r="O9"/>
  <c r="G9"/>
  <c r="D9"/>
  <c r="H9"/>
  <c r="K9"/>
  <c r="P25"/>
  <c r="R25"/>
  <c r="J25"/>
  <c r="Q25"/>
  <c r="I25"/>
  <c r="N25"/>
  <c r="F25"/>
  <c r="M25"/>
  <c r="E25"/>
  <c r="O25"/>
  <c r="L25"/>
  <c r="D25"/>
  <c r="K25"/>
  <c r="H25"/>
  <c r="G25"/>
  <c r="M7" i="7" l="1"/>
  <c r="Q14" i="6"/>
  <c r="P14"/>
  <c r="T7" i="8"/>
  <c r="T19"/>
  <c r="T9"/>
  <c r="T15"/>
  <c r="T13"/>
  <c r="T11"/>
  <c r="T21"/>
  <c r="T5"/>
  <c r="T17"/>
  <c r="T23"/>
  <c r="H26"/>
  <c r="D26"/>
  <c r="J26"/>
  <c r="O26"/>
  <c r="I26"/>
  <c r="L26"/>
  <c r="P26"/>
  <c r="M26"/>
  <c r="K26"/>
  <c r="N26"/>
  <c r="F26"/>
  <c r="G26"/>
  <c r="Q26"/>
  <c r="E26"/>
  <c r="R26"/>
  <c r="T25"/>
  <c r="N7" i="7" l="1"/>
  <c r="N8" s="1"/>
  <c r="M8"/>
  <c r="Q15" i="6"/>
  <c r="P15"/>
  <c r="T26" i="8"/>
  <c r="C31" i="7"/>
  <c r="O7" l="1"/>
  <c r="Q16" i="6"/>
  <c r="P16"/>
  <c r="O8" i="7" l="1"/>
  <c r="E4" i="22" s="1"/>
  <c r="P7" i="7"/>
  <c r="P8" s="1"/>
  <c r="Q17" i="6"/>
  <c r="P17"/>
  <c r="E18" i="23" l="1"/>
  <c r="Q7" i="7"/>
  <c r="Q8" s="1"/>
  <c r="Q18" i="6"/>
  <c r="P18"/>
  <c r="E25" i="7"/>
  <c r="E27" s="1"/>
  <c r="R7" l="1"/>
  <c r="R8" s="1"/>
  <c r="Q19" i="6"/>
  <c r="P19"/>
  <c r="D5" i="7"/>
  <c r="F25"/>
  <c r="F27" s="1"/>
  <c r="S7" l="1"/>
  <c r="S8" s="1"/>
  <c r="Q20" i="6"/>
  <c r="P20"/>
  <c r="G25" i="7"/>
  <c r="F4" i="22" l="1"/>
  <c r="F18" i="23" s="1"/>
  <c r="T7" i="7"/>
  <c r="T8" s="1"/>
  <c r="G27"/>
  <c r="H25" l="1"/>
  <c r="H27" s="1"/>
  <c r="I25" l="1"/>
  <c r="I27" s="1"/>
  <c r="J25" l="1"/>
  <c r="J27" s="1"/>
  <c r="K25" l="1"/>
  <c r="K27" s="1"/>
  <c r="L25" l="1"/>
  <c r="L27" s="1"/>
  <c r="M25" l="1"/>
  <c r="M27" s="1"/>
  <c r="N25" l="1"/>
  <c r="N27" s="1"/>
  <c r="O25" l="1"/>
  <c r="O27" s="1"/>
  <c r="P25" l="1"/>
  <c r="P27" s="1"/>
  <c r="Q25" l="1"/>
  <c r="Q27" s="1"/>
  <c r="R25" l="1"/>
  <c r="R27" s="1"/>
  <c r="S25" l="1"/>
  <c r="S27" s="1"/>
  <c r="T25" l="1"/>
  <c r="T27" s="1"/>
  <c r="U25" l="1"/>
  <c r="U27" s="1"/>
  <c r="V25" l="1"/>
  <c r="V27" s="1"/>
  <c r="W25" l="1"/>
  <c r="W27" s="1"/>
  <c r="X25" l="1"/>
  <c r="X27" s="1"/>
  <c r="Y25" l="1"/>
  <c r="Y27" s="1"/>
  <c r="Z25" l="1"/>
  <c r="Z27" s="1"/>
  <c r="AA25" l="1"/>
  <c r="AA27" s="1"/>
  <c r="AB25" l="1"/>
  <c r="AB27" l="1"/>
  <c r="AC25" l="1"/>
  <c r="AC27" s="1"/>
  <c r="AD25" l="1"/>
  <c r="AD27" s="1"/>
  <c r="AE25" l="1"/>
  <c r="AE27" l="1"/>
  <c r="D15" i="5" l="1"/>
  <c r="F32" i="6" l="1"/>
  <c r="Q21" l="1"/>
  <c r="U7" i="7" s="1"/>
  <c r="U8" s="1"/>
  <c r="P21" i="6" l="1"/>
  <c r="Q22"/>
  <c r="V7" i="7" s="1"/>
  <c r="V8" l="1"/>
  <c r="AF15"/>
  <c r="Q24" i="6"/>
  <c r="X7" i="7" s="1"/>
  <c r="P22" i="6"/>
  <c r="Q23"/>
  <c r="W7" i="7" s="1"/>
  <c r="G4" i="22" l="1"/>
  <c r="G18" i="23" s="1"/>
  <c r="W8" i="7"/>
  <c r="P24" i="6"/>
  <c r="Q25"/>
  <c r="Y7" i="7" s="1"/>
  <c r="Y8" s="1"/>
  <c r="P23" i="6"/>
  <c r="X8" i="7" s="1"/>
  <c r="P25" i="6" l="1"/>
  <c r="Q26"/>
  <c r="Z7" i="7" s="1"/>
  <c r="Z8" s="1"/>
  <c r="P27" i="6" l="1"/>
  <c r="P26"/>
  <c r="Q27"/>
  <c r="AA7" i="7" s="1"/>
  <c r="C5" i="21" s="1"/>
  <c r="Q28" i="6" l="1"/>
  <c r="AB7" i="7" s="1"/>
  <c r="AA8"/>
  <c r="C7" i="21"/>
  <c r="C9" s="1"/>
  <c r="H4" i="22" l="1"/>
  <c r="Q29" i="6"/>
  <c r="AC7" i="7" s="1"/>
  <c r="P28" i="6"/>
  <c r="AB8" i="7"/>
  <c r="AC8" l="1"/>
  <c r="P31" i="6"/>
  <c r="Q30"/>
  <c r="AD7" i="7" s="1"/>
  <c r="P29" i="6"/>
  <c r="AD8" i="7" l="1"/>
  <c r="P30" i="6"/>
  <c r="Q31"/>
  <c r="AE7" i="7" l="1"/>
  <c r="Q32" i="6"/>
  <c r="AF6" i="7"/>
  <c r="AF7" l="1"/>
  <c r="AE8"/>
  <c r="I4" i="22" s="1"/>
  <c r="D32" i="7"/>
  <c r="H32"/>
  <c r="H36" s="1"/>
  <c r="G32"/>
  <c r="G36" s="1"/>
  <c r="E32"/>
  <c r="E36" s="1"/>
  <c r="O32"/>
  <c r="O36" s="1"/>
  <c r="K32"/>
  <c r="Q32"/>
  <c r="Q36" s="1"/>
  <c r="AA32"/>
  <c r="F30"/>
  <c r="L30"/>
  <c r="H30"/>
  <c r="G4" i="15"/>
  <c r="G5" s="1"/>
  <c r="I30" i="7"/>
  <c r="D30"/>
  <c r="J30"/>
  <c r="G30"/>
  <c r="K30"/>
  <c r="N30"/>
  <c r="E30"/>
  <c r="M30"/>
  <c r="O30"/>
  <c r="AF8" l="1"/>
  <c r="B8"/>
  <c r="K35"/>
  <c r="K36"/>
  <c r="D33"/>
  <c r="D36"/>
  <c r="AA35"/>
  <c r="AA36"/>
  <c r="F4" i="15"/>
  <c r="D19" i="7" s="1"/>
  <c r="B9" i="22" s="1"/>
  <c r="F5" i="15"/>
  <c r="E19" i="7" s="1"/>
  <c r="G6" i="15"/>
  <c r="AF30" i="7"/>
  <c r="Q33"/>
  <c r="Q35"/>
  <c r="O35"/>
  <c r="E35"/>
  <c r="E33"/>
  <c r="AA33"/>
  <c r="AC32"/>
  <c r="AC36" s="1"/>
  <c r="U32"/>
  <c r="U36" s="1"/>
  <c r="N32"/>
  <c r="N36" s="1"/>
  <c r="AB32"/>
  <c r="AB36" s="1"/>
  <c r="Z32"/>
  <c r="Z36" s="1"/>
  <c r="P32"/>
  <c r="P36" s="1"/>
  <c r="L32"/>
  <c r="L36" s="1"/>
  <c r="M32"/>
  <c r="M36" s="1"/>
  <c r="X32"/>
  <c r="X36" s="1"/>
  <c r="J32"/>
  <c r="J36" s="1"/>
  <c r="K33"/>
  <c r="H33"/>
  <c r="H35"/>
  <c r="O33"/>
  <c r="W32"/>
  <c r="W36" s="1"/>
  <c r="AE32"/>
  <c r="AE36" s="1"/>
  <c r="G33"/>
  <c r="G35"/>
  <c r="D35"/>
  <c r="S32"/>
  <c r="S36" s="1"/>
  <c r="AF29"/>
  <c r="I32"/>
  <c r="I36" s="1"/>
  <c r="V32"/>
  <c r="V36" s="1"/>
  <c r="Y32"/>
  <c r="Y36" s="1"/>
  <c r="T32"/>
  <c r="T36" s="1"/>
  <c r="AD32"/>
  <c r="AD36" s="1"/>
  <c r="F32"/>
  <c r="F36" s="1"/>
  <c r="R32"/>
  <c r="R36" s="1"/>
  <c r="B8" i="23" l="1"/>
  <c r="B18" i="22"/>
  <c r="B10" i="23" s="1"/>
  <c r="B29"/>
  <c r="E21" i="7"/>
  <c r="D21"/>
  <c r="F6" i="15"/>
  <c r="F19" i="7" s="1"/>
  <c r="F21" s="1"/>
  <c r="G7" i="15"/>
  <c r="L35" i="7"/>
  <c r="L33"/>
  <c r="AC35"/>
  <c r="AC33"/>
  <c r="R33"/>
  <c r="R35"/>
  <c r="S33"/>
  <c r="S35"/>
  <c r="P33"/>
  <c r="P35"/>
  <c r="AD35"/>
  <c r="AD33"/>
  <c r="I33"/>
  <c r="I35"/>
  <c r="M33"/>
  <c r="M35"/>
  <c r="AB33"/>
  <c r="AB35"/>
  <c r="T33"/>
  <c r="T35"/>
  <c r="N35"/>
  <c r="N33"/>
  <c r="Y35"/>
  <c r="Y33"/>
  <c r="W33"/>
  <c r="W35"/>
  <c r="J35"/>
  <c r="J33"/>
  <c r="F33"/>
  <c r="F35"/>
  <c r="V35"/>
  <c r="V33"/>
  <c r="AE35"/>
  <c r="AE33"/>
  <c r="X33"/>
  <c r="X35"/>
  <c r="Z35"/>
  <c r="Z33"/>
  <c r="U35"/>
  <c r="U33"/>
  <c r="B11" i="23" l="1"/>
  <c r="B32"/>
  <c r="B34" s="1"/>
  <c r="C9"/>
  <c r="D22" i="7"/>
  <c r="F7" i="15"/>
  <c r="G19" i="7" s="1"/>
  <c r="G8" i="15"/>
  <c r="D31" i="7" l="1"/>
  <c r="E5" s="1"/>
  <c r="E22" s="1"/>
  <c r="D34"/>
  <c r="B12" i="23"/>
  <c r="B13" s="1"/>
  <c r="G21" i="7"/>
  <c r="F8" i="15"/>
  <c r="H19" i="7" s="1"/>
  <c r="G9" i="15"/>
  <c r="B26" i="23" l="1"/>
  <c r="B19"/>
  <c r="E34" i="7"/>
  <c r="H21"/>
  <c r="C9" i="22"/>
  <c r="E31" i="7"/>
  <c r="F5" s="1"/>
  <c r="G10" i="15"/>
  <c r="F9"/>
  <c r="I19" i="7" s="1"/>
  <c r="C8" i="23" l="1"/>
  <c r="C18" i="22"/>
  <c r="C10" i="23" s="1"/>
  <c r="C29"/>
  <c r="B27"/>
  <c r="B35" s="1"/>
  <c r="I21" i="7"/>
  <c r="F22"/>
  <c r="G11" i="15"/>
  <c r="F10"/>
  <c r="J19" i="7" s="1"/>
  <c r="J21" s="1"/>
  <c r="C11" i="23" l="1"/>
  <c r="C12" s="1"/>
  <c r="C19" s="1"/>
  <c r="F34" i="7"/>
  <c r="C32" i="23"/>
  <c r="C34" s="1"/>
  <c r="D9"/>
  <c r="F31" i="7"/>
  <c r="G5" s="1"/>
  <c r="G12" i="15"/>
  <c r="F11"/>
  <c r="K19" i="7" s="1"/>
  <c r="C13" i="23" l="1"/>
  <c r="K21" i="7"/>
  <c r="D9" i="22"/>
  <c r="G22" i="7"/>
  <c r="G13" i="15"/>
  <c r="F12"/>
  <c r="L19" i="7" s="1"/>
  <c r="L21" s="1"/>
  <c r="D8" i="23" l="1"/>
  <c r="D18" i="22"/>
  <c r="D10" i="23" s="1"/>
  <c r="D29"/>
  <c r="C26"/>
  <c r="C27" s="1"/>
  <c r="C35" s="1"/>
  <c r="G34" i="7"/>
  <c r="G31"/>
  <c r="H5" s="1"/>
  <c r="F13" i="15"/>
  <c r="M19" i="7" s="1"/>
  <c r="G14" i="15"/>
  <c r="D11" i="23" l="1"/>
  <c r="D12" s="1"/>
  <c r="D19" s="1"/>
  <c r="M21" i="7"/>
  <c r="D32" i="23"/>
  <c r="D34" s="1"/>
  <c r="E9"/>
  <c r="H22" i="7"/>
  <c r="G15" i="15"/>
  <c r="F14"/>
  <c r="N19" i="7" s="1"/>
  <c r="N21" s="1"/>
  <c r="D13" i="23" l="1"/>
  <c r="H34" i="7"/>
  <c r="H31"/>
  <c r="I5" s="1"/>
  <c r="F15" i="15"/>
  <c r="O19" i="7" s="1"/>
  <c r="O21" s="1"/>
  <c r="G16" i="15"/>
  <c r="D26" i="23" l="1"/>
  <c r="D27" s="1"/>
  <c r="D35" s="1"/>
  <c r="I22" i="7"/>
  <c r="I34" s="1"/>
  <c r="G17" i="15"/>
  <c r="F16"/>
  <c r="P19" i="7" s="1"/>
  <c r="P21" l="1"/>
  <c r="E9" i="22"/>
  <c r="I31" i="7"/>
  <c r="J5" s="1"/>
  <c r="F17" i="15"/>
  <c r="Q19" i="7" s="1"/>
  <c r="G18" i="15"/>
  <c r="E8" i="23" l="1"/>
  <c r="E18" i="22"/>
  <c r="E10" i="23" s="1"/>
  <c r="E29"/>
  <c r="Q21" i="7"/>
  <c r="J22"/>
  <c r="J34" s="1"/>
  <c r="G19" i="15"/>
  <c r="F18"/>
  <c r="R19" i="7" s="1"/>
  <c r="R21" s="1"/>
  <c r="E11" i="23" l="1"/>
  <c r="E12" s="1"/>
  <c r="E19" s="1"/>
  <c r="F9"/>
  <c r="E32"/>
  <c r="E34" s="1"/>
  <c r="J31" i="7"/>
  <c r="K5" s="1"/>
  <c r="F19" i="15"/>
  <c r="S19" i="7" s="1"/>
  <c r="G20" i="15"/>
  <c r="S21" i="7" l="1"/>
  <c r="E13" i="23"/>
  <c r="K22" i="7"/>
  <c r="K34" s="1"/>
  <c r="G21" i="15"/>
  <c r="F20"/>
  <c r="T19" i="7" s="1"/>
  <c r="T21" s="1"/>
  <c r="E26" i="23" l="1"/>
  <c r="E27" s="1"/>
  <c r="E35" s="1"/>
  <c r="F9" i="22"/>
  <c r="K31" i="7"/>
  <c r="L5" s="1"/>
  <c r="F21" i="15"/>
  <c r="U19" i="7" s="1"/>
  <c r="G22" i="15"/>
  <c r="F8" i="23" l="1"/>
  <c r="F18" i="22"/>
  <c r="F10" i="23" s="1"/>
  <c r="F29"/>
  <c r="U21" i="7"/>
  <c r="L22"/>
  <c r="L34" s="1"/>
  <c r="G23" i="15"/>
  <c r="F22"/>
  <c r="V19" i="7" s="1"/>
  <c r="V21" s="1"/>
  <c r="F11" i="23" l="1"/>
  <c r="F32"/>
  <c r="F34" s="1"/>
  <c r="G9"/>
  <c r="L31" i="7"/>
  <c r="M5" s="1"/>
  <c r="G24" i="15"/>
  <c r="F23"/>
  <c r="W19" i="7" s="1"/>
  <c r="W21" s="1"/>
  <c r="F12" i="23" l="1"/>
  <c r="F19" s="1"/>
  <c r="M22" i="7"/>
  <c r="M34" s="1"/>
  <c r="G25" i="15"/>
  <c r="F24"/>
  <c r="X19" i="7" s="1"/>
  <c r="F13" i="23" l="1"/>
  <c r="X21" i="7"/>
  <c r="G9" i="22"/>
  <c r="M31" i="7"/>
  <c r="N5" s="1"/>
  <c r="F25" i="15"/>
  <c r="Y19" i="7" s="1"/>
  <c r="G26" i="15"/>
  <c r="G8" i="23" l="1"/>
  <c r="G18" i="22"/>
  <c r="G10" i="23" s="1"/>
  <c r="G29"/>
  <c r="F26"/>
  <c r="F27" s="1"/>
  <c r="F35" s="1"/>
  <c r="Y21" i="7"/>
  <c r="N22"/>
  <c r="N34" s="1"/>
  <c r="F26" i="15"/>
  <c r="Z19" i="7" s="1"/>
  <c r="Z21" s="1"/>
  <c r="G27" i="15"/>
  <c r="G11" i="23" l="1"/>
  <c r="G12" s="1"/>
  <c r="G13" s="1"/>
  <c r="H9"/>
  <c r="G32"/>
  <c r="G34" s="1"/>
  <c r="N31" i="7"/>
  <c r="O5" s="1"/>
  <c r="G28" i="15"/>
  <c r="F27"/>
  <c r="AA19" i="7" s="1"/>
  <c r="G26" i="23" l="1"/>
  <c r="G27" s="1"/>
  <c r="AA21" i="7"/>
  <c r="O22"/>
  <c r="O34" s="1"/>
  <c r="F28" i="15"/>
  <c r="G29"/>
  <c r="O31" i="7" l="1"/>
  <c r="P5" s="1"/>
  <c r="B17" i="5"/>
  <c r="AB19" i="7"/>
  <c r="F29" i="15"/>
  <c r="AC19" i="7" s="1"/>
  <c r="G30" i="15"/>
  <c r="AC21" i="7" l="1"/>
  <c r="AB21"/>
  <c r="H9" i="22"/>
  <c r="P22" i="7"/>
  <c r="P34" s="1"/>
  <c r="D16" i="5"/>
  <c r="D17" s="1"/>
  <c r="B19" i="7"/>
  <c r="B21" s="1"/>
  <c r="E9" i="5"/>
  <c r="E12"/>
  <c r="E10"/>
  <c r="E13"/>
  <c r="E15"/>
  <c r="E8"/>
  <c r="E11"/>
  <c r="E7"/>
  <c r="E14"/>
  <c r="E6"/>
  <c r="G31" i="15"/>
  <c r="F31" s="1"/>
  <c r="AE19" i="7" s="1"/>
  <c r="F30" i="15"/>
  <c r="AD19" i="7" s="1"/>
  <c r="AD21" s="1"/>
  <c r="E16" i="5"/>
  <c r="H8" i="23" l="1"/>
  <c r="H18" i="22"/>
  <c r="H10" i="23" s="1"/>
  <c r="H29"/>
  <c r="I9" i="22"/>
  <c r="P31" i="7"/>
  <c r="Q5" s="1"/>
  <c r="AE21"/>
  <c r="AF19"/>
  <c r="E17" i="5"/>
  <c r="F32" i="15"/>
  <c r="B25" i="5"/>
  <c r="I8" i="23" l="1"/>
  <c r="I18" i="22"/>
  <c r="I10" i="23" s="1"/>
  <c r="I32" s="1"/>
  <c r="I34" s="1"/>
  <c r="I29"/>
  <c r="H11"/>
  <c r="I9"/>
  <c r="H32"/>
  <c r="H34" s="1"/>
  <c r="Q22" i="7"/>
  <c r="Q34" s="1"/>
  <c r="AF21"/>
  <c r="E20" i="5"/>
  <c r="E22"/>
  <c r="E21"/>
  <c r="E24"/>
  <c r="E23"/>
  <c r="I11" i="23" l="1"/>
  <c r="I12" s="1"/>
  <c r="I13" s="1"/>
  <c r="H12"/>
  <c r="H13" s="1"/>
  <c r="Q31" i="7"/>
  <c r="R5" s="1"/>
  <c r="E25" i="5"/>
  <c r="I26" i="23" l="1"/>
  <c r="I27" s="1"/>
  <c r="H26"/>
  <c r="H27" s="1"/>
  <c r="R22" i="7"/>
  <c r="R34" s="1"/>
  <c r="R31" l="1"/>
  <c r="S5" s="1"/>
  <c r="S22" l="1"/>
  <c r="S34" s="1"/>
  <c r="S31" l="1"/>
  <c r="T5" s="1"/>
  <c r="T22" l="1"/>
  <c r="T34" s="1"/>
  <c r="T31" l="1"/>
  <c r="U5" s="1"/>
  <c r="U22" l="1"/>
  <c r="U34" s="1"/>
  <c r="U31" l="1"/>
  <c r="V5" s="1"/>
  <c r="V22" l="1"/>
  <c r="V34" s="1"/>
  <c r="V31" l="1"/>
  <c r="W5" s="1"/>
  <c r="W22" l="1"/>
  <c r="W34" s="1"/>
  <c r="W31" l="1"/>
  <c r="X5" s="1"/>
  <c r="X22" l="1"/>
  <c r="X34" s="1"/>
  <c r="X31" l="1"/>
  <c r="Y5" s="1"/>
  <c r="Y22" l="1"/>
  <c r="Y34" s="1"/>
  <c r="Y31" l="1"/>
  <c r="Z5" s="1"/>
  <c r="Z22" l="1"/>
  <c r="Z34" s="1"/>
  <c r="Z31" l="1"/>
  <c r="AA5" s="1"/>
  <c r="AA22" l="1"/>
  <c r="AA34" s="1"/>
  <c r="AA31" l="1"/>
  <c r="AB5" s="1"/>
  <c r="AB22" l="1"/>
  <c r="AB31" l="1"/>
  <c r="AC5" s="1"/>
  <c r="AC22" l="1"/>
  <c r="AC31" l="1"/>
  <c r="AD5" s="1"/>
  <c r="AD22" l="1"/>
  <c r="AD31" s="1"/>
  <c r="AE5" s="1"/>
  <c r="AE22" l="1"/>
  <c r="AE31" s="1"/>
</calcChain>
</file>

<file path=xl/sharedStrings.xml><?xml version="1.0" encoding="utf-8"?>
<sst xmlns="http://schemas.openxmlformats.org/spreadsheetml/2006/main" count="624" uniqueCount="222">
  <si>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</si>
  <si>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</si>
  <si>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</si>
  <si>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</si>
  <si>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</si>
  <si>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</si>
  <si>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</si>
  <si>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</si>
  <si>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</si>
  <si>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</si>
  <si>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</si>
  <si>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</si>
  <si>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</si>
  <si>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</si>
  <si>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</si>
  <si>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>Bank Finance - Working Capital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</si>
  <si>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</si>
  <si>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</si>
  <si>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</si>
  <si>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</si>
  <si>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</si>
  <si>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</si>
  <si>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</si>
  <si>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</si>
  <si>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</si>
  <si>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</si>
  <si>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</si>
  <si>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</si>
  <si>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</si>
  <si>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</si>
  <si>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</si>
  <si>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</si>
  <si>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</si>
  <si>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</si>
  <si>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</si>
  <si>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</si>
  <si>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</si>
  <si>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</si>
  <si>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</si>
  <si>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</si>
  <si>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</si>
  <si>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</si>
  <si>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</si>
  <si>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</si>
  <si>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</si>
  <si>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</si>
  <si>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</si>
  <si>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</si>
  <si>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</si>
  <si>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>3 BHK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</si>
  <si>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</si>
  <si>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</si>
  <si>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</si>
  <si>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</si>
  <si>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</si>
  <si>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</si>
  <si>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</si>
  <si>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</si>
  <si>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</si>
  <si>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</si>
  <si>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</si>
  <si>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</si>
  <si>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</si>
  <si>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</si>
  <si>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Incurred</t>
  </si>
  <si>
    <t>Square Feet</t>
  </si>
  <si>
    <t>To be incurred</t>
  </si>
  <si>
    <t>Podium 2nd Slab</t>
  </si>
  <si>
    <t>Internal Finishing</t>
  </si>
  <si>
    <t>Incurred up to Oct 2022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</si>
  <si>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</si>
  <si>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</si>
  <si>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</si>
  <si>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</si>
  <si>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</si>
  <si>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</si>
  <si>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</si>
  <si>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</si>
  <si>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</si>
  <si>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</si>
  <si>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</si>
  <si>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</si>
  <si>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</si>
  <si>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</si>
  <si>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</si>
  <si>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</si>
  <si>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</si>
  <si>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</si>
  <si>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</si>
  <si>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</si>
  <si>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</si>
  <si>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</si>
  <si>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</si>
  <si>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1BHK</t>
  </si>
  <si>
    <t>2 BHK</t>
  </si>
  <si>
    <t>Shops</t>
  </si>
  <si>
    <t>6th Slab</t>
  </si>
  <si>
    <t>12th Slab</t>
  </si>
  <si>
    <t>18th Slab</t>
  </si>
  <si>
    <t>21st Slab</t>
  </si>
  <si>
    <t>Plumbing and Electrical</t>
  </si>
  <si>
    <t>Lift and Other fittings</t>
  </si>
  <si>
    <t>External Painting and Finishing</t>
  </si>
  <si>
    <t>OC Application</t>
  </si>
  <si>
    <t>OC Ready to occupy</t>
  </si>
  <si>
    <t>Podium 4th Slab</t>
  </si>
  <si>
    <t>3rd Slab</t>
  </si>
  <si>
    <t>9th Slab</t>
  </si>
  <si>
    <t>15th Slab</t>
  </si>
  <si>
    <t>24th Slab</t>
  </si>
  <si>
    <t>27th Slab</t>
  </si>
  <si>
    <t>32nd Slab</t>
  </si>
  <si>
    <t>30th Slab</t>
  </si>
  <si>
    <t>Doors &amp; Windows</t>
  </si>
  <si>
    <t>Plinth</t>
  </si>
  <si>
    <t>Finance Cost</t>
  </si>
  <si>
    <t>Excavation &amp; Piling</t>
  </si>
  <si>
    <t>Podium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</si>
  <si>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</si>
  <si>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</si>
  <si>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</si>
  <si>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</si>
  <si>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</si>
  <si>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</si>
  <si>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</si>
  <si>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Adances at Peak Disbursement Level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</si>
  <si>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</si>
  <si>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</si>
  <si>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</si>
  <si>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</si>
  <si>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</si>
  <si>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</si>
  <si>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</si>
  <si>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</si>
  <si>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</si>
  <si>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</si>
  <si>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Kasturi Van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</si>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</sst>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_(&quot;₹&quot;* #,##0.00_);_(&quot;₹&quot;* \(#,##0.00\);_(&quot;₹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Font="1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ont="1" applyFill="1" applyBorder="1" applyProtection="1">
      <protection hidden="1"/>
    </xf>
    <xf numFmtId="2" fontId="0" fillId="0" borderId="0" xfId="0" applyNumberFormat="1" applyFont="1"/>
    <xf numFmtId="2" fontId="0" fillId="3" borderId="3" xfId="0" applyNumberFormat="1" applyFont="1" applyFill="1" applyBorder="1" applyProtection="1">
      <protection hidden="1"/>
    </xf>
    <xf numFmtId="10" fontId="0" fillId="3" borderId="3" xfId="0" applyNumberFormat="1" applyFon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Fill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0" borderId="5" xfId="14" applyFill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Border="1"/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0" fontId="15" fillId="0" borderId="0" xfId="14" applyBorder="1" applyAlignment="1">
      <alignment horizontal="center"/>
    </xf>
    <xf numFmtId="2" fontId="15" fillId="0" borderId="0" xfId="14" applyNumberFormat="1" applyFill="1" applyBorder="1" applyAlignment="1">
      <alignment horizontal="center"/>
    </xf>
    <xf numFmtId="2" fontId="15" fillId="0" borderId="0" xfId="14" applyNumberFormat="1" applyFill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0" fontId="14" fillId="0" borderId="0" xfId="0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0" borderId="0" xfId="0" applyFont="1" applyFill="1"/>
    <xf numFmtId="10" fontId="12" fillId="0" borderId="0" xfId="2" applyNumberFormat="1" applyFont="1" applyFill="1"/>
    <xf numFmtId="165" fontId="12" fillId="0" borderId="0" xfId="1" applyFont="1" applyFill="1"/>
    <xf numFmtId="165" fontId="12" fillId="0" borderId="0" xfId="0" applyNumberFormat="1" applyFont="1" applyFill="1"/>
    <xf numFmtId="2" fontId="12" fillId="0" borderId="0" xfId="2" applyNumberFormat="1" applyFont="1" applyFill="1"/>
    <xf numFmtId="4" fontId="12" fillId="0" borderId="0" xfId="0" applyNumberFormat="1" applyFont="1" applyFill="1"/>
    <xf numFmtId="2" fontId="12" fillId="0" borderId="0" xfId="0" applyNumberFormat="1" applyFont="1" applyFill="1"/>
    <xf numFmtId="0" fontId="18" fillId="0" borderId="0" xfId="0" applyFont="1" applyFill="1" applyBorder="1"/>
    <xf numFmtId="172" fontId="12" fillId="0" borderId="0" xfId="0" applyNumberFormat="1" applyFont="1" applyFill="1"/>
    <xf numFmtId="39" fontId="12" fillId="0" borderId="0" xfId="0" applyNumberFormat="1" applyFont="1" applyFill="1"/>
    <xf numFmtId="165" fontId="12" fillId="12" borderId="12" xfId="1" applyFont="1" applyFill="1" applyBorder="1" applyProtection="1"/>
    <xf numFmtId="165" fontId="12" fillId="5" borderId="12" xfId="1" applyFont="1" applyFill="1" applyBorder="1" applyProtection="1">
      <protection locked="0"/>
    </xf>
    <xf numFmtId="0" fontId="12" fillId="0" borderId="0" xfId="0" applyFont="1" applyAlignment="1">
      <alignment horizontal="center"/>
    </xf>
    <xf numFmtId="168" fontId="12" fillId="10" borderId="11" xfId="1" applyNumberFormat="1" applyFont="1" applyFill="1" applyBorder="1" applyAlignment="1" applyProtection="1">
      <alignment horizontal="right" indent="2"/>
      <protection locked="0"/>
    </xf>
    <xf numFmtId="0" fontId="12" fillId="10" borderId="11" xfId="0" applyFont="1" applyFill="1" applyBorder="1" applyAlignment="1" applyProtection="1">
      <alignment horizontal="right"/>
      <protection locked="0"/>
    </xf>
    <xf numFmtId="165" fontId="12" fillId="10" borderId="11" xfId="1" applyFont="1" applyFill="1" applyBorder="1" applyProtection="1">
      <protection locked="0"/>
    </xf>
    <xf numFmtId="0" fontId="17" fillId="11" borderId="11" xfId="0" applyFont="1" applyFill="1" applyBorder="1" applyAlignment="1" applyProtection="1">
      <alignment horizontal="right" wrapText="1"/>
      <protection locked="0"/>
    </xf>
    <xf numFmtId="165" fontId="12" fillId="11" borderId="11" xfId="1" applyFont="1" applyFill="1" applyBorder="1" applyAlignment="1" applyProtection="1">
      <alignment horizontal="left" vertical="center" wrapText="1"/>
      <protection locked="0"/>
    </xf>
    <xf numFmtId="165" fontId="12" fillId="11" borderId="11" xfId="1" applyFont="1" applyFill="1" applyBorder="1" applyAlignment="1" applyProtection="1">
      <alignment horizontal="left" wrapText="1"/>
      <protection locked="0"/>
    </xf>
    <xf numFmtId="165" fontId="12" fillId="11" borderId="11" xfId="1" applyFont="1" applyFill="1" applyBorder="1" applyAlignment="1" applyProtection="1">
      <alignment horizontal="left"/>
      <protection locked="0"/>
    </xf>
    <xf numFmtId="165" fontId="17" fillId="11" borderId="11" xfId="1" applyFont="1" applyFill="1" applyBorder="1" applyProtection="1">
      <protection locked="0"/>
    </xf>
    <xf numFmtId="0" fontId="17" fillId="13" borderId="12" xfId="0" applyFont="1" applyFill="1" applyBorder="1" applyAlignment="1" applyProtection="1">
      <alignment horizontal="right"/>
      <protection locked="0"/>
    </xf>
    <xf numFmtId="165" fontId="12" fillId="12" borderId="12" xfId="1" applyFont="1" applyFill="1" applyBorder="1" applyProtection="1">
      <protection locked="0"/>
    </xf>
    <xf numFmtId="165" fontId="12" fillId="15" borderId="12" xfId="1" applyFont="1" applyFill="1" applyBorder="1" applyProtection="1">
      <protection locked="0"/>
    </xf>
    <xf numFmtId="165" fontId="17" fillId="16" borderId="12" xfId="1" applyFont="1" applyFill="1" applyBorder="1" applyAlignment="1" applyProtection="1">
      <alignment horizontal="right"/>
      <protection locked="0"/>
    </xf>
    <xf numFmtId="0" fontId="17" fillId="10" borderId="11" xfId="0" applyFont="1" applyFill="1" applyBorder="1" applyProtection="1"/>
    <xf numFmtId="0" fontId="12" fillId="10" borderId="11" xfId="0" applyFont="1" applyFill="1" applyBorder="1" applyAlignment="1" applyProtection="1"/>
    <xf numFmtId="0" fontId="12" fillId="10" borderId="11" xfId="0" applyFont="1" applyFill="1" applyBorder="1" applyProtection="1"/>
    <xf numFmtId="0" fontId="17" fillId="11" borderId="11" xfId="0" applyFont="1" applyFill="1" applyBorder="1" applyProtection="1"/>
    <xf numFmtId="0" fontId="12" fillId="11" borderId="11" xfId="0" applyFont="1" applyFill="1" applyBorder="1" applyProtection="1"/>
    <xf numFmtId="0" fontId="12" fillId="11" borderId="11" xfId="0" applyFont="1" applyFill="1" applyBorder="1" applyAlignment="1" applyProtection="1"/>
    <xf numFmtId="0" fontId="12" fillId="11" borderId="11" xfId="0" applyFont="1" applyFill="1" applyBorder="1" applyAlignment="1" applyProtection="1">
      <alignment wrapText="1"/>
    </xf>
    <xf numFmtId="10" fontId="12" fillId="11" borderId="11" xfId="2" applyNumberFormat="1" applyFont="1" applyFill="1" applyBorder="1" applyProtection="1"/>
    <xf numFmtId="10" fontId="17" fillId="11" borderId="11" xfId="2" applyNumberFormat="1" applyFont="1" applyFill="1" applyBorder="1" applyProtection="1"/>
    <xf numFmtId="0" fontId="17" fillId="11" borderId="11" xfId="0" applyFont="1" applyFill="1" applyBorder="1" applyAlignment="1" applyProtection="1">
      <alignment horizontal="right" wrapText="1"/>
    </xf>
    <xf numFmtId="165" fontId="12" fillId="11" borderId="11" xfId="1" applyFont="1" applyFill="1" applyBorder="1" applyAlignment="1" applyProtection="1">
      <alignment horizontal="left" vertical="center" wrapText="1"/>
    </xf>
    <xf numFmtId="165" fontId="12" fillId="11" borderId="11" xfId="1" applyFont="1" applyFill="1" applyBorder="1" applyAlignment="1" applyProtection="1">
      <alignment horizontal="left" wrapText="1"/>
    </xf>
    <xf numFmtId="165" fontId="12" fillId="11" borderId="11" xfId="1" applyFont="1" applyFill="1" applyBorder="1" applyAlignment="1" applyProtection="1">
      <alignment horizontal="left"/>
    </xf>
    <xf numFmtId="165" fontId="17" fillId="11" borderId="11" xfId="1" applyFont="1" applyFill="1" applyBorder="1" applyProtection="1"/>
    <xf numFmtId="0" fontId="17" fillId="13" borderId="12" xfId="0" applyFont="1" applyFill="1" applyBorder="1" applyAlignment="1" applyProtection="1"/>
    <xf numFmtId="0" fontId="19" fillId="12" borderId="12" xfId="0" applyFont="1" applyFill="1" applyBorder="1" applyProtection="1"/>
    <xf numFmtId="0" fontId="19" fillId="15" borderId="12" xfId="0" applyFont="1" applyFill="1" applyBorder="1" applyProtection="1"/>
    <xf numFmtId="0" fontId="19" fillId="5" borderId="12" xfId="0" applyFont="1" applyFill="1" applyBorder="1" applyProtection="1"/>
    <xf numFmtId="0" fontId="18" fillId="16" borderId="12" xfId="0" applyFont="1" applyFill="1" applyBorder="1" applyProtection="1"/>
    <xf numFmtId="0" fontId="17" fillId="13" borderId="12" xfId="0" applyFont="1" applyFill="1" applyBorder="1" applyAlignment="1" applyProtection="1">
      <alignment horizontal="right"/>
    </xf>
    <xf numFmtId="10" fontId="12" fillId="12" borderId="12" xfId="2" applyNumberFormat="1" applyFont="1" applyFill="1" applyBorder="1" applyProtection="1"/>
    <xf numFmtId="10" fontId="17" fillId="15" borderId="12" xfId="2" applyNumberFormat="1" applyFont="1" applyFill="1" applyBorder="1" applyProtection="1"/>
    <xf numFmtId="10" fontId="17" fillId="5" borderId="12" xfId="2" applyNumberFormat="1" applyFont="1" applyFill="1" applyBorder="1" applyProtection="1"/>
    <xf numFmtId="10" fontId="17" fillId="16" borderId="12" xfId="2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13" borderId="15" xfId="0" applyFont="1" applyFill="1" applyBorder="1" applyAlignment="1" applyProtection="1">
      <alignment wrapText="1"/>
      <protection locked="0"/>
    </xf>
    <xf numFmtId="0" fontId="17" fillId="13" borderId="15" xfId="0" applyFont="1" applyFill="1" applyBorder="1" applyAlignment="1" applyProtection="1">
      <alignment horizontal="center" wrapText="1"/>
      <protection locked="0"/>
    </xf>
    <xf numFmtId="0" fontId="17" fillId="13" borderId="15" xfId="0" applyFont="1" applyFill="1" applyBorder="1" applyAlignment="1" applyProtection="1">
      <alignment horizontal="right" wrapText="1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0" fontId="12" fillId="20" borderId="16" xfId="0" applyNumberFormat="1" applyFont="1" applyFill="1" applyBorder="1" applyProtection="1">
      <protection locked="0"/>
    </xf>
    <xf numFmtId="43" fontId="21" fillId="20" borderId="16" xfId="0" applyNumberFormat="1" applyFont="1" applyFill="1" applyBorder="1" applyAlignment="1" applyProtection="1">
      <alignment horizontal="center"/>
      <protection locked="0"/>
    </xf>
    <xf numFmtId="164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0" fontId="17" fillId="13" borderId="15" xfId="0" applyFont="1" applyFill="1" applyBorder="1" applyAlignment="1" applyProtection="1">
      <alignment horizontal="right" wrapText="1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 applyProtection="1"/>
    <xf numFmtId="0" fontId="17" fillId="17" borderId="16" xfId="0" applyFont="1" applyFill="1" applyBorder="1" applyAlignment="1" applyProtection="1">
      <alignment horizontal="right" wrapText="1"/>
    </xf>
    <xf numFmtId="0" fontId="20" fillId="17" borderId="16" xfId="0" applyFont="1" applyFill="1" applyBorder="1" applyAlignment="1" applyProtection="1">
      <alignment horizontal="center"/>
    </xf>
    <xf numFmtId="10" fontId="12" fillId="20" borderId="16" xfId="0" applyNumberFormat="1" applyFont="1" applyFill="1" applyBorder="1" applyProtection="1"/>
    <xf numFmtId="43" fontId="21" fillId="20" borderId="16" xfId="0" applyNumberFormat="1" applyFont="1" applyFill="1" applyBorder="1" applyAlignment="1" applyProtection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1" borderId="15" xfId="0" applyNumberFormat="1" applyFont="1" applyFill="1" applyBorder="1" applyAlignment="1" applyProtection="1">
      <alignment horizontal="center"/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 applyProtection="1">
      <alignment horizontal="center"/>
    </xf>
    <xf numFmtId="0" fontId="17" fillId="15" borderId="15" xfId="0" applyFont="1" applyFill="1" applyBorder="1" applyAlignment="1" applyProtection="1">
      <alignment horizontal="center"/>
    </xf>
    <xf numFmtId="0" fontId="20" fillId="11" borderId="15" xfId="0" applyFont="1" applyFill="1" applyBorder="1" applyAlignment="1" applyProtection="1">
      <alignment horizontal="center"/>
    </xf>
    <xf numFmtId="167" fontId="12" fillId="15" borderId="15" xfId="0" applyNumberFormat="1" applyFont="1" applyFill="1" applyBorder="1" applyAlignment="1" applyProtection="1">
      <alignment horizontal="center"/>
    </xf>
    <xf numFmtId="167" fontId="21" fillId="11" borderId="15" xfId="0" applyNumberFormat="1" applyFont="1" applyFill="1" applyBorder="1" applyAlignment="1" applyProtection="1">
      <alignment horizontal="center"/>
    </xf>
    <xf numFmtId="0" fontId="17" fillId="22" borderId="15" xfId="0" applyFont="1" applyFill="1" applyBorder="1" applyAlignment="1" applyProtection="1">
      <alignment horizontal="center" wrapText="1"/>
    </xf>
    <xf numFmtId="0" fontId="17" fillId="23" borderId="15" xfId="0" applyFont="1" applyFill="1" applyBorder="1" applyAlignment="1" applyProtection="1">
      <alignment horizontal="right" wrapText="1"/>
    </xf>
    <xf numFmtId="0" fontId="17" fillId="3" borderId="15" xfId="0" applyFont="1" applyFill="1" applyBorder="1" applyAlignment="1" applyProtection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 applyProtection="1">
      <alignment horizontal="right" wrapText="1"/>
    </xf>
    <xf numFmtId="0" fontId="17" fillId="24" borderId="15" xfId="0" applyFont="1" applyFill="1" applyBorder="1" applyAlignment="1" applyProtection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 applyProtection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 applyProtection="1"/>
    <xf numFmtId="165" fontId="12" fillId="24" borderId="15" xfId="1" applyNumberFormat="1" applyFont="1" applyFill="1" applyBorder="1" applyProtection="1"/>
    <xf numFmtId="165" fontId="12" fillId="24" borderId="15" xfId="0" applyNumberFormat="1" applyFont="1" applyFill="1" applyBorder="1" applyProtection="1"/>
    <xf numFmtId="4" fontId="14" fillId="25" borderId="3" xfId="1" applyNumberFormat="1" applyFont="1" applyFill="1" applyBorder="1" applyProtection="1">
      <protection locked="0"/>
    </xf>
    <xf numFmtId="4" fontId="14" fillId="26" borderId="3" xfId="1" applyNumberFormat="1" applyFont="1" applyFill="1" applyBorder="1" applyProtection="1">
      <protection locked="0"/>
    </xf>
    <xf numFmtId="4" fontId="14" fillId="10" borderId="3" xfId="1" applyNumberFormat="1" applyFont="1" applyFill="1" applyBorder="1" applyProtection="1">
      <protection locked="0"/>
    </xf>
    <xf numFmtId="4" fontId="14" fillId="3" borderId="3" xfId="1" applyNumberFormat="1" applyFont="1" applyFill="1" applyBorder="1" applyProtection="1">
      <protection locked="0"/>
    </xf>
    <xf numFmtId="4" fontId="14" fillId="13" borderId="3" xfId="1" applyNumberFormat="1" applyFont="1" applyFill="1" applyBorder="1" applyProtection="1">
      <protection locked="0"/>
    </xf>
    <xf numFmtId="10" fontId="17" fillId="12" borderId="15" xfId="1" applyNumberFormat="1" applyFont="1" applyFill="1" applyBorder="1" applyAlignment="1">
      <alignment horizontal="right"/>
    </xf>
    <xf numFmtId="165" fontId="12" fillId="12" borderId="15" xfId="1" applyFont="1" applyFill="1" applyBorder="1" applyAlignment="1">
      <alignment horizontal="right"/>
    </xf>
    <xf numFmtId="0" fontId="12" fillId="0" borderId="0" xfId="0" applyFont="1"/>
    <xf numFmtId="0" fontId="17" fillId="11" borderId="15" xfId="0" applyFont="1" applyFill="1" applyBorder="1" applyAlignment="1">
      <alignment horizontal="center"/>
    </xf>
    <xf numFmtId="165" fontId="17" fillId="11" borderId="15" xfId="1" applyFont="1" applyFill="1" applyBorder="1" applyAlignment="1">
      <alignment horizontal="right"/>
    </xf>
    <xf numFmtId="0" fontId="12" fillId="18" borderId="15" xfId="0" applyFont="1" applyFill="1" applyBorder="1" applyAlignment="1">
      <alignment horizontal="center"/>
    </xf>
    <xf numFmtId="167" fontId="12" fillId="18" borderId="15" xfId="0" applyNumberFormat="1" applyFont="1" applyFill="1" applyBorder="1" applyAlignment="1">
      <alignment horizontal="center"/>
    </xf>
    <xf numFmtId="39" fontId="12" fillId="18" borderId="15" xfId="1" applyNumberFormat="1" applyFont="1" applyFill="1" applyBorder="1" applyAlignment="1">
      <alignment horizontal="right"/>
    </xf>
    <xf numFmtId="17" fontId="12" fillId="0" borderId="0" xfId="0" applyNumberFormat="1" applyFont="1"/>
    <xf numFmtId="39" fontId="12" fillId="0" borderId="0" xfId="1" applyNumberFormat="1" applyFont="1" applyFill="1" applyBorder="1" applyAlignment="1">
      <alignment horizontal="right"/>
    </xf>
    <xf numFmtId="0" fontId="17" fillId="0" borderId="15" xfId="0" applyFont="1" applyFill="1" applyBorder="1" applyAlignment="1">
      <alignment horizontal="center"/>
    </xf>
    <xf numFmtId="167" fontId="12" fillId="0" borderId="15" xfId="0" applyNumberFormat="1" applyFont="1" applyFill="1" applyBorder="1" applyAlignment="1">
      <alignment horizontal="center"/>
    </xf>
    <xf numFmtId="39" fontId="17" fillId="0" borderId="15" xfId="1" applyNumberFormat="1" applyFont="1" applyFill="1" applyBorder="1" applyAlignment="1">
      <alignment horizontal="right"/>
    </xf>
    <xf numFmtId="39" fontId="12" fillId="0" borderId="15" xfId="1" applyNumberFormat="1" applyFont="1" applyFill="1" applyBorder="1" applyAlignment="1">
      <alignment horizontal="right"/>
    </xf>
    <xf numFmtId="167" fontId="12" fillId="0" borderId="0" xfId="0" applyNumberFormat="1" applyFont="1" applyAlignment="1">
      <alignment horizontal="center"/>
    </xf>
    <xf numFmtId="165" fontId="12" fillId="0" borderId="0" xfId="1" applyFont="1" applyAlignment="1">
      <alignment horizontal="right"/>
    </xf>
    <xf numFmtId="0" fontId="20" fillId="11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0" fontId="17" fillId="0" borderId="0" xfId="0" applyFont="1"/>
    <xf numFmtId="17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7" fontId="17" fillId="0" borderId="0" xfId="0" applyNumberFormat="1" applyFont="1"/>
    <xf numFmtId="165" fontId="12" fillId="0" borderId="0" xfId="1" applyFont="1"/>
    <xf numFmtId="4" fontId="12" fillId="0" borderId="0" xfId="0" applyNumberFormat="1" applyFont="1"/>
    <xf numFmtId="0" fontId="26" fillId="0" borderId="0" xfId="0" applyFont="1"/>
    <xf numFmtId="168" fontId="12" fillId="0" borderId="0" xfId="1" applyNumberFormat="1" applyFont="1"/>
    <xf numFmtId="9" fontId="12" fillId="0" borderId="0" xfId="2" applyNumberFormat="1" applyFont="1"/>
    <xf numFmtId="9" fontId="12" fillId="0" borderId="0" xfId="2" applyFont="1"/>
    <xf numFmtId="165" fontId="12" fillId="0" borderId="0" xfId="0" applyNumberFormat="1" applyFont="1"/>
    <xf numFmtId="0" fontId="13" fillId="32" borderId="22" xfId="0" applyFont="1" applyFill="1" applyBorder="1"/>
    <xf numFmtId="165" fontId="13" fillId="32" borderId="22" xfId="1" applyFont="1" applyFill="1" applyBorder="1" applyAlignment="1">
      <alignment horizontal="right"/>
    </xf>
    <xf numFmtId="0" fontId="14" fillId="33" borderId="22" xfId="0" applyFont="1" applyFill="1" applyBorder="1"/>
    <xf numFmtId="165" fontId="14" fillId="33" borderId="22" xfId="1" applyFont="1" applyFill="1" applyBorder="1"/>
    <xf numFmtId="0" fontId="13" fillId="18" borderId="22" xfId="0" applyFont="1" applyFill="1" applyBorder="1"/>
    <xf numFmtId="165" fontId="14" fillId="18" borderId="22" xfId="1" applyFont="1" applyFill="1" applyBorder="1"/>
    <xf numFmtId="4" fontId="14" fillId="18" borderId="22" xfId="0" applyNumberFormat="1" applyFont="1" applyFill="1" applyBorder="1"/>
    <xf numFmtId="0" fontId="14" fillId="18" borderId="22" xfId="0" applyFont="1" applyFill="1" applyBorder="1"/>
    <xf numFmtId="0" fontId="14" fillId="34" borderId="22" xfId="0" applyFont="1" applyFill="1" applyBorder="1"/>
    <xf numFmtId="165" fontId="14" fillId="34" borderId="22" xfId="0" applyNumberFormat="1" applyFont="1" applyFill="1" applyBorder="1"/>
    <xf numFmtId="165" fontId="14" fillId="34" borderId="22" xfId="1" applyFont="1" applyFill="1" applyBorder="1"/>
    <xf numFmtId="0" fontId="13" fillId="4" borderId="22" xfId="0" applyFont="1" applyFill="1" applyBorder="1"/>
    <xf numFmtId="165" fontId="13" fillId="4" borderId="22" xfId="0" applyNumberFormat="1" applyFont="1" applyFill="1" applyBorder="1"/>
    <xf numFmtId="0" fontId="25" fillId="4" borderId="22" xfId="0" applyFont="1" applyFill="1" applyBorder="1"/>
    <xf numFmtId="165" fontId="25" fillId="4" borderId="22" xfId="0" applyNumberFormat="1" applyFont="1" applyFill="1" applyBorder="1"/>
    <xf numFmtId="0" fontId="25" fillId="0" borderId="0" xfId="0" applyFont="1"/>
    <xf numFmtId="0" fontId="14" fillId="32" borderId="23" xfId="0" applyFont="1" applyFill="1" applyBorder="1"/>
    <xf numFmtId="165" fontId="14" fillId="32" borderId="23" xfId="1" applyFont="1" applyFill="1" applyBorder="1"/>
    <xf numFmtId="0" fontId="14" fillId="11" borderId="23" xfId="0" applyFont="1" applyFill="1" applyBorder="1"/>
    <xf numFmtId="165" fontId="14" fillId="11" borderId="23" xfId="0" applyNumberFormat="1" applyFont="1" applyFill="1" applyBorder="1"/>
    <xf numFmtId="0" fontId="14" fillId="34" borderId="23" xfId="0" applyFont="1" applyFill="1" applyBorder="1"/>
    <xf numFmtId="165" fontId="14" fillId="34" borderId="23" xfId="1" applyFont="1" applyFill="1" applyBorder="1"/>
    <xf numFmtId="0" fontId="13" fillId="5" borderId="23" xfId="0" applyFont="1" applyFill="1" applyBorder="1"/>
    <xf numFmtId="165" fontId="13" fillId="5" borderId="23" xfId="1" applyFont="1" applyFill="1" applyBorder="1"/>
    <xf numFmtId="0" fontId="14" fillId="35" borderId="23" xfId="0" applyFont="1" applyFill="1" applyBorder="1"/>
    <xf numFmtId="165" fontId="14" fillId="35" borderId="23" xfId="1" applyFont="1" applyFill="1" applyBorder="1"/>
    <xf numFmtId="165" fontId="14" fillId="5" borderId="23" xfId="1" applyFont="1" applyFill="1" applyBorder="1"/>
    <xf numFmtId="165" fontId="14" fillId="0" borderId="0" xfId="0" applyNumberFormat="1" applyFont="1"/>
    <xf numFmtId="0" fontId="14" fillId="0" borderId="0" xfId="0" applyFont="1" applyProtection="1">
      <protection locked="0"/>
    </xf>
    <xf numFmtId="0" fontId="23" fillId="16" borderId="3" xfId="0" applyFont="1" applyFill="1" applyBorder="1" applyAlignment="1" applyProtection="1">
      <alignment horizontal="center"/>
      <protection locked="0"/>
    </xf>
    <xf numFmtId="0" fontId="23" fillId="16" borderId="3" xfId="0" applyFont="1" applyFill="1" applyBorder="1" applyAlignment="1" applyProtection="1">
      <alignment horizontal="right" wrapText="1"/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0" fontId="24" fillId="14" borderId="3" xfId="0" applyFont="1" applyFill="1" applyBorder="1" applyProtection="1">
      <protection locked="0"/>
    </xf>
    <xf numFmtId="2" fontId="25" fillId="14" borderId="3" xfId="0" applyNumberFormat="1" applyFont="1" applyFill="1" applyBorder="1" applyProtection="1">
      <protection locked="0"/>
    </xf>
    <xf numFmtId="17" fontId="14" fillId="0" borderId="0" xfId="0" applyNumberFormat="1" applyFont="1" applyProtection="1">
      <protection locked="0"/>
    </xf>
    <xf numFmtId="0" fontId="14" fillId="11" borderId="3" xfId="0" applyFont="1" applyFill="1" applyBorder="1" applyProtection="1">
      <protection locked="0"/>
    </xf>
    <xf numFmtId="2" fontId="14" fillId="11" borderId="3" xfId="0" applyNumberFormat="1" applyFont="1" applyFill="1" applyBorder="1" applyProtection="1">
      <protection locked="0"/>
    </xf>
    <xf numFmtId="165" fontId="14" fillId="0" borderId="0" xfId="1" applyFont="1" applyProtection="1">
      <protection locked="0"/>
    </xf>
    <xf numFmtId="0" fontId="13" fillId="23" borderId="3" xfId="0" applyFont="1" applyFill="1" applyBorder="1" applyProtection="1">
      <protection locked="0"/>
    </xf>
    <xf numFmtId="2" fontId="13" fillId="23" borderId="3" xfId="0" applyNumberFormat="1" applyFont="1" applyFill="1" applyBorder="1" applyProtection="1">
      <protection locked="0"/>
    </xf>
    <xf numFmtId="43" fontId="14" fillId="0" borderId="0" xfId="3" applyFont="1" applyProtection="1">
      <protection locked="0"/>
    </xf>
    <xf numFmtId="0" fontId="14" fillId="25" borderId="3" xfId="0" applyFont="1" applyFill="1" applyBorder="1" applyAlignment="1" applyProtection="1">
      <protection locked="0"/>
    </xf>
    <xf numFmtId="165" fontId="13" fillId="25" borderId="3" xfId="0" applyNumberFormat="1" applyFont="1" applyFill="1" applyBorder="1" applyAlignment="1" applyProtection="1">
      <protection locked="0"/>
    </xf>
    <xf numFmtId="165" fontId="14" fillId="25" borderId="3" xfId="0" applyNumberFormat="1" applyFont="1" applyFill="1" applyBorder="1" applyAlignment="1" applyProtection="1">
      <protection locked="0"/>
    </xf>
    <xf numFmtId="4" fontId="13" fillId="25" borderId="3" xfId="0" applyNumberFormat="1" applyFont="1" applyFill="1" applyBorder="1" applyAlignment="1" applyProtection="1">
      <protection locked="0"/>
    </xf>
    <xf numFmtId="0" fontId="13" fillId="25" borderId="3" xfId="0" applyFont="1" applyFill="1" applyBorder="1" applyAlignment="1" applyProtection="1">
      <protection locked="0"/>
    </xf>
    <xf numFmtId="2" fontId="13" fillId="25" borderId="3" xfId="0" applyNumberFormat="1" applyFont="1" applyFill="1" applyBorder="1" applyAlignment="1" applyProtection="1">
      <protection locked="0"/>
    </xf>
    <xf numFmtId="2" fontId="14" fillId="25" borderId="3" xfId="0" applyNumberFormat="1" applyFont="1" applyFill="1" applyBorder="1" applyAlignment="1" applyProtection="1">
      <protection locked="0"/>
    </xf>
    <xf numFmtId="2" fontId="14" fillId="0" borderId="0" xfId="0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0" fontId="14" fillId="26" borderId="3" xfId="0" applyFont="1" applyFill="1" applyBorder="1" applyAlignment="1" applyProtection="1">
      <protection locked="0"/>
    </xf>
    <xf numFmtId="165" fontId="13" fillId="26" borderId="3" xfId="0" applyNumberFormat="1" applyFont="1" applyFill="1" applyBorder="1" applyAlignment="1" applyProtection="1">
      <protection locked="0"/>
    </xf>
    <xf numFmtId="165" fontId="14" fillId="26" borderId="3" xfId="0" applyNumberFormat="1" applyFont="1" applyFill="1" applyBorder="1" applyAlignment="1" applyProtection="1">
      <protection locked="0"/>
    </xf>
    <xf numFmtId="0" fontId="14" fillId="10" borderId="3" xfId="0" applyFont="1" applyFill="1" applyBorder="1" applyAlignment="1" applyProtection="1">
      <protection locked="0"/>
    </xf>
    <xf numFmtId="165" fontId="13" fillId="10" borderId="3" xfId="0" applyNumberFormat="1" applyFont="1" applyFill="1" applyBorder="1" applyAlignment="1" applyProtection="1">
      <protection locked="0"/>
    </xf>
    <xf numFmtId="165" fontId="14" fillId="10" borderId="3" xfId="0" applyNumberFormat="1" applyFont="1" applyFill="1" applyBorder="1" applyAlignment="1" applyProtection="1">
      <protection locked="0"/>
    </xf>
    <xf numFmtId="0" fontId="14" fillId="3" borderId="3" xfId="0" applyFont="1" applyFill="1" applyBorder="1" applyAlignment="1" applyProtection="1">
      <protection locked="0"/>
    </xf>
    <xf numFmtId="165" fontId="13" fillId="3" borderId="3" xfId="0" applyNumberFormat="1" applyFont="1" applyFill="1" applyBorder="1" applyAlignment="1" applyProtection="1">
      <protection locked="0"/>
    </xf>
    <xf numFmtId="165" fontId="14" fillId="3" borderId="3" xfId="0" applyNumberFormat="1" applyFont="1" applyFill="1" applyBorder="1" applyAlignment="1" applyProtection="1">
      <protection locked="0"/>
    </xf>
    <xf numFmtId="0" fontId="14" fillId="13" borderId="3" xfId="0" applyFont="1" applyFill="1" applyBorder="1" applyAlignment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165" fontId="13" fillId="18" borderId="3" xfId="1" applyFont="1" applyFill="1" applyBorder="1" applyProtection="1">
      <protection locked="0"/>
    </xf>
    <xf numFmtId="4" fontId="13" fillId="18" borderId="3" xfId="0" applyNumberFormat="1" applyFont="1" applyFill="1" applyBorder="1" applyProtection="1">
      <protection locked="0"/>
    </xf>
    <xf numFmtId="165" fontId="14" fillId="0" borderId="0" xfId="4" applyFont="1" applyProtection="1">
      <protection locked="0"/>
    </xf>
    <xf numFmtId="0" fontId="13" fillId="3" borderId="3" xfId="0" applyFont="1" applyFill="1" applyBorder="1" applyProtection="1">
      <protection locked="0"/>
    </xf>
    <xf numFmtId="2" fontId="14" fillId="3" borderId="3" xfId="0" applyNumberFormat="1" applyFont="1" applyFill="1" applyBorder="1" applyProtection="1">
      <protection locked="0"/>
    </xf>
    <xf numFmtId="4" fontId="14" fillId="3" borderId="3" xfId="0" applyNumberFormat="1" applyFont="1" applyFill="1" applyBorder="1" applyProtection="1">
      <protection locked="0"/>
    </xf>
    <xf numFmtId="0" fontId="14" fillId="0" borderId="3" xfId="0" applyFont="1" applyBorder="1" applyProtection="1">
      <protection locked="0"/>
    </xf>
    <xf numFmtId="2" fontId="14" fillId="0" borderId="3" xfId="0" applyNumberFormat="1" applyFont="1" applyBorder="1" applyProtection="1">
      <protection locked="0"/>
    </xf>
    <xf numFmtId="4" fontId="14" fillId="0" borderId="3" xfId="0" applyNumberFormat="1" applyFont="1" applyBorder="1" applyProtection="1">
      <protection locked="0"/>
    </xf>
    <xf numFmtId="0" fontId="13" fillId="11" borderId="3" xfId="0" applyFont="1" applyFill="1" applyBorder="1" applyProtection="1">
      <protection locked="0"/>
    </xf>
    <xf numFmtId="4" fontId="14" fillId="11" borderId="3" xfId="0" applyNumberFormat="1" applyFont="1" applyFill="1" applyBorder="1" applyProtection="1">
      <protection locked="0"/>
    </xf>
    <xf numFmtId="10" fontId="13" fillId="0" borderId="0" xfId="2" applyNumberFormat="1" applyFont="1" applyProtection="1">
      <protection locked="0"/>
    </xf>
    <xf numFmtId="165" fontId="13" fillId="0" borderId="0" xfId="4" applyFont="1" applyProtection="1">
      <protection locked="0"/>
    </xf>
    <xf numFmtId="0" fontId="14" fillId="25" borderId="3" xfId="0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25" borderId="3" xfId="0" applyNumberFormat="1" applyFont="1" applyFill="1" applyBorder="1" applyProtection="1">
      <protection locked="0"/>
    </xf>
    <xf numFmtId="0" fontId="14" fillId="15" borderId="3" xfId="0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0" fontId="14" fillId="23" borderId="3" xfId="0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0" fontId="13" fillId="12" borderId="3" xfId="0" applyFont="1" applyFill="1" applyBorder="1" applyProtection="1">
      <protection locked="0"/>
    </xf>
    <xf numFmtId="4" fontId="13" fillId="12" borderId="3" xfId="0" applyNumberFormat="1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4" fontId="13" fillId="27" borderId="3" xfId="0" applyNumberFormat="1" applyFont="1" applyFill="1" applyBorder="1" applyProtection="1">
      <protection locked="0"/>
    </xf>
    <xf numFmtId="2" fontId="13" fillId="0" borderId="0" xfId="0" applyNumberFormat="1" applyFont="1" applyProtection="1">
      <protection locked="0"/>
    </xf>
    <xf numFmtId="0" fontId="14" fillId="28" borderId="3" xfId="0" applyFont="1" applyFill="1" applyBorder="1" applyProtection="1">
      <protection locked="0"/>
    </xf>
    <xf numFmtId="4" fontId="14" fillId="28" borderId="3" xfId="1" applyNumberFormat="1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9" fontId="13" fillId="31" borderId="3" xfId="2" applyFont="1" applyFill="1" applyBorder="1" applyProtection="1">
      <protection locked="0"/>
    </xf>
    <xf numFmtId="9" fontId="13" fillId="31" borderId="3" xfId="2" applyNumberFormat="1" applyFont="1" applyFill="1" applyBorder="1" applyProtection="1">
      <protection locked="0"/>
    </xf>
    <xf numFmtId="0" fontId="14" fillId="29" borderId="3" xfId="0" applyFont="1" applyFill="1" applyBorder="1" applyProtection="1">
      <protection locked="0"/>
    </xf>
    <xf numFmtId="9" fontId="14" fillId="29" borderId="3" xfId="2" applyNumberFormat="1" applyFont="1" applyFill="1" applyBorder="1" applyProtection="1">
      <protection locked="0"/>
    </xf>
    <xf numFmtId="0" fontId="14" fillId="29" borderId="3" xfId="0" applyNumberFormat="1" applyFont="1" applyFill="1" applyBorder="1" applyProtection="1">
      <protection locked="0"/>
    </xf>
    <xf numFmtId="165" fontId="14" fillId="29" borderId="3" xfId="0" applyNumberFormat="1" applyFont="1" applyFill="1" applyBorder="1" applyProtection="1">
      <protection locked="0"/>
    </xf>
    <xf numFmtId="4" fontId="14" fillId="0" borderId="0" xfId="0" applyNumberFormat="1" applyFont="1" applyProtection="1">
      <protection locked="0"/>
    </xf>
    <xf numFmtId="0" fontId="13" fillId="12" borderId="15" xfId="0" applyFont="1" applyFill="1" applyBorder="1" applyProtection="1"/>
    <xf numFmtId="0" fontId="13" fillId="12" borderId="15" xfId="0" applyFont="1" applyFill="1" applyBorder="1" applyAlignment="1" applyProtection="1">
      <alignment horizontal="right"/>
    </xf>
    <xf numFmtId="0" fontId="14" fillId="30" borderId="15" xfId="0" applyFont="1" applyFill="1" applyBorder="1" applyProtection="1"/>
    <xf numFmtId="4" fontId="14" fillId="30" borderId="15" xfId="0" applyNumberFormat="1" applyFont="1" applyFill="1" applyBorder="1" applyProtection="1"/>
    <xf numFmtId="0" fontId="14" fillId="28" borderId="15" xfId="0" applyFont="1" applyFill="1" applyBorder="1" applyProtection="1"/>
    <xf numFmtId="4" fontId="14" fillId="28" borderId="15" xfId="0" applyNumberFormat="1" applyFont="1" applyFill="1" applyBorder="1" applyProtection="1"/>
    <xf numFmtId="0" fontId="14" fillId="15" borderId="15" xfId="0" applyFont="1" applyFill="1" applyBorder="1" applyProtection="1"/>
    <xf numFmtId="2" fontId="14" fillId="15" borderId="15" xfId="0" applyNumberFormat="1" applyFont="1" applyFill="1" applyBorder="1" applyProtection="1"/>
    <xf numFmtId="4" fontId="14" fillId="15" borderId="15" xfId="0" applyNumberFormat="1" applyFont="1" applyFill="1" applyBorder="1" applyProtection="1"/>
    <xf numFmtId="0" fontId="13" fillId="36" borderId="15" xfId="0" applyFont="1" applyFill="1" applyBorder="1" applyProtection="1"/>
    <xf numFmtId="4" fontId="13" fillId="36" borderId="15" xfId="0" applyNumberFormat="1" applyFont="1" applyFill="1" applyBorder="1" applyProtection="1"/>
    <xf numFmtId="0" fontId="14" fillId="34" borderId="15" xfId="0" applyFont="1" applyFill="1" applyBorder="1" applyProtection="1"/>
    <xf numFmtId="2" fontId="14" fillId="34" borderId="15" xfId="0" applyNumberFormat="1" applyFont="1" applyFill="1" applyBorder="1" applyProtection="1"/>
    <xf numFmtId="0" fontId="13" fillId="23" borderId="15" xfId="0" applyFont="1" applyFill="1" applyBorder="1" applyProtection="1"/>
    <xf numFmtId="2" fontId="13" fillId="23" borderId="15" xfId="0" applyNumberFormat="1" applyFont="1" applyFill="1" applyBorder="1" applyProtection="1"/>
    <xf numFmtId="0" fontId="12" fillId="0" borderId="13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18" fillId="10" borderId="11" xfId="0" applyFont="1" applyFill="1" applyBorder="1" applyAlignment="1" applyProtection="1">
      <alignment horizontal="center"/>
      <protection locked="0"/>
    </xf>
    <xf numFmtId="0" fontId="17" fillId="10" borderId="11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horizontal="center"/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 applyProtection="1">
      <alignment horizontal="left"/>
      <protection locked="0"/>
    </xf>
    <xf numFmtId="0" fontId="13" fillId="16" borderId="3" xfId="0" applyFont="1" applyFill="1" applyBorder="1" applyAlignment="1" applyProtection="1">
      <alignment horizontal="center"/>
      <protection locked="0"/>
    </xf>
    <xf numFmtId="2" fontId="25" fillId="14" borderId="3" xfId="0" applyNumberFormat="1" applyFont="1" applyFill="1" applyBorder="1" applyAlignment="1" applyProtection="1">
      <alignment horizontal="center"/>
      <protection locked="0"/>
    </xf>
    <xf numFmtId="2" fontId="14" fillId="30" borderId="4" xfId="0" applyNumberFormat="1" applyFont="1" applyFill="1" applyBorder="1" applyAlignment="1" applyProtection="1">
      <alignment horizontal="center"/>
      <protection locked="0"/>
    </xf>
    <xf numFmtId="2" fontId="14" fillId="30" borderId="20" xfId="0" applyNumberFormat="1" applyFont="1" applyFill="1" applyBorder="1" applyAlignment="1" applyProtection="1">
      <alignment horizontal="center"/>
      <protection locked="0"/>
    </xf>
    <xf numFmtId="2" fontId="14" fillId="30" borderId="21" xfId="0" applyNumberFormat="1" applyFont="1" applyFill="1" applyBorder="1" applyAlignment="1" applyProtection="1">
      <alignment horizontal="center"/>
      <protection locked="0"/>
    </xf>
    <xf numFmtId="0" fontId="12" fillId="12" borderId="15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32" borderId="23" xfId="0" applyFont="1" applyFill="1" applyBorder="1" applyAlignment="1">
      <alignment horizontal="left"/>
    </xf>
    <xf numFmtId="0" fontId="13" fillId="11" borderId="23" xfId="0" applyFont="1" applyFill="1" applyBorder="1" applyAlignment="1">
      <alignment horizontal="left"/>
    </xf>
    <xf numFmtId="0" fontId="13" fillId="34" borderId="23" xfId="0" applyFont="1" applyFill="1" applyBorder="1" applyAlignment="1">
      <alignment horizontal="left"/>
    </xf>
    <xf numFmtId="0" fontId="13" fillId="21" borderId="23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43" fontId="0" fillId="0" borderId="0" xfId="0" applyNumberFormat="1" applyProtection="1">
      <protection locked="0"/>
    </xf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EECAD"/>
      <color rgb="FFE9EFBC"/>
      <color rgb="FFFFFD78"/>
      <color rgb="FFEBF9FA"/>
      <color rgb="FFF4D5F4"/>
      <color rgb="FFFFA3A8"/>
      <color rgb="FF8EFA00"/>
      <color rgb="FF0096FF"/>
      <color rgb="FFFFFC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neshparekh\Desktop\Proposals\BPPL%20Krishna\Cashflow%20-%20NL%20Krish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Brief"/>
      <sheetName val="Pivot Chart"/>
      <sheetName val="Project Layout and inflow"/>
      <sheetName val="Cashflow"/>
      <sheetName val="Bar Chart Construction - Sale"/>
      <sheetName val="Loan - SBI"/>
      <sheetName val="Annualised Cashflow"/>
      <sheetName val="CMA"/>
      <sheetName val="FACR"/>
    </sheetNames>
    <sheetDataSet>
      <sheetData sheetId="0"/>
      <sheetData sheetId="1"/>
      <sheetData sheetId="2"/>
      <sheetData sheetId="3">
        <row r="5">
          <cell r="C5" t="str">
            <v>2022-2023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28"/>
  <sheetViews>
    <sheetView topLeftCell="A4" workbookViewId="0">
      <selection activeCell="A26" sqref="A26"/>
    </sheetView>
  </sheetViews>
  <sheetFormatPr defaultColWidth="9.33203125" defaultRowHeight="15"/>
  <cols>
    <col min="1" max="1" width="35.33203125" style="65" bestFit="1" customWidth="1"/>
    <col min="2" max="2" width="19.109375" style="65" bestFit="1" customWidth="1"/>
    <col min="3" max="3" width="13.109375" style="65" customWidth="1"/>
    <col min="4" max="4" width="13.77734375" style="65" bestFit="1" customWidth="1"/>
    <col min="5" max="5" width="15.109375" style="65" bestFit="1" customWidth="1"/>
    <col min="6" max="6" width="10.6640625" style="65" bestFit="1" customWidth="1"/>
    <col min="7" max="7" width="19.109375" style="65" bestFit="1" customWidth="1"/>
    <col min="8" max="16374" width="9.33203125" style="65"/>
    <col min="16375" max="16375" width="21.77734375" style="65" bestFit="1" customWidth="1"/>
    <col min="16376" max="16384" width="9.33203125" style="65"/>
  </cols>
  <sheetData>
    <row r="1" spans="1:8 16375:16375" ht="15.6">
      <c r="A1" s="90" t="s">
        <v>12</v>
      </c>
      <c r="B1" s="347" t="s">
        <v>136</v>
      </c>
      <c r="C1" s="347"/>
      <c r="D1" s="347"/>
      <c r="E1" s="347"/>
    </row>
    <row r="2" spans="1:8 16375:16375" ht="15.6">
      <c r="A2" s="90" t="s">
        <v>43</v>
      </c>
      <c r="B2" s="348"/>
      <c r="C2" s="348"/>
      <c r="D2" s="348"/>
      <c r="E2" s="348"/>
    </row>
    <row r="3" spans="1:8 16375:16375">
      <c r="A3" s="91" t="s">
        <v>60</v>
      </c>
      <c r="B3" s="78"/>
      <c r="C3" s="79" t="s">
        <v>65</v>
      </c>
      <c r="D3" s="349" t="s">
        <v>152</v>
      </c>
      <c r="E3" s="349"/>
      <c r="XEU3" s="65" t="s">
        <v>149</v>
      </c>
    </row>
    <row r="4" spans="1:8 16375:16375">
      <c r="A4" s="92" t="s">
        <v>62</v>
      </c>
      <c r="B4" s="80"/>
      <c r="C4" s="79" t="s">
        <v>65</v>
      </c>
      <c r="D4" s="349"/>
      <c r="E4" s="349"/>
      <c r="XEU4" s="65" t="s">
        <v>150</v>
      </c>
    </row>
    <row r="5" spans="1:8 16375:16375" ht="46.8">
      <c r="A5" s="93" t="s">
        <v>3</v>
      </c>
      <c r="B5" s="81" t="s">
        <v>46</v>
      </c>
      <c r="C5" s="81" t="s">
        <v>69</v>
      </c>
      <c r="D5" s="99" t="s">
        <v>61</v>
      </c>
      <c r="E5" s="93" t="s">
        <v>32</v>
      </c>
      <c r="XEU5" s="65" t="s">
        <v>151</v>
      </c>
    </row>
    <row r="6" spans="1:8 16375:16375">
      <c r="A6" s="94" t="s">
        <v>135</v>
      </c>
      <c r="B6" s="82">
        <v>4.07</v>
      </c>
      <c r="C6" s="82">
        <v>4.07</v>
      </c>
      <c r="D6" s="100">
        <f t="shared" ref="D6:D16" si="0">B6-C6</f>
        <v>0</v>
      </c>
      <c r="E6" s="97">
        <f>B6/$B$17</f>
        <v>5.9176759672564958E-2</v>
      </c>
      <c r="XEU6" s="65" t="s">
        <v>152</v>
      </c>
    </row>
    <row r="7" spans="1:8 16375:16375">
      <c r="A7" s="94" t="s">
        <v>137</v>
      </c>
      <c r="B7" s="83">
        <v>0</v>
      </c>
      <c r="C7" s="83">
        <v>0</v>
      </c>
      <c r="D7" s="101">
        <f t="shared" si="0"/>
        <v>0</v>
      </c>
      <c r="E7" s="97">
        <f t="shared" ref="E7:E16" si="1">B7/$B$17</f>
        <v>0</v>
      </c>
      <c r="XEU7" s="65" t="s">
        <v>153</v>
      </c>
    </row>
    <row r="8" spans="1:8 16375:16375">
      <c r="A8" s="94" t="s">
        <v>138</v>
      </c>
      <c r="B8" s="83">
        <v>0</v>
      </c>
      <c r="C8" s="83">
        <v>0</v>
      </c>
      <c r="D8" s="101">
        <f t="shared" si="0"/>
        <v>0</v>
      </c>
      <c r="E8" s="97">
        <f t="shared" si="1"/>
        <v>0</v>
      </c>
    </row>
    <row r="9" spans="1:8 16375:16375">
      <c r="A9" s="94" t="s">
        <v>139</v>
      </c>
      <c r="B9" s="83">
        <v>0</v>
      </c>
      <c r="C9" s="83">
        <v>0</v>
      </c>
      <c r="D9" s="101">
        <f t="shared" si="0"/>
        <v>0</v>
      </c>
      <c r="E9" s="97">
        <f t="shared" si="1"/>
        <v>0</v>
      </c>
    </row>
    <row r="10" spans="1:8 16375:16375">
      <c r="A10" s="95" t="s">
        <v>140</v>
      </c>
      <c r="B10" s="84"/>
      <c r="C10" s="84"/>
      <c r="D10" s="102">
        <f t="shared" si="0"/>
        <v>0</v>
      </c>
      <c r="E10" s="97">
        <f t="shared" si="1"/>
        <v>0</v>
      </c>
      <c r="G10" s="66"/>
    </row>
    <row r="11" spans="1:8 16375:16375">
      <c r="A11" s="95" t="s">
        <v>141</v>
      </c>
      <c r="B11" s="83">
        <v>0</v>
      </c>
      <c r="C11" s="83">
        <v>0</v>
      </c>
      <c r="D11" s="101">
        <f t="shared" si="0"/>
        <v>0</v>
      </c>
      <c r="E11" s="97">
        <f t="shared" si="1"/>
        <v>0</v>
      </c>
      <c r="G11" s="66"/>
    </row>
    <row r="12" spans="1:8 16375:16375">
      <c r="A12" s="96" t="s">
        <v>142</v>
      </c>
      <c r="B12" s="84">
        <v>47.34</v>
      </c>
      <c r="C12" s="84">
        <v>1.44</v>
      </c>
      <c r="D12" s="102">
        <f t="shared" si="0"/>
        <v>45.900000000000006</v>
      </c>
      <c r="E12" s="97">
        <f t="shared" si="1"/>
        <v>0.68831149948383907</v>
      </c>
      <c r="G12" s="67"/>
    </row>
    <row r="13" spans="1:8 16375:16375">
      <c r="A13" s="95" t="s">
        <v>143</v>
      </c>
      <c r="B13" s="84">
        <v>7</v>
      </c>
      <c r="C13" s="84">
        <v>0</v>
      </c>
      <c r="D13" s="102">
        <f t="shared" si="0"/>
        <v>7</v>
      </c>
      <c r="E13" s="97">
        <f t="shared" si="1"/>
        <v>0.1017782107390552</v>
      </c>
      <c r="F13" s="68"/>
      <c r="G13" s="66"/>
      <c r="H13" s="68"/>
    </row>
    <row r="14" spans="1:8 16375:16375">
      <c r="A14" s="95" t="s">
        <v>144</v>
      </c>
      <c r="B14" s="84">
        <v>5</v>
      </c>
      <c r="C14" s="84"/>
      <c r="D14" s="102">
        <f t="shared" si="0"/>
        <v>5</v>
      </c>
      <c r="E14" s="97">
        <f t="shared" si="1"/>
        <v>7.269872195646801E-2</v>
      </c>
      <c r="F14" s="68"/>
      <c r="G14" s="66"/>
      <c r="H14" s="68"/>
    </row>
    <row r="15" spans="1:8 16375:16375">
      <c r="A15" s="95" t="s">
        <v>63</v>
      </c>
      <c r="B15" s="84">
        <f>B12*5%</f>
        <v>2.3670000000000004</v>
      </c>
      <c r="C15" s="84">
        <v>0</v>
      </c>
      <c r="D15" s="102">
        <f t="shared" si="0"/>
        <v>2.3670000000000004</v>
      </c>
      <c r="E15" s="97">
        <f t="shared" si="1"/>
        <v>3.4415574974191961E-2</v>
      </c>
      <c r="F15" s="68"/>
      <c r="G15" s="66"/>
      <c r="H15" s="68"/>
    </row>
    <row r="16" spans="1:8 16375:16375">
      <c r="A16" s="95" t="s">
        <v>115</v>
      </c>
      <c r="B16" s="84">
        <v>3</v>
      </c>
      <c r="C16" s="84">
        <v>0</v>
      </c>
      <c r="D16" s="102">
        <f t="shared" si="0"/>
        <v>3</v>
      </c>
      <c r="E16" s="97">
        <f t="shared" si="1"/>
        <v>4.3619233173880806E-2</v>
      </c>
      <c r="F16" s="69"/>
      <c r="G16" s="66"/>
      <c r="H16" s="68"/>
    </row>
    <row r="17" spans="1:9" ht="15.6">
      <c r="A17" s="93" t="s">
        <v>13</v>
      </c>
      <c r="B17" s="85">
        <f>SUM(B6:B16)</f>
        <v>68.777000000000001</v>
      </c>
      <c r="C17" s="85">
        <f>SUM(C6:C16)</f>
        <v>5.51</v>
      </c>
      <c r="D17" s="103">
        <f>SUM(D6:D16)</f>
        <v>63.267000000000003</v>
      </c>
      <c r="E17" s="98">
        <f>SUM(E6:E16)</f>
        <v>1</v>
      </c>
      <c r="F17" s="68"/>
      <c r="I17" s="68"/>
    </row>
    <row r="18" spans="1:9">
      <c r="A18" s="345"/>
      <c r="B18" s="346"/>
      <c r="C18" s="346"/>
      <c r="D18" s="346"/>
      <c r="E18" s="346"/>
      <c r="F18" s="70"/>
    </row>
    <row r="19" spans="1:9" ht="15.6">
      <c r="A19" s="104" t="s">
        <v>14</v>
      </c>
      <c r="B19" s="86" t="s">
        <v>57</v>
      </c>
      <c r="C19" s="86" t="s">
        <v>64</v>
      </c>
      <c r="D19" s="109" t="s">
        <v>66</v>
      </c>
      <c r="E19" s="109" t="s">
        <v>48</v>
      </c>
      <c r="G19" s="70"/>
    </row>
    <row r="20" spans="1:9">
      <c r="A20" s="105" t="s">
        <v>145</v>
      </c>
      <c r="B20" s="87">
        <v>6.88</v>
      </c>
      <c r="C20" s="87">
        <f>C17</f>
        <v>5.51</v>
      </c>
      <c r="D20" s="75">
        <f>B20-C20</f>
        <v>1.37</v>
      </c>
      <c r="E20" s="110">
        <f>B20/$B$25</f>
        <v>0.10003344141209997</v>
      </c>
      <c r="H20" s="70"/>
    </row>
    <row r="21" spans="1:9">
      <c r="A21" s="105" t="s">
        <v>146</v>
      </c>
      <c r="B21" s="87">
        <v>0</v>
      </c>
      <c r="C21" s="87">
        <v>0</v>
      </c>
      <c r="D21" s="75">
        <f t="shared" ref="D21:D24" si="2">B21-C21</f>
        <v>0</v>
      </c>
      <c r="E21" s="110">
        <f>B21/$B$25</f>
        <v>0</v>
      </c>
      <c r="H21" s="70"/>
    </row>
    <row r="22" spans="1:9">
      <c r="A22" s="106" t="s">
        <v>147</v>
      </c>
      <c r="B22" s="88">
        <v>27.37</v>
      </c>
      <c r="C22" s="88">
        <v>0.23</v>
      </c>
      <c r="D22" s="75">
        <f t="shared" si="2"/>
        <v>27.14</v>
      </c>
      <c r="E22" s="110">
        <f>B22/$B$25</f>
        <v>0.39795280398970589</v>
      </c>
      <c r="H22" s="70"/>
    </row>
    <row r="23" spans="1:9" ht="15.6">
      <c r="A23" s="106" t="s">
        <v>148</v>
      </c>
      <c r="B23" s="88">
        <f>B17-B20-B22-B24</f>
        <v>24.527000000000001</v>
      </c>
      <c r="C23" s="88">
        <v>0</v>
      </c>
      <c r="D23" s="75">
        <f t="shared" si="2"/>
        <v>24.527000000000001</v>
      </c>
      <c r="E23" s="111">
        <f>B23/$B$25</f>
        <v>0.35661631068525818</v>
      </c>
      <c r="H23" s="71"/>
    </row>
    <row r="24" spans="1:9" ht="15.6">
      <c r="A24" s="107" t="s">
        <v>15</v>
      </c>
      <c r="B24" s="76">
        <v>10</v>
      </c>
      <c r="C24" s="76">
        <v>0</v>
      </c>
      <c r="D24" s="75">
        <f t="shared" si="2"/>
        <v>10</v>
      </c>
      <c r="E24" s="112">
        <f>B24/$B$25</f>
        <v>0.14539744391293602</v>
      </c>
      <c r="H24" s="71"/>
    </row>
    <row r="25" spans="1:9" ht="15.6">
      <c r="A25" s="108" t="s">
        <v>16</v>
      </c>
      <c r="B25" s="89">
        <f>SUM(B20:B24)</f>
        <v>68.777000000000001</v>
      </c>
      <c r="C25" s="89">
        <f>SUM(C20:C24)</f>
        <v>5.74</v>
      </c>
      <c r="D25" s="89">
        <f>SUM(D20:D24)</f>
        <v>63.037000000000006</v>
      </c>
      <c r="E25" s="113">
        <f>SUM(E20:E24)</f>
        <v>1</v>
      </c>
    </row>
    <row r="26" spans="1:9" ht="15.6">
      <c r="A26" s="72"/>
      <c r="B26" s="73"/>
      <c r="C26" s="66"/>
      <c r="G26" s="70"/>
    </row>
    <row r="27" spans="1:9">
      <c r="B27" s="66"/>
      <c r="C27" s="70"/>
      <c r="D27" s="74"/>
    </row>
    <row r="28" spans="1:9">
      <c r="B28" s="70"/>
    </row>
  </sheetData>
  <mergeCells count="4">
    <mergeCell ref="A18:E18"/>
    <mergeCell ref="B1:E1"/>
    <mergeCell ref="B2:E2"/>
    <mergeCell ref="D3:E4"/>
  </mergeCells>
  <dataValidations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379"/>
  <sheetViews>
    <sheetView topLeftCell="A354" workbookViewId="0">
      <selection activeCell="I368" sqref="I368"/>
    </sheetView>
  </sheetViews>
  <sheetFormatPr defaultColWidth="8.77734375" defaultRowHeight="14.4"/>
  <cols>
    <col min="1" max="1" width="5.77734375" style="40" customWidth="1"/>
    <col min="2" max="2" width="9.77734375" style="40" customWidth="1"/>
    <col min="3" max="3" width="6.6640625" style="53" customWidth="1"/>
    <col min="4" max="4" width="8" style="53" customWidth="1"/>
    <col min="5" max="5" width="10.44140625" style="53" customWidth="1"/>
    <col min="6" max="6" width="16.77734375" style="53" bestFit="1" customWidth="1"/>
    <col min="7" max="7" width="9.109375" style="53" customWidth="1"/>
    <col min="8" max="8" width="10" style="53" customWidth="1"/>
    <col min="9" max="9" width="10.109375" style="53" customWidth="1"/>
    <col min="10" max="10" width="10" style="58" customWidth="1"/>
    <col min="11" max="11" width="8.33203125" style="58" hidden="1" customWidth="1"/>
    <col min="12" max="12" width="8.77734375" style="40" hidden="1" customWidth="1"/>
    <col min="13" max="13" width="12.109375" style="40" customWidth="1"/>
    <col min="14" max="14" width="9.44140625" style="40" customWidth="1"/>
    <col min="15" max="15" width="10.44140625" style="40" customWidth="1"/>
    <col min="16" max="16384" width="8.77734375" style="40"/>
  </cols>
  <sheetData>
    <row r="4" spans="1:14">
      <c r="A4" s="39"/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4" ht="57.6">
      <c r="A5" s="39" t="s">
        <v>70</v>
      </c>
      <c r="B5" s="41" t="s">
        <v>71</v>
      </c>
      <c r="C5" s="42" t="s">
        <v>72</v>
      </c>
      <c r="D5" s="42" t="s">
        <v>73</v>
      </c>
      <c r="E5" s="42" t="s">
        <v>74</v>
      </c>
      <c r="F5" s="42" t="s">
        <v>75</v>
      </c>
      <c r="G5" s="42" t="s">
        <v>76</v>
      </c>
      <c r="H5" s="42" t="s">
        <v>77</v>
      </c>
      <c r="I5" s="42" t="s">
        <v>78</v>
      </c>
      <c r="J5" s="43" t="s">
        <v>79</v>
      </c>
      <c r="K5" s="43"/>
      <c r="M5" s="61" t="s">
        <v>91</v>
      </c>
      <c r="N5" s="61" t="s">
        <v>92</v>
      </c>
    </row>
    <row r="6" spans="1:14">
      <c r="A6" s="39">
        <v>1</v>
      </c>
      <c r="B6" s="44" t="s">
        <v>80</v>
      </c>
      <c r="C6" s="44">
        <v>1</v>
      </c>
      <c r="D6" s="39">
        <v>164.85</v>
      </c>
      <c r="E6" s="39"/>
      <c r="F6" s="45">
        <f t="shared" ref="F6:F12" si="0">D6*10.764</f>
        <v>1774.4453999999998</v>
      </c>
      <c r="G6" s="45"/>
      <c r="H6" s="45"/>
      <c r="I6" s="45"/>
      <c r="J6" s="46">
        <f>F6*2</f>
        <v>3548.8907999999997</v>
      </c>
      <c r="K6" s="46"/>
    </row>
    <row r="7" spans="1:14">
      <c r="A7" s="39">
        <v>2</v>
      </c>
      <c r="B7" s="44" t="s">
        <v>80</v>
      </c>
      <c r="C7" s="44">
        <v>2</v>
      </c>
      <c r="D7" s="39">
        <v>146.31</v>
      </c>
      <c r="E7" s="39"/>
      <c r="F7" s="45">
        <f t="shared" si="0"/>
        <v>1574.88084</v>
      </c>
      <c r="G7" s="45"/>
      <c r="H7" s="45"/>
      <c r="I7" s="45"/>
      <c r="J7" s="46">
        <f t="shared" ref="J7:J12" si="1">F7*2</f>
        <v>3149.7616800000001</v>
      </c>
      <c r="K7" s="46"/>
    </row>
    <row r="8" spans="1:14">
      <c r="A8" s="39">
        <v>3</v>
      </c>
      <c r="B8" s="44" t="s">
        <v>80</v>
      </c>
      <c r="C8" s="44">
        <v>3</v>
      </c>
      <c r="D8" s="39">
        <v>146.31</v>
      </c>
      <c r="E8" s="39"/>
      <c r="F8" s="45">
        <f t="shared" si="0"/>
        <v>1574.88084</v>
      </c>
      <c r="G8" s="45"/>
      <c r="H8" s="45"/>
      <c r="I8" s="45"/>
      <c r="J8" s="46">
        <f t="shared" si="1"/>
        <v>3149.7616800000001</v>
      </c>
      <c r="K8" s="46"/>
    </row>
    <row r="9" spans="1:14">
      <c r="A9" s="39">
        <v>4</v>
      </c>
      <c r="B9" s="44" t="s">
        <v>80</v>
      </c>
      <c r="C9" s="44">
        <v>4</v>
      </c>
      <c r="D9" s="39">
        <v>164.85</v>
      </c>
      <c r="E9" s="39"/>
      <c r="F9" s="45">
        <f t="shared" si="0"/>
        <v>1774.4453999999998</v>
      </c>
      <c r="G9" s="45"/>
      <c r="H9" s="45"/>
      <c r="I9" s="45"/>
      <c r="J9" s="46">
        <f t="shared" si="1"/>
        <v>3548.8907999999997</v>
      </c>
      <c r="K9" s="46"/>
    </row>
    <row r="10" spans="1:14">
      <c r="A10" s="39">
        <v>5</v>
      </c>
      <c r="B10" s="44" t="s">
        <v>80</v>
      </c>
      <c r="C10" s="44">
        <v>5</v>
      </c>
      <c r="D10" s="47">
        <v>48.6</v>
      </c>
      <c r="E10" s="47"/>
      <c r="F10" s="45">
        <f t="shared" si="0"/>
        <v>523.13040000000001</v>
      </c>
      <c r="G10" s="45"/>
      <c r="H10" s="45"/>
      <c r="I10" s="45"/>
      <c r="J10" s="46">
        <f t="shared" si="1"/>
        <v>1046.2608</v>
      </c>
      <c r="K10" s="46"/>
    </row>
    <row r="11" spans="1:14">
      <c r="A11" s="39">
        <v>6</v>
      </c>
      <c r="B11" s="44" t="s">
        <v>80</v>
      </c>
      <c r="C11" s="44">
        <v>6</v>
      </c>
      <c r="D11" s="39">
        <v>29.68</v>
      </c>
      <c r="E11" s="39"/>
      <c r="F11" s="45">
        <f t="shared" si="0"/>
        <v>319.47551999999996</v>
      </c>
      <c r="G11" s="45"/>
      <c r="H11" s="45"/>
      <c r="I11" s="45"/>
      <c r="J11" s="46">
        <f t="shared" si="1"/>
        <v>638.95103999999992</v>
      </c>
      <c r="K11" s="46"/>
    </row>
    <row r="12" spans="1:14">
      <c r="A12" s="39">
        <v>7</v>
      </c>
      <c r="B12" s="44" t="s">
        <v>80</v>
      </c>
      <c r="C12" s="44">
        <v>7</v>
      </c>
      <c r="D12" s="39">
        <v>27.72</v>
      </c>
      <c r="E12" s="39"/>
      <c r="F12" s="45">
        <f t="shared" si="0"/>
        <v>298.37807999999995</v>
      </c>
      <c r="G12" s="45"/>
      <c r="H12" s="45"/>
      <c r="I12" s="45"/>
      <c r="J12" s="46">
        <f t="shared" si="1"/>
        <v>596.75615999999991</v>
      </c>
      <c r="K12" s="46"/>
    </row>
    <row r="13" spans="1:14">
      <c r="A13" s="39">
        <v>8</v>
      </c>
      <c r="B13" s="44" t="s">
        <v>81</v>
      </c>
      <c r="C13" s="44" t="s">
        <v>82</v>
      </c>
      <c r="D13" s="39">
        <v>164.85</v>
      </c>
      <c r="E13" s="39"/>
      <c r="F13" s="45">
        <f t="shared" ref="F13:F23" si="2">D13*10.764</f>
        <v>1774.4453999999998</v>
      </c>
      <c r="G13" s="45"/>
      <c r="H13" s="45"/>
      <c r="I13" s="45"/>
      <c r="J13" s="46">
        <f t="shared" ref="J13:J23" si="3">F13*1.75</f>
        <v>3105.2794499999995</v>
      </c>
      <c r="K13" s="46"/>
    </row>
    <row r="14" spans="1:14">
      <c r="A14" s="39">
        <v>9</v>
      </c>
      <c r="B14" s="44" t="s">
        <v>81</v>
      </c>
      <c r="C14" s="44" t="s">
        <v>83</v>
      </c>
      <c r="D14" s="39">
        <v>146.31</v>
      </c>
      <c r="E14" s="39"/>
      <c r="F14" s="45">
        <f t="shared" si="2"/>
        <v>1574.88084</v>
      </c>
      <c r="G14" s="45"/>
      <c r="H14" s="45"/>
      <c r="I14" s="45"/>
      <c r="J14" s="46">
        <f t="shared" si="3"/>
        <v>2756.0414700000001</v>
      </c>
      <c r="K14" s="46"/>
    </row>
    <row r="15" spans="1:14">
      <c r="A15" s="39">
        <v>10</v>
      </c>
      <c r="B15" s="44" t="s">
        <v>81</v>
      </c>
      <c r="C15" s="44" t="s">
        <v>84</v>
      </c>
      <c r="D15" s="39">
        <v>146.31</v>
      </c>
      <c r="E15" s="39"/>
      <c r="F15" s="45">
        <f t="shared" si="2"/>
        <v>1574.88084</v>
      </c>
      <c r="G15" s="45"/>
      <c r="H15" s="45"/>
      <c r="I15" s="45"/>
      <c r="J15" s="46">
        <f t="shared" si="3"/>
        <v>2756.0414700000001</v>
      </c>
      <c r="K15" s="46"/>
    </row>
    <row r="16" spans="1:14">
      <c r="A16" s="39">
        <v>11</v>
      </c>
      <c r="B16" s="44" t="s">
        <v>81</v>
      </c>
      <c r="C16" s="44" t="s">
        <v>85</v>
      </c>
      <c r="D16" s="39">
        <v>164.85</v>
      </c>
      <c r="E16" s="39"/>
      <c r="F16" s="45">
        <f t="shared" si="2"/>
        <v>1774.4453999999998</v>
      </c>
      <c r="G16" s="45"/>
      <c r="H16" s="45"/>
      <c r="I16" s="45"/>
      <c r="J16" s="46">
        <f t="shared" si="3"/>
        <v>3105.2794499999995</v>
      </c>
      <c r="K16" s="46"/>
    </row>
    <row r="17" spans="1:11">
      <c r="A17" s="39">
        <v>12</v>
      </c>
      <c r="B17" s="44" t="s">
        <v>81</v>
      </c>
      <c r="C17" s="44" t="s">
        <v>86</v>
      </c>
      <c r="D17" s="39">
        <v>373.21</v>
      </c>
      <c r="E17" s="39"/>
      <c r="F17" s="45">
        <f t="shared" si="2"/>
        <v>4017.2324399999993</v>
      </c>
      <c r="G17" s="45"/>
      <c r="H17" s="45"/>
      <c r="I17" s="45"/>
      <c r="J17" s="46">
        <f t="shared" si="3"/>
        <v>7030.1567699999987</v>
      </c>
      <c r="K17" s="46"/>
    </row>
    <row r="18" spans="1:11">
      <c r="A18" s="39">
        <v>13</v>
      </c>
      <c r="B18" s="44" t="s">
        <v>87</v>
      </c>
      <c r="C18" s="44" t="s">
        <v>82</v>
      </c>
      <c r="D18" s="39">
        <v>278.16000000000003</v>
      </c>
      <c r="E18" s="39"/>
      <c r="F18" s="59">
        <f t="shared" si="2"/>
        <v>2994.1142399999999</v>
      </c>
      <c r="G18" s="48"/>
      <c r="H18" s="48"/>
      <c r="I18" s="48"/>
      <c r="J18" s="60">
        <f t="shared" si="3"/>
        <v>5239.69992</v>
      </c>
      <c r="K18" s="49"/>
    </row>
    <row r="19" spans="1:11">
      <c r="A19" s="39">
        <v>14</v>
      </c>
      <c r="B19" s="44" t="s">
        <v>88</v>
      </c>
      <c r="C19" s="44" t="s">
        <v>82</v>
      </c>
      <c r="D19" s="39">
        <v>95.02</v>
      </c>
      <c r="E19" s="39"/>
      <c r="F19" s="45">
        <f t="shared" si="2"/>
        <v>1022.7952799999999</v>
      </c>
      <c r="G19" s="45"/>
      <c r="H19" s="45"/>
      <c r="I19" s="45"/>
      <c r="J19" s="46">
        <f t="shared" si="3"/>
        <v>1789.8917399999998</v>
      </c>
      <c r="K19" s="46"/>
    </row>
    <row r="20" spans="1:11">
      <c r="A20" s="39">
        <v>15</v>
      </c>
      <c r="B20" s="44" t="s">
        <v>88</v>
      </c>
      <c r="C20" s="44" t="s">
        <v>83</v>
      </c>
      <c r="D20" s="39">
        <v>70.41</v>
      </c>
      <c r="E20" s="39"/>
      <c r="F20" s="45">
        <f t="shared" si="2"/>
        <v>757.89323999999988</v>
      </c>
      <c r="G20" s="45"/>
      <c r="H20" s="45"/>
      <c r="I20" s="45"/>
      <c r="J20" s="46">
        <f t="shared" si="3"/>
        <v>1326.3131699999999</v>
      </c>
      <c r="K20" s="46"/>
    </row>
    <row r="21" spans="1:11">
      <c r="A21" s="39">
        <v>16</v>
      </c>
      <c r="B21" s="44" t="s">
        <v>88</v>
      </c>
      <c r="C21" s="44" t="s">
        <v>84</v>
      </c>
      <c r="D21" s="39">
        <v>73.239999999999995</v>
      </c>
      <c r="E21" s="39"/>
      <c r="F21" s="45">
        <f t="shared" si="2"/>
        <v>788.35535999999991</v>
      </c>
      <c r="G21" s="45"/>
      <c r="H21" s="45"/>
      <c r="I21" s="45"/>
      <c r="J21" s="46">
        <f t="shared" si="3"/>
        <v>1379.6218799999999</v>
      </c>
      <c r="K21" s="46"/>
    </row>
    <row r="22" spans="1:11">
      <c r="A22" s="39">
        <v>17</v>
      </c>
      <c r="B22" s="44" t="s">
        <v>88</v>
      </c>
      <c r="C22" s="44" t="s">
        <v>85</v>
      </c>
      <c r="D22" s="39">
        <v>95.02</v>
      </c>
      <c r="E22" s="39"/>
      <c r="F22" s="45">
        <f t="shared" si="2"/>
        <v>1022.7952799999999</v>
      </c>
      <c r="G22" s="45"/>
      <c r="H22" s="45"/>
      <c r="I22" s="45"/>
      <c r="J22" s="46">
        <f t="shared" si="3"/>
        <v>1789.8917399999998</v>
      </c>
      <c r="K22" s="46"/>
    </row>
    <row r="23" spans="1:11">
      <c r="A23" s="39">
        <v>18</v>
      </c>
      <c r="B23" s="44" t="s">
        <v>88</v>
      </c>
      <c r="C23" s="44" t="s">
        <v>86</v>
      </c>
      <c r="D23" s="39">
        <v>278.16000000000003</v>
      </c>
      <c r="E23" s="39"/>
      <c r="F23" s="45">
        <f t="shared" si="2"/>
        <v>2994.1142399999999</v>
      </c>
      <c r="G23" s="45"/>
      <c r="H23" s="45"/>
      <c r="I23" s="45"/>
      <c r="J23" s="46">
        <f t="shared" si="3"/>
        <v>5239.69992</v>
      </c>
      <c r="K23" s="46"/>
    </row>
    <row r="24" spans="1:11">
      <c r="A24" s="39">
        <v>19</v>
      </c>
      <c r="B24" s="44" t="s">
        <v>89</v>
      </c>
      <c r="C24" s="50">
        <v>101</v>
      </c>
      <c r="D24" s="44">
        <v>67.02</v>
      </c>
      <c r="E24" s="44">
        <v>3.94</v>
      </c>
      <c r="F24" s="45">
        <f t="shared" ref="F24:G48" si="4">D24*10.764</f>
        <v>721.40327999999988</v>
      </c>
      <c r="G24" s="45">
        <f>E24*10.764</f>
        <v>42.410159999999998</v>
      </c>
      <c r="H24" s="45">
        <f>D24+E24</f>
        <v>70.959999999999994</v>
      </c>
      <c r="I24" s="45">
        <f>F24+G24</f>
        <v>763.8134399999999</v>
      </c>
      <c r="J24" s="46">
        <v>1210</v>
      </c>
      <c r="K24" s="46">
        <f>F24*65%</f>
        <v>468.91213199999993</v>
      </c>
    </row>
    <row r="25" spans="1:11">
      <c r="A25" s="39">
        <v>20</v>
      </c>
      <c r="B25" s="44" t="s">
        <v>90</v>
      </c>
      <c r="C25" s="50">
        <v>102</v>
      </c>
      <c r="D25" s="45">
        <v>87.9</v>
      </c>
      <c r="E25" s="44">
        <v>3.81</v>
      </c>
      <c r="F25" s="45">
        <f t="shared" si="4"/>
        <v>946.15560000000005</v>
      </c>
      <c r="G25" s="45">
        <f t="shared" si="4"/>
        <v>41.010839999999995</v>
      </c>
      <c r="H25" s="45">
        <f t="shared" ref="H25:H88" si="5">D25+E25</f>
        <v>91.710000000000008</v>
      </c>
      <c r="I25" s="45">
        <f t="shared" ref="I25:I88" si="6">F25+G25</f>
        <v>987.16644000000008</v>
      </c>
      <c r="J25" s="46">
        <v>1555</v>
      </c>
      <c r="K25" s="46">
        <f t="shared" ref="K25:K88" si="7">F25*65%</f>
        <v>615.00114000000008</v>
      </c>
    </row>
    <row r="26" spans="1:11">
      <c r="A26" s="39">
        <v>21</v>
      </c>
      <c r="B26" s="44" t="s">
        <v>90</v>
      </c>
      <c r="C26" s="50">
        <v>103</v>
      </c>
      <c r="D26" s="44">
        <v>44.09</v>
      </c>
      <c r="E26" s="44">
        <v>3.96</v>
      </c>
      <c r="F26" s="45">
        <f t="shared" si="4"/>
        <v>474.58476000000002</v>
      </c>
      <c r="G26" s="45">
        <f t="shared" si="4"/>
        <v>42.625439999999998</v>
      </c>
      <c r="H26" s="45">
        <f t="shared" si="5"/>
        <v>48.050000000000004</v>
      </c>
      <c r="I26" s="45">
        <f t="shared" si="6"/>
        <v>517.21019999999999</v>
      </c>
      <c r="J26" s="46">
        <v>795</v>
      </c>
      <c r="K26" s="46">
        <f t="shared" si="7"/>
        <v>308.48009400000001</v>
      </c>
    </row>
    <row r="27" spans="1:11">
      <c r="A27" s="39">
        <v>22</v>
      </c>
      <c r="B27" s="44" t="s">
        <v>90</v>
      </c>
      <c r="C27" s="50">
        <v>104</v>
      </c>
      <c r="D27" s="44">
        <v>44.35</v>
      </c>
      <c r="E27" s="44">
        <v>3.78</v>
      </c>
      <c r="F27" s="45">
        <f t="shared" si="4"/>
        <v>477.38339999999999</v>
      </c>
      <c r="G27" s="45">
        <f t="shared" si="4"/>
        <v>40.687919999999998</v>
      </c>
      <c r="H27" s="45">
        <f t="shared" si="5"/>
        <v>48.13</v>
      </c>
      <c r="I27" s="45">
        <f t="shared" si="6"/>
        <v>518.07132000000001</v>
      </c>
      <c r="J27" s="46">
        <v>795</v>
      </c>
      <c r="K27" s="46">
        <f t="shared" si="7"/>
        <v>310.29921000000002</v>
      </c>
    </row>
    <row r="28" spans="1:11">
      <c r="A28" s="39">
        <v>23</v>
      </c>
      <c r="B28" s="44" t="s">
        <v>90</v>
      </c>
      <c r="C28" s="50">
        <v>105</v>
      </c>
      <c r="D28" s="44">
        <v>44.35</v>
      </c>
      <c r="E28" s="44">
        <v>3.78</v>
      </c>
      <c r="F28" s="45">
        <f t="shared" si="4"/>
        <v>477.38339999999999</v>
      </c>
      <c r="G28" s="45">
        <f t="shared" si="4"/>
        <v>40.687919999999998</v>
      </c>
      <c r="H28" s="45">
        <f t="shared" si="5"/>
        <v>48.13</v>
      </c>
      <c r="I28" s="45">
        <f t="shared" si="6"/>
        <v>518.07132000000001</v>
      </c>
      <c r="J28" s="46">
        <v>795</v>
      </c>
      <c r="K28" s="46">
        <f t="shared" si="7"/>
        <v>310.29921000000002</v>
      </c>
    </row>
    <row r="29" spans="1:11">
      <c r="A29" s="39">
        <v>24</v>
      </c>
      <c r="B29" s="44" t="s">
        <v>90</v>
      </c>
      <c r="C29" s="50">
        <v>106</v>
      </c>
      <c r="D29" s="44">
        <v>44.09</v>
      </c>
      <c r="E29" s="44">
        <v>3.96</v>
      </c>
      <c r="F29" s="45">
        <f t="shared" si="4"/>
        <v>474.58476000000002</v>
      </c>
      <c r="G29" s="45">
        <f t="shared" si="4"/>
        <v>42.625439999999998</v>
      </c>
      <c r="H29" s="45">
        <f t="shared" si="5"/>
        <v>48.050000000000004</v>
      </c>
      <c r="I29" s="45">
        <f t="shared" si="6"/>
        <v>517.21019999999999</v>
      </c>
      <c r="J29" s="46">
        <v>795</v>
      </c>
      <c r="K29" s="46">
        <f t="shared" si="7"/>
        <v>308.48009400000001</v>
      </c>
    </row>
    <row r="30" spans="1:11">
      <c r="A30" s="39">
        <v>25</v>
      </c>
      <c r="B30" s="44" t="s">
        <v>90</v>
      </c>
      <c r="C30" s="44">
        <v>107</v>
      </c>
      <c r="D30" s="45">
        <v>95.39</v>
      </c>
      <c r="E30" s="45">
        <v>3.81</v>
      </c>
      <c r="F30" s="45">
        <f t="shared" si="4"/>
        <v>1026.7779599999999</v>
      </c>
      <c r="G30" s="45">
        <f t="shared" si="4"/>
        <v>41.010839999999995</v>
      </c>
      <c r="H30" s="45">
        <f t="shared" si="5"/>
        <v>99.2</v>
      </c>
      <c r="I30" s="45">
        <f t="shared" si="6"/>
        <v>1067.7887999999998</v>
      </c>
      <c r="J30" s="46">
        <v>1690</v>
      </c>
      <c r="K30" s="46">
        <f t="shared" si="7"/>
        <v>667.40567399999998</v>
      </c>
    </row>
    <row r="31" spans="1:11">
      <c r="A31" s="39">
        <v>26</v>
      </c>
      <c r="B31" s="44" t="s">
        <v>90</v>
      </c>
      <c r="C31" s="44">
        <v>108</v>
      </c>
      <c r="D31" s="44">
        <v>67.02</v>
      </c>
      <c r="E31" s="44">
        <v>3.94</v>
      </c>
      <c r="F31" s="45">
        <f t="shared" si="4"/>
        <v>721.40327999999988</v>
      </c>
      <c r="G31" s="45">
        <f t="shared" si="4"/>
        <v>42.410159999999998</v>
      </c>
      <c r="H31" s="45">
        <f t="shared" si="5"/>
        <v>70.959999999999994</v>
      </c>
      <c r="I31" s="45">
        <f t="shared" si="6"/>
        <v>763.8134399999999</v>
      </c>
      <c r="J31" s="46">
        <v>1210</v>
      </c>
      <c r="K31" s="46">
        <f t="shared" si="7"/>
        <v>468.91213199999993</v>
      </c>
    </row>
    <row r="32" spans="1:11">
      <c r="A32" s="39">
        <v>27</v>
      </c>
      <c r="B32" s="44" t="s">
        <v>90</v>
      </c>
      <c r="C32" s="44">
        <v>109</v>
      </c>
      <c r="D32" s="45">
        <v>41.9</v>
      </c>
      <c r="E32" s="44">
        <v>3.57</v>
      </c>
      <c r="F32" s="45">
        <f t="shared" si="4"/>
        <v>451.01159999999993</v>
      </c>
      <c r="G32" s="45">
        <f t="shared" si="4"/>
        <v>38.427479999999996</v>
      </c>
      <c r="H32" s="45">
        <f t="shared" si="5"/>
        <v>45.47</v>
      </c>
      <c r="I32" s="45">
        <f t="shared" si="6"/>
        <v>489.43907999999993</v>
      </c>
      <c r="J32" s="46">
        <v>760</v>
      </c>
      <c r="K32" s="46">
        <f t="shared" si="7"/>
        <v>293.15753999999998</v>
      </c>
    </row>
    <row r="33" spans="1:11">
      <c r="A33" s="39">
        <v>28</v>
      </c>
      <c r="B33" s="44" t="s">
        <v>90</v>
      </c>
      <c r="C33" s="44">
        <v>110</v>
      </c>
      <c r="D33" s="45">
        <v>41.3</v>
      </c>
      <c r="E33" s="45">
        <v>3.39</v>
      </c>
      <c r="F33" s="45">
        <f t="shared" si="4"/>
        <v>444.55319999999995</v>
      </c>
      <c r="G33" s="45">
        <f t="shared" si="4"/>
        <v>36.489959999999996</v>
      </c>
      <c r="H33" s="45">
        <f t="shared" si="5"/>
        <v>44.69</v>
      </c>
      <c r="I33" s="45">
        <f t="shared" si="6"/>
        <v>481.04315999999994</v>
      </c>
      <c r="J33" s="46">
        <v>750</v>
      </c>
      <c r="K33" s="46">
        <f t="shared" si="7"/>
        <v>288.95957999999996</v>
      </c>
    </row>
    <row r="34" spans="1:11">
      <c r="A34" s="39">
        <v>29</v>
      </c>
      <c r="B34" s="44" t="s">
        <v>90</v>
      </c>
      <c r="C34" s="44">
        <v>111</v>
      </c>
      <c r="D34" s="45">
        <v>41.3</v>
      </c>
      <c r="E34" s="45">
        <v>3.39</v>
      </c>
      <c r="F34" s="45">
        <f t="shared" si="4"/>
        <v>444.55319999999995</v>
      </c>
      <c r="G34" s="45">
        <f t="shared" si="4"/>
        <v>36.489959999999996</v>
      </c>
      <c r="H34" s="45">
        <f t="shared" si="5"/>
        <v>44.69</v>
      </c>
      <c r="I34" s="45">
        <f t="shared" si="6"/>
        <v>481.04315999999994</v>
      </c>
      <c r="J34" s="46">
        <v>750</v>
      </c>
      <c r="K34" s="46">
        <f t="shared" si="7"/>
        <v>288.95957999999996</v>
      </c>
    </row>
    <row r="35" spans="1:11">
      <c r="A35" s="39">
        <v>30</v>
      </c>
      <c r="B35" s="44" t="s">
        <v>90</v>
      </c>
      <c r="C35" s="44">
        <v>112</v>
      </c>
      <c r="D35" s="45">
        <v>41.9</v>
      </c>
      <c r="E35" s="44">
        <v>3.57</v>
      </c>
      <c r="F35" s="45">
        <f t="shared" si="4"/>
        <v>451.01159999999993</v>
      </c>
      <c r="G35" s="45">
        <f t="shared" si="4"/>
        <v>38.427479999999996</v>
      </c>
      <c r="H35" s="45">
        <f t="shared" si="5"/>
        <v>45.47</v>
      </c>
      <c r="I35" s="45">
        <f t="shared" si="6"/>
        <v>489.43907999999993</v>
      </c>
      <c r="J35" s="46">
        <v>760</v>
      </c>
      <c r="K35" s="46">
        <f t="shared" si="7"/>
        <v>293.15753999999998</v>
      </c>
    </row>
    <row r="36" spans="1:11">
      <c r="A36" s="39">
        <v>31</v>
      </c>
      <c r="B36" s="44" t="s">
        <v>90</v>
      </c>
      <c r="C36" s="50">
        <v>201</v>
      </c>
      <c r="D36" s="44">
        <v>67.02</v>
      </c>
      <c r="E36" s="44">
        <v>3.94</v>
      </c>
      <c r="F36" s="45">
        <f t="shared" si="4"/>
        <v>721.40327999999988</v>
      </c>
      <c r="G36" s="45">
        <f t="shared" si="4"/>
        <v>42.410159999999998</v>
      </c>
      <c r="H36" s="45">
        <f t="shared" si="5"/>
        <v>70.959999999999994</v>
      </c>
      <c r="I36" s="45">
        <f t="shared" si="6"/>
        <v>763.8134399999999</v>
      </c>
      <c r="J36" s="46">
        <v>1210</v>
      </c>
      <c r="K36" s="46">
        <f t="shared" si="7"/>
        <v>468.91213199999993</v>
      </c>
    </row>
    <row r="37" spans="1:11">
      <c r="A37" s="39">
        <v>32</v>
      </c>
      <c r="B37" s="44" t="s">
        <v>90</v>
      </c>
      <c r="C37" s="50">
        <v>202</v>
      </c>
      <c r="D37" s="44">
        <v>95.39</v>
      </c>
      <c r="E37" s="44">
        <v>3.81</v>
      </c>
      <c r="F37" s="45">
        <f t="shared" si="4"/>
        <v>1026.7779599999999</v>
      </c>
      <c r="G37" s="45">
        <f t="shared" si="4"/>
        <v>41.010839999999995</v>
      </c>
      <c r="H37" s="45">
        <f t="shared" si="5"/>
        <v>99.2</v>
      </c>
      <c r="I37" s="45">
        <f t="shared" si="6"/>
        <v>1067.7887999999998</v>
      </c>
      <c r="J37" s="46">
        <v>1690</v>
      </c>
      <c r="K37" s="46">
        <f t="shared" si="7"/>
        <v>667.40567399999998</v>
      </c>
    </row>
    <row r="38" spans="1:11">
      <c r="A38" s="39">
        <v>33</v>
      </c>
      <c r="B38" s="44" t="s">
        <v>90</v>
      </c>
      <c r="C38" s="50">
        <v>203</v>
      </c>
      <c r="D38" s="44">
        <v>44.09</v>
      </c>
      <c r="E38" s="44">
        <v>3.96</v>
      </c>
      <c r="F38" s="45">
        <f t="shared" si="4"/>
        <v>474.58476000000002</v>
      </c>
      <c r="G38" s="45">
        <f t="shared" si="4"/>
        <v>42.625439999999998</v>
      </c>
      <c r="H38" s="45">
        <f t="shared" si="5"/>
        <v>48.050000000000004</v>
      </c>
      <c r="I38" s="45">
        <f t="shared" si="6"/>
        <v>517.21019999999999</v>
      </c>
      <c r="J38" s="46">
        <v>795</v>
      </c>
      <c r="K38" s="46">
        <f t="shared" si="7"/>
        <v>308.48009400000001</v>
      </c>
    </row>
    <row r="39" spans="1:11">
      <c r="A39" s="39">
        <v>34</v>
      </c>
      <c r="B39" s="44" t="s">
        <v>90</v>
      </c>
      <c r="C39" s="50">
        <v>206</v>
      </c>
      <c r="D39" s="44">
        <v>44.09</v>
      </c>
      <c r="E39" s="44">
        <v>3.96</v>
      </c>
      <c r="F39" s="45">
        <f t="shared" si="4"/>
        <v>474.58476000000002</v>
      </c>
      <c r="G39" s="45">
        <f t="shared" si="4"/>
        <v>42.625439999999998</v>
      </c>
      <c r="H39" s="45">
        <f t="shared" si="5"/>
        <v>48.050000000000004</v>
      </c>
      <c r="I39" s="45">
        <f t="shared" si="6"/>
        <v>517.21019999999999</v>
      </c>
      <c r="J39" s="46">
        <v>795</v>
      </c>
      <c r="K39" s="46">
        <f t="shared" si="7"/>
        <v>308.48009400000001</v>
      </c>
    </row>
    <row r="40" spans="1:11">
      <c r="A40" s="39">
        <v>35</v>
      </c>
      <c r="B40" s="44" t="s">
        <v>90</v>
      </c>
      <c r="C40" s="50">
        <v>207</v>
      </c>
      <c r="D40" s="45">
        <v>95.39</v>
      </c>
      <c r="E40" s="45">
        <v>3.81</v>
      </c>
      <c r="F40" s="45">
        <f t="shared" si="4"/>
        <v>1026.7779599999999</v>
      </c>
      <c r="G40" s="45">
        <f t="shared" si="4"/>
        <v>41.010839999999995</v>
      </c>
      <c r="H40" s="45">
        <f t="shared" si="5"/>
        <v>99.2</v>
      </c>
      <c r="I40" s="45">
        <f t="shared" si="6"/>
        <v>1067.7887999999998</v>
      </c>
      <c r="J40" s="46">
        <v>1690</v>
      </c>
      <c r="K40" s="46">
        <f t="shared" si="7"/>
        <v>667.40567399999998</v>
      </c>
    </row>
    <row r="41" spans="1:11">
      <c r="A41" s="39">
        <v>36</v>
      </c>
      <c r="B41" s="44" t="s">
        <v>90</v>
      </c>
      <c r="C41" s="50">
        <v>208</v>
      </c>
      <c r="D41" s="44">
        <v>67.02</v>
      </c>
      <c r="E41" s="44">
        <v>3.94</v>
      </c>
      <c r="F41" s="45">
        <f t="shared" si="4"/>
        <v>721.40327999999988</v>
      </c>
      <c r="G41" s="45">
        <f t="shared" si="4"/>
        <v>42.410159999999998</v>
      </c>
      <c r="H41" s="45">
        <f t="shared" si="5"/>
        <v>70.959999999999994</v>
      </c>
      <c r="I41" s="45">
        <f t="shared" si="6"/>
        <v>763.8134399999999</v>
      </c>
      <c r="J41" s="46">
        <v>1210</v>
      </c>
      <c r="K41" s="46">
        <f t="shared" si="7"/>
        <v>468.91213199999993</v>
      </c>
    </row>
    <row r="42" spans="1:11">
      <c r="A42" s="39">
        <v>37</v>
      </c>
      <c r="B42" s="44" t="s">
        <v>90</v>
      </c>
      <c r="C42" s="50">
        <v>209</v>
      </c>
      <c r="D42" s="45">
        <v>41.9</v>
      </c>
      <c r="E42" s="44">
        <v>3.57</v>
      </c>
      <c r="F42" s="45">
        <f t="shared" si="4"/>
        <v>451.01159999999993</v>
      </c>
      <c r="G42" s="45">
        <f t="shared" si="4"/>
        <v>38.427479999999996</v>
      </c>
      <c r="H42" s="45">
        <f t="shared" si="5"/>
        <v>45.47</v>
      </c>
      <c r="I42" s="45">
        <f t="shared" si="6"/>
        <v>489.43907999999993</v>
      </c>
      <c r="J42" s="46">
        <v>760</v>
      </c>
      <c r="K42" s="46">
        <f t="shared" si="7"/>
        <v>293.15753999999998</v>
      </c>
    </row>
    <row r="43" spans="1:11">
      <c r="A43" s="39">
        <v>38</v>
      </c>
      <c r="B43" s="44" t="s">
        <v>90</v>
      </c>
      <c r="C43" s="50">
        <v>210</v>
      </c>
      <c r="D43" s="45">
        <v>41.3</v>
      </c>
      <c r="E43" s="45">
        <v>3.39</v>
      </c>
      <c r="F43" s="45">
        <f t="shared" si="4"/>
        <v>444.55319999999995</v>
      </c>
      <c r="G43" s="45">
        <f t="shared" si="4"/>
        <v>36.489959999999996</v>
      </c>
      <c r="H43" s="45">
        <f t="shared" si="5"/>
        <v>44.69</v>
      </c>
      <c r="I43" s="45">
        <f t="shared" si="6"/>
        <v>481.04315999999994</v>
      </c>
      <c r="J43" s="46">
        <v>750</v>
      </c>
      <c r="K43" s="46">
        <f t="shared" si="7"/>
        <v>288.95957999999996</v>
      </c>
    </row>
    <row r="44" spans="1:11">
      <c r="A44" s="39">
        <v>39</v>
      </c>
      <c r="B44" s="44" t="s">
        <v>90</v>
      </c>
      <c r="C44" s="50">
        <v>211</v>
      </c>
      <c r="D44" s="45">
        <v>41.3</v>
      </c>
      <c r="E44" s="45">
        <v>3.39</v>
      </c>
      <c r="F44" s="45">
        <f t="shared" si="4"/>
        <v>444.55319999999995</v>
      </c>
      <c r="G44" s="45">
        <f t="shared" si="4"/>
        <v>36.489959999999996</v>
      </c>
      <c r="H44" s="45">
        <f t="shared" si="5"/>
        <v>44.69</v>
      </c>
      <c r="I44" s="45">
        <f t="shared" si="6"/>
        <v>481.04315999999994</v>
      </c>
      <c r="J44" s="46">
        <v>750</v>
      </c>
      <c r="K44" s="46">
        <f t="shared" si="7"/>
        <v>288.95957999999996</v>
      </c>
    </row>
    <row r="45" spans="1:11">
      <c r="A45" s="39">
        <v>40</v>
      </c>
      <c r="B45" s="44" t="s">
        <v>90</v>
      </c>
      <c r="C45" s="50">
        <v>212</v>
      </c>
      <c r="D45" s="45">
        <v>41.9</v>
      </c>
      <c r="E45" s="44">
        <v>3.57</v>
      </c>
      <c r="F45" s="45">
        <f t="shared" si="4"/>
        <v>451.01159999999993</v>
      </c>
      <c r="G45" s="45">
        <f t="shared" si="4"/>
        <v>38.427479999999996</v>
      </c>
      <c r="H45" s="45">
        <f t="shared" si="5"/>
        <v>45.47</v>
      </c>
      <c r="I45" s="45">
        <f t="shared" si="6"/>
        <v>489.43907999999993</v>
      </c>
      <c r="J45" s="46">
        <v>760</v>
      </c>
      <c r="K45" s="46">
        <f t="shared" si="7"/>
        <v>293.15753999999998</v>
      </c>
    </row>
    <row r="46" spans="1:11">
      <c r="A46" s="39">
        <v>41</v>
      </c>
      <c r="B46" s="44" t="s">
        <v>90</v>
      </c>
      <c r="C46" s="44">
        <v>301</v>
      </c>
      <c r="D46" s="44">
        <v>67.02</v>
      </c>
      <c r="E46" s="44">
        <v>3.94</v>
      </c>
      <c r="F46" s="45">
        <f t="shared" si="4"/>
        <v>721.40327999999988</v>
      </c>
      <c r="G46" s="45">
        <f t="shared" si="4"/>
        <v>42.410159999999998</v>
      </c>
      <c r="H46" s="45">
        <f t="shared" si="5"/>
        <v>70.959999999999994</v>
      </c>
      <c r="I46" s="45">
        <f t="shared" si="6"/>
        <v>763.8134399999999</v>
      </c>
      <c r="J46" s="46">
        <v>1210</v>
      </c>
      <c r="K46" s="46">
        <f t="shared" si="7"/>
        <v>468.91213199999993</v>
      </c>
    </row>
    <row r="47" spans="1:11">
      <c r="A47" s="39">
        <v>42</v>
      </c>
      <c r="B47" s="44" t="s">
        <v>90</v>
      </c>
      <c r="C47" s="44">
        <v>302</v>
      </c>
      <c r="D47" s="44">
        <v>95.39</v>
      </c>
      <c r="E47" s="44">
        <v>3.81</v>
      </c>
      <c r="F47" s="45">
        <f t="shared" si="4"/>
        <v>1026.7779599999999</v>
      </c>
      <c r="G47" s="45">
        <f t="shared" si="4"/>
        <v>41.010839999999995</v>
      </c>
      <c r="H47" s="45">
        <f t="shared" si="5"/>
        <v>99.2</v>
      </c>
      <c r="I47" s="45">
        <f t="shared" si="6"/>
        <v>1067.7887999999998</v>
      </c>
      <c r="J47" s="46">
        <v>1690</v>
      </c>
      <c r="K47" s="46">
        <f t="shared" si="7"/>
        <v>667.40567399999998</v>
      </c>
    </row>
    <row r="48" spans="1:11">
      <c r="A48" s="39">
        <v>43</v>
      </c>
      <c r="B48" s="44" t="s">
        <v>90</v>
      </c>
      <c r="C48" s="44">
        <v>303</v>
      </c>
      <c r="D48" s="44">
        <v>44.09</v>
      </c>
      <c r="E48" s="44">
        <v>3.96</v>
      </c>
      <c r="F48" s="45">
        <f t="shared" si="4"/>
        <v>474.58476000000002</v>
      </c>
      <c r="G48" s="45">
        <f t="shared" si="4"/>
        <v>42.625439999999998</v>
      </c>
      <c r="H48" s="45">
        <f t="shared" si="5"/>
        <v>48.050000000000004</v>
      </c>
      <c r="I48" s="45">
        <f t="shared" si="6"/>
        <v>517.21019999999999</v>
      </c>
      <c r="J48" s="46">
        <v>795</v>
      </c>
      <c r="K48" s="46">
        <f t="shared" si="7"/>
        <v>308.48009400000001</v>
      </c>
    </row>
    <row r="49" spans="1:11">
      <c r="A49" s="39">
        <v>44</v>
      </c>
      <c r="B49" s="44" t="s">
        <v>90</v>
      </c>
      <c r="C49" s="44">
        <v>304</v>
      </c>
      <c r="D49" s="44">
        <v>44.35</v>
      </c>
      <c r="E49" s="44">
        <v>3.78</v>
      </c>
      <c r="F49" s="45">
        <f t="shared" ref="F49:G96" si="8">D49*10.764</f>
        <v>477.38339999999999</v>
      </c>
      <c r="G49" s="45">
        <f t="shared" si="8"/>
        <v>40.687919999999998</v>
      </c>
      <c r="H49" s="45">
        <f t="shared" si="5"/>
        <v>48.13</v>
      </c>
      <c r="I49" s="45">
        <f t="shared" si="6"/>
        <v>518.07132000000001</v>
      </c>
      <c r="J49" s="46">
        <v>795</v>
      </c>
      <c r="K49" s="46">
        <f t="shared" si="7"/>
        <v>310.29921000000002</v>
      </c>
    </row>
    <row r="50" spans="1:11">
      <c r="A50" s="39">
        <v>45</v>
      </c>
      <c r="B50" s="44" t="s">
        <v>90</v>
      </c>
      <c r="C50" s="44">
        <v>305</v>
      </c>
      <c r="D50" s="44">
        <v>44.35</v>
      </c>
      <c r="E50" s="44">
        <v>3.78</v>
      </c>
      <c r="F50" s="45">
        <f t="shared" si="8"/>
        <v>477.38339999999999</v>
      </c>
      <c r="G50" s="45">
        <f t="shared" si="8"/>
        <v>40.687919999999998</v>
      </c>
      <c r="H50" s="45">
        <f t="shared" si="5"/>
        <v>48.13</v>
      </c>
      <c r="I50" s="45">
        <f t="shared" si="6"/>
        <v>518.07132000000001</v>
      </c>
      <c r="J50" s="46">
        <v>795</v>
      </c>
      <c r="K50" s="46">
        <f t="shared" si="7"/>
        <v>310.29921000000002</v>
      </c>
    </row>
    <row r="51" spans="1:11">
      <c r="A51" s="39">
        <v>46</v>
      </c>
      <c r="B51" s="44" t="s">
        <v>90</v>
      </c>
      <c r="C51" s="44">
        <v>306</v>
      </c>
      <c r="D51" s="44">
        <v>44.09</v>
      </c>
      <c r="E51" s="44">
        <v>3.96</v>
      </c>
      <c r="F51" s="45">
        <f t="shared" si="8"/>
        <v>474.58476000000002</v>
      </c>
      <c r="G51" s="45">
        <f t="shared" si="8"/>
        <v>42.625439999999998</v>
      </c>
      <c r="H51" s="45">
        <f t="shared" si="5"/>
        <v>48.050000000000004</v>
      </c>
      <c r="I51" s="45">
        <f t="shared" si="6"/>
        <v>517.21019999999999</v>
      </c>
      <c r="J51" s="46">
        <v>795</v>
      </c>
      <c r="K51" s="46">
        <f t="shared" si="7"/>
        <v>308.48009400000001</v>
      </c>
    </row>
    <row r="52" spans="1:11">
      <c r="A52" s="39">
        <v>47</v>
      </c>
      <c r="B52" s="44" t="s">
        <v>90</v>
      </c>
      <c r="C52" s="44">
        <v>307</v>
      </c>
      <c r="D52" s="45">
        <v>95.39</v>
      </c>
      <c r="E52" s="45">
        <v>3.81</v>
      </c>
      <c r="F52" s="45">
        <f t="shared" si="8"/>
        <v>1026.7779599999999</v>
      </c>
      <c r="G52" s="45">
        <f t="shared" si="8"/>
        <v>41.010839999999995</v>
      </c>
      <c r="H52" s="45">
        <f t="shared" si="5"/>
        <v>99.2</v>
      </c>
      <c r="I52" s="45">
        <f t="shared" si="6"/>
        <v>1067.7887999999998</v>
      </c>
      <c r="J52" s="46">
        <v>1690</v>
      </c>
      <c r="K52" s="46">
        <f t="shared" si="7"/>
        <v>667.40567399999998</v>
      </c>
    </row>
    <row r="53" spans="1:11">
      <c r="A53" s="39">
        <v>48</v>
      </c>
      <c r="B53" s="44" t="s">
        <v>90</v>
      </c>
      <c r="C53" s="50">
        <v>308</v>
      </c>
      <c r="D53" s="44">
        <v>67.02</v>
      </c>
      <c r="E53" s="44">
        <v>3.94</v>
      </c>
      <c r="F53" s="45">
        <f t="shared" si="8"/>
        <v>721.40327999999988</v>
      </c>
      <c r="G53" s="45">
        <f t="shared" si="8"/>
        <v>42.410159999999998</v>
      </c>
      <c r="H53" s="45">
        <f t="shared" si="5"/>
        <v>70.959999999999994</v>
      </c>
      <c r="I53" s="45">
        <f t="shared" si="6"/>
        <v>763.8134399999999</v>
      </c>
      <c r="J53" s="46">
        <v>1210</v>
      </c>
      <c r="K53" s="46">
        <f t="shared" si="7"/>
        <v>468.91213199999993</v>
      </c>
    </row>
    <row r="54" spans="1:11">
      <c r="A54" s="39">
        <v>49</v>
      </c>
      <c r="B54" s="44" t="s">
        <v>90</v>
      </c>
      <c r="C54" s="50">
        <v>309</v>
      </c>
      <c r="D54" s="45">
        <v>41.9</v>
      </c>
      <c r="E54" s="44">
        <v>3.57</v>
      </c>
      <c r="F54" s="45">
        <f t="shared" si="8"/>
        <v>451.01159999999993</v>
      </c>
      <c r="G54" s="45">
        <f t="shared" si="8"/>
        <v>38.427479999999996</v>
      </c>
      <c r="H54" s="45">
        <f t="shared" si="5"/>
        <v>45.47</v>
      </c>
      <c r="I54" s="45">
        <f t="shared" si="6"/>
        <v>489.43907999999993</v>
      </c>
      <c r="J54" s="46">
        <v>760</v>
      </c>
      <c r="K54" s="46">
        <f t="shared" si="7"/>
        <v>293.15753999999998</v>
      </c>
    </row>
    <row r="55" spans="1:11">
      <c r="A55" s="39">
        <v>50</v>
      </c>
      <c r="B55" s="44" t="s">
        <v>90</v>
      </c>
      <c r="C55" s="50">
        <v>310</v>
      </c>
      <c r="D55" s="45">
        <v>41.3</v>
      </c>
      <c r="E55" s="45">
        <v>3.39</v>
      </c>
      <c r="F55" s="45">
        <f t="shared" si="8"/>
        <v>444.55319999999995</v>
      </c>
      <c r="G55" s="45">
        <f t="shared" si="8"/>
        <v>36.489959999999996</v>
      </c>
      <c r="H55" s="45">
        <f t="shared" si="5"/>
        <v>44.69</v>
      </c>
      <c r="I55" s="45">
        <f t="shared" si="6"/>
        <v>481.04315999999994</v>
      </c>
      <c r="J55" s="46">
        <v>750</v>
      </c>
      <c r="K55" s="46">
        <f t="shared" si="7"/>
        <v>288.95957999999996</v>
      </c>
    </row>
    <row r="56" spans="1:11">
      <c r="A56" s="39">
        <v>51</v>
      </c>
      <c r="B56" s="44" t="s">
        <v>90</v>
      </c>
      <c r="C56" s="50">
        <v>311</v>
      </c>
      <c r="D56" s="45">
        <v>41.3</v>
      </c>
      <c r="E56" s="45">
        <v>3.39</v>
      </c>
      <c r="F56" s="45">
        <f t="shared" si="8"/>
        <v>444.55319999999995</v>
      </c>
      <c r="G56" s="45">
        <f t="shared" si="8"/>
        <v>36.489959999999996</v>
      </c>
      <c r="H56" s="45">
        <f t="shared" si="5"/>
        <v>44.69</v>
      </c>
      <c r="I56" s="45">
        <f t="shared" si="6"/>
        <v>481.04315999999994</v>
      </c>
      <c r="J56" s="46">
        <v>750</v>
      </c>
      <c r="K56" s="46">
        <f t="shared" si="7"/>
        <v>288.95957999999996</v>
      </c>
    </row>
    <row r="57" spans="1:11">
      <c r="A57" s="39">
        <v>52</v>
      </c>
      <c r="B57" s="44" t="s">
        <v>90</v>
      </c>
      <c r="C57" s="50">
        <v>312</v>
      </c>
      <c r="D57" s="45">
        <v>41.9</v>
      </c>
      <c r="E57" s="44">
        <v>3.57</v>
      </c>
      <c r="F57" s="45">
        <f t="shared" si="8"/>
        <v>451.01159999999993</v>
      </c>
      <c r="G57" s="45">
        <f t="shared" si="8"/>
        <v>38.427479999999996</v>
      </c>
      <c r="H57" s="45">
        <f t="shared" si="5"/>
        <v>45.47</v>
      </c>
      <c r="I57" s="45">
        <f t="shared" si="6"/>
        <v>489.43907999999993</v>
      </c>
      <c r="J57" s="46">
        <v>760</v>
      </c>
      <c r="K57" s="46">
        <f t="shared" si="7"/>
        <v>293.15753999999998</v>
      </c>
    </row>
    <row r="58" spans="1:11">
      <c r="A58" s="39">
        <v>53</v>
      </c>
      <c r="B58" s="44" t="s">
        <v>90</v>
      </c>
      <c r="C58" s="44">
        <v>401</v>
      </c>
      <c r="D58" s="44">
        <v>67.02</v>
      </c>
      <c r="E58" s="44">
        <v>3.94</v>
      </c>
      <c r="F58" s="45">
        <f t="shared" si="8"/>
        <v>721.40327999999988</v>
      </c>
      <c r="G58" s="45">
        <f t="shared" si="8"/>
        <v>42.410159999999998</v>
      </c>
      <c r="H58" s="45">
        <f t="shared" si="5"/>
        <v>70.959999999999994</v>
      </c>
      <c r="I58" s="45">
        <f t="shared" si="6"/>
        <v>763.8134399999999</v>
      </c>
      <c r="J58" s="46">
        <v>1210</v>
      </c>
      <c r="K58" s="46">
        <f t="shared" si="7"/>
        <v>468.91213199999993</v>
      </c>
    </row>
    <row r="59" spans="1:11">
      <c r="A59" s="39">
        <v>54</v>
      </c>
      <c r="B59" s="44" t="s">
        <v>90</v>
      </c>
      <c r="C59" s="44">
        <v>402</v>
      </c>
      <c r="D59" s="44">
        <v>95.39</v>
      </c>
      <c r="E59" s="44">
        <v>3.81</v>
      </c>
      <c r="F59" s="45">
        <f t="shared" si="8"/>
        <v>1026.7779599999999</v>
      </c>
      <c r="G59" s="45">
        <f t="shared" si="8"/>
        <v>41.010839999999995</v>
      </c>
      <c r="H59" s="45">
        <f t="shared" si="5"/>
        <v>99.2</v>
      </c>
      <c r="I59" s="45">
        <f t="shared" si="6"/>
        <v>1067.7887999999998</v>
      </c>
      <c r="J59" s="46">
        <v>1690</v>
      </c>
      <c r="K59" s="46">
        <f t="shared" si="7"/>
        <v>667.40567399999998</v>
      </c>
    </row>
    <row r="60" spans="1:11">
      <c r="A60" s="39">
        <v>55</v>
      </c>
      <c r="B60" s="44" t="s">
        <v>90</v>
      </c>
      <c r="C60" s="44">
        <v>403</v>
      </c>
      <c r="D60" s="44">
        <v>44.09</v>
      </c>
      <c r="E60" s="44">
        <v>3.96</v>
      </c>
      <c r="F60" s="45">
        <f t="shared" si="8"/>
        <v>474.58476000000002</v>
      </c>
      <c r="G60" s="45">
        <f t="shared" si="8"/>
        <v>42.625439999999998</v>
      </c>
      <c r="H60" s="45">
        <f t="shared" si="5"/>
        <v>48.050000000000004</v>
      </c>
      <c r="I60" s="45">
        <f t="shared" si="6"/>
        <v>517.21019999999999</v>
      </c>
      <c r="J60" s="46">
        <v>795</v>
      </c>
      <c r="K60" s="46">
        <f t="shared" si="7"/>
        <v>308.48009400000001</v>
      </c>
    </row>
    <row r="61" spans="1:11">
      <c r="A61" s="39">
        <v>56</v>
      </c>
      <c r="B61" s="44" t="s">
        <v>90</v>
      </c>
      <c r="C61" s="44">
        <v>404</v>
      </c>
      <c r="D61" s="44">
        <v>44.35</v>
      </c>
      <c r="E61" s="44">
        <v>3.78</v>
      </c>
      <c r="F61" s="45">
        <f t="shared" si="8"/>
        <v>477.38339999999999</v>
      </c>
      <c r="G61" s="45">
        <f t="shared" si="8"/>
        <v>40.687919999999998</v>
      </c>
      <c r="H61" s="45">
        <f t="shared" si="5"/>
        <v>48.13</v>
      </c>
      <c r="I61" s="45">
        <f t="shared" si="6"/>
        <v>518.07132000000001</v>
      </c>
      <c r="J61" s="46">
        <v>795</v>
      </c>
      <c r="K61" s="46">
        <f t="shared" si="7"/>
        <v>310.29921000000002</v>
      </c>
    </row>
    <row r="62" spans="1:11">
      <c r="A62" s="39">
        <v>57</v>
      </c>
      <c r="B62" s="44" t="s">
        <v>90</v>
      </c>
      <c r="C62" s="44">
        <v>405</v>
      </c>
      <c r="D62" s="44">
        <v>44.35</v>
      </c>
      <c r="E62" s="44">
        <v>3.78</v>
      </c>
      <c r="F62" s="45">
        <f t="shared" si="8"/>
        <v>477.38339999999999</v>
      </c>
      <c r="G62" s="45">
        <f t="shared" si="8"/>
        <v>40.687919999999998</v>
      </c>
      <c r="H62" s="45">
        <f t="shared" si="5"/>
        <v>48.13</v>
      </c>
      <c r="I62" s="45">
        <f t="shared" si="6"/>
        <v>518.07132000000001</v>
      </c>
      <c r="J62" s="46">
        <v>795</v>
      </c>
      <c r="K62" s="46">
        <f t="shared" si="7"/>
        <v>310.29921000000002</v>
      </c>
    </row>
    <row r="63" spans="1:11">
      <c r="A63" s="39">
        <v>58</v>
      </c>
      <c r="B63" s="44" t="s">
        <v>90</v>
      </c>
      <c r="C63" s="44">
        <v>406</v>
      </c>
      <c r="D63" s="44">
        <v>44.09</v>
      </c>
      <c r="E63" s="44">
        <v>3.96</v>
      </c>
      <c r="F63" s="45">
        <f t="shared" si="8"/>
        <v>474.58476000000002</v>
      </c>
      <c r="G63" s="45">
        <f t="shared" si="8"/>
        <v>42.625439999999998</v>
      </c>
      <c r="H63" s="45">
        <f t="shared" si="5"/>
        <v>48.050000000000004</v>
      </c>
      <c r="I63" s="45">
        <f t="shared" si="6"/>
        <v>517.21019999999999</v>
      </c>
      <c r="J63" s="46">
        <v>795</v>
      </c>
      <c r="K63" s="46">
        <f t="shared" si="7"/>
        <v>308.48009400000001</v>
      </c>
    </row>
    <row r="64" spans="1:11">
      <c r="A64" s="39">
        <v>59</v>
      </c>
      <c r="B64" s="44" t="s">
        <v>90</v>
      </c>
      <c r="C64" s="44">
        <v>407</v>
      </c>
      <c r="D64" s="45">
        <v>95.39</v>
      </c>
      <c r="E64" s="45">
        <v>3.81</v>
      </c>
      <c r="F64" s="45">
        <f t="shared" si="8"/>
        <v>1026.7779599999999</v>
      </c>
      <c r="G64" s="45">
        <f t="shared" si="8"/>
        <v>41.010839999999995</v>
      </c>
      <c r="H64" s="45">
        <f t="shared" si="5"/>
        <v>99.2</v>
      </c>
      <c r="I64" s="45">
        <f t="shared" si="6"/>
        <v>1067.7887999999998</v>
      </c>
      <c r="J64" s="46">
        <v>1690</v>
      </c>
      <c r="K64" s="46">
        <f t="shared" si="7"/>
        <v>667.40567399999998</v>
      </c>
    </row>
    <row r="65" spans="1:11">
      <c r="A65" s="39">
        <v>60</v>
      </c>
      <c r="B65" s="44" t="s">
        <v>90</v>
      </c>
      <c r="C65" s="44">
        <v>408</v>
      </c>
      <c r="D65" s="44">
        <v>67.02</v>
      </c>
      <c r="E65" s="44">
        <v>3.94</v>
      </c>
      <c r="F65" s="45">
        <f t="shared" si="8"/>
        <v>721.40327999999988</v>
      </c>
      <c r="G65" s="45">
        <f t="shared" si="8"/>
        <v>42.410159999999998</v>
      </c>
      <c r="H65" s="45">
        <f t="shared" si="5"/>
        <v>70.959999999999994</v>
      </c>
      <c r="I65" s="45">
        <f t="shared" si="6"/>
        <v>763.8134399999999</v>
      </c>
      <c r="J65" s="46">
        <v>1210</v>
      </c>
      <c r="K65" s="46">
        <f t="shared" si="7"/>
        <v>468.91213199999993</v>
      </c>
    </row>
    <row r="66" spans="1:11">
      <c r="A66" s="39">
        <v>61</v>
      </c>
      <c r="B66" s="44" t="s">
        <v>90</v>
      </c>
      <c r="C66" s="44">
        <v>409</v>
      </c>
      <c r="D66" s="45">
        <v>41.9</v>
      </c>
      <c r="E66" s="44">
        <v>3.57</v>
      </c>
      <c r="F66" s="45">
        <f t="shared" si="8"/>
        <v>451.01159999999993</v>
      </c>
      <c r="G66" s="45">
        <f t="shared" si="8"/>
        <v>38.427479999999996</v>
      </c>
      <c r="H66" s="45">
        <f t="shared" si="5"/>
        <v>45.47</v>
      </c>
      <c r="I66" s="45">
        <f t="shared" si="6"/>
        <v>489.43907999999993</v>
      </c>
      <c r="J66" s="46">
        <v>760</v>
      </c>
      <c r="K66" s="46">
        <f t="shared" si="7"/>
        <v>293.15753999999998</v>
      </c>
    </row>
    <row r="67" spans="1:11">
      <c r="A67" s="39">
        <v>62</v>
      </c>
      <c r="B67" s="44" t="s">
        <v>90</v>
      </c>
      <c r="C67" s="44">
        <v>410</v>
      </c>
      <c r="D67" s="45">
        <v>41.3</v>
      </c>
      <c r="E67" s="45">
        <v>3.39</v>
      </c>
      <c r="F67" s="45">
        <f t="shared" si="8"/>
        <v>444.55319999999995</v>
      </c>
      <c r="G67" s="45">
        <f t="shared" si="8"/>
        <v>36.489959999999996</v>
      </c>
      <c r="H67" s="45">
        <f t="shared" si="5"/>
        <v>44.69</v>
      </c>
      <c r="I67" s="45">
        <f t="shared" si="6"/>
        <v>481.04315999999994</v>
      </c>
      <c r="J67" s="46">
        <v>750</v>
      </c>
      <c r="K67" s="46">
        <f t="shared" si="7"/>
        <v>288.95957999999996</v>
      </c>
    </row>
    <row r="68" spans="1:11">
      <c r="A68" s="39">
        <v>63</v>
      </c>
      <c r="B68" s="44" t="s">
        <v>90</v>
      </c>
      <c r="C68" s="44">
        <v>411</v>
      </c>
      <c r="D68" s="45">
        <v>41.3</v>
      </c>
      <c r="E68" s="45">
        <v>3.39</v>
      </c>
      <c r="F68" s="45">
        <f t="shared" si="8"/>
        <v>444.55319999999995</v>
      </c>
      <c r="G68" s="45">
        <f t="shared" si="8"/>
        <v>36.489959999999996</v>
      </c>
      <c r="H68" s="45">
        <f t="shared" si="5"/>
        <v>44.69</v>
      </c>
      <c r="I68" s="45">
        <f t="shared" si="6"/>
        <v>481.04315999999994</v>
      </c>
      <c r="J68" s="46">
        <v>750</v>
      </c>
      <c r="K68" s="46">
        <f t="shared" si="7"/>
        <v>288.95957999999996</v>
      </c>
    </row>
    <row r="69" spans="1:11">
      <c r="A69" s="39">
        <v>64</v>
      </c>
      <c r="B69" s="44" t="s">
        <v>90</v>
      </c>
      <c r="C69" s="44">
        <v>412</v>
      </c>
      <c r="D69" s="45">
        <v>41.9</v>
      </c>
      <c r="E69" s="44">
        <v>3.57</v>
      </c>
      <c r="F69" s="45">
        <f t="shared" si="8"/>
        <v>451.01159999999993</v>
      </c>
      <c r="G69" s="45">
        <f t="shared" si="8"/>
        <v>38.427479999999996</v>
      </c>
      <c r="H69" s="45">
        <f t="shared" si="5"/>
        <v>45.47</v>
      </c>
      <c r="I69" s="45">
        <f t="shared" si="6"/>
        <v>489.43907999999993</v>
      </c>
      <c r="J69" s="46">
        <v>760</v>
      </c>
      <c r="K69" s="46">
        <f t="shared" si="7"/>
        <v>293.15753999999998</v>
      </c>
    </row>
    <row r="70" spans="1:11">
      <c r="A70" s="39">
        <v>65</v>
      </c>
      <c r="B70" s="44" t="s">
        <v>90</v>
      </c>
      <c r="C70" s="44">
        <v>501</v>
      </c>
      <c r="D70" s="44">
        <v>67.02</v>
      </c>
      <c r="E70" s="44">
        <v>3.94</v>
      </c>
      <c r="F70" s="45">
        <f t="shared" si="8"/>
        <v>721.40327999999988</v>
      </c>
      <c r="G70" s="45">
        <f t="shared" si="8"/>
        <v>42.410159999999998</v>
      </c>
      <c r="H70" s="45">
        <f t="shared" si="5"/>
        <v>70.959999999999994</v>
      </c>
      <c r="I70" s="45">
        <f t="shared" si="6"/>
        <v>763.8134399999999</v>
      </c>
      <c r="J70" s="46">
        <v>1210</v>
      </c>
      <c r="K70" s="46">
        <f t="shared" si="7"/>
        <v>468.91213199999993</v>
      </c>
    </row>
    <row r="71" spans="1:11">
      <c r="A71" s="39">
        <v>66</v>
      </c>
      <c r="B71" s="44" t="s">
        <v>90</v>
      </c>
      <c r="C71" s="44">
        <v>502</v>
      </c>
      <c r="D71" s="44">
        <v>95.39</v>
      </c>
      <c r="E71" s="44">
        <v>3.81</v>
      </c>
      <c r="F71" s="45">
        <f t="shared" si="8"/>
        <v>1026.7779599999999</v>
      </c>
      <c r="G71" s="45">
        <f t="shared" si="8"/>
        <v>41.010839999999995</v>
      </c>
      <c r="H71" s="45">
        <f t="shared" si="5"/>
        <v>99.2</v>
      </c>
      <c r="I71" s="45">
        <f t="shared" si="6"/>
        <v>1067.7887999999998</v>
      </c>
      <c r="J71" s="46">
        <v>1690</v>
      </c>
      <c r="K71" s="46">
        <f t="shared" si="7"/>
        <v>667.40567399999998</v>
      </c>
    </row>
    <row r="72" spans="1:11">
      <c r="A72" s="39">
        <v>67</v>
      </c>
      <c r="B72" s="44" t="s">
        <v>90</v>
      </c>
      <c r="C72" s="44">
        <v>503</v>
      </c>
      <c r="D72" s="44">
        <v>44.09</v>
      </c>
      <c r="E72" s="44">
        <v>3.96</v>
      </c>
      <c r="F72" s="45">
        <f t="shared" si="8"/>
        <v>474.58476000000002</v>
      </c>
      <c r="G72" s="45">
        <f t="shared" si="8"/>
        <v>42.625439999999998</v>
      </c>
      <c r="H72" s="45">
        <f t="shared" si="5"/>
        <v>48.050000000000004</v>
      </c>
      <c r="I72" s="45">
        <f t="shared" si="6"/>
        <v>517.21019999999999</v>
      </c>
      <c r="J72" s="46">
        <v>795</v>
      </c>
      <c r="K72" s="46">
        <f t="shared" si="7"/>
        <v>308.48009400000001</v>
      </c>
    </row>
    <row r="73" spans="1:11">
      <c r="A73" s="39">
        <v>68</v>
      </c>
      <c r="B73" s="44" t="s">
        <v>90</v>
      </c>
      <c r="C73" s="44">
        <v>504</v>
      </c>
      <c r="D73" s="44">
        <v>44.35</v>
      </c>
      <c r="E73" s="44">
        <v>3.78</v>
      </c>
      <c r="F73" s="45">
        <f t="shared" si="8"/>
        <v>477.38339999999999</v>
      </c>
      <c r="G73" s="45">
        <f t="shared" si="8"/>
        <v>40.687919999999998</v>
      </c>
      <c r="H73" s="45">
        <f t="shared" si="5"/>
        <v>48.13</v>
      </c>
      <c r="I73" s="45">
        <f t="shared" si="6"/>
        <v>518.07132000000001</v>
      </c>
      <c r="J73" s="46">
        <v>795</v>
      </c>
      <c r="K73" s="46">
        <f t="shared" si="7"/>
        <v>310.29921000000002</v>
      </c>
    </row>
    <row r="74" spans="1:11">
      <c r="A74" s="39">
        <v>69</v>
      </c>
      <c r="B74" s="44" t="s">
        <v>90</v>
      </c>
      <c r="C74" s="44">
        <v>505</v>
      </c>
      <c r="D74" s="44">
        <v>44.35</v>
      </c>
      <c r="E74" s="44">
        <v>3.78</v>
      </c>
      <c r="F74" s="45">
        <f t="shared" si="8"/>
        <v>477.38339999999999</v>
      </c>
      <c r="G74" s="45">
        <f t="shared" si="8"/>
        <v>40.687919999999998</v>
      </c>
      <c r="H74" s="45">
        <f t="shared" si="5"/>
        <v>48.13</v>
      </c>
      <c r="I74" s="45">
        <f t="shared" si="6"/>
        <v>518.07132000000001</v>
      </c>
      <c r="J74" s="46">
        <v>795</v>
      </c>
      <c r="K74" s="46">
        <f t="shared" si="7"/>
        <v>310.29921000000002</v>
      </c>
    </row>
    <row r="75" spans="1:11">
      <c r="A75" s="39">
        <v>70</v>
      </c>
      <c r="B75" s="44" t="s">
        <v>90</v>
      </c>
      <c r="C75" s="44">
        <v>506</v>
      </c>
      <c r="D75" s="44">
        <v>44.09</v>
      </c>
      <c r="E75" s="44">
        <v>3.96</v>
      </c>
      <c r="F75" s="45">
        <f t="shared" si="8"/>
        <v>474.58476000000002</v>
      </c>
      <c r="G75" s="45">
        <f t="shared" si="8"/>
        <v>42.625439999999998</v>
      </c>
      <c r="H75" s="45">
        <f t="shared" si="5"/>
        <v>48.050000000000004</v>
      </c>
      <c r="I75" s="45">
        <f t="shared" si="6"/>
        <v>517.21019999999999</v>
      </c>
      <c r="J75" s="46">
        <v>795</v>
      </c>
      <c r="K75" s="46">
        <f t="shared" si="7"/>
        <v>308.48009400000001</v>
      </c>
    </row>
    <row r="76" spans="1:11">
      <c r="A76" s="39">
        <v>71</v>
      </c>
      <c r="B76" s="44" t="s">
        <v>90</v>
      </c>
      <c r="C76" s="44">
        <v>507</v>
      </c>
      <c r="D76" s="45">
        <v>95.39</v>
      </c>
      <c r="E76" s="45">
        <v>3.81</v>
      </c>
      <c r="F76" s="45">
        <f t="shared" si="8"/>
        <v>1026.7779599999999</v>
      </c>
      <c r="G76" s="45">
        <f t="shared" si="8"/>
        <v>41.010839999999995</v>
      </c>
      <c r="H76" s="45">
        <f t="shared" si="5"/>
        <v>99.2</v>
      </c>
      <c r="I76" s="45">
        <f t="shared" si="6"/>
        <v>1067.7887999999998</v>
      </c>
      <c r="J76" s="46">
        <v>1690</v>
      </c>
      <c r="K76" s="46">
        <f t="shared" si="7"/>
        <v>667.40567399999998</v>
      </c>
    </row>
    <row r="77" spans="1:11">
      <c r="A77" s="39">
        <v>72</v>
      </c>
      <c r="B77" s="44" t="s">
        <v>90</v>
      </c>
      <c r="C77" s="44">
        <v>508</v>
      </c>
      <c r="D77" s="44">
        <v>67.02</v>
      </c>
      <c r="E77" s="44">
        <v>3.94</v>
      </c>
      <c r="F77" s="45">
        <f t="shared" si="8"/>
        <v>721.40327999999988</v>
      </c>
      <c r="G77" s="45">
        <f t="shared" si="8"/>
        <v>42.410159999999998</v>
      </c>
      <c r="H77" s="45">
        <f t="shared" si="5"/>
        <v>70.959999999999994</v>
      </c>
      <c r="I77" s="45">
        <f t="shared" si="6"/>
        <v>763.8134399999999</v>
      </c>
      <c r="J77" s="46">
        <v>1210</v>
      </c>
      <c r="K77" s="46">
        <f t="shared" si="7"/>
        <v>468.91213199999993</v>
      </c>
    </row>
    <row r="78" spans="1:11" s="52" customFormat="1">
      <c r="A78" s="39">
        <v>73</v>
      </c>
      <c r="B78" s="44" t="s">
        <v>90</v>
      </c>
      <c r="C78" s="44">
        <v>509</v>
      </c>
      <c r="D78" s="45">
        <v>41.9</v>
      </c>
      <c r="E78" s="44">
        <v>3.57</v>
      </c>
      <c r="F78" s="45">
        <f t="shared" si="8"/>
        <v>451.01159999999993</v>
      </c>
      <c r="G78" s="45">
        <f t="shared" si="8"/>
        <v>38.427479999999996</v>
      </c>
      <c r="H78" s="45">
        <f t="shared" si="5"/>
        <v>45.47</v>
      </c>
      <c r="I78" s="45">
        <f t="shared" si="6"/>
        <v>489.43907999999993</v>
      </c>
      <c r="J78" s="46">
        <v>760</v>
      </c>
      <c r="K78" s="46">
        <f t="shared" si="7"/>
        <v>293.15753999999998</v>
      </c>
    </row>
    <row r="79" spans="1:11" s="52" customFormat="1">
      <c r="A79" s="39">
        <v>74</v>
      </c>
      <c r="B79" s="44" t="s">
        <v>90</v>
      </c>
      <c r="C79" s="44">
        <v>510</v>
      </c>
      <c r="D79" s="45">
        <v>41.3</v>
      </c>
      <c r="E79" s="45">
        <v>3.39</v>
      </c>
      <c r="F79" s="45">
        <f t="shared" si="8"/>
        <v>444.55319999999995</v>
      </c>
      <c r="G79" s="45">
        <f t="shared" si="8"/>
        <v>36.489959999999996</v>
      </c>
      <c r="H79" s="45">
        <f t="shared" si="5"/>
        <v>44.69</v>
      </c>
      <c r="I79" s="45">
        <f t="shared" si="6"/>
        <v>481.04315999999994</v>
      </c>
      <c r="J79" s="46">
        <v>750</v>
      </c>
      <c r="K79" s="46">
        <f t="shared" si="7"/>
        <v>288.95957999999996</v>
      </c>
    </row>
    <row r="80" spans="1:11">
      <c r="A80" s="39">
        <v>75</v>
      </c>
      <c r="B80" s="44" t="s">
        <v>90</v>
      </c>
      <c r="C80" s="44">
        <v>511</v>
      </c>
      <c r="D80" s="45">
        <v>41.3</v>
      </c>
      <c r="E80" s="45">
        <v>3.39</v>
      </c>
      <c r="F80" s="45">
        <f t="shared" si="8"/>
        <v>444.55319999999995</v>
      </c>
      <c r="G80" s="45">
        <f t="shared" si="8"/>
        <v>36.489959999999996</v>
      </c>
      <c r="H80" s="45">
        <f t="shared" si="5"/>
        <v>44.69</v>
      </c>
      <c r="I80" s="45">
        <f t="shared" si="6"/>
        <v>481.04315999999994</v>
      </c>
      <c r="J80" s="46">
        <v>750</v>
      </c>
      <c r="K80" s="46">
        <f t="shared" si="7"/>
        <v>288.95957999999996</v>
      </c>
    </row>
    <row r="81" spans="1:11">
      <c r="A81" s="39">
        <v>76</v>
      </c>
      <c r="B81" s="44" t="s">
        <v>90</v>
      </c>
      <c r="C81" s="44">
        <v>512</v>
      </c>
      <c r="D81" s="45">
        <v>41.9</v>
      </c>
      <c r="E81" s="44">
        <v>3.57</v>
      </c>
      <c r="F81" s="45">
        <f t="shared" si="8"/>
        <v>451.01159999999993</v>
      </c>
      <c r="G81" s="45">
        <f t="shared" si="8"/>
        <v>38.427479999999996</v>
      </c>
      <c r="H81" s="45">
        <f t="shared" si="5"/>
        <v>45.47</v>
      </c>
      <c r="I81" s="45">
        <f t="shared" si="6"/>
        <v>489.43907999999993</v>
      </c>
      <c r="J81" s="46">
        <v>760</v>
      </c>
      <c r="K81" s="46">
        <f t="shared" si="7"/>
        <v>293.15753999999998</v>
      </c>
    </row>
    <row r="82" spans="1:11">
      <c r="A82" s="39">
        <v>77</v>
      </c>
      <c r="B82" s="44" t="s">
        <v>90</v>
      </c>
      <c r="C82" s="50">
        <v>601</v>
      </c>
      <c r="D82" s="44">
        <v>67.02</v>
      </c>
      <c r="E82" s="44">
        <v>3.94</v>
      </c>
      <c r="F82" s="45">
        <f t="shared" si="8"/>
        <v>721.40327999999988</v>
      </c>
      <c r="G82" s="45">
        <f t="shared" si="8"/>
        <v>42.410159999999998</v>
      </c>
      <c r="H82" s="45">
        <f t="shared" si="5"/>
        <v>70.959999999999994</v>
      </c>
      <c r="I82" s="45">
        <f t="shared" si="6"/>
        <v>763.8134399999999</v>
      </c>
      <c r="J82" s="46">
        <v>1210</v>
      </c>
      <c r="K82" s="46">
        <f t="shared" si="7"/>
        <v>468.91213199999993</v>
      </c>
    </row>
    <row r="83" spans="1:11">
      <c r="A83" s="39">
        <v>78</v>
      </c>
      <c r="B83" s="44" t="s">
        <v>90</v>
      </c>
      <c r="C83" s="50">
        <v>602</v>
      </c>
      <c r="D83" s="44">
        <v>95.39</v>
      </c>
      <c r="E83" s="44">
        <v>3.81</v>
      </c>
      <c r="F83" s="45">
        <f t="shared" si="8"/>
        <v>1026.7779599999999</v>
      </c>
      <c r="G83" s="45">
        <f t="shared" si="8"/>
        <v>41.010839999999995</v>
      </c>
      <c r="H83" s="45">
        <f t="shared" si="5"/>
        <v>99.2</v>
      </c>
      <c r="I83" s="45">
        <f t="shared" si="6"/>
        <v>1067.7887999999998</v>
      </c>
      <c r="J83" s="46">
        <v>1690</v>
      </c>
      <c r="K83" s="46">
        <f t="shared" si="7"/>
        <v>667.40567399999998</v>
      </c>
    </row>
    <row r="84" spans="1:11">
      <c r="A84" s="39">
        <v>79</v>
      </c>
      <c r="B84" s="44" t="s">
        <v>90</v>
      </c>
      <c r="C84" s="50">
        <v>603</v>
      </c>
      <c r="D84" s="44">
        <v>44.09</v>
      </c>
      <c r="E84" s="44">
        <v>3.96</v>
      </c>
      <c r="F84" s="45">
        <f t="shared" si="8"/>
        <v>474.58476000000002</v>
      </c>
      <c r="G84" s="45">
        <f t="shared" si="8"/>
        <v>42.625439999999998</v>
      </c>
      <c r="H84" s="45">
        <f t="shared" si="5"/>
        <v>48.050000000000004</v>
      </c>
      <c r="I84" s="45">
        <f t="shared" si="6"/>
        <v>517.21019999999999</v>
      </c>
      <c r="J84" s="46">
        <v>795</v>
      </c>
      <c r="K84" s="46">
        <f t="shared" si="7"/>
        <v>308.48009400000001</v>
      </c>
    </row>
    <row r="85" spans="1:11">
      <c r="A85" s="39">
        <v>80</v>
      </c>
      <c r="B85" s="44" t="s">
        <v>90</v>
      </c>
      <c r="C85" s="50">
        <v>604</v>
      </c>
      <c r="D85" s="44">
        <v>44.35</v>
      </c>
      <c r="E85" s="44">
        <v>3.78</v>
      </c>
      <c r="F85" s="45">
        <f t="shared" si="8"/>
        <v>477.38339999999999</v>
      </c>
      <c r="G85" s="45">
        <f t="shared" si="8"/>
        <v>40.687919999999998</v>
      </c>
      <c r="H85" s="45">
        <f t="shared" si="5"/>
        <v>48.13</v>
      </c>
      <c r="I85" s="45">
        <f t="shared" si="6"/>
        <v>518.07132000000001</v>
      </c>
      <c r="J85" s="46">
        <v>795</v>
      </c>
      <c r="K85" s="46">
        <f t="shared" si="7"/>
        <v>310.29921000000002</v>
      </c>
    </row>
    <row r="86" spans="1:11">
      <c r="A86" s="39">
        <v>81</v>
      </c>
      <c r="B86" s="44" t="s">
        <v>90</v>
      </c>
      <c r="C86" s="50">
        <v>605</v>
      </c>
      <c r="D86" s="44">
        <v>44.35</v>
      </c>
      <c r="E86" s="44">
        <v>3.78</v>
      </c>
      <c r="F86" s="45">
        <f t="shared" si="8"/>
        <v>477.38339999999999</v>
      </c>
      <c r="G86" s="45">
        <f t="shared" si="8"/>
        <v>40.687919999999998</v>
      </c>
      <c r="H86" s="45">
        <f t="shared" si="5"/>
        <v>48.13</v>
      </c>
      <c r="I86" s="45">
        <f t="shared" si="6"/>
        <v>518.07132000000001</v>
      </c>
      <c r="J86" s="46">
        <v>795</v>
      </c>
      <c r="K86" s="46">
        <f t="shared" si="7"/>
        <v>310.29921000000002</v>
      </c>
    </row>
    <row r="87" spans="1:11">
      <c r="A87" s="39">
        <v>82</v>
      </c>
      <c r="B87" s="44" t="s">
        <v>90</v>
      </c>
      <c r="C87" s="44">
        <v>606</v>
      </c>
      <c r="D87" s="44">
        <v>44.09</v>
      </c>
      <c r="E87" s="44">
        <v>3.96</v>
      </c>
      <c r="F87" s="45">
        <f t="shared" si="8"/>
        <v>474.58476000000002</v>
      </c>
      <c r="G87" s="45">
        <f t="shared" si="8"/>
        <v>42.625439999999998</v>
      </c>
      <c r="H87" s="45">
        <f t="shared" si="5"/>
        <v>48.050000000000004</v>
      </c>
      <c r="I87" s="45">
        <f t="shared" si="6"/>
        <v>517.21019999999999</v>
      </c>
      <c r="J87" s="46">
        <v>795</v>
      </c>
      <c r="K87" s="46">
        <f t="shared" si="7"/>
        <v>308.48009400000001</v>
      </c>
    </row>
    <row r="88" spans="1:11">
      <c r="A88" s="39">
        <v>83</v>
      </c>
      <c r="B88" s="44" t="s">
        <v>90</v>
      </c>
      <c r="C88" s="44">
        <v>607</v>
      </c>
      <c r="D88" s="45">
        <v>95.39</v>
      </c>
      <c r="E88" s="45">
        <v>3.81</v>
      </c>
      <c r="F88" s="45">
        <f t="shared" si="8"/>
        <v>1026.7779599999999</v>
      </c>
      <c r="G88" s="45">
        <f t="shared" si="8"/>
        <v>41.010839999999995</v>
      </c>
      <c r="H88" s="45">
        <f t="shared" si="5"/>
        <v>99.2</v>
      </c>
      <c r="I88" s="45">
        <f t="shared" si="6"/>
        <v>1067.7887999999998</v>
      </c>
      <c r="J88" s="46">
        <v>1690</v>
      </c>
      <c r="K88" s="46">
        <f t="shared" si="7"/>
        <v>667.40567399999998</v>
      </c>
    </row>
    <row r="89" spans="1:11">
      <c r="A89" s="39">
        <v>84</v>
      </c>
      <c r="B89" s="44" t="s">
        <v>90</v>
      </c>
      <c r="C89" s="44">
        <v>608</v>
      </c>
      <c r="D89" s="44">
        <v>67.02</v>
      </c>
      <c r="E89" s="44">
        <v>3.94</v>
      </c>
      <c r="F89" s="45">
        <f t="shared" si="8"/>
        <v>721.40327999999988</v>
      </c>
      <c r="G89" s="45">
        <f t="shared" si="8"/>
        <v>42.410159999999998</v>
      </c>
      <c r="H89" s="45">
        <f t="shared" ref="H89:H152" si="9">D89+E89</f>
        <v>70.959999999999994</v>
      </c>
      <c r="I89" s="45">
        <f t="shared" ref="I89:I152" si="10">F89+G89</f>
        <v>763.8134399999999</v>
      </c>
      <c r="J89" s="46">
        <v>1210</v>
      </c>
      <c r="K89" s="46">
        <f t="shared" ref="K89:K152" si="11">F89*65%</f>
        <v>468.91213199999993</v>
      </c>
    </row>
    <row r="90" spans="1:11">
      <c r="A90" s="39">
        <v>85</v>
      </c>
      <c r="B90" s="44" t="s">
        <v>90</v>
      </c>
      <c r="C90" s="44">
        <v>609</v>
      </c>
      <c r="D90" s="45">
        <v>41.9</v>
      </c>
      <c r="E90" s="44">
        <v>3.57</v>
      </c>
      <c r="F90" s="45">
        <f t="shared" si="8"/>
        <v>451.01159999999993</v>
      </c>
      <c r="G90" s="45">
        <f t="shared" si="8"/>
        <v>38.427479999999996</v>
      </c>
      <c r="H90" s="45">
        <f t="shared" si="9"/>
        <v>45.47</v>
      </c>
      <c r="I90" s="45">
        <f t="shared" si="10"/>
        <v>489.43907999999993</v>
      </c>
      <c r="J90" s="46">
        <v>760</v>
      </c>
      <c r="K90" s="46">
        <f t="shared" si="11"/>
        <v>293.15753999999998</v>
      </c>
    </row>
    <row r="91" spans="1:11">
      <c r="A91" s="39">
        <v>86</v>
      </c>
      <c r="B91" s="44" t="s">
        <v>90</v>
      </c>
      <c r="C91" s="44">
        <v>610</v>
      </c>
      <c r="D91" s="45">
        <v>41.3</v>
      </c>
      <c r="E91" s="45">
        <v>3.39</v>
      </c>
      <c r="F91" s="45">
        <f t="shared" si="8"/>
        <v>444.55319999999995</v>
      </c>
      <c r="G91" s="45">
        <f t="shared" si="8"/>
        <v>36.489959999999996</v>
      </c>
      <c r="H91" s="45">
        <f t="shared" si="9"/>
        <v>44.69</v>
      </c>
      <c r="I91" s="45">
        <f t="shared" si="10"/>
        <v>481.04315999999994</v>
      </c>
      <c r="J91" s="46">
        <v>750</v>
      </c>
      <c r="K91" s="46">
        <f t="shared" si="11"/>
        <v>288.95957999999996</v>
      </c>
    </row>
    <row r="92" spans="1:11">
      <c r="A92" s="39">
        <v>87</v>
      </c>
      <c r="B92" s="44" t="s">
        <v>90</v>
      </c>
      <c r="C92" s="44">
        <v>611</v>
      </c>
      <c r="D92" s="45">
        <v>41.3</v>
      </c>
      <c r="E92" s="45">
        <v>3.39</v>
      </c>
      <c r="F92" s="45">
        <f t="shared" si="8"/>
        <v>444.55319999999995</v>
      </c>
      <c r="G92" s="45">
        <f t="shared" si="8"/>
        <v>36.489959999999996</v>
      </c>
      <c r="H92" s="45">
        <f t="shared" si="9"/>
        <v>44.69</v>
      </c>
      <c r="I92" s="45">
        <f t="shared" si="10"/>
        <v>481.04315999999994</v>
      </c>
      <c r="J92" s="46">
        <v>750</v>
      </c>
      <c r="K92" s="46">
        <f t="shared" si="11"/>
        <v>288.95957999999996</v>
      </c>
    </row>
    <row r="93" spans="1:11">
      <c r="A93" s="39">
        <v>88</v>
      </c>
      <c r="B93" s="44" t="s">
        <v>90</v>
      </c>
      <c r="C93" s="44">
        <v>612</v>
      </c>
      <c r="D93" s="45">
        <v>41.9</v>
      </c>
      <c r="E93" s="44">
        <v>3.57</v>
      </c>
      <c r="F93" s="45">
        <f t="shared" si="8"/>
        <v>451.01159999999993</v>
      </c>
      <c r="G93" s="45">
        <f t="shared" si="8"/>
        <v>38.427479999999996</v>
      </c>
      <c r="H93" s="45">
        <f t="shared" si="9"/>
        <v>45.47</v>
      </c>
      <c r="I93" s="45">
        <f t="shared" si="10"/>
        <v>489.43907999999993</v>
      </c>
      <c r="J93" s="46">
        <v>760</v>
      </c>
      <c r="K93" s="46">
        <f t="shared" si="11"/>
        <v>293.15753999999998</v>
      </c>
    </row>
    <row r="94" spans="1:11">
      <c r="A94" s="39">
        <v>89</v>
      </c>
      <c r="B94" s="44" t="s">
        <v>90</v>
      </c>
      <c r="C94" s="51">
        <v>701</v>
      </c>
      <c r="D94" s="44">
        <v>67.02</v>
      </c>
      <c r="E94" s="44">
        <v>3.94</v>
      </c>
      <c r="F94" s="45">
        <f t="shared" si="8"/>
        <v>721.40327999999988</v>
      </c>
      <c r="G94" s="45">
        <f t="shared" si="8"/>
        <v>42.410159999999998</v>
      </c>
      <c r="H94" s="45">
        <f t="shared" si="9"/>
        <v>70.959999999999994</v>
      </c>
      <c r="I94" s="45">
        <f t="shared" si="10"/>
        <v>763.8134399999999</v>
      </c>
      <c r="J94" s="46">
        <v>1210</v>
      </c>
      <c r="K94" s="46">
        <f t="shared" si="11"/>
        <v>468.91213199999993</v>
      </c>
    </row>
    <row r="95" spans="1:11">
      <c r="A95" s="39">
        <v>90</v>
      </c>
      <c r="B95" s="44" t="s">
        <v>90</v>
      </c>
      <c r="C95" s="51">
        <v>702</v>
      </c>
      <c r="D95" s="44">
        <v>95.39</v>
      </c>
      <c r="E95" s="44">
        <v>3.81</v>
      </c>
      <c r="F95" s="45">
        <f t="shared" si="8"/>
        <v>1026.7779599999999</v>
      </c>
      <c r="G95" s="45">
        <f t="shared" si="8"/>
        <v>41.010839999999995</v>
      </c>
      <c r="H95" s="45">
        <f t="shared" si="9"/>
        <v>99.2</v>
      </c>
      <c r="I95" s="45">
        <f t="shared" si="10"/>
        <v>1067.7887999999998</v>
      </c>
      <c r="J95" s="46">
        <v>1690</v>
      </c>
      <c r="K95" s="46">
        <f t="shared" si="11"/>
        <v>667.40567399999998</v>
      </c>
    </row>
    <row r="96" spans="1:11">
      <c r="A96" s="39">
        <v>91</v>
      </c>
      <c r="B96" s="44" t="s">
        <v>90</v>
      </c>
      <c r="C96" s="51">
        <v>703</v>
      </c>
      <c r="D96" s="44">
        <v>44.09</v>
      </c>
      <c r="E96" s="44">
        <v>3.96</v>
      </c>
      <c r="F96" s="45">
        <f t="shared" si="8"/>
        <v>474.58476000000002</v>
      </c>
      <c r="G96" s="45">
        <f t="shared" si="8"/>
        <v>42.625439999999998</v>
      </c>
      <c r="H96" s="45">
        <f t="shared" si="9"/>
        <v>48.050000000000004</v>
      </c>
      <c r="I96" s="45">
        <f t="shared" si="10"/>
        <v>517.21019999999999</v>
      </c>
      <c r="J96" s="46">
        <v>795</v>
      </c>
      <c r="K96" s="46">
        <f t="shared" si="11"/>
        <v>308.48009400000001</v>
      </c>
    </row>
    <row r="97" spans="1:11">
      <c r="A97" s="39">
        <v>92</v>
      </c>
      <c r="B97" s="44" t="s">
        <v>90</v>
      </c>
      <c r="C97" s="51">
        <v>706</v>
      </c>
      <c r="D97" s="44">
        <v>44.09</v>
      </c>
      <c r="E97" s="44">
        <v>3.96</v>
      </c>
      <c r="F97" s="45">
        <f t="shared" ref="F97:G134" si="12">D97*10.764</f>
        <v>474.58476000000002</v>
      </c>
      <c r="G97" s="45">
        <f t="shared" si="12"/>
        <v>42.625439999999998</v>
      </c>
      <c r="H97" s="45">
        <f t="shared" si="9"/>
        <v>48.050000000000004</v>
      </c>
      <c r="I97" s="45">
        <f t="shared" si="10"/>
        <v>517.21019999999999</v>
      </c>
      <c r="J97" s="46">
        <v>795</v>
      </c>
      <c r="K97" s="46">
        <f t="shared" si="11"/>
        <v>308.48009400000001</v>
      </c>
    </row>
    <row r="98" spans="1:11">
      <c r="A98" s="39">
        <v>93</v>
      </c>
      <c r="B98" s="44" t="s">
        <v>90</v>
      </c>
      <c r="C98" s="51">
        <v>707</v>
      </c>
      <c r="D98" s="45">
        <v>95.39</v>
      </c>
      <c r="E98" s="45">
        <v>3.81</v>
      </c>
      <c r="F98" s="45">
        <f t="shared" si="12"/>
        <v>1026.7779599999999</v>
      </c>
      <c r="G98" s="45">
        <f t="shared" si="12"/>
        <v>41.010839999999995</v>
      </c>
      <c r="H98" s="45">
        <f t="shared" si="9"/>
        <v>99.2</v>
      </c>
      <c r="I98" s="45">
        <f t="shared" si="10"/>
        <v>1067.7887999999998</v>
      </c>
      <c r="J98" s="46">
        <v>1690</v>
      </c>
      <c r="K98" s="46">
        <f t="shared" si="11"/>
        <v>667.40567399999998</v>
      </c>
    </row>
    <row r="99" spans="1:11">
      <c r="A99" s="39">
        <v>94</v>
      </c>
      <c r="B99" s="44" t="s">
        <v>90</v>
      </c>
      <c r="C99" s="51">
        <v>708</v>
      </c>
      <c r="D99" s="44">
        <v>67.02</v>
      </c>
      <c r="E99" s="44">
        <v>3.94</v>
      </c>
      <c r="F99" s="45">
        <f t="shared" si="12"/>
        <v>721.40327999999988</v>
      </c>
      <c r="G99" s="45">
        <f t="shared" si="12"/>
        <v>42.410159999999998</v>
      </c>
      <c r="H99" s="45">
        <f t="shared" si="9"/>
        <v>70.959999999999994</v>
      </c>
      <c r="I99" s="45">
        <f t="shared" si="10"/>
        <v>763.8134399999999</v>
      </c>
      <c r="J99" s="46">
        <v>1210</v>
      </c>
      <c r="K99" s="46">
        <f t="shared" si="11"/>
        <v>468.91213199999993</v>
      </c>
    </row>
    <row r="100" spans="1:11">
      <c r="A100" s="39">
        <v>95</v>
      </c>
      <c r="B100" s="44" t="s">
        <v>90</v>
      </c>
      <c r="C100" s="51">
        <v>709</v>
      </c>
      <c r="D100" s="45">
        <v>41.9</v>
      </c>
      <c r="E100" s="44">
        <v>3.57</v>
      </c>
      <c r="F100" s="45">
        <f t="shared" si="12"/>
        <v>451.01159999999993</v>
      </c>
      <c r="G100" s="45">
        <f t="shared" si="12"/>
        <v>38.427479999999996</v>
      </c>
      <c r="H100" s="45">
        <f t="shared" si="9"/>
        <v>45.47</v>
      </c>
      <c r="I100" s="45">
        <f t="shared" si="10"/>
        <v>489.43907999999993</v>
      </c>
      <c r="J100" s="46">
        <v>760</v>
      </c>
      <c r="K100" s="46">
        <f t="shared" si="11"/>
        <v>293.15753999999998</v>
      </c>
    </row>
    <row r="101" spans="1:11">
      <c r="A101" s="39">
        <v>96</v>
      </c>
      <c r="B101" s="44" t="s">
        <v>90</v>
      </c>
      <c r="C101" s="51">
        <v>710</v>
      </c>
      <c r="D101" s="45">
        <v>41.3</v>
      </c>
      <c r="E101" s="45">
        <v>3.39</v>
      </c>
      <c r="F101" s="45">
        <f t="shared" si="12"/>
        <v>444.55319999999995</v>
      </c>
      <c r="G101" s="45">
        <f t="shared" si="12"/>
        <v>36.489959999999996</v>
      </c>
      <c r="H101" s="45">
        <f t="shared" si="9"/>
        <v>44.69</v>
      </c>
      <c r="I101" s="45">
        <f t="shared" si="10"/>
        <v>481.04315999999994</v>
      </c>
      <c r="J101" s="46">
        <v>750</v>
      </c>
      <c r="K101" s="46">
        <f t="shared" si="11"/>
        <v>288.95957999999996</v>
      </c>
    </row>
    <row r="102" spans="1:11">
      <c r="A102" s="39">
        <v>97</v>
      </c>
      <c r="B102" s="44" t="s">
        <v>90</v>
      </c>
      <c r="C102" s="51">
        <v>711</v>
      </c>
      <c r="D102" s="45">
        <v>41.3</v>
      </c>
      <c r="E102" s="45">
        <v>3.39</v>
      </c>
      <c r="F102" s="45">
        <f t="shared" si="12"/>
        <v>444.55319999999995</v>
      </c>
      <c r="G102" s="45">
        <f t="shared" si="12"/>
        <v>36.489959999999996</v>
      </c>
      <c r="H102" s="45">
        <f t="shared" si="9"/>
        <v>44.69</v>
      </c>
      <c r="I102" s="45">
        <f t="shared" si="10"/>
        <v>481.04315999999994</v>
      </c>
      <c r="J102" s="46">
        <v>750</v>
      </c>
      <c r="K102" s="46">
        <f t="shared" si="11"/>
        <v>288.95957999999996</v>
      </c>
    </row>
    <row r="103" spans="1:11">
      <c r="A103" s="39">
        <v>98</v>
      </c>
      <c r="B103" s="44" t="s">
        <v>90</v>
      </c>
      <c r="C103" s="51">
        <v>712</v>
      </c>
      <c r="D103" s="45">
        <v>41.9</v>
      </c>
      <c r="E103" s="44">
        <v>3.57</v>
      </c>
      <c r="F103" s="45">
        <f t="shared" si="12"/>
        <v>451.01159999999993</v>
      </c>
      <c r="G103" s="45">
        <f t="shared" si="12"/>
        <v>38.427479999999996</v>
      </c>
      <c r="H103" s="45">
        <f t="shared" si="9"/>
        <v>45.47</v>
      </c>
      <c r="I103" s="45">
        <f t="shared" si="10"/>
        <v>489.43907999999993</v>
      </c>
      <c r="J103" s="46">
        <v>760</v>
      </c>
      <c r="K103" s="46">
        <f t="shared" si="11"/>
        <v>293.15753999999998</v>
      </c>
    </row>
    <row r="104" spans="1:11">
      <c r="A104" s="39">
        <v>99</v>
      </c>
      <c r="B104" s="44" t="s">
        <v>90</v>
      </c>
      <c r="C104" s="44">
        <v>801</v>
      </c>
      <c r="D104" s="44">
        <v>67.02</v>
      </c>
      <c r="E104" s="44">
        <v>3.94</v>
      </c>
      <c r="F104" s="45">
        <f t="shared" si="12"/>
        <v>721.40327999999988</v>
      </c>
      <c r="G104" s="45">
        <f t="shared" si="12"/>
        <v>42.410159999999998</v>
      </c>
      <c r="H104" s="45">
        <f t="shared" si="9"/>
        <v>70.959999999999994</v>
      </c>
      <c r="I104" s="45">
        <f t="shared" si="10"/>
        <v>763.8134399999999</v>
      </c>
      <c r="J104" s="46">
        <v>1210</v>
      </c>
      <c r="K104" s="46">
        <f t="shared" si="11"/>
        <v>468.91213199999993</v>
      </c>
    </row>
    <row r="105" spans="1:11">
      <c r="A105" s="39">
        <v>100</v>
      </c>
      <c r="B105" s="44" t="s">
        <v>90</v>
      </c>
      <c r="C105" s="44">
        <v>802</v>
      </c>
      <c r="D105" s="44">
        <v>95.39</v>
      </c>
      <c r="E105" s="44">
        <v>3.81</v>
      </c>
      <c r="F105" s="45">
        <f t="shared" si="12"/>
        <v>1026.7779599999999</v>
      </c>
      <c r="G105" s="45">
        <f t="shared" si="12"/>
        <v>41.010839999999995</v>
      </c>
      <c r="H105" s="45">
        <f t="shared" si="9"/>
        <v>99.2</v>
      </c>
      <c r="I105" s="45">
        <f t="shared" si="10"/>
        <v>1067.7887999999998</v>
      </c>
      <c r="J105" s="46">
        <v>1690</v>
      </c>
      <c r="K105" s="46">
        <f t="shared" si="11"/>
        <v>667.40567399999998</v>
      </c>
    </row>
    <row r="106" spans="1:11">
      <c r="A106" s="39">
        <v>101</v>
      </c>
      <c r="B106" s="44" t="s">
        <v>90</v>
      </c>
      <c r="C106" s="44">
        <v>803</v>
      </c>
      <c r="D106" s="44">
        <v>44.09</v>
      </c>
      <c r="E106" s="44">
        <v>3.96</v>
      </c>
      <c r="F106" s="45">
        <f t="shared" si="12"/>
        <v>474.58476000000002</v>
      </c>
      <c r="G106" s="45">
        <f t="shared" si="12"/>
        <v>42.625439999999998</v>
      </c>
      <c r="H106" s="45">
        <f t="shared" si="9"/>
        <v>48.050000000000004</v>
      </c>
      <c r="I106" s="45">
        <f t="shared" si="10"/>
        <v>517.21019999999999</v>
      </c>
      <c r="J106" s="46">
        <v>795</v>
      </c>
      <c r="K106" s="46">
        <f t="shared" si="11"/>
        <v>308.48009400000001</v>
      </c>
    </row>
    <row r="107" spans="1:11">
      <c r="A107" s="39">
        <v>102</v>
      </c>
      <c r="B107" s="44" t="s">
        <v>90</v>
      </c>
      <c r="C107" s="44">
        <v>804</v>
      </c>
      <c r="D107" s="44">
        <v>44.35</v>
      </c>
      <c r="E107" s="44">
        <v>3.78</v>
      </c>
      <c r="F107" s="45">
        <f t="shared" si="12"/>
        <v>477.38339999999999</v>
      </c>
      <c r="G107" s="45">
        <f t="shared" si="12"/>
        <v>40.687919999999998</v>
      </c>
      <c r="H107" s="45">
        <f t="shared" si="9"/>
        <v>48.13</v>
      </c>
      <c r="I107" s="45">
        <f t="shared" si="10"/>
        <v>518.07132000000001</v>
      </c>
      <c r="J107" s="46">
        <v>795</v>
      </c>
      <c r="K107" s="46">
        <f t="shared" si="11"/>
        <v>310.29921000000002</v>
      </c>
    </row>
    <row r="108" spans="1:11">
      <c r="A108" s="39">
        <v>103</v>
      </c>
      <c r="B108" s="44" t="s">
        <v>90</v>
      </c>
      <c r="C108" s="53">
        <v>805</v>
      </c>
      <c r="D108" s="44">
        <v>44.35</v>
      </c>
      <c r="E108" s="44">
        <v>3.78</v>
      </c>
      <c r="F108" s="45">
        <f t="shared" si="12"/>
        <v>477.38339999999999</v>
      </c>
      <c r="G108" s="45">
        <f t="shared" si="12"/>
        <v>40.687919999999998</v>
      </c>
      <c r="H108" s="45">
        <f t="shared" si="9"/>
        <v>48.13</v>
      </c>
      <c r="I108" s="45">
        <f t="shared" si="10"/>
        <v>518.07132000000001</v>
      </c>
      <c r="J108" s="46">
        <v>795</v>
      </c>
      <c r="K108" s="46">
        <f t="shared" si="11"/>
        <v>310.29921000000002</v>
      </c>
    </row>
    <row r="109" spans="1:11">
      <c r="A109" s="39">
        <v>104</v>
      </c>
      <c r="B109" s="44" t="s">
        <v>90</v>
      </c>
      <c r="C109" s="44">
        <v>806</v>
      </c>
      <c r="D109" s="44">
        <v>44.09</v>
      </c>
      <c r="E109" s="44">
        <v>3.96</v>
      </c>
      <c r="F109" s="45">
        <f t="shared" si="12"/>
        <v>474.58476000000002</v>
      </c>
      <c r="G109" s="45">
        <f t="shared" si="12"/>
        <v>42.625439999999998</v>
      </c>
      <c r="H109" s="45">
        <f t="shared" si="9"/>
        <v>48.050000000000004</v>
      </c>
      <c r="I109" s="45">
        <f t="shared" si="10"/>
        <v>517.21019999999999</v>
      </c>
      <c r="J109" s="46">
        <v>795</v>
      </c>
      <c r="K109" s="46">
        <f t="shared" si="11"/>
        <v>308.48009400000001</v>
      </c>
    </row>
    <row r="110" spans="1:11">
      <c r="A110" s="39">
        <v>105</v>
      </c>
      <c r="B110" s="44" t="s">
        <v>90</v>
      </c>
      <c r="C110" s="44">
        <v>807</v>
      </c>
      <c r="D110" s="45">
        <v>95.39</v>
      </c>
      <c r="E110" s="45">
        <v>3.81</v>
      </c>
      <c r="F110" s="45">
        <f t="shared" si="12"/>
        <v>1026.7779599999999</v>
      </c>
      <c r="G110" s="45">
        <f t="shared" si="12"/>
        <v>41.010839999999995</v>
      </c>
      <c r="H110" s="45">
        <f t="shared" si="9"/>
        <v>99.2</v>
      </c>
      <c r="I110" s="45">
        <f t="shared" si="10"/>
        <v>1067.7887999999998</v>
      </c>
      <c r="J110" s="46">
        <v>1690</v>
      </c>
      <c r="K110" s="46">
        <f t="shared" si="11"/>
        <v>667.40567399999998</v>
      </c>
    </row>
    <row r="111" spans="1:11">
      <c r="A111" s="39">
        <v>106</v>
      </c>
      <c r="B111" s="44" t="s">
        <v>90</v>
      </c>
      <c r="C111" s="44">
        <v>808</v>
      </c>
      <c r="D111" s="44">
        <v>67.02</v>
      </c>
      <c r="E111" s="44">
        <v>3.94</v>
      </c>
      <c r="F111" s="45">
        <f t="shared" si="12"/>
        <v>721.40327999999988</v>
      </c>
      <c r="G111" s="45">
        <f t="shared" si="12"/>
        <v>42.410159999999998</v>
      </c>
      <c r="H111" s="45">
        <f t="shared" si="9"/>
        <v>70.959999999999994</v>
      </c>
      <c r="I111" s="45">
        <f t="shared" si="10"/>
        <v>763.8134399999999</v>
      </c>
      <c r="J111" s="46">
        <v>1210</v>
      </c>
      <c r="K111" s="46">
        <f t="shared" si="11"/>
        <v>468.91213199999993</v>
      </c>
    </row>
    <row r="112" spans="1:11">
      <c r="A112" s="39">
        <v>107</v>
      </c>
      <c r="B112" s="44" t="s">
        <v>90</v>
      </c>
      <c r="C112" s="44">
        <v>809</v>
      </c>
      <c r="D112" s="45">
        <v>41.9</v>
      </c>
      <c r="E112" s="44">
        <v>3.57</v>
      </c>
      <c r="F112" s="45">
        <f t="shared" si="12"/>
        <v>451.01159999999993</v>
      </c>
      <c r="G112" s="45">
        <f t="shared" si="12"/>
        <v>38.427479999999996</v>
      </c>
      <c r="H112" s="45">
        <f t="shared" si="9"/>
        <v>45.47</v>
      </c>
      <c r="I112" s="45">
        <f t="shared" si="10"/>
        <v>489.43907999999993</v>
      </c>
      <c r="J112" s="46">
        <v>760</v>
      </c>
      <c r="K112" s="46">
        <f t="shared" si="11"/>
        <v>293.15753999999998</v>
      </c>
    </row>
    <row r="113" spans="1:11">
      <c r="A113" s="39">
        <v>108</v>
      </c>
      <c r="B113" s="44" t="s">
        <v>90</v>
      </c>
      <c r="C113" s="44">
        <v>810</v>
      </c>
      <c r="D113" s="45">
        <v>41.3</v>
      </c>
      <c r="E113" s="45">
        <v>3.39</v>
      </c>
      <c r="F113" s="45">
        <f t="shared" si="12"/>
        <v>444.55319999999995</v>
      </c>
      <c r="G113" s="45">
        <f t="shared" si="12"/>
        <v>36.489959999999996</v>
      </c>
      <c r="H113" s="45">
        <f t="shared" si="9"/>
        <v>44.69</v>
      </c>
      <c r="I113" s="45">
        <f t="shared" si="10"/>
        <v>481.04315999999994</v>
      </c>
      <c r="J113" s="46">
        <v>750</v>
      </c>
      <c r="K113" s="46">
        <f t="shared" si="11"/>
        <v>288.95957999999996</v>
      </c>
    </row>
    <row r="114" spans="1:11">
      <c r="A114" s="39">
        <v>109</v>
      </c>
      <c r="B114" s="44" t="s">
        <v>90</v>
      </c>
      <c r="C114" s="44">
        <v>811</v>
      </c>
      <c r="D114" s="45">
        <v>41.3</v>
      </c>
      <c r="E114" s="45">
        <v>3.39</v>
      </c>
      <c r="F114" s="45">
        <f t="shared" si="12"/>
        <v>444.55319999999995</v>
      </c>
      <c r="G114" s="45">
        <f t="shared" si="12"/>
        <v>36.489959999999996</v>
      </c>
      <c r="H114" s="45">
        <f t="shared" si="9"/>
        <v>44.69</v>
      </c>
      <c r="I114" s="45">
        <f t="shared" si="10"/>
        <v>481.04315999999994</v>
      </c>
      <c r="J114" s="46">
        <v>750</v>
      </c>
      <c r="K114" s="46">
        <f t="shared" si="11"/>
        <v>288.95957999999996</v>
      </c>
    </row>
    <row r="115" spans="1:11">
      <c r="A115" s="39">
        <v>110</v>
      </c>
      <c r="B115" s="44" t="s">
        <v>90</v>
      </c>
      <c r="C115" s="44">
        <v>812</v>
      </c>
      <c r="D115" s="45">
        <v>41.9</v>
      </c>
      <c r="E115" s="44">
        <v>3.57</v>
      </c>
      <c r="F115" s="45">
        <f t="shared" si="12"/>
        <v>451.01159999999993</v>
      </c>
      <c r="G115" s="45">
        <f t="shared" si="12"/>
        <v>38.427479999999996</v>
      </c>
      <c r="H115" s="45">
        <f t="shared" si="9"/>
        <v>45.47</v>
      </c>
      <c r="I115" s="45">
        <f t="shared" si="10"/>
        <v>489.43907999999993</v>
      </c>
      <c r="J115" s="46">
        <v>760</v>
      </c>
      <c r="K115" s="46">
        <f t="shared" si="11"/>
        <v>293.15753999999998</v>
      </c>
    </row>
    <row r="116" spans="1:11">
      <c r="A116" s="39">
        <v>111</v>
      </c>
      <c r="B116" s="44" t="s">
        <v>90</v>
      </c>
      <c r="C116" s="44">
        <v>901</v>
      </c>
      <c r="D116" s="44">
        <v>67.02</v>
      </c>
      <c r="E116" s="44">
        <v>3.94</v>
      </c>
      <c r="F116" s="45">
        <f t="shared" si="12"/>
        <v>721.40327999999988</v>
      </c>
      <c r="G116" s="45">
        <f t="shared" si="12"/>
        <v>42.410159999999998</v>
      </c>
      <c r="H116" s="45">
        <f t="shared" si="9"/>
        <v>70.959999999999994</v>
      </c>
      <c r="I116" s="45">
        <f t="shared" si="10"/>
        <v>763.8134399999999</v>
      </c>
      <c r="J116" s="46">
        <v>1210</v>
      </c>
      <c r="K116" s="46">
        <f t="shared" si="11"/>
        <v>468.91213199999993</v>
      </c>
    </row>
    <row r="117" spans="1:11">
      <c r="A117" s="39">
        <v>112</v>
      </c>
      <c r="B117" s="44" t="s">
        <v>90</v>
      </c>
      <c r="C117" s="44">
        <v>902</v>
      </c>
      <c r="D117" s="44">
        <v>95.39</v>
      </c>
      <c r="E117" s="44">
        <v>3.81</v>
      </c>
      <c r="F117" s="45">
        <f t="shared" si="12"/>
        <v>1026.7779599999999</v>
      </c>
      <c r="G117" s="45">
        <f t="shared" si="12"/>
        <v>41.010839999999995</v>
      </c>
      <c r="H117" s="45">
        <f t="shared" si="9"/>
        <v>99.2</v>
      </c>
      <c r="I117" s="45">
        <f t="shared" si="10"/>
        <v>1067.7887999999998</v>
      </c>
      <c r="J117" s="46">
        <v>1690</v>
      </c>
      <c r="K117" s="46">
        <f t="shared" si="11"/>
        <v>667.40567399999998</v>
      </c>
    </row>
    <row r="118" spans="1:11">
      <c r="A118" s="39">
        <v>113</v>
      </c>
      <c r="B118" s="44" t="s">
        <v>90</v>
      </c>
      <c r="C118" s="44">
        <v>903</v>
      </c>
      <c r="D118" s="44">
        <v>44.09</v>
      </c>
      <c r="E118" s="44">
        <v>3.96</v>
      </c>
      <c r="F118" s="45">
        <f t="shared" si="12"/>
        <v>474.58476000000002</v>
      </c>
      <c r="G118" s="45">
        <f t="shared" si="12"/>
        <v>42.625439999999998</v>
      </c>
      <c r="H118" s="45">
        <f t="shared" si="9"/>
        <v>48.050000000000004</v>
      </c>
      <c r="I118" s="45">
        <f t="shared" si="10"/>
        <v>517.21019999999999</v>
      </c>
      <c r="J118" s="46">
        <v>795</v>
      </c>
      <c r="K118" s="46">
        <f t="shared" si="11"/>
        <v>308.48009400000001</v>
      </c>
    </row>
    <row r="119" spans="1:11">
      <c r="A119" s="39">
        <v>114</v>
      </c>
      <c r="B119" s="44" t="s">
        <v>90</v>
      </c>
      <c r="C119" s="44">
        <v>904</v>
      </c>
      <c r="D119" s="44">
        <v>44.35</v>
      </c>
      <c r="E119" s="44">
        <v>3.78</v>
      </c>
      <c r="F119" s="45">
        <f t="shared" si="12"/>
        <v>477.38339999999999</v>
      </c>
      <c r="G119" s="45">
        <f t="shared" si="12"/>
        <v>40.687919999999998</v>
      </c>
      <c r="H119" s="45">
        <f t="shared" si="9"/>
        <v>48.13</v>
      </c>
      <c r="I119" s="45">
        <f t="shared" si="10"/>
        <v>518.07132000000001</v>
      </c>
      <c r="J119" s="46">
        <v>795</v>
      </c>
      <c r="K119" s="46">
        <f t="shared" si="11"/>
        <v>310.29921000000002</v>
      </c>
    </row>
    <row r="120" spans="1:11">
      <c r="A120" s="39">
        <v>115</v>
      </c>
      <c r="B120" s="44" t="s">
        <v>90</v>
      </c>
      <c r="C120" s="44">
        <v>905</v>
      </c>
      <c r="D120" s="44">
        <v>44.35</v>
      </c>
      <c r="E120" s="44">
        <v>3.78</v>
      </c>
      <c r="F120" s="45">
        <f t="shared" si="12"/>
        <v>477.38339999999999</v>
      </c>
      <c r="G120" s="45">
        <f t="shared" si="12"/>
        <v>40.687919999999998</v>
      </c>
      <c r="H120" s="45">
        <f t="shared" si="9"/>
        <v>48.13</v>
      </c>
      <c r="I120" s="45">
        <f t="shared" si="10"/>
        <v>518.07132000000001</v>
      </c>
      <c r="J120" s="46">
        <v>795</v>
      </c>
      <c r="K120" s="46">
        <f t="shared" si="11"/>
        <v>310.29921000000002</v>
      </c>
    </row>
    <row r="121" spans="1:11">
      <c r="A121" s="39">
        <v>116</v>
      </c>
      <c r="B121" s="44" t="s">
        <v>90</v>
      </c>
      <c r="C121" s="44">
        <v>906</v>
      </c>
      <c r="D121" s="44">
        <v>44.09</v>
      </c>
      <c r="E121" s="44">
        <v>3.96</v>
      </c>
      <c r="F121" s="45">
        <f t="shared" si="12"/>
        <v>474.58476000000002</v>
      </c>
      <c r="G121" s="45">
        <f t="shared" si="12"/>
        <v>42.625439999999998</v>
      </c>
      <c r="H121" s="45">
        <f t="shared" si="9"/>
        <v>48.050000000000004</v>
      </c>
      <c r="I121" s="45">
        <f t="shared" si="10"/>
        <v>517.21019999999999</v>
      </c>
      <c r="J121" s="46">
        <v>795</v>
      </c>
      <c r="K121" s="46">
        <f t="shared" si="11"/>
        <v>308.48009400000001</v>
      </c>
    </row>
    <row r="122" spans="1:11">
      <c r="A122" s="39">
        <v>117</v>
      </c>
      <c r="B122" s="44" t="s">
        <v>90</v>
      </c>
      <c r="C122" s="44">
        <v>907</v>
      </c>
      <c r="D122" s="45">
        <v>95.39</v>
      </c>
      <c r="E122" s="45">
        <v>3.81</v>
      </c>
      <c r="F122" s="45">
        <f t="shared" si="12"/>
        <v>1026.7779599999999</v>
      </c>
      <c r="G122" s="45">
        <f t="shared" si="12"/>
        <v>41.010839999999995</v>
      </c>
      <c r="H122" s="45">
        <f t="shared" si="9"/>
        <v>99.2</v>
      </c>
      <c r="I122" s="45">
        <f t="shared" si="10"/>
        <v>1067.7887999999998</v>
      </c>
      <c r="J122" s="46">
        <v>1690</v>
      </c>
      <c r="K122" s="46">
        <f t="shared" si="11"/>
        <v>667.40567399999998</v>
      </c>
    </row>
    <row r="123" spans="1:11">
      <c r="A123" s="39">
        <v>118</v>
      </c>
      <c r="B123" s="44" t="s">
        <v>90</v>
      </c>
      <c r="C123" s="44">
        <v>908</v>
      </c>
      <c r="D123" s="44">
        <v>67.02</v>
      </c>
      <c r="E123" s="44">
        <v>3.94</v>
      </c>
      <c r="F123" s="45">
        <f t="shared" si="12"/>
        <v>721.40327999999988</v>
      </c>
      <c r="G123" s="45">
        <f t="shared" si="12"/>
        <v>42.410159999999998</v>
      </c>
      <c r="H123" s="45">
        <f t="shared" si="9"/>
        <v>70.959999999999994</v>
      </c>
      <c r="I123" s="45">
        <f t="shared" si="10"/>
        <v>763.8134399999999</v>
      </c>
      <c r="J123" s="46">
        <v>1210</v>
      </c>
      <c r="K123" s="46">
        <f t="shared" si="11"/>
        <v>468.91213199999993</v>
      </c>
    </row>
    <row r="124" spans="1:11">
      <c r="A124" s="39">
        <v>119</v>
      </c>
      <c r="B124" s="44" t="s">
        <v>90</v>
      </c>
      <c r="C124" s="44">
        <v>909</v>
      </c>
      <c r="D124" s="45">
        <v>41.9</v>
      </c>
      <c r="E124" s="44">
        <v>3.57</v>
      </c>
      <c r="F124" s="45">
        <f t="shared" si="12"/>
        <v>451.01159999999993</v>
      </c>
      <c r="G124" s="45">
        <f t="shared" si="12"/>
        <v>38.427479999999996</v>
      </c>
      <c r="H124" s="45">
        <f t="shared" si="9"/>
        <v>45.47</v>
      </c>
      <c r="I124" s="45">
        <f t="shared" si="10"/>
        <v>489.43907999999993</v>
      </c>
      <c r="J124" s="46">
        <v>760</v>
      </c>
      <c r="K124" s="46">
        <f t="shared" si="11"/>
        <v>293.15753999999998</v>
      </c>
    </row>
    <row r="125" spans="1:11">
      <c r="A125" s="39">
        <v>120</v>
      </c>
      <c r="B125" s="44" t="s">
        <v>90</v>
      </c>
      <c r="C125" s="44">
        <v>910</v>
      </c>
      <c r="D125" s="45">
        <v>41.3</v>
      </c>
      <c r="E125" s="45">
        <v>3.39</v>
      </c>
      <c r="F125" s="45">
        <f t="shared" si="12"/>
        <v>444.55319999999995</v>
      </c>
      <c r="G125" s="45">
        <f t="shared" si="12"/>
        <v>36.489959999999996</v>
      </c>
      <c r="H125" s="45">
        <f t="shared" si="9"/>
        <v>44.69</v>
      </c>
      <c r="I125" s="45">
        <f t="shared" si="10"/>
        <v>481.04315999999994</v>
      </c>
      <c r="J125" s="46">
        <v>750</v>
      </c>
      <c r="K125" s="46">
        <f t="shared" si="11"/>
        <v>288.95957999999996</v>
      </c>
    </row>
    <row r="126" spans="1:11">
      <c r="A126" s="39">
        <v>121</v>
      </c>
      <c r="B126" s="44" t="s">
        <v>90</v>
      </c>
      <c r="C126" s="44">
        <v>911</v>
      </c>
      <c r="D126" s="45">
        <v>41.3</v>
      </c>
      <c r="E126" s="45">
        <v>3.39</v>
      </c>
      <c r="F126" s="45">
        <f t="shared" si="12"/>
        <v>444.55319999999995</v>
      </c>
      <c r="G126" s="45">
        <f t="shared" si="12"/>
        <v>36.489959999999996</v>
      </c>
      <c r="H126" s="45">
        <f t="shared" si="9"/>
        <v>44.69</v>
      </c>
      <c r="I126" s="45">
        <f t="shared" si="10"/>
        <v>481.04315999999994</v>
      </c>
      <c r="J126" s="46">
        <v>750</v>
      </c>
      <c r="K126" s="46">
        <f t="shared" si="11"/>
        <v>288.95957999999996</v>
      </c>
    </row>
    <row r="127" spans="1:11">
      <c r="A127" s="39">
        <v>122</v>
      </c>
      <c r="B127" s="44" t="s">
        <v>90</v>
      </c>
      <c r="C127" s="50">
        <v>912</v>
      </c>
      <c r="D127" s="45">
        <v>41.9</v>
      </c>
      <c r="E127" s="44">
        <v>3.57</v>
      </c>
      <c r="F127" s="45">
        <f t="shared" si="12"/>
        <v>451.01159999999993</v>
      </c>
      <c r="G127" s="45">
        <f t="shared" si="12"/>
        <v>38.427479999999996</v>
      </c>
      <c r="H127" s="45">
        <f t="shared" si="9"/>
        <v>45.47</v>
      </c>
      <c r="I127" s="45">
        <f t="shared" si="10"/>
        <v>489.43907999999993</v>
      </c>
      <c r="J127" s="46">
        <v>760</v>
      </c>
      <c r="K127" s="46">
        <f t="shared" si="11"/>
        <v>293.15753999999998</v>
      </c>
    </row>
    <row r="128" spans="1:11">
      <c r="A128" s="39">
        <v>123</v>
      </c>
      <c r="B128" s="44" t="s">
        <v>90</v>
      </c>
      <c r="C128" s="50">
        <v>1001</v>
      </c>
      <c r="D128" s="44">
        <v>67.02</v>
      </c>
      <c r="E128" s="44">
        <v>3.94</v>
      </c>
      <c r="F128" s="45">
        <f t="shared" si="12"/>
        <v>721.40327999999988</v>
      </c>
      <c r="G128" s="45">
        <f t="shared" si="12"/>
        <v>42.410159999999998</v>
      </c>
      <c r="H128" s="45">
        <f t="shared" si="9"/>
        <v>70.959999999999994</v>
      </c>
      <c r="I128" s="45">
        <f t="shared" si="10"/>
        <v>763.8134399999999</v>
      </c>
      <c r="J128" s="46">
        <v>1210</v>
      </c>
      <c r="K128" s="46">
        <f t="shared" si="11"/>
        <v>468.91213199999993</v>
      </c>
    </row>
    <row r="129" spans="1:11">
      <c r="A129" s="39">
        <v>124</v>
      </c>
      <c r="B129" s="44" t="s">
        <v>90</v>
      </c>
      <c r="C129" s="50">
        <v>1002</v>
      </c>
      <c r="D129" s="44">
        <v>95.39</v>
      </c>
      <c r="E129" s="44">
        <v>3.81</v>
      </c>
      <c r="F129" s="45">
        <f t="shared" si="12"/>
        <v>1026.7779599999999</v>
      </c>
      <c r="G129" s="45">
        <f t="shared" si="12"/>
        <v>41.010839999999995</v>
      </c>
      <c r="H129" s="45">
        <f t="shared" si="9"/>
        <v>99.2</v>
      </c>
      <c r="I129" s="45">
        <f t="shared" si="10"/>
        <v>1067.7887999999998</v>
      </c>
      <c r="J129" s="46">
        <v>1690</v>
      </c>
      <c r="K129" s="46">
        <f t="shared" si="11"/>
        <v>667.40567399999998</v>
      </c>
    </row>
    <row r="130" spans="1:11">
      <c r="A130" s="39">
        <v>125</v>
      </c>
      <c r="B130" s="44" t="s">
        <v>90</v>
      </c>
      <c r="C130" s="50">
        <v>1003</v>
      </c>
      <c r="D130" s="44">
        <v>44.09</v>
      </c>
      <c r="E130" s="44">
        <v>3.96</v>
      </c>
      <c r="F130" s="45">
        <f t="shared" si="12"/>
        <v>474.58476000000002</v>
      </c>
      <c r="G130" s="45">
        <f t="shared" si="12"/>
        <v>42.625439999999998</v>
      </c>
      <c r="H130" s="45">
        <f t="shared" si="9"/>
        <v>48.050000000000004</v>
      </c>
      <c r="I130" s="45">
        <f t="shared" si="10"/>
        <v>517.21019999999999</v>
      </c>
      <c r="J130" s="46">
        <v>795</v>
      </c>
      <c r="K130" s="46">
        <f t="shared" si="11"/>
        <v>308.48009400000001</v>
      </c>
    </row>
    <row r="131" spans="1:11">
      <c r="A131" s="39">
        <v>126</v>
      </c>
      <c r="B131" s="44" t="s">
        <v>90</v>
      </c>
      <c r="C131" s="50">
        <v>1004</v>
      </c>
      <c r="D131" s="44">
        <v>44.35</v>
      </c>
      <c r="E131" s="44">
        <v>3.78</v>
      </c>
      <c r="F131" s="45">
        <f t="shared" si="12"/>
        <v>477.38339999999999</v>
      </c>
      <c r="G131" s="45">
        <f t="shared" si="12"/>
        <v>40.687919999999998</v>
      </c>
      <c r="H131" s="45">
        <f t="shared" si="9"/>
        <v>48.13</v>
      </c>
      <c r="I131" s="45">
        <f t="shared" si="10"/>
        <v>518.07132000000001</v>
      </c>
      <c r="J131" s="46">
        <v>795</v>
      </c>
      <c r="K131" s="46">
        <f t="shared" si="11"/>
        <v>310.29921000000002</v>
      </c>
    </row>
    <row r="132" spans="1:11">
      <c r="A132" s="39">
        <v>127</v>
      </c>
      <c r="B132" s="44" t="s">
        <v>90</v>
      </c>
      <c r="C132" s="44">
        <v>1005</v>
      </c>
      <c r="D132" s="44">
        <v>44.35</v>
      </c>
      <c r="E132" s="44">
        <v>3.78</v>
      </c>
      <c r="F132" s="45">
        <f t="shared" si="12"/>
        <v>477.38339999999999</v>
      </c>
      <c r="G132" s="45">
        <f t="shared" si="12"/>
        <v>40.687919999999998</v>
      </c>
      <c r="H132" s="45">
        <f t="shared" si="9"/>
        <v>48.13</v>
      </c>
      <c r="I132" s="45">
        <f t="shared" si="10"/>
        <v>518.07132000000001</v>
      </c>
      <c r="J132" s="46">
        <v>795</v>
      </c>
      <c r="K132" s="46">
        <f t="shared" si="11"/>
        <v>310.29921000000002</v>
      </c>
    </row>
    <row r="133" spans="1:11">
      <c r="A133" s="39">
        <v>128</v>
      </c>
      <c r="B133" s="44" t="s">
        <v>90</v>
      </c>
      <c r="C133" s="44">
        <v>1006</v>
      </c>
      <c r="D133" s="44">
        <v>44.09</v>
      </c>
      <c r="E133" s="44">
        <v>3.96</v>
      </c>
      <c r="F133" s="45">
        <f t="shared" si="12"/>
        <v>474.58476000000002</v>
      </c>
      <c r="G133" s="45">
        <f t="shared" si="12"/>
        <v>42.625439999999998</v>
      </c>
      <c r="H133" s="45">
        <f t="shared" si="9"/>
        <v>48.050000000000004</v>
      </c>
      <c r="I133" s="45">
        <f t="shared" si="10"/>
        <v>517.21019999999999</v>
      </c>
      <c r="J133" s="46">
        <v>795</v>
      </c>
      <c r="K133" s="46">
        <f t="shared" si="11"/>
        <v>308.48009400000001</v>
      </c>
    </row>
    <row r="134" spans="1:11">
      <c r="A134" s="39">
        <v>129</v>
      </c>
      <c r="B134" s="44" t="s">
        <v>90</v>
      </c>
      <c r="C134" s="44">
        <v>1007</v>
      </c>
      <c r="D134" s="45">
        <v>95.39</v>
      </c>
      <c r="E134" s="45">
        <v>3.81</v>
      </c>
      <c r="F134" s="45">
        <f t="shared" si="12"/>
        <v>1026.7779599999999</v>
      </c>
      <c r="G134" s="45">
        <f t="shared" si="12"/>
        <v>41.010839999999995</v>
      </c>
      <c r="H134" s="45">
        <f t="shared" si="9"/>
        <v>99.2</v>
      </c>
      <c r="I134" s="45">
        <f t="shared" si="10"/>
        <v>1067.7887999999998</v>
      </c>
      <c r="J134" s="46">
        <v>1690</v>
      </c>
      <c r="K134" s="46">
        <f t="shared" si="11"/>
        <v>667.40567399999998</v>
      </c>
    </row>
    <row r="135" spans="1:11">
      <c r="A135" s="39">
        <v>130</v>
      </c>
      <c r="B135" s="44" t="s">
        <v>90</v>
      </c>
      <c r="C135" s="44">
        <v>1008</v>
      </c>
      <c r="D135" s="44">
        <v>67.02</v>
      </c>
      <c r="E135" s="44">
        <v>3.94</v>
      </c>
      <c r="F135" s="45">
        <f t="shared" ref="F135:G161" si="13">D135*10.764</f>
        <v>721.40327999999988</v>
      </c>
      <c r="G135" s="45">
        <f t="shared" si="13"/>
        <v>42.410159999999998</v>
      </c>
      <c r="H135" s="45">
        <f t="shared" si="9"/>
        <v>70.959999999999994</v>
      </c>
      <c r="I135" s="45">
        <f t="shared" si="10"/>
        <v>763.8134399999999</v>
      </c>
      <c r="J135" s="46">
        <v>1210</v>
      </c>
      <c r="K135" s="46">
        <f t="shared" si="11"/>
        <v>468.91213199999993</v>
      </c>
    </row>
    <row r="136" spans="1:11">
      <c r="A136" s="39">
        <v>131</v>
      </c>
      <c r="B136" s="44" t="s">
        <v>90</v>
      </c>
      <c r="C136" s="44">
        <v>1009</v>
      </c>
      <c r="D136" s="45">
        <v>41.9</v>
      </c>
      <c r="E136" s="44">
        <v>3.57</v>
      </c>
      <c r="F136" s="45">
        <f t="shared" si="13"/>
        <v>451.01159999999993</v>
      </c>
      <c r="G136" s="45">
        <f t="shared" si="13"/>
        <v>38.427479999999996</v>
      </c>
      <c r="H136" s="45">
        <f t="shared" si="9"/>
        <v>45.47</v>
      </c>
      <c r="I136" s="45">
        <f t="shared" si="10"/>
        <v>489.43907999999993</v>
      </c>
      <c r="J136" s="46">
        <v>760</v>
      </c>
      <c r="K136" s="46">
        <f t="shared" si="11"/>
        <v>293.15753999999998</v>
      </c>
    </row>
    <row r="137" spans="1:11">
      <c r="A137" s="39">
        <v>132</v>
      </c>
      <c r="B137" s="44" t="s">
        <v>90</v>
      </c>
      <c r="C137" s="44">
        <v>1010</v>
      </c>
      <c r="D137" s="45">
        <v>41.3</v>
      </c>
      <c r="E137" s="45">
        <v>3.39</v>
      </c>
      <c r="F137" s="45">
        <f t="shared" si="13"/>
        <v>444.55319999999995</v>
      </c>
      <c r="G137" s="45">
        <f t="shared" si="13"/>
        <v>36.489959999999996</v>
      </c>
      <c r="H137" s="45">
        <f t="shared" si="9"/>
        <v>44.69</v>
      </c>
      <c r="I137" s="45">
        <f t="shared" si="10"/>
        <v>481.04315999999994</v>
      </c>
      <c r="J137" s="46">
        <v>750</v>
      </c>
      <c r="K137" s="46">
        <f t="shared" si="11"/>
        <v>288.95957999999996</v>
      </c>
    </row>
    <row r="138" spans="1:11">
      <c r="A138" s="39">
        <v>133</v>
      </c>
      <c r="B138" s="44" t="s">
        <v>90</v>
      </c>
      <c r="C138" s="44">
        <v>1011</v>
      </c>
      <c r="D138" s="45">
        <v>41.3</v>
      </c>
      <c r="E138" s="45">
        <v>3.39</v>
      </c>
      <c r="F138" s="45">
        <f t="shared" si="13"/>
        <v>444.55319999999995</v>
      </c>
      <c r="G138" s="45">
        <f t="shared" si="13"/>
        <v>36.489959999999996</v>
      </c>
      <c r="H138" s="45">
        <f t="shared" si="9"/>
        <v>44.69</v>
      </c>
      <c r="I138" s="45">
        <f t="shared" si="10"/>
        <v>481.04315999999994</v>
      </c>
      <c r="J138" s="46">
        <v>750</v>
      </c>
      <c r="K138" s="46">
        <f t="shared" si="11"/>
        <v>288.95957999999996</v>
      </c>
    </row>
    <row r="139" spans="1:11">
      <c r="A139" s="39">
        <v>134</v>
      </c>
      <c r="B139" s="44" t="s">
        <v>90</v>
      </c>
      <c r="C139" s="44">
        <v>1012</v>
      </c>
      <c r="D139" s="45">
        <v>41.9</v>
      </c>
      <c r="E139" s="44">
        <v>3.57</v>
      </c>
      <c r="F139" s="45">
        <f t="shared" si="13"/>
        <v>451.01159999999993</v>
      </c>
      <c r="G139" s="45">
        <f t="shared" si="13"/>
        <v>38.427479999999996</v>
      </c>
      <c r="H139" s="45">
        <f t="shared" si="9"/>
        <v>45.47</v>
      </c>
      <c r="I139" s="45">
        <f t="shared" si="10"/>
        <v>489.43907999999993</v>
      </c>
      <c r="J139" s="46">
        <v>760</v>
      </c>
      <c r="K139" s="46">
        <f t="shared" si="11"/>
        <v>293.15753999999998</v>
      </c>
    </row>
    <row r="140" spans="1:11">
      <c r="A140" s="39">
        <v>135</v>
      </c>
      <c r="B140" s="44" t="s">
        <v>90</v>
      </c>
      <c r="C140" s="44">
        <v>1101</v>
      </c>
      <c r="D140" s="44">
        <v>67.02</v>
      </c>
      <c r="E140" s="44">
        <v>3.94</v>
      </c>
      <c r="F140" s="45">
        <f t="shared" si="13"/>
        <v>721.40327999999988</v>
      </c>
      <c r="G140" s="45">
        <f t="shared" si="13"/>
        <v>42.410159999999998</v>
      </c>
      <c r="H140" s="45">
        <f t="shared" si="9"/>
        <v>70.959999999999994</v>
      </c>
      <c r="I140" s="45">
        <f t="shared" si="10"/>
        <v>763.8134399999999</v>
      </c>
      <c r="J140" s="46">
        <v>1210</v>
      </c>
      <c r="K140" s="46">
        <f t="shared" si="11"/>
        <v>468.91213199999993</v>
      </c>
    </row>
    <row r="141" spans="1:11">
      <c r="A141" s="39">
        <v>136</v>
      </c>
      <c r="B141" s="44" t="s">
        <v>90</v>
      </c>
      <c r="C141" s="44">
        <v>1102</v>
      </c>
      <c r="D141" s="44">
        <v>95.39</v>
      </c>
      <c r="E141" s="44">
        <v>3.81</v>
      </c>
      <c r="F141" s="45">
        <f t="shared" si="13"/>
        <v>1026.7779599999999</v>
      </c>
      <c r="G141" s="45">
        <f t="shared" si="13"/>
        <v>41.010839999999995</v>
      </c>
      <c r="H141" s="45">
        <f t="shared" si="9"/>
        <v>99.2</v>
      </c>
      <c r="I141" s="45">
        <f t="shared" si="10"/>
        <v>1067.7887999999998</v>
      </c>
      <c r="J141" s="46">
        <v>1690</v>
      </c>
      <c r="K141" s="46">
        <f t="shared" si="11"/>
        <v>667.40567399999998</v>
      </c>
    </row>
    <row r="142" spans="1:11">
      <c r="A142" s="39">
        <v>137</v>
      </c>
      <c r="B142" s="44" t="s">
        <v>90</v>
      </c>
      <c r="C142" s="44">
        <v>1103</v>
      </c>
      <c r="D142" s="44">
        <v>44.09</v>
      </c>
      <c r="E142" s="44">
        <v>3.96</v>
      </c>
      <c r="F142" s="45">
        <f t="shared" si="13"/>
        <v>474.58476000000002</v>
      </c>
      <c r="G142" s="45">
        <f t="shared" si="13"/>
        <v>42.625439999999998</v>
      </c>
      <c r="H142" s="45">
        <f t="shared" si="9"/>
        <v>48.050000000000004</v>
      </c>
      <c r="I142" s="45">
        <f t="shared" si="10"/>
        <v>517.21019999999999</v>
      </c>
      <c r="J142" s="46">
        <v>795</v>
      </c>
      <c r="K142" s="46">
        <f t="shared" si="11"/>
        <v>308.48009400000001</v>
      </c>
    </row>
    <row r="143" spans="1:11">
      <c r="A143" s="39">
        <v>138</v>
      </c>
      <c r="B143" s="44" t="s">
        <v>90</v>
      </c>
      <c r="C143" s="44">
        <v>1104</v>
      </c>
      <c r="D143" s="44">
        <v>44.35</v>
      </c>
      <c r="E143" s="44">
        <v>3.78</v>
      </c>
      <c r="F143" s="45">
        <f t="shared" si="13"/>
        <v>477.38339999999999</v>
      </c>
      <c r="G143" s="45">
        <f t="shared" si="13"/>
        <v>40.687919999999998</v>
      </c>
      <c r="H143" s="45">
        <f t="shared" si="9"/>
        <v>48.13</v>
      </c>
      <c r="I143" s="45">
        <f t="shared" si="10"/>
        <v>518.07132000000001</v>
      </c>
      <c r="J143" s="46">
        <v>795</v>
      </c>
      <c r="K143" s="46">
        <f t="shared" si="11"/>
        <v>310.29921000000002</v>
      </c>
    </row>
    <row r="144" spans="1:11">
      <c r="A144" s="39">
        <v>139</v>
      </c>
      <c r="B144" s="44" t="s">
        <v>90</v>
      </c>
      <c r="C144" s="44">
        <v>1105</v>
      </c>
      <c r="D144" s="44">
        <v>44.35</v>
      </c>
      <c r="E144" s="44">
        <v>3.78</v>
      </c>
      <c r="F144" s="45">
        <f t="shared" si="13"/>
        <v>477.38339999999999</v>
      </c>
      <c r="G144" s="45">
        <f t="shared" si="13"/>
        <v>40.687919999999998</v>
      </c>
      <c r="H144" s="45">
        <f t="shared" si="9"/>
        <v>48.13</v>
      </c>
      <c r="I144" s="45">
        <f t="shared" si="10"/>
        <v>518.07132000000001</v>
      </c>
      <c r="J144" s="46">
        <v>795</v>
      </c>
      <c r="K144" s="46">
        <f t="shared" si="11"/>
        <v>310.29921000000002</v>
      </c>
    </row>
    <row r="145" spans="1:11">
      <c r="A145" s="39">
        <v>140</v>
      </c>
      <c r="B145" s="44" t="s">
        <v>90</v>
      </c>
      <c r="C145" s="44">
        <v>1106</v>
      </c>
      <c r="D145" s="44">
        <v>44.09</v>
      </c>
      <c r="E145" s="44">
        <v>3.96</v>
      </c>
      <c r="F145" s="45">
        <f t="shared" si="13"/>
        <v>474.58476000000002</v>
      </c>
      <c r="G145" s="45">
        <f t="shared" si="13"/>
        <v>42.625439999999998</v>
      </c>
      <c r="H145" s="45">
        <f t="shared" si="9"/>
        <v>48.050000000000004</v>
      </c>
      <c r="I145" s="45">
        <f t="shared" si="10"/>
        <v>517.21019999999999</v>
      </c>
      <c r="J145" s="46">
        <v>795</v>
      </c>
      <c r="K145" s="46">
        <f t="shared" si="11"/>
        <v>308.48009400000001</v>
      </c>
    </row>
    <row r="146" spans="1:11">
      <c r="A146" s="39">
        <v>141</v>
      </c>
      <c r="B146" s="44" t="s">
        <v>90</v>
      </c>
      <c r="C146" s="44">
        <v>1107</v>
      </c>
      <c r="D146" s="45">
        <v>95.39</v>
      </c>
      <c r="E146" s="45">
        <v>3.81</v>
      </c>
      <c r="F146" s="45">
        <f t="shared" si="13"/>
        <v>1026.7779599999999</v>
      </c>
      <c r="G146" s="45">
        <f t="shared" si="13"/>
        <v>41.010839999999995</v>
      </c>
      <c r="H146" s="45">
        <f t="shared" si="9"/>
        <v>99.2</v>
      </c>
      <c r="I146" s="45">
        <f t="shared" si="10"/>
        <v>1067.7887999999998</v>
      </c>
      <c r="J146" s="46">
        <v>1690</v>
      </c>
      <c r="K146" s="46">
        <f t="shared" si="11"/>
        <v>667.40567399999998</v>
      </c>
    </row>
    <row r="147" spans="1:11">
      <c r="A147" s="39">
        <v>142</v>
      </c>
      <c r="B147" s="44" t="s">
        <v>90</v>
      </c>
      <c r="C147" s="44">
        <v>1108</v>
      </c>
      <c r="D147" s="44">
        <v>67.02</v>
      </c>
      <c r="E147" s="44">
        <v>3.94</v>
      </c>
      <c r="F147" s="45">
        <f t="shared" si="13"/>
        <v>721.40327999999988</v>
      </c>
      <c r="G147" s="45">
        <f t="shared" si="13"/>
        <v>42.410159999999998</v>
      </c>
      <c r="H147" s="45">
        <f t="shared" si="9"/>
        <v>70.959999999999994</v>
      </c>
      <c r="I147" s="45">
        <f t="shared" si="10"/>
        <v>763.8134399999999</v>
      </c>
      <c r="J147" s="46">
        <v>1210</v>
      </c>
      <c r="K147" s="46">
        <f t="shared" si="11"/>
        <v>468.91213199999993</v>
      </c>
    </row>
    <row r="148" spans="1:11">
      <c r="A148" s="39">
        <v>143</v>
      </c>
      <c r="B148" s="44" t="s">
        <v>90</v>
      </c>
      <c r="C148" s="44">
        <v>1109</v>
      </c>
      <c r="D148" s="45">
        <v>41.9</v>
      </c>
      <c r="E148" s="44">
        <v>3.57</v>
      </c>
      <c r="F148" s="45">
        <f t="shared" si="13"/>
        <v>451.01159999999993</v>
      </c>
      <c r="G148" s="45">
        <f t="shared" si="13"/>
        <v>38.427479999999996</v>
      </c>
      <c r="H148" s="45">
        <f t="shared" si="9"/>
        <v>45.47</v>
      </c>
      <c r="I148" s="45">
        <f t="shared" si="10"/>
        <v>489.43907999999993</v>
      </c>
      <c r="J148" s="46">
        <v>760</v>
      </c>
      <c r="K148" s="46">
        <f t="shared" si="11"/>
        <v>293.15753999999998</v>
      </c>
    </row>
    <row r="149" spans="1:11">
      <c r="A149" s="39">
        <v>144</v>
      </c>
      <c r="B149" s="44" t="s">
        <v>90</v>
      </c>
      <c r="C149" s="44">
        <v>1110</v>
      </c>
      <c r="D149" s="45">
        <v>41.3</v>
      </c>
      <c r="E149" s="45">
        <v>3.39</v>
      </c>
      <c r="F149" s="45">
        <f t="shared" si="13"/>
        <v>444.55319999999995</v>
      </c>
      <c r="G149" s="45">
        <f t="shared" si="13"/>
        <v>36.489959999999996</v>
      </c>
      <c r="H149" s="45">
        <f t="shared" si="9"/>
        <v>44.69</v>
      </c>
      <c r="I149" s="45">
        <f t="shared" si="10"/>
        <v>481.04315999999994</v>
      </c>
      <c r="J149" s="46">
        <v>750</v>
      </c>
      <c r="K149" s="46">
        <f t="shared" si="11"/>
        <v>288.95957999999996</v>
      </c>
    </row>
    <row r="150" spans="1:11">
      <c r="A150" s="39">
        <v>145</v>
      </c>
      <c r="B150" s="44" t="s">
        <v>90</v>
      </c>
      <c r="C150" s="44">
        <v>1111</v>
      </c>
      <c r="D150" s="45">
        <v>41.3</v>
      </c>
      <c r="E150" s="45">
        <v>3.39</v>
      </c>
      <c r="F150" s="45">
        <f t="shared" si="13"/>
        <v>444.55319999999995</v>
      </c>
      <c r="G150" s="45">
        <f t="shared" si="13"/>
        <v>36.489959999999996</v>
      </c>
      <c r="H150" s="45">
        <f t="shared" si="9"/>
        <v>44.69</v>
      </c>
      <c r="I150" s="45">
        <f t="shared" si="10"/>
        <v>481.04315999999994</v>
      </c>
      <c r="J150" s="46">
        <v>750</v>
      </c>
      <c r="K150" s="46">
        <f t="shared" si="11"/>
        <v>288.95957999999996</v>
      </c>
    </row>
    <row r="151" spans="1:11">
      <c r="A151" s="39">
        <v>146</v>
      </c>
      <c r="B151" s="44" t="s">
        <v>90</v>
      </c>
      <c r="C151" s="44">
        <v>1112</v>
      </c>
      <c r="D151" s="45">
        <v>41.9</v>
      </c>
      <c r="E151" s="44">
        <v>3.57</v>
      </c>
      <c r="F151" s="45">
        <f t="shared" si="13"/>
        <v>451.01159999999993</v>
      </c>
      <c r="G151" s="45">
        <f t="shared" si="13"/>
        <v>38.427479999999996</v>
      </c>
      <c r="H151" s="45">
        <f t="shared" si="9"/>
        <v>45.47</v>
      </c>
      <c r="I151" s="45">
        <f t="shared" si="10"/>
        <v>489.43907999999993</v>
      </c>
      <c r="J151" s="46">
        <v>760</v>
      </c>
      <c r="K151" s="46">
        <f t="shared" si="11"/>
        <v>293.15753999999998</v>
      </c>
    </row>
    <row r="152" spans="1:11">
      <c r="A152" s="39">
        <v>147</v>
      </c>
      <c r="B152" s="44" t="s">
        <v>90</v>
      </c>
      <c r="C152" s="51">
        <v>1201</v>
      </c>
      <c r="D152" s="44">
        <v>67.02</v>
      </c>
      <c r="E152" s="44">
        <v>3.94</v>
      </c>
      <c r="F152" s="45">
        <f t="shared" si="13"/>
        <v>721.40327999999988</v>
      </c>
      <c r="G152" s="45">
        <f t="shared" si="13"/>
        <v>42.410159999999998</v>
      </c>
      <c r="H152" s="45">
        <f t="shared" si="9"/>
        <v>70.959999999999994</v>
      </c>
      <c r="I152" s="45">
        <f t="shared" si="10"/>
        <v>763.8134399999999</v>
      </c>
      <c r="J152" s="46">
        <v>1210</v>
      </c>
      <c r="K152" s="46">
        <f t="shared" si="11"/>
        <v>468.91213199999993</v>
      </c>
    </row>
    <row r="153" spans="1:11">
      <c r="A153" s="39">
        <v>148</v>
      </c>
      <c r="B153" s="44" t="s">
        <v>90</v>
      </c>
      <c r="C153" s="51">
        <v>1202</v>
      </c>
      <c r="D153" s="44">
        <v>95.39</v>
      </c>
      <c r="E153" s="44">
        <v>3.81</v>
      </c>
      <c r="F153" s="45">
        <f t="shared" si="13"/>
        <v>1026.7779599999999</v>
      </c>
      <c r="G153" s="45">
        <f t="shared" si="13"/>
        <v>41.010839999999995</v>
      </c>
      <c r="H153" s="45">
        <f t="shared" ref="H153:H216" si="14">D153+E153</f>
        <v>99.2</v>
      </c>
      <c r="I153" s="45">
        <f t="shared" ref="I153:I216" si="15">F153+G153</f>
        <v>1067.7887999999998</v>
      </c>
      <c r="J153" s="46">
        <v>1690</v>
      </c>
      <c r="K153" s="46">
        <f t="shared" ref="K153:K216" si="16">F153*65%</f>
        <v>667.40567399999998</v>
      </c>
    </row>
    <row r="154" spans="1:11">
      <c r="A154" s="39">
        <v>149</v>
      </c>
      <c r="B154" s="44" t="s">
        <v>90</v>
      </c>
      <c r="C154" s="51">
        <v>1203</v>
      </c>
      <c r="D154" s="44">
        <v>44.09</v>
      </c>
      <c r="E154" s="44">
        <v>3.96</v>
      </c>
      <c r="F154" s="45">
        <f t="shared" si="13"/>
        <v>474.58476000000002</v>
      </c>
      <c r="G154" s="45">
        <f t="shared" si="13"/>
        <v>42.625439999999998</v>
      </c>
      <c r="H154" s="45">
        <f t="shared" si="14"/>
        <v>48.050000000000004</v>
      </c>
      <c r="I154" s="45">
        <f t="shared" si="15"/>
        <v>517.21019999999999</v>
      </c>
      <c r="J154" s="46">
        <v>795</v>
      </c>
      <c r="K154" s="46">
        <f t="shared" si="16"/>
        <v>308.48009400000001</v>
      </c>
    </row>
    <row r="155" spans="1:11">
      <c r="A155" s="39">
        <v>150</v>
      </c>
      <c r="B155" s="44" t="s">
        <v>90</v>
      </c>
      <c r="C155" s="51">
        <v>1206</v>
      </c>
      <c r="D155" s="44">
        <v>44.09</v>
      </c>
      <c r="E155" s="44">
        <v>3.96</v>
      </c>
      <c r="F155" s="45">
        <f t="shared" si="13"/>
        <v>474.58476000000002</v>
      </c>
      <c r="G155" s="45">
        <f t="shared" si="13"/>
        <v>42.625439999999998</v>
      </c>
      <c r="H155" s="45">
        <f t="shared" si="14"/>
        <v>48.050000000000004</v>
      </c>
      <c r="I155" s="45">
        <f t="shared" si="15"/>
        <v>517.21019999999999</v>
      </c>
      <c r="J155" s="46">
        <v>795</v>
      </c>
      <c r="K155" s="46">
        <f t="shared" si="16"/>
        <v>308.48009400000001</v>
      </c>
    </row>
    <row r="156" spans="1:11">
      <c r="A156" s="39">
        <v>151</v>
      </c>
      <c r="B156" s="44" t="s">
        <v>90</v>
      </c>
      <c r="C156" s="51">
        <v>1207</v>
      </c>
      <c r="D156" s="45">
        <v>95.39</v>
      </c>
      <c r="E156" s="45">
        <v>3.81</v>
      </c>
      <c r="F156" s="45">
        <f t="shared" si="13"/>
        <v>1026.7779599999999</v>
      </c>
      <c r="G156" s="45">
        <f t="shared" si="13"/>
        <v>41.010839999999995</v>
      </c>
      <c r="H156" s="45">
        <f t="shared" si="14"/>
        <v>99.2</v>
      </c>
      <c r="I156" s="45">
        <f t="shared" si="15"/>
        <v>1067.7887999999998</v>
      </c>
      <c r="J156" s="46">
        <v>1690</v>
      </c>
      <c r="K156" s="46">
        <f t="shared" si="16"/>
        <v>667.40567399999998</v>
      </c>
    </row>
    <row r="157" spans="1:11">
      <c r="A157" s="39">
        <v>152</v>
      </c>
      <c r="B157" s="44" t="s">
        <v>90</v>
      </c>
      <c r="C157" s="51">
        <v>1208</v>
      </c>
      <c r="D157" s="44">
        <v>67.02</v>
      </c>
      <c r="E157" s="44">
        <v>3.94</v>
      </c>
      <c r="F157" s="45">
        <f t="shared" si="13"/>
        <v>721.40327999999988</v>
      </c>
      <c r="G157" s="45">
        <f t="shared" si="13"/>
        <v>42.410159999999998</v>
      </c>
      <c r="H157" s="45">
        <f t="shared" si="14"/>
        <v>70.959999999999994</v>
      </c>
      <c r="I157" s="45">
        <f t="shared" si="15"/>
        <v>763.8134399999999</v>
      </c>
      <c r="J157" s="46">
        <v>1210</v>
      </c>
      <c r="K157" s="46">
        <f t="shared" si="16"/>
        <v>468.91213199999993</v>
      </c>
    </row>
    <row r="158" spans="1:11">
      <c r="A158" s="39">
        <v>153</v>
      </c>
      <c r="B158" s="44" t="s">
        <v>90</v>
      </c>
      <c r="C158" s="51">
        <v>1209</v>
      </c>
      <c r="D158" s="45">
        <v>41.9</v>
      </c>
      <c r="E158" s="44">
        <v>3.57</v>
      </c>
      <c r="F158" s="45">
        <f t="shared" si="13"/>
        <v>451.01159999999993</v>
      </c>
      <c r="G158" s="45">
        <f t="shared" si="13"/>
        <v>38.427479999999996</v>
      </c>
      <c r="H158" s="45">
        <f t="shared" si="14"/>
        <v>45.47</v>
      </c>
      <c r="I158" s="45">
        <f t="shared" si="15"/>
        <v>489.43907999999993</v>
      </c>
      <c r="J158" s="46">
        <v>760</v>
      </c>
      <c r="K158" s="46">
        <f t="shared" si="16"/>
        <v>293.15753999999998</v>
      </c>
    </row>
    <row r="159" spans="1:11">
      <c r="A159" s="39">
        <v>154</v>
      </c>
      <c r="B159" s="44" t="s">
        <v>90</v>
      </c>
      <c r="C159" s="51">
        <v>1210</v>
      </c>
      <c r="D159" s="45">
        <v>41.3</v>
      </c>
      <c r="E159" s="45">
        <v>3.39</v>
      </c>
      <c r="F159" s="45">
        <f t="shared" si="13"/>
        <v>444.55319999999995</v>
      </c>
      <c r="G159" s="45">
        <f t="shared" si="13"/>
        <v>36.489959999999996</v>
      </c>
      <c r="H159" s="45">
        <f t="shared" si="14"/>
        <v>44.69</v>
      </c>
      <c r="I159" s="45">
        <f t="shared" si="15"/>
        <v>481.04315999999994</v>
      </c>
      <c r="J159" s="46">
        <v>750</v>
      </c>
      <c r="K159" s="46">
        <f t="shared" si="16"/>
        <v>288.95957999999996</v>
      </c>
    </row>
    <row r="160" spans="1:11">
      <c r="A160" s="39">
        <v>155</v>
      </c>
      <c r="B160" s="44" t="s">
        <v>90</v>
      </c>
      <c r="C160" s="51">
        <v>1211</v>
      </c>
      <c r="D160" s="45">
        <v>41.3</v>
      </c>
      <c r="E160" s="45">
        <v>3.39</v>
      </c>
      <c r="F160" s="45">
        <f t="shared" si="13"/>
        <v>444.55319999999995</v>
      </c>
      <c r="G160" s="45">
        <f t="shared" si="13"/>
        <v>36.489959999999996</v>
      </c>
      <c r="H160" s="45">
        <f t="shared" si="14"/>
        <v>44.69</v>
      </c>
      <c r="I160" s="45">
        <f t="shared" si="15"/>
        <v>481.04315999999994</v>
      </c>
      <c r="J160" s="46">
        <v>750</v>
      </c>
      <c r="K160" s="46">
        <f t="shared" si="16"/>
        <v>288.95957999999996</v>
      </c>
    </row>
    <row r="161" spans="1:11">
      <c r="A161" s="39">
        <v>156</v>
      </c>
      <c r="B161" s="44" t="s">
        <v>90</v>
      </c>
      <c r="C161" s="51">
        <v>1212</v>
      </c>
      <c r="D161" s="45">
        <v>41.9</v>
      </c>
      <c r="E161" s="44">
        <v>3.57</v>
      </c>
      <c r="F161" s="45">
        <f t="shared" si="13"/>
        <v>451.01159999999993</v>
      </c>
      <c r="G161" s="45">
        <f t="shared" si="13"/>
        <v>38.427479999999996</v>
      </c>
      <c r="H161" s="45">
        <f t="shared" si="14"/>
        <v>45.47</v>
      </c>
      <c r="I161" s="45">
        <f t="shared" si="15"/>
        <v>489.43907999999993</v>
      </c>
      <c r="J161" s="46">
        <v>760</v>
      </c>
      <c r="K161" s="46">
        <f t="shared" si="16"/>
        <v>293.15753999999998</v>
      </c>
    </row>
    <row r="162" spans="1:11">
      <c r="A162" s="39">
        <v>157</v>
      </c>
      <c r="B162" s="44" t="s">
        <v>90</v>
      </c>
      <c r="C162" s="54">
        <v>1301</v>
      </c>
      <c r="D162" s="44">
        <v>67.02</v>
      </c>
      <c r="E162" s="44">
        <v>3.94</v>
      </c>
      <c r="F162" s="45">
        <f t="shared" ref="F162:G177" si="17">D162*10.764</f>
        <v>721.40327999999988</v>
      </c>
      <c r="G162" s="45">
        <f t="shared" si="17"/>
        <v>42.410159999999998</v>
      </c>
      <c r="H162" s="45">
        <f t="shared" si="14"/>
        <v>70.959999999999994</v>
      </c>
      <c r="I162" s="45">
        <f t="shared" si="15"/>
        <v>763.8134399999999</v>
      </c>
      <c r="J162" s="46">
        <v>1210</v>
      </c>
      <c r="K162" s="46">
        <f t="shared" si="16"/>
        <v>468.91213199999993</v>
      </c>
    </row>
    <row r="163" spans="1:11">
      <c r="A163" s="39">
        <v>158</v>
      </c>
      <c r="B163" s="44" t="s">
        <v>90</v>
      </c>
      <c r="C163" s="54">
        <v>1302</v>
      </c>
      <c r="D163" s="44">
        <v>95.39</v>
      </c>
      <c r="E163" s="44">
        <v>3.81</v>
      </c>
      <c r="F163" s="45">
        <f t="shared" si="17"/>
        <v>1026.7779599999999</v>
      </c>
      <c r="G163" s="45">
        <f t="shared" si="17"/>
        <v>41.010839999999995</v>
      </c>
      <c r="H163" s="45">
        <f t="shared" si="14"/>
        <v>99.2</v>
      </c>
      <c r="I163" s="45">
        <f t="shared" si="15"/>
        <v>1067.7887999999998</v>
      </c>
      <c r="J163" s="46">
        <v>1690</v>
      </c>
      <c r="K163" s="46">
        <f t="shared" si="16"/>
        <v>667.40567399999998</v>
      </c>
    </row>
    <row r="164" spans="1:11">
      <c r="A164" s="39">
        <v>159</v>
      </c>
      <c r="B164" s="44" t="s">
        <v>90</v>
      </c>
      <c r="C164" s="54">
        <v>1303</v>
      </c>
      <c r="D164" s="44">
        <v>44.09</v>
      </c>
      <c r="E164" s="44">
        <v>3.96</v>
      </c>
      <c r="F164" s="45">
        <f t="shared" si="17"/>
        <v>474.58476000000002</v>
      </c>
      <c r="G164" s="45">
        <f t="shared" si="17"/>
        <v>42.625439999999998</v>
      </c>
      <c r="H164" s="45">
        <f t="shared" si="14"/>
        <v>48.050000000000004</v>
      </c>
      <c r="I164" s="45">
        <f t="shared" si="15"/>
        <v>517.21019999999999</v>
      </c>
      <c r="J164" s="46">
        <v>795</v>
      </c>
      <c r="K164" s="46">
        <f t="shared" si="16"/>
        <v>308.48009400000001</v>
      </c>
    </row>
    <row r="165" spans="1:11">
      <c r="A165" s="39">
        <v>160</v>
      </c>
      <c r="B165" s="44" t="s">
        <v>90</v>
      </c>
      <c r="C165" s="54">
        <v>1304</v>
      </c>
      <c r="D165" s="44">
        <v>44.35</v>
      </c>
      <c r="E165" s="44">
        <v>3.78</v>
      </c>
      <c r="F165" s="45">
        <f t="shared" si="17"/>
        <v>477.38339999999999</v>
      </c>
      <c r="G165" s="45">
        <f t="shared" si="17"/>
        <v>40.687919999999998</v>
      </c>
      <c r="H165" s="45">
        <f t="shared" si="14"/>
        <v>48.13</v>
      </c>
      <c r="I165" s="45">
        <f t="shared" si="15"/>
        <v>518.07132000000001</v>
      </c>
      <c r="J165" s="46">
        <v>795</v>
      </c>
      <c r="K165" s="46">
        <f t="shared" si="16"/>
        <v>310.29921000000002</v>
      </c>
    </row>
    <row r="166" spans="1:11">
      <c r="A166" s="39">
        <v>161</v>
      </c>
      <c r="B166" s="44" t="s">
        <v>90</v>
      </c>
      <c r="C166" s="54">
        <v>1305</v>
      </c>
      <c r="D166" s="44">
        <v>44.35</v>
      </c>
      <c r="E166" s="44">
        <v>3.78</v>
      </c>
      <c r="F166" s="45">
        <f t="shared" si="17"/>
        <v>477.38339999999999</v>
      </c>
      <c r="G166" s="45">
        <f t="shared" si="17"/>
        <v>40.687919999999998</v>
      </c>
      <c r="H166" s="45">
        <f t="shared" si="14"/>
        <v>48.13</v>
      </c>
      <c r="I166" s="45">
        <f t="shared" si="15"/>
        <v>518.07132000000001</v>
      </c>
      <c r="J166" s="46">
        <v>795</v>
      </c>
      <c r="K166" s="46">
        <f t="shared" si="16"/>
        <v>310.29921000000002</v>
      </c>
    </row>
    <row r="167" spans="1:11">
      <c r="A167" s="39">
        <v>162</v>
      </c>
      <c r="B167" s="44" t="s">
        <v>90</v>
      </c>
      <c r="C167" s="54">
        <v>1306</v>
      </c>
      <c r="D167" s="44">
        <v>44.09</v>
      </c>
      <c r="E167" s="44">
        <v>3.96</v>
      </c>
      <c r="F167" s="45">
        <f t="shared" si="17"/>
        <v>474.58476000000002</v>
      </c>
      <c r="G167" s="45">
        <f t="shared" si="17"/>
        <v>42.625439999999998</v>
      </c>
      <c r="H167" s="45">
        <f t="shared" si="14"/>
        <v>48.050000000000004</v>
      </c>
      <c r="I167" s="45">
        <f t="shared" si="15"/>
        <v>517.21019999999999</v>
      </c>
      <c r="J167" s="46">
        <v>795</v>
      </c>
      <c r="K167" s="46">
        <f t="shared" si="16"/>
        <v>308.48009400000001</v>
      </c>
    </row>
    <row r="168" spans="1:11">
      <c r="A168" s="39">
        <v>163</v>
      </c>
      <c r="B168" s="44" t="s">
        <v>90</v>
      </c>
      <c r="C168" s="54">
        <v>1307</v>
      </c>
      <c r="D168" s="45">
        <v>95.39</v>
      </c>
      <c r="E168" s="45">
        <v>3.81</v>
      </c>
      <c r="F168" s="45">
        <f t="shared" si="17"/>
        <v>1026.7779599999999</v>
      </c>
      <c r="G168" s="45">
        <f t="shared" si="17"/>
        <v>41.010839999999995</v>
      </c>
      <c r="H168" s="45">
        <f t="shared" si="14"/>
        <v>99.2</v>
      </c>
      <c r="I168" s="45">
        <f t="shared" si="15"/>
        <v>1067.7887999999998</v>
      </c>
      <c r="J168" s="46">
        <v>1690</v>
      </c>
      <c r="K168" s="46">
        <f t="shared" si="16"/>
        <v>667.40567399999998</v>
      </c>
    </row>
    <row r="169" spans="1:11">
      <c r="A169" s="39">
        <v>164</v>
      </c>
      <c r="B169" s="44" t="s">
        <v>90</v>
      </c>
      <c r="C169" s="54">
        <v>1308</v>
      </c>
      <c r="D169" s="44">
        <v>67.02</v>
      </c>
      <c r="E169" s="44">
        <v>3.94</v>
      </c>
      <c r="F169" s="45">
        <f t="shared" si="17"/>
        <v>721.40327999999988</v>
      </c>
      <c r="G169" s="45">
        <f t="shared" si="17"/>
        <v>42.410159999999998</v>
      </c>
      <c r="H169" s="45">
        <f t="shared" si="14"/>
        <v>70.959999999999994</v>
      </c>
      <c r="I169" s="45">
        <f t="shared" si="15"/>
        <v>763.8134399999999</v>
      </c>
      <c r="J169" s="46">
        <v>1210</v>
      </c>
      <c r="K169" s="46">
        <f t="shared" si="16"/>
        <v>468.91213199999993</v>
      </c>
    </row>
    <row r="170" spans="1:11">
      <c r="A170" s="39">
        <v>165</v>
      </c>
      <c r="B170" s="44" t="s">
        <v>90</v>
      </c>
      <c r="C170" s="54">
        <v>1309</v>
      </c>
      <c r="D170" s="45">
        <v>41.9</v>
      </c>
      <c r="E170" s="44">
        <v>3.57</v>
      </c>
      <c r="F170" s="45">
        <f t="shared" si="17"/>
        <v>451.01159999999993</v>
      </c>
      <c r="G170" s="45">
        <f t="shared" si="17"/>
        <v>38.427479999999996</v>
      </c>
      <c r="H170" s="45">
        <f t="shared" si="14"/>
        <v>45.47</v>
      </c>
      <c r="I170" s="45">
        <f t="shared" si="15"/>
        <v>489.43907999999993</v>
      </c>
      <c r="J170" s="46">
        <v>760</v>
      </c>
      <c r="K170" s="46">
        <f t="shared" si="16"/>
        <v>293.15753999999998</v>
      </c>
    </row>
    <row r="171" spans="1:11">
      <c r="A171" s="39">
        <v>166</v>
      </c>
      <c r="B171" s="44" t="s">
        <v>90</v>
      </c>
      <c r="C171" s="54">
        <v>1310</v>
      </c>
      <c r="D171" s="45">
        <v>41.3</v>
      </c>
      <c r="E171" s="45">
        <v>3.39</v>
      </c>
      <c r="F171" s="45">
        <f t="shared" si="17"/>
        <v>444.55319999999995</v>
      </c>
      <c r="G171" s="45">
        <f t="shared" si="17"/>
        <v>36.489959999999996</v>
      </c>
      <c r="H171" s="45">
        <f t="shared" si="14"/>
        <v>44.69</v>
      </c>
      <c r="I171" s="45">
        <f t="shared" si="15"/>
        <v>481.04315999999994</v>
      </c>
      <c r="J171" s="46">
        <v>750</v>
      </c>
      <c r="K171" s="46">
        <f t="shared" si="16"/>
        <v>288.95957999999996</v>
      </c>
    </row>
    <row r="172" spans="1:11">
      <c r="A172" s="39">
        <v>167</v>
      </c>
      <c r="B172" s="44" t="s">
        <v>90</v>
      </c>
      <c r="C172" s="54">
        <v>1311</v>
      </c>
      <c r="D172" s="45">
        <v>41.3</v>
      </c>
      <c r="E172" s="45">
        <v>3.39</v>
      </c>
      <c r="F172" s="45">
        <f t="shared" si="17"/>
        <v>444.55319999999995</v>
      </c>
      <c r="G172" s="45">
        <f t="shared" si="17"/>
        <v>36.489959999999996</v>
      </c>
      <c r="H172" s="45">
        <f t="shared" si="14"/>
        <v>44.69</v>
      </c>
      <c r="I172" s="45">
        <f t="shared" si="15"/>
        <v>481.04315999999994</v>
      </c>
      <c r="J172" s="46">
        <v>750</v>
      </c>
      <c r="K172" s="46">
        <f t="shared" si="16"/>
        <v>288.95957999999996</v>
      </c>
    </row>
    <row r="173" spans="1:11">
      <c r="A173" s="39">
        <v>168</v>
      </c>
      <c r="B173" s="44" t="s">
        <v>90</v>
      </c>
      <c r="C173" s="54">
        <v>1312</v>
      </c>
      <c r="D173" s="45">
        <v>41.9</v>
      </c>
      <c r="E173" s="44">
        <v>3.57</v>
      </c>
      <c r="F173" s="45">
        <f t="shared" si="17"/>
        <v>451.01159999999993</v>
      </c>
      <c r="G173" s="45">
        <f t="shared" si="17"/>
        <v>38.427479999999996</v>
      </c>
      <c r="H173" s="45">
        <f t="shared" si="14"/>
        <v>45.47</v>
      </c>
      <c r="I173" s="45">
        <f t="shared" si="15"/>
        <v>489.43907999999993</v>
      </c>
      <c r="J173" s="46">
        <v>760</v>
      </c>
      <c r="K173" s="46">
        <f t="shared" si="16"/>
        <v>293.15753999999998</v>
      </c>
    </row>
    <row r="174" spans="1:11">
      <c r="A174" s="39">
        <v>169</v>
      </c>
      <c r="B174" s="44" t="s">
        <v>90</v>
      </c>
      <c r="C174" s="44">
        <v>1401</v>
      </c>
      <c r="D174" s="44">
        <v>67.02</v>
      </c>
      <c r="E174" s="44">
        <v>3.94</v>
      </c>
      <c r="F174" s="45">
        <f t="shared" si="17"/>
        <v>721.40327999999988</v>
      </c>
      <c r="G174" s="45">
        <f t="shared" si="17"/>
        <v>42.410159999999998</v>
      </c>
      <c r="H174" s="45">
        <f t="shared" si="14"/>
        <v>70.959999999999994</v>
      </c>
      <c r="I174" s="45">
        <f t="shared" si="15"/>
        <v>763.8134399999999</v>
      </c>
      <c r="J174" s="46">
        <v>1210</v>
      </c>
      <c r="K174" s="46">
        <f t="shared" si="16"/>
        <v>468.91213199999993</v>
      </c>
    </row>
    <row r="175" spans="1:11">
      <c r="A175" s="39">
        <v>170</v>
      </c>
      <c r="B175" s="44" t="s">
        <v>90</v>
      </c>
      <c r="C175" s="44">
        <v>1402</v>
      </c>
      <c r="D175" s="44">
        <v>95.39</v>
      </c>
      <c r="E175" s="44">
        <v>3.81</v>
      </c>
      <c r="F175" s="45">
        <f t="shared" si="17"/>
        <v>1026.7779599999999</v>
      </c>
      <c r="G175" s="45">
        <f t="shared" si="17"/>
        <v>41.010839999999995</v>
      </c>
      <c r="H175" s="45">
        <f t="shared" si="14"/>
        <v>99.2</v>
      </c>
      <c r="I175" s="45">
        <f t="shared" si="15"/>
        <v>1067.7887999999998</v>
      </c>
      <c r="J175" s="46">
        <v>1690</v>
      </c>
      <c r="K175" s="46">
        <f t="shared" si="16"/>
        <v>667.40567399999998</v>
      </c>
    </row>
    <row r="176" spans="1:11">
      <c r="A176" s="39">
        <v>171</v>
      </c>
      <c r="B176" s="44" t="s">
        <v>90</v>
      </c>
      <c r="C176" s="44">
        <v>1403</v>
      </c>
      <c r="D176" s="44">
        <v>44.09</v>
      </c>
      <c r="E176" s="44">
        <v>3.96</v>
      </c>
      <c r="F176" s="45">
        <f t="shared" si="17"/>
        <v>474.58476000000002</v>
      </c>
      <c r="G176" s="45">
        <f t="shared" si="17"/>
        <v>42.625439999999998</v>
      </c>
      <c r="H176" s="45">
        <f t="shared" si="14"/>
        <v>48.050000000000004</v>
      </c>
      <c r="I176" s="45">
        <f t="shared" si="15"/>
        <v>517.21019999999999</v>
      </c>
      <c r="J176" s="46">
        <v>795</v>
      </c>
      <c r="K176" s="46">
        <f t="shared" si="16"/>
        <v>308.48009400000001</v>
      </c>
    </row>
    <row r="177" spans="1:11">
      <c r="A177" s="39">
        <v>172</v>
      </c>
      <c r="B177" s="44" t="s">
        <v>90</v>
      </c>
      <c r="C177" s="44">
        <v>1404</v>
      </c>
      <c r="D177" s="44">
        <v>44.35</v>
      </c>
      <c r="E177" s="44">
        <v>3.78</v>
      </c>
      <c r="F177" s="45">
        <f t="shared" si="17"/>
        <v>477.38339999999999</v>
      </c>
      <c r="G177" s="45">
        <f t="shared" si="17"/>
        <v>40.687919999999998</v>
      </c>
      <c r="H177" s="45">
        <f t="shared" si="14"/>
        <v>48.13</v>
      </c>
      <c r="I177" s="45">
        <f t="shared" si="15"/>
        <v>518.07132000000001</v>
      </c>
      <c r="J177" s="46">
        <v>795</v>
      </c>
      <c r="K177" s="46">
        <f t="shared" si="16"/>
        <v>310.29921000000002</v>
      </c>
    </row>
    <row r="178" spans="1:11">
      <c r="A178" s="39">
        <v>173</v>
      </c>
      <c r="B178" s="44" t="s">
        <v>90</v>
      </c>
      <c r="C178" s="44">
        <v>1405</v>
      </c>
      <c r="D178" s="44">
        <v>44.35</v>
      </c>
      <c r="E178" s="44">
        <v>3.78</v>
      </c>
      <c r="F178" s="45">
        <f t="shared" ref="F178:G217" si="18">D178*10.764</f>
        <v>477.38339999999999</v>
      </c>
      <c r="G178" s="45">
        <f t="shared" si="18"/>
        <v>40.687919999999998</v>
      </c>
      <c r="H178" s="45">
        <f t="shared" si="14"/>
        <v>48.13</v>
      </c>
      <c r="I178" s="45">
        <f t="shared" si="15"/>
        <v>518.07132000000001</v>
      </c>
      <c r="J178" s="46">
        <v>795</v>
      </c>
      <c r="K178" s="46">
        <f t="shared" si="16"/>
        <v>310.29921000000002</v>
      </c>
    </row>
    <row r="179" spans="1:11">
      <c r="A179" s="39">
        <v>174</v>
      </c>
      <c r="B179" s="44" t="s">
        <v>90</v>
      </c>
      <c r="C179" s="44">
        <v>1406</v>
      </c>
      <c r="D179" s="44">
        <v>44.09</v>
      </c>
      <c r="E179" s="44">
        <v>3.96</v>
      </c>
      <c r="F179" s="45">
        <f t="shared" si="18"/>
        <v>474.58476000000002</v>
      </c>
      <c r="G179" s="45">
        <f t="shared" si="18"/>
        <v>42.625439999999998</v>
      </c>
      <c r="H179" s="45">
        <f t="shared" si="14"/>
        <v>48.050000000000004</v>
      </c>
      <c r="I179" s="45">
        <f t="shared" si="15"/>
        <v>517.21019999999999</v>
      </c>
      <c r="J179" s="46">
        <v>795</v>
      </c>
      <c r="K179" s="46">
        <f t="shared" si="16"/>
        <v>308.48009400000001</v>
      </c>
    </row>
    <row r="180" spans="1:11">
      <c r="A180" s="39">
        <v>175</v>
      </c>
      <c r="B180" s="44" t="s">
        <v>90</v>
      </c>
      <c r="C180" s="44">
        <v>1407</v>
      </c>
      <c r="D180" s="45">
        <v>95.39</v>
      </c>
      <c r="E180" s="45">
        <v>3.81</v>
      </c>
      <c r="F180" s="45">
        <f t="shared" si="18"/>
        <v>1026.7779599999999</v>
      </c>
      <c r="G180" s="45">
        <f t="shared" si="18"/>
        <v>41.010839999999995</v>
      </c>
      <c r="H180" s="45">
        <f t="shared" si="14"/>
        <v>99.2</v>
      </c>
      <c r="I180" s="45">
        <f t="shared" si="15"/>
        <v>1067.7887999999998</v>
      </c>
      <c r="J180" s="46">
        <v>1690</v>
      </c>
      <c r="K180" s="46">
        <f t="shared" si="16"/>
        <v>667.40567399999998</v>
      </c>
    </row>
    <row r="181" spans="1:11">
      <c r="A181" s="39">
        <v>176</v>
      </c>
      <c r="B181" s="44" t="s">
        <v>90</v>
      </c>
      <c r="C181" s="44">
        <v>1408</v>
      </c>
      <c r="D181" s="44">
        <v>67.02</v>
      </c>
      <c r="E181" s="44">
        <v>3.94</v>
      </c>
      <c r="F181" s="45">
        <f t="shared" si="18"/>
        <v>721.40327999999988</v>
      </c>
      <c r="G181" s="45">
        <f t="shared" si="18"/>
        <v>42.410159999999998</v>
      </c>
      <c r="H181" s="45">
        <f t="shared" si="14"/>
        <v>70.959999999999994</v>
      </c>
      <c r="I181" s="45">
        <f t="shared" si="15"/>
        <v>763.8134399999999</v>
      </c>
      <c r="J181" s="46">
        <v>1210</v>
      </c>
      <c r="K181" s="46">
        <f t="shared" si="16"/>
        <v>468.91213199999993</v>
      </c>
    </row>
    <row r="182" spans="1:11">
      <c r="A182" s="39">
        <v>177</v>
      </c>
      <c r="B182" s="44" t="s">
        <v>90</v>
      </c>
      <c r="C182" s="44">
        <v>1409</v>
      </c>
      <c r="D182" s="45">
        <v>41.9</v>
      </c>
      <c r="E182" s="44">
        <v>3.57</v>
      </c>
      <c r="F182" s="45">
        <f t="shared" si="18"/>
        <v>451.01159999999993</v>
      </c>
      <c r="G182" s="45">
        <f t="shared" si="18"/>
        <v>38.427479999999996</v>
      </c>
      <c r="H182" s="45">
        <f t="shared" si="14"/>
        <v>45.47</v>
      </c>
      <c r="I182" s="45">
        <f t="shared" si="15"/>
        <v>489.43907999999993</v>
      </c>
      <c r="J182" s="46">
        <v>760</v>
      </c>
      <c r="K182" s="46">
        <f t="shared" si="16"/>
        <v>293.15753999999998</v>
      </c>
    </row>
    <row r="183" spans="1:11">
      <c r="A183" s="39">
        <v>178</v>
      </c>
      <c r="B183" s="44" t="s">
        <v>90</v>
      </c>
      <c r="C183" s="44">
        <v>1410</v>
      </c>
      <c r="D183" s="45">
        <v>41.3</v>
      </c>
      <c r="E183" s="45">
        <v>3.39</v>
      </c>
      <c r="F183" s="45">
        <f t="shared" si="18"/>
        <v>444.55319999999995</v>
      </c>
      <c r="G183" s="45">
        <f t="shared" si="18"/>
        <v>36.489959999999996</v>
      </c>
      <c r="H183" s="45">
        <f t="shared" si="14"/>
        <v>44.69</v>
      </c>
      <c r="I183" s="45">
        <f t="shared" si="15"/>
        <v>481.04315999999994</v>
      </c>
      <c r="J183" s="46">
        <v>750</v>
      </c>
      <c r="K183" s="46">
        <f t="shared" si="16"/>
        <v>288.95957999999996</v>
      </c>
    </row>
    <row r="184" spans="1:11">
      <c r="A184" s="39">
        <v>179</v>
      </c>
      <c r="B184" s="44" t="s">
        <v>90</v>
      </c>
      <c r="C184" s="44">
        <v>1411</v>
      </c>
      <c r="D184" s="45">
        <v>41.3</v>
      </c>
      <c r="E184" s="45">
        <v>3.39</v>
      </c>
      <c r="F184" s="45">
        <f t="shared" si="18"/>
        <v>444.55319999999995</v>
      </c>
      <c r="G184" s="45">
        <f t="shared" si="18"/>
        <v>36.489959999999996</v>
      </c>
      <c r="H184" s="45">
        <f t="shared" si="14"/>
        <v>44.69</v>
      </c>
      <c r="I184" s="45">
        <f t="shared" si="15"/>
        <v>481.04315999999994</v>
      </c>
      <c r="J184" s="46">
        <v>750</v>
      </c>
      <c r="K184" s="46">
        <f t="shared" si="16"/>
        <v>288.95957999999996</v>
      </c>
    </row>
    <row r="185" spans="1:11">
      <c r="A185" s="39">
        <v>180</v>
      </c>
      <c r="B185" s="44" t="s">
        <v>90</v>
      </c>
      <c r="C185" s="44">
        <v>1412</v>
      </c>
      <c r="D185" s="45">
        <v>41.9</v>
      </c>
      <c r="E185" s="44">
        <v>3.57</v>
      </c>
      <c r="F185" s="45">
        <f t="shared" si="18"/>
        <v>451.01159999999993</v>
      </c>
      <c r="G185" s="45">
        <f t="shared" si="18"/>
        <v>38.427479999999996</v>
      </c>
      <c r="H185" s="45">
        <f t="shared" si="14"/>
        <v>45.47</v>
      </c>
      <c r="I185" s="45">
        <f t="shared" si="15"/>
        <v>489.43907999999993</v>
      </c>
      <c r="J185" s="46">
        <v>760</v>
      </c>
      <c r="K185" s="46">
        <f t="shared" si="16"/>
        <v>293.15753999999998</v>
      </c>
    </row>
    <row r="186" spans="1:11">
      <c r="A186" s="39">
        <v>181</v>
      </c>
      <c r="B186" s="44" t="s">
        <v>90</v>
      </c>
      <c r="C186" s="44">
        <v>1501</v>
      </c>
      <c r="D186" s="44">
        <v>67.02</v>
      </c>
      <c r="E186" s="44">
        <v>3.94</v>
      </c>
      <c r="F186" s="45">
        <f t="shared" si="18"/>
        <v>721.40327999999988</v>
      </c>
      <c r="G186" s="45">
        <f t="shared" si="18"/>
        <v>42.410159999999998</v>
      </c>
      <c r="H186" s="45">
        <f t="shared" si="14"/>
        <v>70.959999999999994</v>
      </c>
      <c r="I186" s="45">
        <f t="shared" si="15"/>
        <v>763.8134399999999</v>
      </c>
      <c r="J186" s="46">
        <v>1210</v>
      </c>
      <c r="K186" s="46">
        <f t="shared" si="16"/>
        <v>468.91213199999993</v>
      </c>
    </row>
    <row r="187" spans="1:11">
      <c r="A187" s="39">
        <v>182</v>
      </c>
      <c r="B187" s="44" t="s">
        <v>90</v>
      </c>
      <c r="C187" s="44">
        <v>1502</v>
      </c>
      <c r="D187" s="44">
        <v>95.39</v>
      </c>
      <c r="E187" s="44">
        <v>3.81</v>
      </c>
      <c r="F187" s="45">
        <f t="shared" si="18"/>
        <v>1026.7779599999999</v>
      </c>
      <c r="G187" s="45">
        <f t="shared" si="18"/>
        <v>41.010839999999995</v>
      </c>
      <c r="H187" s="45">
        <f t="shared" si="14"/>
        <v>99.2</v>
      </c>
      <c r="I187" s="45">
        <f t="shared" si="15"/>
        <v>1067.7887999999998</v>
      </c>
      <c r="J187" s="46">
        <v>1690</v>
      </c>
      <c r="K187" s="46">
        <f t="shared" si="16"/>
        <v>667.40567399999998</v>
      </c>
    </row>
    <row r="188" spans="1:11">
      <c r="A188" s="39">
        <v>183</v>
      </c>
      <c r="B188" s="44" t="s">
        <v>90</v>
      </c>
      <c r="C188" s="44">
        <v>1503</v>
      </c>
      <c r="D188" s="44">
        <v>44.09</v>
      </c>
      <c r="E188" s="44">
        <v>3.96</v>
      </c>
      <c r="F188" s="45">
        <f t="shared" si="18"/>
        <v>474.58476000000002</v>
      </c>
      <c r="G188" s="45">
        <f t="shared" si="18"/>
        <v>42.625439999999998</v>
      </c>
      <c r="H188" s="45">
        <f t="shared" si="14"/>
        <v>48.050000000000004</v>
      </c>
      <c r="I188" s="45">
        <f t="shared" si="15"/>
        <v>517.21019999999999</v>
      </c>
      <c r="J188" s="46">
        <v>795</v>
      </c>
      <c r="K188" s="46">
        <f t="shared" si="16"/>
        <v>308.48009400000001</v>
      </c>
    </row>
    <row r="189" spans="1:11">
      <c r="A189" s="39">
        <v>184</v>
      </c>
      <c r="B189" s="44" t="s">
        <v>90</v>
      </c>
      <c r="C189" s="44">
        <v>1504</v>
      </c>
      <c r="D189" s="44">
        <v>44.35</v>
      </c>
      <c r="E189" s="44">
        <v>3.78</v>
      </c>
      <c r="F189" s="45">
        <f t="shared" si="18"/>
        <v>477.38339999999999</v>
      </c>
      <c r="G189" s="45">
        <f t="shared" si="18"/>
        <v>40.687919999999998</v>
      </c>
      <c r="H189" s="45">
        <f t="shared" si="14"/>
        <v>48.13</v>
      </c>
      <c r="I189" s="45">
        <f t="shared" si="15"/>
        <v>518.07132000000001</v>
      </c>
      <c r="J189" s="46">
        <v>795</v>
      </c>
      <c r="K189" s="46">
        <f t="shared" si="16"/>
        <v>310.29921000000002</v>
      </c>
    </row>
    <row r="190" spans="1:11">
      <c r="A190" s="39">
        <v>185</v>
      </c>
      <c r="B190" s="44" t="s">
        <v>90</v>
      </c>
      <c r="C190" s="44">
        <v>1505</v>
      </c>
      <c r="D190" s="44">
        <v>44.35</v>
      </c>
      <c r="E190" s="44">
        <v>3.78</v>
      </c>
      <c r="F190" s="45">
        <f t="shared" si="18"/>
        <v>477.38339999999999</v>
      </c>
      <c r="G190" s="45">
        <f t="shared" si="18"/>
        <v>40.687919999999998</v>
      </c>
      <c r="H190" s="45">
        <f t="shared" si="14"/>
        <v>48.13</v>
      </c>
      <c r="I190" s="45">
        <f t="shared" si="15"/>
        <v>518.07132000000001</v>
      </c>
      <c r="J190" s="46">
        <v>795</v>
      </c>
      <c r="K190" s="46">
        <f t="shared" si="16"/>
        <v>310.29921000000002</v>
      </c>
    </row>
    <row r="191" spans="1:11">
      <c r="A191" s="39">
        <v>186</v>
      </c>
      <c r="B191" s="44" t="s">
        <v>90</v>
      </c>
      <c r="C191" s="44">
        <v>1506</v>
      </c>
      <c r="D191" s="44">
        <v>44.09</v>
      </c>
      <c r="E191" s="44">
        <v>3.96</v>
      </c>
      <c r="F191" s="45">
        <f t="shared" si="18"/>
        <v>474.58476000000002</v>
      </c>
      <c r="G191" s="45">
        <f t="shared" si="18"/>
        <v>42.625439999999998</v>
      </c>
      <c r="H191" s="45">
        <f t="shared" si="14"/>
        <v>48.050000000000004</v>
      </c>
      <c r="I191" s="45">
        <f t="shared" si="15"/>
        <v>517.21019999999999</v>
      </c>
      <c r="J191" s="46">
        <v>795</v>
      </c>
      <c r="K191" s="46">
        <f t="shared" si="16"/>
        <v>308.48009400000001</v>
      </c>
    </row>
    <row r="192" spans="1:11">
      <c r="A192" s="39">
        <v>187</v>
      </c>
      <c r="B192" s="44" t="s">
        <v>90</v>
      </c>
      <c r="C192" s="44">
        <v>1507</v>
      </c>
      <c r="D192" s="45">
        <v>95.39</v>
      </c>
      <c r="E192" s="45">
        <v>3.81</v>
      </c>
      <c r="F192" s="45">
        <f t="shared" si="18"/>
        <v>1026.7779599999999</v>
      </c>
      <c r="G192" s="45">
        <f t="shared" si="18"/>
        <v>41.010839999999995</v>
      </c>
      <c r="H192" s="45">
        <f t="shared" si="14"/>
        <v>99.2</v>
      </c>
      <c r="I192" s="45">
        <f t="shared" si="15"/>
        <v>1067.7887999999998</v>
      </c>
      <c r="J192" s="46">
        <v>1690</v>
      </c>
      <c r="K192" s="46">
        <f t="shared" si="16"/>
        <v>667.40567399999998</v>
      </c>
    </row>
    <row r="193" spans="1:11">
      <c r="A193" s="39">
        <v>188</v>
      </c>
      <c r="B193" s="44" t="s">
        <v>90</v>
      </c>
      <c r="C193" s="44">
        <v>1508</v>
      </c>
      <c r="D193" s="44">
        <v>67.02</v>
      </c>
      <c r="E193" s="44">
        <v>3.94</v>
      </c>
      <c r="F193" s="45">
        <f t="shared" si="18"/>
        <v>721.40327999999988</v>
      </c>
      <c r="G193" s="45">
        <f t="shared" si="18"/>
        <v>42.410159999999998</v>
      </c>
      <c r="H193" s="45">
        <f t="shared" si="14"/>
        <v>70.959999999999994</v>
      </c>
      <c r="I193" s="45">
        <f t="shared" si="15"/>
        <v>763.8134399999999</v>
      </c>
      <c r="J193" s="46">
        <v>1210</v>
      </c>
      <c r="K193" s="46">
        <f t="shared" si="16"/>
        <v>468.91213199999993</v>
      </c>
    </row>
    <row r="194" spans="1:11">
      <c r="A194" s="39">
        <v>189</v>
      </c>
      <c r="B194" s="44" t="s">
        <v>90</v>
      </c>
      <c r="C194" s="44">
        <v>1509</v>
      </c>
      <c r="D194" s="45">
        <v>41.9</v>
      </c>
      <c r="E194" s="44">
        <v>3.57</v>
      </c>
      <c r="F194" s="45">
        <f t="shared" si="18"/>
        <v>451.01159999999993</v>
      </c>
      <c r="G194" s="45">
        <f t="shared" si="18"/>
        <v>38.427479999999996</v>
      </c>
      <c r="H194" s="45">
        <f t="shared" si="14"/>
        <v>45.47</v>
      </c>
      <c r="I194" s="45">
        <f t="shared" si="15"/>
        <v>489.43907999999993</v>
      </c>
      <c r="J194" s="46">
        <v>760</v>
      </c>
      <c r="K194" s="46">
        <f t="shared" si="16"/>
        <v>293.15753999999998</v>
      </c>
    </row>
    <row r="195" spans="1:11">
      <c r="A195" s="39">
        <v>190</v>
      </c>
      <c r="B195" s="44" t="s">
        <v>90</v>
      </c>
      <c r="C195" s="44">
        <v>1510</v>
      </c>
      <c r="D195" s="45">
        <v>41.3</v>
      </c>
      <c r="E195" s="45">
        <v>3.39</v>
      </c>
      <c r="F195" s="45">
        <f t="shared" si="18"/>
        <v>444.55319999999995</v>
      </c>
      <c r="G195" s="45">
        <f t="shared" si="18"/>
        <v>36.489959999999996</v>
      </c>
      <c r="H195" s="45">
        <f t="shared" si="14"/>
        <v>44.69</v>
      </c>
      <c r="I195" s="45">
        <f t="shared" si="15"/>
        <v>481.04315999999994</v>
      </c>
      <c r="J195" s="46">
        <v>750</v>
      </c>
      <c r="K195" s="46">
        <f t="shared" si="16"/>
        <v>288.95957999999996</v>
      </c>
    </row>
    <row r="196" spans="1:11">
      <c r="A196" s="39">
        <v>191</v>
      </c>
      <c r="B196" s="44" t="s">
        <v>90</v>
      </c>
      <c r="C196" s="44">
        <v>1511</v>
      </c>
      <c r="D196" s="45">
        <v>41.3</v>
      </c>
      <c r="E196" s="45">
        <v>3.39</v>
      </c>
      <c r="F196" s="45">
        <f t="shared" si="18"/>
        <v>444.55319999999995</v>
      </c>
      <c r="G196" s="45">
        <f t="shared" si="18"/>
        <v>36.489959999999996</v>
      </c>
      <c r="H196" s="45">
        <f t="shared" si="14"/>
        <v>44.69</v>
      </c>
      <c r="I196" s="45">
        <f t="shared" si="15"/>
        <v>481.04315999999994</v>
      </c>
      <c r="J196" s="46">
        <v>750</v>
      </c>
      <c r="K196" s="46">
        <f t="shared" si="16"/>
        <v>288.95957999999996</v>
      </c>
    </row>
    <row r="197" spans="1:11">
      <c r="A197" s="39">
        <v>192</v>
      </c>
      <c r="B197" s="44" t="s">
        <v>90</v>
      </c>
      <c r="C197" s="44">
        <v>1512</v>
      </c>
      <c r="D197" s="45">
        <v>41.9</v>
      </c>
      <c r="E197" s="44">
        <v>3.57</v>
      </c>
      <c r="F197" s="45">
        <f t="shared" si="18"/>
        <v>451.01159999999993</v>
      </c>
      <c r="G197" s="45">
        <f t="shared" si="18"/>
        <v>38.427479999999996</v>
      </c>
      <c r="H197" s="45">
        <f t="shared" si="14"/>
        <v>45.47</v>
      </c>
      <c r="I197" s="45">
        <f t="shared" si="15"/>
        <v>489.43907999999993</v>
      </c>
      <c r="J197" s="46">
        <v>760</v>
      </c>
      <c r="K197" s="46">
        <f t="shared" si="16"/>
        <v>293.15753999999998</v>
      </c>
    </row>
    <row r="198" spans="1:11">
      <c r="A198" s="39">
        <v>193</v>
      </c>
      <c r="B198" s="44" t="s">
        <v>90</v>
      </c>
      <c r="C198" s="51">
        <v>1601</v>
      </c>
      <c r="D198" s="44">
        <v>67.02</v>
      </c>
      <c r="E198" s="44">
        <v>3.94</v>
      </c>
      <c r="F198" s="45">
        <f t="shared" si="18"/>
        <v>721.40327999999988</v>
      </c>
      <c r="G198" s="45">
        <f t="shared" si="18"/>
        <v>42.410159999999998</v>
      </c>
      <c r="H198" s="45">
        <f t="shared" si="14"/>
        <v>70.959999999999994</v>
      </c>
      <c r="I198" s="45">
        <f t="shared" si="15"/>
        <v>763.8134399999999</v>
      </c>
      <c r="J198" s="46">
        <v>1210</v>
      </c>
      <c r="K198" s="46">
        <f t="shared" si="16"/>
        <v>468.91213199999993</v>
      </c>
    </row>
    <row r="199" spans="1:11">
      <c r="A199" s="39">
        <v>194</v>
      </c>
      <c r="B199" s="44" t="s">
        <v>90</v>
      </c>
      <c r="C199" s="51">
        <v>1602</v>
      </c>
      <c r="D199" s="44">
        <v>95.39</v>
      </c>
      <c r="E199" s="44">
        <v>3.81</v>
      </c>
      <c r="F199" s="45">
        <f t="shared" si="18"/>
        <v>1026.7779599999999</v>
      </c>
      <c r="G199" s="45">
        <f t="shared" si="18"/>
        <v>41.010839999999995</v>
      </c>
      <c r="H199" s="45">
        <f t="shared" si="14"/>
        <v>99.2</v>
      </c>
      <c r="I199" s="45">
        <f t="shared" si="15"/>
        <v>1067.7887999999998</v>
      </c>
      <c r="J199" s="46">
        <v>1690</v>
      </c>
      <c r="K199" s="46">
        <f t="shared" si="16"/>
        <v>667.40567399999998</v>
      </c>
    </row>
    <row r="200" spans="1:11">
      <c r="A200" s="39">
        <v>195</v>
      </c>
      <c r="B200" s="44" t="s">
        <v>90</v>
      </c>
      <c r="C200" s="51">
        <v>1603</v>
      </c>
      <c r="D200" s="44">
        <v>44.09</v>
      </c>
      <c r="E200" s="44">
        <v>3.96</v>
      </c>
      <c r="F200" s="45">
        <f t="shared" si="18"/>
        <v>474.58476000000002</v>
      </c>
      <c r="G200" s="45">
        <f t="shared" si="18"/>
        <v>42.625439999999998</v>
      </c>
      <c r="H200" s="45">
        <f t="shared" si="14"/>
        <v>48.050000000000004</v>
      </c>
      <c r="I200" s="45">
        <f t="shared" si="15"/>
        <v>517.21019999999999</v>
      </c>
      <c r="J200" s="46">
        <v>795</v>
      </c>
      <c r="K200" s="46">
        <f t="shared" si="16"/>
        <v>308.48009400000001</v>
      </c>
    </row>
    <row r="201" spans="1:11">
      <c r="A201" s="39">
        <v>196</v>
      </c>
      <c r="B201" s="44" t="s">
        <v>90</v>
      </c>
      <c r="C201" s="51">
        <v>1606</v>
      </c>
      <c r="D201" s="44">
        <v>44.09</v>
      </c>
      <c r="E201" s="44">
        <v>3.96</v>
      </c>
      <c r="F201" s="45">
        <f t="shared" si="18"/>
        <v>474.58476000000002</v>
      </c>
      <c r="G201" s="45">
        <f t="shared" si="18"/>
        <v>42.625439999999998</v>
      </c>
      <c r="H201" s="45">
        <f t="shared" si="14"/>
        <v>48.050000000000004</v>
      </c>
      <c r="I201" s="45">
        <f t="shared" si="15"/>
        <v>517.21019999999999</v>
      </c>
      <c r="J201" s="46">
        <v>795</v>
      </c>
      <c r="K201" s="46">
        <f t="shared" si="16"/>
        <v>308.48009400000001</v>
      </c>
    </row>
    <row r="202" spans="1:11">
      <c r="A202" s="39">
        <v>197</v>
      </c>
      <c r="B202" s="44" t="s">
        <v>90</v>
      </c>
      <c r="C202" s="51">
        <v>1607</v>
      </c>
      <c r="D202" s="45">
        <v>95.39</v>
      </c>
      <c r="E202" s="45">
        <v>3.81</v>
      </c>
      <c r="F202" s="45">
        <f t="shared" si="18"/>
        <v>1026.7779599999999</v>
      </c>
      <c r="G202" s="45">
        <f t="shared" si="18"/>
        <v>41.010839999999995</v>
      </c>
      <c r="H202" s="45">
        <f t="shared" si="14"/>
        <v>99.2</v>
      </c>
      <c r="I202" s="45">
        <f t="shared" si="15"/>
        <v>1067.7887999999998</v>
      </c>
      <c r="J202" s="46">
        <v>1690</v>
      </c>
      <c r="K202" s="46">
        <f t="shared" si="16"/>
        <v>667.40567399999998</v>
      </c>
    </row>
    <row r="203" spans="1:11">
      <c r="A203" s="39">
        <v>198</v>
      </c>
      <c r="B203" s="44" t="s">
        <v>90</v>
      </c>
      <c r="C203" s="51">
        <v>1608</v>
      </c>
      <c r="D203" s="44">
        <v>67.02</v>
      </c>
      <c r="E203" s="44">
        <v>3.94</v>
      </c>
      <c r="F203" s="45">
        <f t="shared" si="18"/>
        <v>721.40327999999988</v>
      </c>
      <c r="G203" s="45">
        <f t="shared" si="18"/>
        <v>42.410159999999998</v>
      </c>
      <c r="H203" s="45">
        <f t="shared" si="14"/>
        <v>70.959999999999994</v>
      </c>
      <c r="I203" s="45">
        <f t="shared" si="15"/>
        <v>763.8134399999999</v>
      </c>
      <c r="J203" s="46">
        <v>1210</v>
      </c>
      <c r="K203" s="46">
        <f t="shared" si="16"/>
        <v>468.91213199999993</v>
      </c>
    </row>
    <row r="204" spans="1:11">
      <c r="A204" s="39">
        <v>199</v>
      </c>
      <c r="B204" s="44" t="s">
        <v>90</v>
      </c>
      <c r="C204" s="51">
        <v>1609</v>
      </c>
      <c r="D204" s="45">
        <v>41.9</v>
      </c>
      <c r="E204" s="44">
        <v>3.57</v>
      </c>
      <c r="F204" s="45">
        <f t="shared" si="18"/>
        <v>451.01159999999993</v>
      </c>
      <c r="G204" s="45">
        <f t="shared" si="18"/>
        <v>38.427479999999996</v>
      </c>
      <c r="H204" s="45">
        <f t="shared" si="14"/>
        <v>45.47</v>
      </c>
      <c r="I204" s="45">
        <f t="shared" si="15"/>
        <v>489.43907999999993</v>
      </c>
      <c r="J204" s="46">
        <v>760</v>
      </c>
      <c r="K204" s="46">
        <f t="shared" si="16"/>
        <v>293.15753999999998</v>
      </c>
    </row>
    <row r="205" spans="1:11">
      <c r="A205" s="39">
        <v>200</v>
      </c>
      <c r="B205" s="44" t="s">
        <v>90</v>
      </c>
      <c r="C205" s="51">
        <v>1610</v>
      </c>
      <c r="D205" s="45">
        <v>41.3</v>
      </c>
      <c r="E205" s="45">
        <v>3.39</v>
      </c>
      <c r="F205" s="45">
        <f t="shared" si="18"/>
        <v>444.55319999999995</v>
      </c>
      <c r="G205" s="45">
        <f t="shared" si="18"/>
        <v>36.489959999999996</v>
      </c>
      <c r="H205" s="45">
        <f t="shared" si="14"/>
        <v>44.69</v>
      </c>
      <c r="I205" s="45">
        <f t="shared" si="15"/>
        <v>481.04315999999994</v>
      </c>
      <c r="J205" s="46">
        <v>750</v>
      </c>
      <c r="K205" s="46">
        <f t="shared" si="16"/>
        <v>288.95957999999996</v>
      </c>
    </row>
    <row r="206" spans="1:11">
      <c r="A206" s="39">
        <v>201</v>
      </c>
      <c r="B206" s="44" t="s">
        <v>90</v>
      </c>
      <c r="C206" s="51">
        <v>1611</v>
      </c>
      <c r="D206" s="45">
        <v>41.3</v>
      </c>
      <c r="E206" s="45">
        <v>3.39</v>
      </c>
      <c r="F206" s="45">
        <f t="shared" si="18"/>
        <v>444.55319999999995</v>
      </c>
      <c r="G206" s="45">
        <f t="shared" si="18"/>
        <v>36.489959999999996</v>
      </c>
      <c r="H206" s="45">
        <f t="shared" si="14"/>
        <v>44.69</v>
      </c>
      <c r="I206" s="45">
        <f t="shared" si="15"/>
        <v>481.04315999999994</v>
      </c>
      <c r="J206" s="46">
        <v>750</v>
      </c>
      <c r="K206" s="46">
        <f t="shared" si="16"/>
        <v>288.95957999999996</v>
      </c>
    </row>
    <row r="207" spans="1:11">
      <c r="A207" s="39">
        <v>202</v>
      </c>
      <c r="B207" s="44" t="s">
        <v>90</v>
      </c>
      <c r="C207" s="51">
        <v>1612</v>
      </c>
      <c r="D207" s="45">
        <v>41.9</v>
      </c>
      <c r="E207" s="44">
        <v>3.57</v>
      </c>
      <c r="F207" s="45">
        <f t="shared" si="18"/>
        <v>451.01159999999993</v>
      </c>
      <c r="G207" s="45">
        <f t="shared" si="18"/>
        <v>38.427479999999996</v>
      </c>
      <c r="H207" s="45">
        <f t="shared" si="14"/>
        <v>45.47</v>
      </c>
      <c r="I207" s="45">
        <f t="shared" si="15"/>
        <v>489.43907999999993</v>
      </c>
      <c r="J207" s="46">
        <v>760</v>
      </c>
      <c r="K207" s="46">
        <f t="shared" si="16"/>
        <v>293.15753999999998</v>
      </c>
    </row>
    <row r="208" spans="1:11">
      <c r="A208" s="39">
        <v>203</v>
      </c>
      <c r="B208" s="44" t="s">
        <v>90</v>
      </c>
      <c r="C208" s="44">
        <v>1701</v>
      </c>
      <c r="D208" s="44">
        <v>67.02</v>
      </c>
      <c r="E208" s="44">
        <v>3.94</v>
      </c>
      <c r="F208" s="45">
        <f t="shared" si="18"/>
        <v>721.40327999999988</v>
      </c>
      <c r="G208" s="45">
        <f t="shared" si="18"/>
        <v>42.410159999999998</v>
      </c>
      <c r="H208" s="45">
        <f t="shared" si="14"/>
        <v>70.959999999999994</v>
      </c>
      <c r="I208" s="45">
        <f t="shared" si="15"/>
        <v>763.8134399999999</v>
      </c>
      <c r="J208" s="46">
        <v>1210</v>
      </c>
      <c r="K208" s="46">
        <f t="shared" si="16"/>
        <v>468.91213199999993</v>
      </c>
    </row>
    <row r="209" spans="1:11">
      <c r="A209" s="39">
        <v>204</v>
      </c>
      <c r="B209" s="44" t="s">
        <v>90</v>
      </c>
      <c r="C209" s="44">
        <v>1702</v>
      </c>
      <c r="D209" s="44">
        <v>95.39</v>
      </c>
      <c r="E209" s="44">
        <v>3.81</v>
      </c>
      <c r="F209" s="45">
        <f t="shared" si="18"/>
        <v>1026.7779599999999</v>
      </c>
      <c r="G209" s="45">
        <f t="shared" si="18"/>
        <v>41.010839999999995</v>
      </c>
      <c r="H209" s="45">
        <f t="shared" si="14"/>
        <v>99.2</v>
      </c>
      <c r="I209" s="45">
        <f t="shared" si="15"/>
        <v>1067.7887999999998</v>
      </c>
      <c r="J209" s="46">
        <v>1690</v>
      </c>
      <c r="K209" s="46">
        <f t="shared" si="16"/>
        <v>667.40567399999998</v>
      </c>
    </row>
    <row r="210" spans="1:11">
      <c r="A210" s="39">
        <v>205</v>
      </c>
      <c r="B210" s="44" t="s">
        <v>90</v>
      </c>
      <c r="C210" s="44">
        <v>1703</v>
      </c>
      <c r="D210" s="44">
        <v>44.09</v>
      </c>
      <c r="E210" s="44">
        <v>3.96</v>
      </c>
      <c r="F210" s="45">
        <f t="shared" si="18"/>
        <v>474.58476000000002</v>
      </c>
      <c r="G210" s="45">
        <f t="shared" si="18"/>
        <v>42.625439999999998</v>
      </c>
      <c r="H210" s="45">
        <f t="shared" si="14"/>
        <v>48.050000000000004</v>
      </c>
      <c r="I210" s="45">
        <f t="shared" si="15"/>
        <v>517.21019999999999</v>
      </c>
      <c r="J210" s="46">
        <v>795</v>
      </c>
      <c r="K210" s="46">
        <f t="shared" si="16"/>
        <v>308.48009400000001</v>
      </c>
    </row>
    <row r="211" spans="1:11">
      <c r="A211" s="39">
        <v>206</v>
      </c>
      <c r="B211" s="44" t="s">
        <v>90</v>
      </c>
      <c r="C211" s="44">
        <v>1704</v>
      </c>
      <c r="D211" s="44">
        <v>44.35</v>
      </c>
      <c r="E211" s="44">
        <v>3.78</v>
      </c>
      <c r="F211" s="45">
        <f t="shared" si="18"/>
        <v>477.38339999999999</v>
      </c>
      <c r="G211" s="45">
        <f t="shared" si="18"/>
        <v>40.687919999999998</v>
      </c>
      <c r="H211" s="45">
        <f t="shared" si="14"/>
        <v>48.13</v>
      </c>
      <c r="I211" s="45">
        <f t="shared" si="15"/>
        <v>518.07132000000001</v>
      </c>
      <c r="J211" s="46">
        <v>795</v>
      </c>
      <c r="K211" s="46">
        <f t="shared" si="16"/>
        <v>310.29921000000002</v>
      </c>
    </row>
    <row r="212" spans="1:11">
      <c r="A212" s="39">
        <v>207</v>
      </c>
      <c r="B212" s="44" t="s">
        <v>90</v>
      </c>
      <c r="C212" s="44">
        <v>1705</v>
      </c>
      <c r="D212" s="44">
        <v>44.35</v>
      </c>
      <c r="E212" s="44">
        <v>3.78</v>
      </c>
      <c r="F212" s="45">
        <f t="shared" si="18"/>
        <v>477.38339999999999</v>
      </c>
      <c r="G212" s="45">
        <f t="shared" si="18"/>
        <v>40.687919999999998</v>
      </c>
      <c r="H212" s="45">
        <f t="shared" si="14"/>
        <v>48.13</v>
      </c>
      <c r="I212" s="45">
        <f t="shared" si="15"/>
        <v>518.07132000000001</v>
      </c>
      <c r="J212" s="46">
        <v>795</v>
      </c>
      <c r="K212" s="46">
        <f t="shared" si="16"/>
        <v>310.29921000000002</v>
      </c>
    </row>
    <row r="213" spans="1:11">
      <c r="A213" s="39">
        <v>208</v>
      </c>
      <c r="B213" s="44" t="s">
        <v>90</v>
      </c>
      <c r="C213" s="44">
        <v>1706</v>
      </c>
      <c r="D213" s="44">
        <v>44.09</v>
      </c>
      <c r="E213" s="44">
        <v>3.96</v>
      </c>
      <c r="F213" s="45">
        <f t="shared" si="18"/>
        <v>474.58476000000002</v>
      </c>
      <c r="G213" s="45">
        <f t="shared" si="18"/>
        <v>42.625439999999998</v>
      </c>
      <c r="H213" s="45">
        <f t="shared" si="14"/>
        <v>48.050000000000004</v>
      </c>
      <c r="I213" s="45">
        <f t="shared" si="15"/>
        <v>517.21019999999999</v>
      </c>
      <c r="J213" s="46">
        <v>795</v>
      </c>
      <c r="K213" s="46">
        <f t="shared" si="16"/>
        <v>308.48009400000001</v>
      </c>
    </row>
    <row r="214" spans="1:11">
      <c r="A214" s="39">
        <v>209</v>
      </c>
      <c r="B214" s="44" t="s">
        <v>90</v>
      </c>
      <c r="C214" s="44">
        <v>1707</v>
      </c>
      <c r="D214" s="45">
        <v>95.39</v>
      </c>
      <c r="E214" s="45">
        <v>3.81</v>
      </c>
      <c r="F214" s="45">
        <f t="shared" si="18"/>
        <v>1026.7779599999999</v>
      </c>
      <c r="G214" s="45">
        <f t="shared" si="18"/>
        <v>41.010839999999995</v>
      </c>
      <c r="H214" s="45">
        <f t="shared" si="14"/>
        <v>99.2</v>
      </c>
      <c r="I214" s="45">
        <f t="shared" si="15"/>
        <v>1067.7887999999998</v>
      </c>
      <c r="J214" s="46">
        <v>1690</v>
      </c>
      <c r="K214" s="46">
        <f t="shared" si="16"/>
        <v>667.40567399999998</v>
      </c>
    </row>
    <row r="215" spans="1:11">
      <c r="A215" s="39">
        <v>210</v>
      </c>
      <c r="B215" s="44" t="s">
        <v>90</v>
      </c>
      <c r="C215" s="44">
        <v>1708</v>
      </c>
      <c r="D215" s="44">
        <v>67.02</v>
      </c>
      <c r="E215" s="44">
        <v>3.94</v>
      </c>
      <c r="F215" s="45">
        <f t="shared" si="18"/>
        <v>721.40327999999988</v>
      </c>
      <c r="G215" s="45">
        <f t="shared" si="18"/>
        <v>42.410159999999998</v>
      </c>
      <c r="H215" s="45">
        <f t="shared" si="14"/>
        <v>70.959999999999994</v>
      </c>
      <c r="I215" s="45">
        <f t="shared" si="15"/>
        <v>763.8134399999999</v>
      </c>
      <c r="J215" s="46">
        <v>1210</v>
      </c>
      <c r="K215" s="46">
        <f t="shared" si="16"/>
        <v>468.91213199999993</v>
      </c>
    </row>
    <row r="216" spans="1:11">
      <c r="A216" s="39">
        <v>211</v>
      </c>
      <c r="B216" s="44" t="s">
        <v>90</v>
      </c>
      <c r="C216" s="44">
        <v>1709</v>
      </c>
      <c r="D216" s="45">
        <v>41.9</v>
      </c>
      <c r="E216" s="44">
        <v>3.57</v>
      </c>
      <c r="F216" s="45">
        <f t="shared" si="18"/>
        <v>451.01159999999993</v>
      </c>
      <c r="G216" s="45">
        <f t="shared" si="18"/>
        <v>38.427479999999996</v>
      </c>
      <c r="H216" s="45">
        <f t="shared" si="14"/>
        <v>45.47</v>
      </c>
      <c r="I216" s="45">
        <f t="shared" si="15"/>
        <v>489.43907999999993</v>
      </c>
      <c r="J216" s="46">
        <v>760</v>
      </c>
      <c r="K216" s="46">
        <f t="shared" si="16"/>
        <v>293.15753999999998</v>
      </c>
    </row>
    <row r="217" spans="1:11">
      <c r="A217" s="39">
        <v>212</v>
      </c>
      <c r="B217" s="44" t="s">
        <v>90</v>
      </c>
      <c r="C217" s="44">
        <v>1710</v>
      </c>
      <c r="D217" s="45">
        <v>41.3</v>
      </c>
      <c r="E217" s="45">
        <v>3.39</v>
      </c>
      <c r="F217" s="45">
        <f t="shared" si="18"/>
        <v>444.55319999999995</v>
      </c>
      <c r="G217" s="45">
        <f t="shared" si="18"/>
        <v>36.489959999999996</v>
      </c>
      <c r="H217" s="45">
        <f t="shared" ref="H217:H280" si="19">D217+E217</f>
        <v>44.69</v>
      </c>
      <c r="I217" s="45">
        <f t="shared" ref="I217:I280" si="20">F217+G217</f>
        <v>481.04315999999994</v>
      </c>
      <c r="J217" s="46">
        <v>750</v>
      </c>
      <c r="K217" s="46">
        <f t="shared" ref="K217:K280" si="21">F217*65%</f>
        <v>288.95957999999996</v>
      </c>
    </row>
    <row r="218" spans="1:11">
      <c r="A218" s="39">
        <v>213</v>
      </c>
      <c r="B218" s="44" t="s">
        <v>90</v>
      </c>
      <c r="C218" s="44">
        <v>1711</v>
      </c>
      <c r="D218" s="45">
        <v>41.3</v>
      </c>
      <c r="E218" s="45">
        <v>3.39</v>
      </c>
      <c r="F218" s="45">
        <f t="shared" ref="F218:G281" si="22">D218*10.764</f>
        <v>444.55319999999995</v>
      </c>
      <c r="G218" s="45">
        <f t="shared" si="22"/>
        <v>36.489959999999996</v>
      </c>
      <c r="H218" s="45">
        <f t="shared" si="19"/>
        <v>44.69</v>
      </c>
      <c r="I218" s="45">
        <f t="shared" si="20"/>
        <v>481.04315999999994</v>
      </c>
      <c r="J218" s="46">
        <v>750</v>
      </c>
      <c r="K218" s="46">
        <f t="shared" si="21"/>
        <v>288.95957999999996</v>
      </c>
    </row>
    <row r="219" spans="1:11">
      <c r="A219" s="39">
        <v>214</v>
      </c>
      <c r="B219" s="44" t="s">
        <v>90</v>
      </c>
      <c r="C219" s="44">
        <v>1712</v>
      </c>
      <c r="D219" s="45">
        <v>41.9</v>
      </c>
      <c r="E219" s="44">
        <v>3.57</v>
      </c>
      <c r="F219" s="45">
        <f t="shared" si="22"/>
        <v>451.01159999999993</v>
      </c>
      <c r="G219" s="45">
        <f t="shared" si="22"/>
        <v>38.427479999999996</v>
      </c>
      <c r="H219" s="45">
        <f t="shared" si="19"/>
        <v>45.47</v>
      </c>
      <c r="I219" s="45">
        <f t="shared" si="20"/>
        <v>489.43907999999993</v>
      </c>
      <c r="J219" s="46">
        <v>760</v>
      </c>
      <c r="K219" s="46">
        <f t="shared" si="21"/>
        <v>293.15753999999998</v>
      </c>
    </row>
    <row r="220" spans="1:11">
      <c r="A220" s="39">
        <v>215</v>
      </c>
      <c r="B220" s="44" t="s">
        <v>90</v>
      </c>
      <c r="C220" s="44">
        <v>1801</v>
      </c>
      <c r="D220" s="44">
        <v>67.02</v>
      </c>
      <c r="E220" s="44">
        <v>3.94</v>
      </c>
      <c r="F220" s="45">
        <f t="shared" si="22"/>
        <v>721.40327999999988</v>
      </c>
      <c r="G220" s="45">
        <f t="shared" si="22"/>
        <v>42.410159999999998</v>
      </c>
      <c r="H220" s="45">
        <f t="shared" si="19"/>
        <v>70.959999999999994</v>
      </c>
      <c r="I220" s="45">
        <f t="shared" si="20"/>
        <v>763.8134399999999</v>
      </c>
      <c r="J220" s="46">
        <v>1210</v>
      </c>
      <c r="K220" s="46">
        <f t="shared" si="21"/>
        <v>468.91213199999993</v>
      </c>
    </row>
    <row r="221" spans="1:11">
      <c r="A221" s="39">
        <v>216</v>
      </c>
      <c r="B221" s="44" t="s">
        <v>90</v>
      </c>
      <c r="C221" s="44">
        <v>1802</v>
      </c>
      <c r="D221" s="44">
        <v>95.39</v>
      </c>
      <c r="E221" s="44">
        <v>3.81</v>
      </c>
      <c r="F221" s="45">
        <f t="shared" si="22"/>
        <v>1026.7779599999999</v>
      </c>
      <c r="G221" s="45">
        <f t="shared" si="22"/>
        <v>41.010839999999995</v>
      </c>
      <c r="H221" s="45">
        <f t="shared" si="19"/>
        <v>99.2</v>
      </c>
      <c r="I221" s="45">
        <f t="shared" si="20"/>
        <v>1067.7887999999998</v>
      </c>
      <c r="J221" s="46">
        <v>1690</v>
      </c>
      <c r="K221" s="46">
        <f t="shared" si="21"/>
        <v>667.40567399999998</v>
      </c>
    </row>
    <row r="222" spans="1:11">
      <c r="A222" s="39">
        <v>217</v>
      </c>
      <c r="B222" s="44" t="s">
        <v>90</v>
      </c>
      <c r="C222" s="44">
        <v>1803</v>
      </c>
      <c r="D222" s="44">
        <v>44.09</v>
      </c>
      <c r="E222" s="44">
        <v>3.96</v>
      </c>
      <c r="F222" s="45">
        <f t="shared" si="22"/>
        <v>474.58476000000002</v>
      </c>
      <c r="G222" s="45">
        <f t="shared" si="22"/>
        <v>42.625439999999998</v>
      </c>
      <c r="H222" s="45">
        <f t="shared" si="19"/>
        <v>48.050000000000004</v>
      </c>
      <c r="I222" s="45">
        <f t="shared" si="20"/>
        <v>517.21019999999999</v>
      </c>
      <c r="J222" s="46">
        <v>795</v>
      </c>
      <c r="K222" s="46">
        <f t="shared" si="21"/>
        <v>308.48009400000001</v>
      </c>
    </row>
    <row r="223" spans="1:11">
      <c r="A223" s="39">
        <v>218</v>
      </c>
      <c r="B223" s="44" t="s">
        <v>90</v>
      </c>
      <c r="C223" s="44">
        <v>1804</v>
      </c>
      <c r="D223" s="44">
        <v>44.35</v>
      </c>
      <c r="E223" s="44">
        <v>3.78</v>
      </c>
      <c r="F223" s="45">
        <f t="shared" si="22"/>
        <v>477.38339999999999</v>
      </c>
      <c r="G223" s="45">
        <f t="shared" si="22"/>
        <v>40.687919999999998</v>
      </c>
      <c r="H223" s="45">
        <f t="shared" si="19"/>
        <v>48.13</v>
      </c>
      <c r="I223" s="45">
        <f t="shared" si="20"/>
        <v>518.07132000000001</v>
      </c>
      <c r="J223" s="46">
        <v>795</v>
      </c>
      <c r="K223" s="46">
        <f t="shared" si="21"/>
        <v>310.29921000000002</v>
      </c>
    </row>
    <row r="224" spans="1:11">
      <c r="A224" s="39">
        <v>219</v>
      </c>
      <c r="B224" s="44" t="s">
        <v>90</v>
      </c>
      <c r="C224" s="44">
        <v>1805</v>
      </c>
      <c r="D224" s="44">
        <v>44.35</v>
      </c>
      <c r="E224" s="44">
        <v>3.78</v>
      </c>
      <c r="F224" s="45">
        <f t="shared" si="22"/>
        <v>477.38339999999999</v>
      </c>
      <c r="G224" s="45">
        <f t="shared" si="22"/>
        <v>40.687919999999998</v>
      </c>
      <c r="H224" s="45">
        <f t="shared" si="19"/>
        <v>48.13</v>
      </c>
      <c r="I224" s="45">
        <f t="shared" si="20"/>
        <v>518.07132000000001</v>
      </c>
      <c r="J224" s="46">
        <v>795</v>
      </c>
      <c r="K224" s="46">
        <f t="shared" si="21"/>
        <v>310.29921000000002</v>
      </c>
    </row>
    <row r="225" spans="1:11">
      <c r="A225" s="39">
        <v>220</v>
      </c>
      <c r="B225" s="44" t="s">
        <v>90</v>
      </c>
      <c r="C225" s="44">
        <v>1806</v>
      </c>
      <c r="D225" s="44">
        <v>44.09</v>
      </c>
      <c r="E225" s="44">
        <v>3.96</v>
      </c>
      <c r="F225" s="45">
        <f t="shared" si="22"/>
        <v>474.58476000000002</v>
      </c>
      <c r="G225" s="45">
        <f t="shared" si="22"/>
        <v>42.625439999999998</v>
      </c>
      <c r="H225" s="45">
        <f t="shared" si="19"/>
        <v>48.050000000000004</v>
      </c>
      <c r="I225" s="45">
        <f t="shared" si="20"/>
        <v>517.21019999999999</v>
      </c>
      <c r="J225" s="46">
        <v>795</v>
      </c>
      <c r="K225" s="46">
        <f t="shared" si="21"/>
        <v>308.48009400000001</v>
      </c>
    </row>
    <row r="226" spans="1:11">
      <c r="A226" s="39">
        <v>221</v>
      </c>
      <c r="B226" s="44" t="s">
        <v>90</v>
      </c>
      <c r="C226" s="44">
        <v>1807</v>
      </c>
      <c r="D226" s="45">
        <v>95.39</v>
      </c>
      <c r="E226" s="45">
        <v>3.81</v>
      </c>
      <c r="F226" s="45">
        <f t="shared" si="22"/>
        <v>1026.7779599999999</v>
      </c>
      <c r="G226" s="45">
        <f t="shared" si="22"/>
        <v>41.010839999999995</v>
      </c>
      <c r="H226" s="45">
        <f t="shared" si="19"/>
        <v>99.2</v>
      </c>
      <c r="I226" s="45">
        <f t="shared" si="20"/>
        <v>1067.7887999999998</v>
      </c>
      <c r="J226" s="46">
        <v>1690</v>
      </c>
      <c r="K226" s="46">
        <f t="shared" si="21"/>
        <v>667.40567399999998</v>
      </c>
    </row>
    <row r="227" spans="1:11">
      <c r="A227" s="39">
        <v>222</v>
      </c>
      <c r="B227" s="44" t="s">
        <v>90</v>
      </c>
      <c r="C227" s="44">
        <v>1808</v>
      </c>
      <c r="D227" s="44">
        <v>67.02</v>
      </c>
      <c r="E227" s="44">
        <v>3.94</v>
      </c>
      <c r="F227" s="45">
        <f t="shared" si="22"/>
        <v>721.40327999999988</v>
      </c>
      <c r="G227" s="45">
        <f t="shared" si="22"/>
        <v>42.410159999999998</v>
      </c>
      <c r="H227" s="45">
        <f t="shared" si="19"/>
        <v>70.959999999999994</v>
      </c>
      <c r="I227" s="45">
        <f t="shared" si="20"/>
        <v>763.8134399999999</v>
      </c>
      <c r="J227" s="46">
        <v>1210</v>
      </c>
      <c r="K227" s="46">
        <f t="shared" si="21"/>
        <v>468.91213199999993</v>
      </c>
    </row>
    <row r="228" spans="1:11">
      <c r="A228" s="39">
        <v>223</v>
      </c>
      <c r="B228" s="44" t="s">
        <v>90</v>
      </c>
      <c r="C228" s="44">
        <v>1809</v>
      </c>
      <c r="D228" s="45">
        <v>41.9</v>
      </c>
      <c r="E228" s="44">
        <v>3.57</v>
      </c>
      <c r="F228" s="45">
        <f t="shared" si="22"/>
        <v>451.01159999999993</v>
      </c>
      <c r="G228" s="45">
        <f t="shared" si="22"/>
        <v>38.427479999999996</v>
      </c>
      <c r="H228" s="45">
        <f t="shared" si="19"/>
        <v>45.47</v>
      </c>
      <c r="I228" s="45">
        <f t="shared" si="20"/>
        <v>489.43907999999993</v>
      </c>
      <c r="J228" s="46">
        <v>760</v>
      </c>
      <c r="K228" s="46">
        <f t="shared" si="21"/>
        <v>293.15753999999998</v>
      </c>
    </row>
    <row r="229" spans="1:11">
      <c r="A229" s="39">
        <v>224</v>
      </c>
      <c r="B229" s="44" t="s">
        <v>90</v>
      </c>
      <c r="C229" s="44">
        <v>1810</v>
      </c>
      <c r="D229" s="45">
        <v>41.3</v>
      </c>
      <c r="E229" s="45">
        <v>3.39</v>
      </c>
      <c r="F229" s="45">
        <f t="shared" si="22"/>
        <v>444.55319999999995</v>
      </c>
      <c r="G229" s="45">
        <f t="shared" si="22"/>
        <v>36.489959999999996</v>
      </c>
      <c r="H229" s="45">
        <f t="shared" si="19"/>
        <v>44.69</v>
      </c>
      <c r="I229" s="45">
        <f t="shared" si="20"/>
        <v>481.04315999999994</v>
      </c>
      <c r="J229" s="46">
        <v>750</v>
      </c>
      <c r="K229" s="46">
        <f t="shared" si="21"/>
        <v>288.95957999999996</v>
      </c>
    </row>
    <row r="230" spans="1:11">
      <c r="A230" s="39">
        <v>225</v>
      </c>
      <c r="B230" s="44" t="s">
        <v>90</v>
      </c>
      <c r="C230" s="44">
        <v>1811</v>
      </c>
      <c r="D230" s="45">
        <v>41.3</v>
      </c>
      <c r="E230" s="45">
        <v>3.39</v>
      </c>
      <c r="F230" s="45">
        <f t="shared" si="22"/>
        <v>444.55319999999995</v>
      </c>
      <c r="G230" s="45">
        <f t="shared" si="22"/>
        <v>36.489959999999996</v>
      </c>
      <c r="H230" s="45">
        <f t="shared" si="19"/>
        <v>44.69</v>
      </c>
      <c r="I230" s="45">
        <f t="shared" si="20"/>
        <v>481.04315999999994</v>
      </c>
      <c r="J230" s="46">
        <v>750</v>
      </c>
      <c r="K230" s="46">
        <f t="shared" si="21"/>
        <v>288.95957999999996</v>
      </c>
    </row>
    <row r="231" spans="1:11">
      <c r="A231" s="39">
        <v>226</v>
      </c>
      <c r="B231" s="44" t="s">
        <v>90</v>
      </c>
      <c r="C231" s="44">
        <v>1812</v>
      </c>
      <c r="D231" s="45">
        <v>41.9</v>
      </c>
      <c r="E231" s="44">
        <v>3.57</v>
      </c>
      <c r="F231" s="45">
        <f t="shared" si="22"/>
        <v>451.01159999999993</v>
      </c>
      <c r="G231" s="45">
        <f t="shared" si="22"/>
        <v>38.427479999999996</v>
      </c>
      <c r="H231" s="45">
        <f t="shared" si="19"/>
        <v>45.47</v>
      </c>
      <c r="I231" s="45">
        <f t="shared" si="20"/>
        <v>489.43907999999993</v>
      </c>
      <c r="J231" s="46">
        <v>760</v>
      </c>
      <c r="K231" s="46">
        <f t="shared" si="21"/>
        <v>293.15753999999998</v>
      </c>
    </row>
    <row r="232" spans="1:11">
      <c r="A232" s="39">
        <v>227</v>
      </c>
      <c r="B232" s="44" t="s">
        <v>90</v>
      </c>
      <c r="C232" s="44">
        <v>1901</v>
      </c>
      <c r="D232" s="44">
        <v>67.02</v>
      </c>
      <c r="E232" s="44">
        <v>3.94</v>
      </c>
      <c r="F232" s="45">
        <f t="shared" si="22"/>
        <v>721.40327999999988</v>
      </c>
      <c r="G232" s="45">
        <f t="shared" si="22"/>
        <v>42.410159999999998</v>
      </c>
      <c r="H232" s="45">
        <f t="shared" si="19"/>
        <v>70.959999999999994</v>
      </c>
      <c r="I232" s="45">
        <f t="shared" si="20"/>
        <v>763.8134399999999</v>
      </c>
      <c r="J232" s="46">
        <v>1210</v>
      </c>
      <c r="K232" s="46">
        <f t="shared" si="21"/>
        <v>468.91213199999993</v>
      </c>
    </row>
    <row r="233" spans="1:11">
      <c r="A233" s="39">
        <v>228</v>
      </c>
      <c r="B233" s="44" t="s">
        <v>90</v>
      </c>
      <c r="C233" s="44">
        <v>1902</v>
      </c>
      <c r="D233" s="44">
        <v>95.39</v>
      </c>
      <c r="E233" s="44">
        <v>3.81</v>
      </c>
      <c r="F233" s="45">
        <f t="shared" si="22"/>
        <v>1026.7779599999999</v>
      </c>
      <c r="G233" s="45">
        <f t="shared" si="22"/>
        <v>41.010839999999995</v>
      </c>
      <c r="H233" s="45">
        <f t="shared" si="19"/>
        <v>99.2</v>
      </c>
      <c r="I233" s="45">
        <f t="shared" si="20"/>
        <v>1067.7887999999998</v>
      </c>
      <c r="J233" s="46">
        <v>1690</v>
      </c>
      <c r="K233" s="46">
        <f t="shared" si="21"/>
        <v>667.40567399999998</v>
      </c>
    </row>
    <row r="234" spans="1:11">
      <c r="A234" s="39">
        <v>229</v>
      </c>
      <c r="B234" s="44" t="s">
        <v>90</v>
      </c>
      <c r="C234" s="44">
        <v>1903</v>
      </c>
      <c r="D234" s="44">
        <v>44.09</v>
      </c>
      <c r="E234" s="44">
        <v>3.96</v>
      </c>
      <c r="F234" s="45">
        <f t="shared" si="22"/>
        <v>474.58476000000002</v>
      </c>
      <c r="G234" s="45">
        <f t="shared" si="22"/>
        <v>42.625439999999998</v>
      </c>
      <c r="H234" s="45">
        <f t="shared" si="19"/>
        <v>48.050000000000004</v>
      </c>
      <c r="I234" s="45">
        <f t="shared" si="20"/>
        <v>517.21019999999999</v>
      </c>
      <c r="J234" s="46">
        <v>795</v>
      </c>
      <c r="K234" s="46">
        <f t="shared" si="21"/>
        <v>308.48009400000001</v>
      </c>
    </row>
    <row r="235" spans="1:11">
      <c r="A235" s="39">
        <v>230</v>
      </c>
      <c r="B235" s="44" t="s">
        <v>90</v>
      </c>
      <c r="C235" s="44">
        <v>1904</v>
      </c>
      <c r="D235" s="44">
        <v>44.35</v>
      </c>
      <c r="E235" s="44">
        <v>3.78</v>
      </c>
      <c r="F235" s="45">
        <f t="shared" si="22"/>
        <v>477.38339999999999</v>
      </c>
      <c r="G235" s="45">
        <f t="shared" si="22"/>
        <v>40.687919999999998</v>
      </c>
      <c r="H235" s="45">
        <f t="shared" si="19"/>
        <v>48.13</v>
      </c>
      <c r="I235" s="45">
        <f t="shared" si="20"/>
        <v>518.07132000000001</v>
      </c>
      <c r="J235" s="46">
        <v>795</v>
      </c>
      <c r="K235" s="46">
        <f t="shared" si="21"/>
        <v>310.29921000000002</v>
      </c>
    </row>
    <row r="236" spans="1:11">
      <c r="A236" s="39">
        <v>231</v>
      </c>
      <c r="B236" s="44" t="s">
        <v>90</v>
      </c>
      <c r="C236" s="44">
        <v>1905</v>
      </c>
      <c r="D236" s="44">
        <v>44.35</v>
      </c>
      <c r="E236" s="44">
        <v>3.78</v>
      </c>
      <c r="F236" s="45">
        <f t="shared" si="22"/>
        <v>477.38339999999999</v>
      </c>
      <c r="G236" s="45">
        <f t="shared" si="22"/>
        <v>40.687919999999998</v>
      </c>
      <c r="H236" s="45">
        <f t="shared" si="19"/>
        <v>48.13</v>
      </c>
      <c r="I236" s="45">
        <f t="shared" si="20"/>
        <v>518.07132000000001</v>
      </c>
      <c r="J236" s="46">
        <v>795</v>
      </c>
      <c r="K236" s="46">
        <f t="shared" si="21"/>
        <v>310.29921000000002</v>
      </c>
    </row>
    <row r="237" spans="1:11">
      <c r="A237" s="39">
        <v>232</v>
      </c>
      <c r="B237" s="44" t="s">
        <v>90</v>
      </c>
      <c r="C237" s="44">
        <v>1906</v>
      </c>
      <c r="D237" s="44">
        <v>44.09</v>
      </c>
      <c r="E237" s="44">
        <v>3.96</v>
      </c>
      <c r="F237" s="45">
        <f t="shared" si="22"/>
        <v>474.58476000000002</v>
      </c>
      <c r="G237" s="45">
        <f t="shared" si="22"/>
        <v>42.625439999999998</v>
      </c>
      <c r="H237" s="45">
        <f t="shared" si="19"/>
        <v>48.050000000000004</v>
      </c>
      <c r="I237" s="45">
        <f t="shared" si="20"/>
        <v>517.21019999999999</v>
      </c>
      <c r="J237" s="46">
        <v>795</v>
      </c>
      <c r="K237" s="46">
        <f t="shared" si="21"/>
        <v>308.48009400000001</v>
      </c>
    </row>
    <row r="238" spans="1:11">
      <c r="A238" s="39">
        <v>233</v>
      </c>
      <c r="B238" s="44" t="s">
        <v>90</v>
      </c>
      <c r="C238" s="44">
        <v>1907</v>
      </c>
      <c r="D238" s="45">
        <v>95.39</v>
      </c>
      <c r="E238" s="45">
        <v>3.81</v>
      </c>
      <c r="F238" s="45">
        <f t="shared" si="22"/>
        <v>1026.7779599999999</v>
      </c>
      <c r="G238" s="45">
        <f t="shared" si="22"/>
        <v>41.010839999999995</v>
      </c>
      <c r="H238" s="45">
        <f t="shared" si="19"/>
        <v>99.2</v>
      </c>
      <c r="I238" s="45">
        <f t="shared" si="20"/>
        <v>1067.7887999999998</v>
      </c>
      <c r="J238" s="46">
        <v>1690</v>
      </c>
      <c r="K238" s="46">
        <f t="shared" si="21"/>
        <v>667.40567399999998</v>
      </c>
    </row>
    <row r="239" spans="1:11">
      <c r="A239" s="39">
        <v>234</v>
      </c>
      <c r="B239" s="44" t="s">
        <v>90</v>
      </c>
      <c r="C239" s="44">
        <v>1908</v>
      </c>
      <c r="D239" s="44">
        <v>67.02</v>
      </c>
      <c r="E239" s="44">
        <v>3.94</v>
      </c>
      <c r="F239" s="45">
        <f t="shared" si="22"/>
        <v>721.40327999999988</v>
      </c>
      <c r="G239" s="45">
        <f t="shared" si="22"/>
        <v>42.410159999999998</v>
      </c>
      <c r="H239" s="45">
        <f t="shared" si="19"/>
        <v>70.959999999999994</v>
      </c>
      <c r="I239" s="45">
        <f t="shared" si="20"/>
        <v>763.8134399999999</v>
      </c>
      <c r="J239" s="46">
        <v>1210</v>
      </c>
      <c r="K239" s="46">
        <f t="shared" si="21"/>
        <v>468.91213199999993</v>
      </c>
    </row>
    <row r="240" spans="1:11">
      <c r="A240" s="39">
        <v>235</v>
      </c>
      <c r="B240" s="44" t="s">
        <v>90</v>
      </c>
      <c r="C240" s="44">
        <v>1909</v>
      </c>
      <c r="D240" s="45">
        <v>41.9</v>
      </c>
      <c r="E240" s="44">
        <v>3.57</v>
      </c>
      <c r="F240" s="45">
        <f t="shared" si="22"/>
        <v>451.01159999999993</v>
      </c>
      <c r="G240" s="45">
        <f t="shared" si="22"/>
        <v>38.427479999999996</v>
      </c>
      <c r="H240" s="45">
        <f t="shared" si="19"/>
        <v>45.47</v>
      </c>
      <c r="I240" s="45">
        <f t="shared" si="20"/>
        <v>489.43907999999993</v>
      </c>
      <c r="J240" s="46">
        <v>760</v>
      </c>
      <c r="K240" s="46">
        <f t="shared" si="21"/>
        <v>293.15753999999998</v>
      </c>
    </row>
    <row r="241" spans="1:11">
      <c r="A241" s="39">
        <v>236</v>
      </c>
      <c r="B241" s="44" t="s">
        <v>90</v>
      </c>
      <c r="C241" s="44">
        <v>1910</v>
      </c>
      <c r="D241" s="45">
        <v>41.3</v>
      </c>
      <c r="E241" s="45">
        <v>3.39</v>
      </c>
      <c r="F241" s="45">
        <f t="shared" si="22"/>
        <v>444.55319999999995</v>
      </c>
      <c r="G241" s="45">
        <f t="shared" si="22"/>
        <v>36.489959999999996</v>
      </c>
      <c r="H241" s="45">
        <f t="shared" si="19"/>
        <v>44.69</v>
      </c>
      <c r="I241" s="45">
        <f t="shared" si="20"/>
        <v>481.04315999999994</v>
      </c>
      <c r="J241" s="46">
        <v>750</v>
      </c>
      <c r="K241" s="46">
        <f t="shared" si="21"/>
        <v>288.95957999999996</v>
      </c>
    </row>
    <row r="242" spans="1:11">
      <c r="A242" s="39">
        <v>237</v>
      </c>
      <c r="B242" s="44" t="s">
        <v>90</v>
      </c>
      <c r="C242" s="44">
        <v>1911</v>
      </c>
      <c r="D242" s="45">
        <v>41.3</v>
      </c>
      <c r="E242" s="45">
        <v>3.39</v>
      </c>
      <c r="F242" s="45">
        <f t="shared" si="22"/>
        <v>444.55319999999995</v>
      </c>
      <c r="G242" s="45">
        <f t="shared" si="22"/>
        <v>36.489959999999996</v>
      </c>
      <c r="H242" s="45">
        <f t="shared" si="19"/>
        <v>44.69</v>
      </c>
      <c r="I242" s="45">
        <f t="shared" si="20"/>
        <v>481.04315999999994</v>
      </c>
      <c r="J242" s="46">
        <v>750</v>
      </c>
      <c r="K242" s="46">
        <f t="shared" si="21"/>
        <v>288.95957999999996</v>
      </c>
    </row>
    <row r="243" spans="1:11">
      <c r="A243" s="39">
        <v>238</v>
      </c>
      <c r="B243" s="44" t="s">
        <v>90</v>
      </c>
      <c r="C243" s="44">
        <v>1912</v>
      </c>
      <c r="D243" s="45">
        <v>41.9</v>
      </c>
      <c r="E243" s="44">
        <v>3.57</v>
      </c>
      <c r="F243" s="45">
        <f t="shared" si="22"/>
        <v>451.01159999999993</v>
      </c>
      <c r="G243" s="45">
        <f t="shared" si="22"/>
        <v>38.427479999999996</v>
      </c>
      <c r="H243" s="45">
        <f t="shared" si="19"/>
        <v>45.47</v>
      </c>
      <c r="I243" s="45">
        <f t="shared" si="20"/>
        <v>489.43907999999993</v>
      </c>
      <c r="J243" s="46">
        <v>760</v>
      </c>
      <c r="K243" s="46">
        <f t="shared" si="21"/>
        <v>293.15753999999998</v>
      </c>
    </row>
    <row r="244" spans="1:11">
      <c r="A244" s="39">
        <v>239</v>
      </c>
      <c r="B244" s="44" t="s">
        <v>90</v>
      </c>
      <c r="C244" s="44">
        <v>2001</v>
      </c>
      <c r="D244" s="44">
        <v>67.02</v>
      </c>
      <c r="E244" s="44">
        <v>3.94</v>
      </c>
      <c r="F244" s="45">
        <f t="shared" si="22"/>
        <v>721.40327999999988</v>
      </c>
      <c r="G244" s="45">
        <f t="shared" si="22"/>
        <v>42.410159999999998</v>
      </c>
      <c r="H244" s="45">
        <f t="shared" si="19"/>
        <v>70.959999999999994</v>
      </c>
      <c r="I244" s="45">
        <f t="shared" si="20"/>
        <v>763.8134399999999</v>
      </c>
      <c r="J244" s="46">
        <v>1210</v>
      </c>
      <c r="K244" s="46">
        <f t="shared" si="21"/>
        <v>468.91213199999993</v>
      </c>
    </row>
    <row r="245" spans="1:11">
      <c r="A245" s="39">
        <v>240</v>
      </c>
      <c r="B245" s="44" t="s">
        <v>90</v>
      </c>
      <c r="C245" s="44">
        <v>2002</v>
      </c>
      <c r="D245" s="44">
        <v>95.39</v>
      </c>
      <c r="E245" s="44">
        <v>3.81</v>
      </c>
      <c r="F245" s="45">
        <f t="shared" si="22"/>
        <v>1026.7779599999999</v>
      </c>
      <c r="G245" s="45">
        <f t="shared" si="22"/>
        <v>41.010839999999995</v>
      </c>
      <c r="H245" s="45">
        <f t="shared" si="19"/>
        <v>99.2</v>
      </c>
      <c r="I245" s="45">
        <f t="shared" si="20"/>
        <v>1067.7887999999998</v>
      </c>
      <c r="J245" s="46">
        <v>1690</v>
      </c>
      <c r="K245" s="46">
        <f t="shared" si="21"/>
        <v>667.40567399999998</v>
      </c>
    </row>
    <row r="246" spans="1:11">
      <c r="A246" s="39">
        <v>241</v>
      </c>
      <c r="B246" s="44" t="s">
        <v>90</v>
      </c>
      <c r="C246" s="44">
        <v>2003</v>
      </c>
      <c r="D246" s="44">
        <v>44.09</v>
      </c>
      <c r="E246" s="44">
        <v>3.96</v>
      </c>
      <c r="F246" s="45">
        <f t="shared" si="22"/>
        <v>474.58476000000002</v>
      </c>
      <c r="G246" s="45">
        <f t="shared" si="22"/>
        <v>42.625439999999998</v>
      </c>
      <c r="H246" s="45">
        <f t="shared" si="19"/>
        <v>48.050000000000004</v>
      </c>
      <c r="I246" s="45">
        <f t="shared" si="20"/>
        <v>517.21019999999999</v>
      </c>
      <c r="J246" s="46">
        <v>795</v>
      </c>
      <c r="K246" s="46">
        <f t="shared" si="21"/>
        <v>308.48009400000001</v>
      </c>
    </row>
    <row r="247" spans="1:11">
      <c r="A247" s="39">
        <v>242</v>
      </c>
      <c r="B247" s="44" t="s">
        <v>90</v>
      </c>
      <c r="C247" s="44">
        <v>2004</v>
      </c>
      <c r="D247" s="44">
        <v>44.35</v>
      </c>
      <c r="E247" s="44">
        <v>3.78</v>
      </c>
      <c r="F247" s="45">
        <f t="shared" si="22"/>
        <v>477.38339999999999</v>
      </c>
      <c r="G247" s="45">
        <f t="shared" si="22"/>
        <v>40.687919999999998</v>
      </c>
      <c r="H247" s="45">
        <f t="shared" si="19"/>
        <v>48.13</v>
      </c>
      <c r="I247" s="45">
        <f t="shared" si="20"/>
        <v>518.07132000000001</v>
      </c>
      <c r="J247" s="46">
        <v>795</v>
      </c>
      <c r="K247" s="46">
        <f t="shared" si="21"/>
        <v>310.29921000000002</v>
      </c>
    </row>
    <row r="248" spans="1:11">
      <c r="A248" s="39">
        <v>243</v>
      </c>
      <c r="B248" s="44" t="s">
        <v>90</v>
      </c>
      <c r="C248" s="44">
        <v>2005</v>
      </c>
      <c r="D248" s="44">
        <v>44.35</v>
      </c>
      <c r="E248" s="44">
        <v>3.78</v>
      </c>
      <c r="F248" s="45">
        <f t="shared" si="22"/>
        <v>477.38339999999999</v>
      </c>
      <c r="G248" s="45">
        <f t="shared" si="22"/>
        <v>40.687919999999998</v>
      </c>
      <c r="H248" s="45">
        <f t="shared" si="19"/>
        <v>48.13</v>
      </c>
      <c r="I248" s="45">
        <f t="shared" si="20"/>
        <v>518.07132000000001</v>
      </c>
      <c r="J248" s="46">
        <v>795</v>
      </c>
      <c r="K248" s="46">
        <f t="shared" si="21"/>
        <v>310.29921000000002</v>
      </c>
    </row>
    <row r="249" spans="1:11">
      <c r="A249" s="39">
        <v>244</v>
      </c>
      <c r="B249" s="44" t="s">
        <v>90</v>
      </c>
      <c r="C249" s="44">
        <v>2006</v>
      </c>
      <c r="D249" s="44">
        <v>44.09</v>
      </c>
      <c r="E249" s="44">
        <v>3.96</v>
      </c>
      <c r="F249" s="45">
        <f t="shared" si="22"/>
        <v>474.58476000000002</v>
      </c>
      <c r="G249" s="45">
        <f t="shared" si="22"/>
        <v>42.625439999999998</v>
      </c>
      <c r="H249" s="45">
        <f t="shared" si="19"/>
        <v>48.050000000000004</v>
      </c>
      <c r="I249" s="45">
        <f t="shared" si="20"/>
        <v>517.21019999999999</v>
      </c>
      <c r="J249" s="46">
        <v>795</v>
      </c>
      <c r="K249" s="46">
        <f t="shared" si="21"/>
        <v>308.48009400000001</v>
      </c>
    </row>
    <row r="250" spans="1:11">
      <c r="A250" s="39">
        <v>245</v>
      </c>
      <c r="B250" s="44" t="s">
        <v>90</v>
      </c>
      <c r="C250" s="44">
        <v>2007</v>
      </c>
      <c r="D250" s="45">
        <v>95.39</v>
      </c>
      <c r="E250" s="45">
        <v>3.81</v>
      </c>
      <c r="F250" s="45">
        <f t="shared" si="22"/>
        <v>1026.7779599999999</v>
      </c>
      <c r="G250" s="45">
        <f t="shared" si="22"/>
        <v>41.010839999999995</v>
      </c>
      <c r="H250" s="45">
        <f t="shared" si="19"/>
        <v>99.2</v>
      </c>
      <c r="I250" s="45">
        <f t="shared" si="20"/>
        <v>1067.7887999999998</v>
      </c>
      <c r="J250" s="46">
        <v>1690</v>
      </c>
      <c r="K250" s="46">
        <f t="shared" si="21"/>
        <v>667.40567399999998</v>
      </c>
    </row>
    <row r="251" spans="1:11">
      <c r="A251" s="39">
        <v>246</v>
      </c>
      <c r="B251" s="44" t="s">
        <v>90</v>
      </c>
      <c r="C251" s="44">
        <v>2008</v>
      </c>
      <c r="D251" s="44">
        <v>67.02</v>
      </c>
      <c r="E251" s="44">
        <v>3.94</v>
      </c>
      <c r="F251" s="45">
        <f t="shared" si="22"/>
        <v>721.40327999999988</v>
      </c>
      <c r="G251" s="45">
        <f t="shared" si="22"/>
        <v>42.410159999999998</v>
      </c>
      <c r="H251" s="45">
        <f t="shared" si="19"/>
        <v>70.959999999999994</v>
      </c>
      <c r="I251" s="45">
        <f t="shared" si="20"/>
        <v>763.8134399999999</v>
      </c>
      <c r="J251" s="46">
        <v>1210</v>
      </c>
      <c r="K251" s="46">
        <f t="shared" si="21"/>
        <v>468.91213199999993</v>
      </c>
    </row>
    <row r="252" spans="1:11">
      <c r="A252" s="39">
        <v>247</v>
      </c>
      <c r="B252" s="44" t="s">
        <v>90</v>
      </c>
      <c r="C252" s="44">
        <v>2009</v>
      </c>
      <c r="D252" s="45">
        <v>41.9</v>
      </c>
      <c r="E252" s="44">
        <v>3.57</v>
      </c>
      <c r="F252" s="45">
        <f t="shared" si="22"/>
        <v>451.01159999999993</v>
      </c>
      <c r="G252" s="45">
        <f t="shared" si="22"/>
        <v>38.427479999999996</v>
      </c>
      <c r="H252" s="45">
        <f t="shared" si="19"/>
        <v>45.47</v>
      </c>
      <c r="I252" s="45">
        <f t="shared" si="20"/>
        <v>489.43907999999993</v>
      </c>
      <c r="J252" s="46">
        <v>760</v>
      </c>
      <c r="K252" s="46">
        <f t="shared" si="21"/>
        <v>293.15753999999998</v>
      </c>
    </row>
    <row r="253" spans="1:11">
      <c r="A253" s="39">
        <v>248</v>
      </c>
      <c r="B253" s="44" t="s">
        <v>90</v>
      </c>
      <c r="C253" s="44">
        <v>2010</v>
      </c>
      <c r="D253" s="45">
        <v>41.3</v>
      </c>
      <c r="E253" s="45">
        <v>3.39</v>
      </c>
      <c r="F253" s="45">
        <f t="shared" si="22"/>
        <v>444.55319999999995</v>
      </c>
      <c r="G253" s="45">
        <f t="shared" si="22"/>
        <v>36.489959999999996</v>
      </c>
      <c r="H253" s="45">
        <f t="shared" si="19"/>
        <v>44.69</v>
      </c>
      <c r="I253" s="45">
        <f t="shared" si="20"/>
        <v>481.04315999999994</v>
      </c>
      <c r="J253" s="46">
        <v>750</v>
      </c>
      <c r="K253" s="46">
        <f t="shared" si="21"/>
        <v>288.95957999999996</v>
      </c>
    </row>
    <row r="254" spans="1:11">
      <c r="A254" s="39">
        <v>249</v>
      </c>
      <c r="B254" s="44" t="s">
        <v>90</v>
      </c>
      <c r="C254" s="44">
        <v>2011</v>
      </c>
      <c r="D254" s="45">
        <v>41.3</v>
      </c>
      <c r="E254" s="45">
        <v>3.39</v>
      </c>
      <c r="F254" s="45">
        <f t="shared" si="22"/>
        <v>444.55319999999995</v>
      </c>
      <c r="G254" s="45">
        <f t="shared" si="22"/>
        <v>36.489959999999996</v>
      </c>
      <c r="H254" s="45">
        <f t="shared" si="19"/>
        <v>44.69</v>
      </c>
      <c r="I254" s="45">
        <f t="shared" si="20"/>
        <v>481.04315999999994</v>
      </c>
      <c r="J254" s="46">
        <v>750</v>
      </c>
      <c r="K254" s="46">
        <f t="shared" si="21"/>
        <v>288.95957999999996</v>
      </c>
    </row>
    <row r="255" spans="1:11">
      <c r="A255" s="39">
        <v>250</v>
      </c>
      <c r="B255" s="44" t="s">
        <v>90</v>
      </c>
      <c r="C255" s="44">
        <v>2012</v>
      </c>
      <c r="D255" s="45">
        <v>41.9</v>
      </c>
      <c r="E255" s="44">
        <v>3.57</v>
      </c>
      <c r="F255" s="45">
        <f t="shared" si="22"/>
        <v>451.01159999999993</v>
      </c>
      <c r="G255" s="45">
        <f t="shared" si="22"/>
        <v>38.427479999999996</v>
      </c>
      <c r="H255" s="45">
        <f t="shared" si="19"/>
        <v>45.47</v>
      </c>
      <c r="I255" s="45">
        <f t="shared" si="20"/>
        <v>489.43907999999993</v>
      </c>
      <c r="J255" s="46">
        <v>760</v>
      </c>
      <c r="K255" s="46">
        <f t="shared" si="21"/>
        <v>293.15753999999998</v>
      </c>
    </row>
    <row r="256" spans="1:11">
      <c r="A256" s="39">
        <v>251</v>
      </c>
      <c r="B256" s="44" t="s">
        <v>90</v>
      </c>
      <c r="C256" s="51">
        <v>2101</v>
      </c>
      <c r="D256" s="44">
        <v>67.02</v>
      </c>
      <c r="E256" s="44">
        <v>3.94</v>
      </c>
      <c r="F256" s="45">
        <f t="shared" si="22"/>
        <v>721.40327999999988</v>
      </c>
      <c r="G256" s="45">
        <f t="shared" si="22"/>
        <v>42.410159999999998</v>
      </c>
      <c r="H256" s="45">
        <f t="shared" si="19"/>
        <v>70.959999999999994</v>
      </c>
      <c r="I256" s="45">
        <f t="shared" si="20"/>
        <v>763.8134399999999</v>
      </c>
      <c r="J256" s="46">
        <v>1210</v>
      </c>
      <c r="K256" s="46">
        <f t="shared" si="21"/>
        <v>468.91213199999993</v>
      </c>
    </row>
    <row r="257" spans="1:11">
      <c r="A257" s="39">
        <v>252</v>
      </c>
      <c r="B257" s="44" t="s">
        <v>90</v>
      </c>
      <c r="C257" s="51">
        <v>2102</v>
      </c>
      <c r="D257" s="44">
        <v>95.39</v>
      </c>
      <c r="E257" s="44">
        <v>3.81</v>
      </c>
      <c r="F257" s="45">
        <f t="shared" si="22"/>
        <v>1026.7779599999999</v>
      </c>
      <c r="G257" s="45">
        <f t="shared" si="22"/>
        <v>41.010839999999995</v>
      </c>
      <c r="H257" s="45">
        <f t="shared" si="19"/>
        <v>99.2</v>
      </c>
      <c r="I257" s="45">
        <f t="shared" si="20"/>
        <v>1067.7887999999998</v>
      </c>
      <c r="J257" s="46">
        <v>1690</v>
      </c>
      <c r="K257" s="46">
        <f t="shared" si="21"/>
        <v>667.40567399999998</v>
      </c>
    </row>
    <row r="258" spans="1:11">
      <c r="A258" s="39">
        <v>253</v>
      </c>
      <c r="B258" s="44" t="s">
        <v>90</v>
      </c>
      <c r="C258" s="51">
        <v>2103</v>
      </c>
      <c r="D258" s="44">
        <v>44.09</v>
      </c>
      <c r="E258" s="44">
        <v>3.96</v>
      </c>
      <c r="F258" s="45">
        <f t="shared" si="22"/>
        <v>474.58476000000002</v>
      </c>
      <c r="G258" s="45">
        <f t="shared" si="22"/>
        <v>42.625439999999998</v>
      </c>
      <c r="H258" s="45">
        <f t="shared" si="19"/>
        <v>48.050000000000004</v>
      </c>
      <c r="I258" s="45">
        <f t="shared" si="20"/>
        <v>517.21019999999999</v>
      </c>
      <c r="J258" s="46">
        <v>795</v>
      </c>
      <c r="K258" s="46">
        <f t="shared" si="21"/>
        <v>308.48009400000001</v>
      </c>
    </row>
    <row r="259" spans="1:11">
      <c r="A259" s="39">
        <v>254</v>
      </c>
      <c r="B259" s="44" t="s">
        <v>90</v>
      </c>
      <c r="C259" s="51">
        <v>2106</v>
      </c>
      <c r="D259" s="44">
        <v>44.09</v>
      </c>
      <c r="E259" s="44">
        <v>3.96</v>
      </c>
      <c r="F259" s="45">
        <f t="shared" si="22"/>
        <v>474.58476000000002</v>
      </c>
      <c r="G259" s="45">
        <f t="shared" si="22"/>
        <v>42.625439999999998</v>
      </c>
      <c r="H259" s="45">
        <f t="shared" si="19"/>
        <v>48.050000000000004</v>
      </c>
      <c r="I259" s="45">
        <f t="shared" si="20"/>
        <v>517.21019999999999</v>
      </c>
      <c r="J259" s="46">
        <v>795</v>
      </c>
      <c r="K259" s="46">
        <f t="shared" si="21"/>
        <v>308.48009400000001</v>
      </c>
    </row>
    <row r="260" spans="1:11">
      <c r="A260" s="39">
        <v>255</v>
      </c>
      <c r="B260" s="44" t="s">
        <v>90</v>
      </c>
      <c r="C260" s="51">
        <v>2107</v>
      </c>
      <c r="D260" s="45">
        <v>95.39</v>
      </c>
      <c r="E260" s="45">
        <v>3.81</v>
      </c>
      <c r="F260" s="45">
        <f t="shared" si="22"/>
        <v>1026.7779599999999</v>
      </c>
      <c r="G260" s="45">
        <f t="shared" si="22"/>
        <v>41.010839999999995</v>
      </c>
      <c r="H260" s="45">
        <f t="shared" si="19"/>
        <v>99.2</v>
      </c>
      <c r="I260" s="45">
        <f t="shared" si="20"/>
        <v>1067.7887999999998</v>
      </c>
      <c r="J260" s="46">
        <v>1690</v>
      </c>
      <c r="K260" s="46">
        <f t="shared" si="21"/>
        <v>667.40567399999998</v>
      </c>
    </row>
    <row r="261" spans="1:11">
      <c r="A261" s="39">
        <v>256</v>
      </c>
      <c r="B261" s="44" t="s">
        <v>90</v>
      </c>
      <c r="C261" s="51">
        <v>2108</v>
      </c>
      <c r="D261" s="44">
        <v>67.02</v>
      </c>
      <c r="E261" s="44">
        <v>3.94</v>
      </c>
      <c r="F261" s="45">
        <f t="shared" si="22"/>
        <v>721.40327999999988</v>
      </c>
      <c r="G261" s="45">
        <f t="shared" si="22"/>
        <v>42.410159999999998</v>
      </c>
      <c r="H261" s="45">
        <f t="shared" si="19"/>
        <v>70.959999999999994</v>
      </c>
      <c r="I261" s="45">
        <f t="shared" si="20"/>
        <v>763.8134399999999</v>
      </c>
      <c r="J261" s="46">
        <v>1210</v>
      </c>
      <c r="K261" s="46">
        <f t="shared" si="21"/>
        <v>468.91213199999993</v>
      </c>
    </row>
    <row r="262" spans="1:11">
      <c r="A262" s="39">
        <v>257</v>
      </c>
      <c r="B262" s="44" t="s">
        <v>90</v>
      </c>
      <c r="C262" s="51">
        <v>2109</v>
      </c>
      <c r="D262" s="45">
        <v>41.9</v>
      </c>
      <c r="E262" s="44">
        <v>3.57</v>
      </c>
      <c r="F262" s="45">
        <f t="shared" si="22"/>
        <v>451.01159999999993</v>
      </c>
      <c r="G262" s="45">
        <f t="shared" si="22"/>
        <v>38.427479999999996</v>
      </c>
      <c r="H262" s="45">
        <f t="shared" si="19"/>
        <v>45.47</v>
      </c>
      <c r="I262" s="45">
        <f t="shared" si="20"/>
        <v>489.43907999999993</v>
      </c>
      <c r="J262" s="46">
        <v>760</v>
      </c>
      <c r="K262" s="46">
        <f t="shared" si="21"/>
        <v>293.15753999999998</v>
      </c>
    </row>
    <row r="263" spans="1:11">
      <c r="A263" s="39">
        <v>258</v>
      </c>
      <c r="B263" s="44" t="s">
        <v>90</v>
      </c>
      <c r="C263" s="51">
        <v>2110</v>
      </c>
      <c r="D263" s="45">
        <v>41.3</v>
      </c>
      <c r="E263" s="45">
        <v>3.39</v>
      </c>
      <c r="F263" s="45">
        <f t="shared" si="22"/>
        <v>444.55319999999995</v>
      </c>
      <c r="G263" s="45">
        <f t="shared" si="22"/>
        <v>36.489959999999996</v>
      </c>
      <c r="H263" s="45">
        <f t="shared" si="19"/>
        <v>44.69</v>
      </c>
      <c r="I263" s="45">
        <f t="shared" si="20"/>
        <v>481.04315999999994</v>
      </c>
      <c r="J263" s="46">
        <v>750</v>
      </c>
      <c r="K263" s="46">
        <f t="shared" si="21"/>
        <v>288.95957999999996</v>
      </c>
    </row>
    <row r="264" spans="1:11">
      <c r="A264" s="39">
        <v>259</v>
      </c>
      <c r="B264" s="44" t="s">
        <v>90</v>
      </c>
      <c r="C264" s="51">
        <v>2111</v>
      </c>
      <c r="D264" s="45">
        <v>41.3</v>
      </c>
      <c r="E264" s="45">
        <v>3.39</v>
      </c>
      <c r="F264" s="45">
        <f t="shared" si="22"/>
        <v>444.55319999999995</v>
      </c>
      <c r="G264" s="45">
        <f t="shared" si="22"/>
        <v>36.489959999999996</v>
      </c>
      <c r="H264" s="45">
        <f t="shared" si="19"/>
        <v>44.69</v>
      </c>
      <c r="I264" s="45">
        <f t="shared" si="20"/>
        <v>481.04315999999994</v>
      </c>
      <c r="J264" s="46">
        <v>750</v>
      </c>
      <c r="K264" s="46">
        <f t="shared" si="21"/>
        <v>288.95957999999996</v>
      </c>
    </row>
    <row r="265" spans="1:11">
      <c r="A265" s="39">
        <v>260</v>
      </c>
      <c r="B265" s="44" t="s">
        <v>90</v>
      </c>
      <c r="C265" s="51">
        <v>2112</v>
      </c>
      <c r="D265" s="45">
        <v>41.9</v>
      </c>
      <c r="E265" s="44">
        <v>3.57</v>
      </c>
      <c r="F265" s="45">
        <f t="shared" si="22"/>
        <v>451.01159999999993</v>
      </c>
      <c r="G265" s="45">
        <f t="shared" si="22"/>
        <v>38.427479999999996</v>
      </c>
      <c r="H265" s="45">
        <f t="shared" si="19"/>
        <v>45.47</v>
      </c>
      <c r="I265" s="45">
        <f t="shared" si="20"/>
        <v>489.43907999999993</v>
      </c>
      <c r="J265" s="46">
        <v>760</v>
      </c>
      <c r="K265" s="46">
        <f t="shared" si="21"/>
        <v>293.15753999999998</v>
      </c>
    </row>
    <row r="266" spans="1:11">
      <c r="A266" s="39">
        <v>261</v>
      </c>
      <c r="B266" s="44" t="s">
        <v>90</v>
      </c>
      <c r="C266" s="44">
        <v>2201</v>
      </c>
      <c r="D266" s="44">
        <v>67.02</v>
      </c>
      <c r="E266" s="44">
        <v>3.94</v>
      </c>
      <c r="F266" s="45">
        <f t="shared" si="22"/>
        <v>721.40327999999988</v>
      </c>
      <c r="G266" s="45">
        <f t="shared" si="22"/>
        <v>42.410159999999998</v>
      </c>
      <c r="H266" s="45">
        <f t="shared" si="19"/>
        <v>70.959999999999994</v>
      </c>
      <c r="I266" s="45">
        <f t="shared" si="20"/>
        <v>763.8134399999999</v>
      </c>
      <c r="J266" s="46">
        <v>1210</v>
      </c>
      <c r="K266" s="46">
        <f t="shared" si="21"/>
        <v>468.91213199999993</v>
      </c>
    </row>
    <row r="267" spans="1:11">
      <c r="A267" s="39">
        <v>262</v>
      </c>
      <c r="B267" s="44" t="s">
        <v>90</v>
      </c>
      <c r="C267" s="44">
        <v>2202</v>
      </c>
      <c r="D267" s="44">
        <v>95.39</v>
      </c>
      <c r="E267" s="44">
        <v>3.81</v>
      </c>
      <c r="F267" s="45">
        <f t="shared" si="22"/>
        <v>1026.7779599999999</v>
      </c>
      <c r="G267" s="45">
        <f t="shared" si="22"/>
        <v>41.010839999999995</v>
      </c>
      <c r="H267" s="45">
        <f t="shared" si="19"/>
        <v>99.2</v>
      </c>
      <c r="I267" s="45">
        <f t="shared" si="20"/>
        <v>1067.7887999999998</v>
      </c>
      <c r="J267" s="46">
        <v>1690</v>
      </c>
      <c r="K267" s="46">
        <f t="shared" si="21"/>
        <v>667.40567399999998</v>
      </c>
    </row>
    <row r="268" spans="1:11">
      <c r="A268" s="39">
        <v>263</v>
      </c>
      <c r="B268" s="44" t="s">
        <v>90</v>
      </c>
      <c r="C268" s="44">
        <v>2203</v>
      </c>
      <c r="D268" s="44">
        <v>44.09</v>
      </c>
      <c r="E268" s="44">
        <v>3.96</v>
      </c>
      <c r="F268" s="45">
        <f t="shared" si="22"/>
        <v>474.58476000000002</v>
      </c>
      <c r="G268" s="45">
        <f t="shared" si="22"/>
        <v>42.625439999999998</v>
      </c>
      <c r="H268" s="45">
        <f t="shared" si="19"/>
        <v>48.050000000000004</v>
      </c>
      <c r="I268" s="45">
        <f t="shared" si="20"/>
        <v>517.21019999999999</v>
      </c>
      <c r="J268" s="46">
        <v>795</v>
      </c>
      <c r="K268" s="46">
        <f t="shared" si="21"/>
        <v>308.48009400000001</v>
      </c>
    </row>
    <row r="269" spans="1:11">
      <c r="A269" s="39">
        <v>264</v>
      </c>
      <c r="B269" s="44" t="s">
        <v>90</v>
      </c>
      <c r="C269" s="44">
        <v>2204</v>
      </c>
      <c r="D269" s="44">
        <v>44.35</v>
      </c>
      <c r="E269" s="44">
        <v>3.78</v>
      </c>
      <c r="F269" s="45">
        <f t="shared" si="22"/>
        <v>477.38339999999999</v>
      </c>
      <c r="G269" s="45">
        <f t="shared" si="22"/>
        <v>40.687919999999998</v>
      </c>
      <c r="H269" s="45">
        <f t="shared" si="19"/>
        <v>48.13</v>
      </c>
      <c r="I269" s="45">
        <f t="shared" si="20"/>
        <v>518.07132000000001</v>
      </c>
      <c r="J269" s="46">
        <v>795</v>
      </c>
      <c r="K269" s="46">
        <f t="shared" si="21"/>
        <v>310.29921000000002</v>
      </c>
    </row>
    <row r="270" spans="1:11">
      <c r="A270" s="39">
        <v>265</v>
      </c>
      <c r="B270" s="44" t="s">
        <v>90</v>
      </c>
      <c r="C270" s="44">
        <v>2205</v>
      </c>
      <c r="D270" s="44">
        <v>44.35</v>
      </c>
      <c r="E270" s="44">
        <v>3.78</v>
      </c>
      <c r="F270" s="45">
        <f t="shared" si="22"/>
        <v>477.38339999999999</v>
      </c>
      <c r="G270" s="45">
        <f t="shared" si="22"/>
        <v>40.687919999999998</v>
      </c>
      <c r="H270" s="45">
        <f t="shared" si="19"/>
        <v>48.13</v>
      </c>
      <c r="I270" s="45">
        <f t="shared" si="20"/>
        <v>518.07132000000001</v>
      </c>
      <c r="J270" s="46">
        <v>795</v>
      </c>
      <c r="K270" s="46">
        <f t="shared" si="21"/>
        <v>310.29921000000002</v>
      </c>
    </row>
    <row r="271" spans="1:11">
      <c r="A271" s="39">
        <v>266</v>
      </c>
      <c r="B271" s="44" t="s">
        <v>90</v>
      </c>
      <c r="C271" s="44">
        <v>2206</v>
      </c>
      <c r="D271" s="44">
        <v>44.09</v>
      </c>
      <c r="E271" s="44">
        <v>3.96</v>
      </c>
      <c r="F271" s="45">
        <f t="shared" si="22"/>
        <v>474.58476000000002</v>
      </c>
      <c r="G271" s="45">
        <f t="shared" si="22"/>
        <v>42.625439999999998</v>
      </c>
      <c r="H271" s="45">
        <f t="shared" si="19"/>
        <v>48.050000000000004</v>
      </c>
      <c r="I271" s="45">
        <f t="shared" si="20"/>
        <v>517.21019999999999</v>
      </c>
      <c r="J271" s="46">
        <v>795</v>
      </c>
      <c r="K271" s="46">
        <f t="shared" si="21"/>
        <v>308.48009400000001</v>
      </c>
    </row>
    <row r="272" spans="1:11">
      <c r="A272" s="39">
        <v>267</v>
      </c>
      <c r="B272" s="44" t="s">
        <v>90</v>
      </c>
      <c r="C272" s="44">
        <v>2207</v>
      </c>
      <c r="D272" s="45">
        <v>95.39</v>
      </c>
      <c r="E272" s="45">
        <v>3.81</v>
      </c>
      <c r="F272" s="45">
        <f t="shared" si="22"/>
        <v>1026.7779599999999</v>
      </c>
      <c r="G272" s="45">
        <f t="shared" si="22"/>
        <v>41.010839999999995</v>
      </c>
      <c r="H272" s="45">
        <f t="shared" si="19"/>
        <v>99.2</v>
      </c>
      <c r="I272" s="45">
        <f t="shared" si="20"/>
        <v>1067.7887999999998</v>
      </c>
      <c r="J272" s="46">
        <v>1690</v>
      </c>
      <c r="K272" s="46">
        <f t="shared" si="21"/>
        <v>667.40567399999998</v>
      </c>
    </row>
    <row r="273" spans="1:11">
      <c r="A273" s="39">
        <v>268</v>
      </c>
      <c r="B273" s="44" t="s">
        <v>90</v>
      </c>
      <c r="C273" s="44">
        <v>2208</v>
      </c>
      <c r="D273" s="44">
        <v>67.02</v>
      </c>
      <c r="E273" s="44">
        <v>3.94</v>
      </c>
      <c r="F273" s="45">
        <f t="shared" si="22"/>
        <v>721.40327999999988</v>
      </c>
      <c r="G273" s="45">
        <f t="shared" si="22"/>
        <v>42.410159999999998</v>
      </c>
      <c r="H273" s="45">
        <f t="shared" si="19"/>
        <v>70.959999999999994</v>
      </c>
      <c r="I273" s="45">
        <f t="shared" si="20"/>
        <v>763.8134399999999</v>
      </c>
      <c r="J273" s="46">
        <v>1210</v>
      </c>
      <c r="K273" s="46">
        <f t="shared" si="21"/>
        <v>468.91213199999993</v>
      </c>
    </row>
    <row r="274" spans="1:11">
      <c r="A274" s="39">
        <v>269</v>
      </c>
      <c r="B274" s="44" t="s">
        <v>90</v>
      </c>
      <c r="C274" s="44">
        <v>2209</v>
      </c>
      <c r="D274" s="45">
        <v>41.9</v>
      </c>
      <c r="E274" s="44">
        <v>3.57</v>
      </c>
      <c r="F274" s="45">
        <f t="shared" si="22"/>
        <v>451.01159999999993</v>
      </c>
      <c r="G274" s="45">
        <f t="shared" si="22"/>
        <v>38.427479999999996</v>
      </c>
      <c r="H274" s="45">
        <f t="shared" si="19"/>
        <v>45.47</v>
      </c>
      <c r="I274" s="45">
        <f t="shared" si="20"/>
        <v>489.43907999999993</v>
      </c>
      <c r="J274" s="46">
        <v>760</v>
      </c>
      <c r="K274" s="46">
        <f t="shared" si="21"/>
        <v>293.15753999999998</v>
      </c>
    </row>
    <row r="275" spans="1:11">
      <c r="A275" s="39">
        <v>270</v>
      </c>
      <c r="B275" s="44" t="s">
        <v>90</v>
      </c>
      <c r="C275" s="44">
        <v>2210</v>
      </c>
      <c r="D275" s="45">
        <v>41.3</v>
      </c>
      <c r="E275" s="45">
        <v>3.39</v>
      </c>
      <c r="F275" s="45">
        <f t="shared" si="22"/>
        <v>444.55319999999995</v>
      </c>
      <c r="G275" s="45">
        <f t="shared" si="22"/>
        <v>36.489959999999996</v>
      </c>
      <c r="H275" s="45">
        <f t="shared" si="19"/>
        <v>44.69</v>
      </c>
      <c r="I275" s="45">
        <f t="shared" si="20"/>
        <v>481.04315999999994</v>
      </c>
      <c r="J275" s="46">
        <v>750</v>
      </c>
      <c r="K275" s="46">
        <f t="shared" si="21"/>
        <v>288.95957999999996</v>
      </c>
    </row>
    <row r="276" spans="1:11">
      <c r="A276" s="39">
        <v>271</v>
      </c>
      <c r="B276" s="44" t="s">
        <v>90</v>
      </c>
      <c r="C276" s="44">
        <v>2211</v>
      </c>
      <c r="D276" s="45">
        <v>41.3</v>
      </c>
      <c r="E276" s="45">
        <v>3.39</v>
      </c>
      <c r="F276" s="45">
        <f t="shared" si="22"/>
        <v>444.55319999999995</v>
      </c>
      <c r="G276" s="45">
        <f t="shared" si="22"/>
        <v>36.489959999999996</v>
      </c>
      <c r="H276" s="45">
        <f t="shared" si="19"/>
        <v>44.69</v>
      </c>
      <c r="I276" s="45">
        <f t="shared" si="20"/>
        <v>481.04315999999994</v>
      </c>
      <c r="J276" s="46">
        <v>750</v>
      </c>
      <c r="K276" s="46">
        <f t="shared" si="21"/>
        <v>288.95957999999996</v>
      </c>
    </row>
    <row r="277" spans="1:11">
      <c r="A277" s="39">
        <v>272</v>
      </c>
      <c r="B277" s="44" t="s">
        <v>90</v>
      </c>
      <c r="C277" s="44">
        <v>2212</v>
      </c>
      <c r="D277" s="45">
        <v>41.9</v>
      </c>
      <c r="E277" s="44">
        <v>3.57</v>
      </c>
      <c r="F277" s="45">
        <f t="shared" si="22"/>
        <v>451.01159999999993</v>
      </c>
      <c r="G277" s="45">
        <f t="shared" si="22"/>
        <v>38.427479999999996</v>
      </c>
      <c r="H277" s="45">
        <f t="shared" si="19"/>
        <v>45.47</v>
      </c>
      <c r="I277" s="45">
        <f t="shared" si="20"/>
        <v>489.43907999999993</v>
      </c>
      <c r="J277" s="46">
        <v>760</v>
      </c>
      <c r="K277" s="46">
        <f t="shared" si="21"/>
        <v>293.15753999999998</v>
      </c>
    </row>
    <row r="278" spans="1:11">
      <c r="A278" s="39">
        <v>273</v>
      </c>
      <c r="B278" s="44" t="s">
        <v>90</v>
      </c>
      <c r="C278" s="44">
        <v>2301</v>
      </c>
      <c r="D278" s="44">
        <v>67.02</v>
      </c>
      <c r="E278" s="44">
        <v>3.94</v>
      </c>
      <c r="F278" s="45">
        <f t="shared" si="22"/>
        <v>721.40327999999988</v>
      </c>
      <c r="G278" s="45">
        <f t="shared" si="22"/>
        <v>42.410159999999998</v>
      </c>
      <c r="H278" s="45">
        <f t="shared" si="19"/>
        <v>70.959999999999994</v>
      </c>
      <c r="I278" s="45">
        <f t="shared" si="20"/>
        <v>763.8134399999999</v>
      </c>
      <c r="J278" s="46">
        <v>1210</v>
      </c>
      <c r="K278" s="46">
        <f t="shared" si="21"/>
        <v>468.91213199999993</v>
      </c>
    </row>
    <row r="279" spans="1:11">
      <c r="A279" s="39">
        <v>274</v>
      </c>
      <c r="B279" s="44" t="s">
        <v>90</v>
      </c>
      <c r="C279" s="44">
        <v>2302</v>
      </c>
      <c r="D279" s="44">
        <v>95.39</v>
      </c>
      <c r="E279" s="44">
        <v>3.81</v>
      </c>
      <c r="F279" s="45">
        <f t="shared" si="22"/>
        <v>1026.7779599999999</v>
      </c>
      <c r="G279" s="45">
        <f t="shared" si="22"/>
        <v>41.010839999999995</v>
      </c>
      <c r="H279" s="45">
        <f t="shared" si="19"/>
        <v>99.2</v>
      </c>
      <c r="I279" s="45">
        <f t="shared" si="20"/>
        <v>1067.7887999999998</v>
      </c>
      <c r="J279" s="46">
        <v>1690</v>
      </c>
      <c r="K279" s="46">
        <f t="shared" si="21"/>
        <v>667.40567399999998</v>
      </c>
    </row>
    <row r="280" spans="1:11">
      <c r="A280" s="39">
        <v>275</v>
      </c>
      <c r="B280" s="44" t="s">
        <v>90</v>
      </c>
      <c r="C280" s="44">
        <v>2303</v>
      </c>
      <c r="D280" s="44">
        <v>44.09</v>
      </c>
      <c r="E280" s="44">
        <v>3.96</v>
      </c>
      <c r="F280" s="45">
        <f t="shared" si="22"/>
        <v>474.58476000000002</v>
      </c>
      <c r="G280" s="45">
        <f t="shared" si="22"/>
        <v>42.625439999999998</v>
      </c>
      <c r="H280" s="45">
        <f t="shared" si="19"/>
        <v>48.050000000000004</v>
      </c>
      <c r="I280" s="45">
        <f t="shared" si="20"/>
        <v>517.21019999999999</v>
      </c>
      <c r="J280" s="46">
        <v>795</v>
      </c>
      <c r="K280" s="46">
        <f t="shared" si="21"/>
        <v>308.48009400000001</v>
      </c>
    </row>
    <row r="281" spans="1:11">
      <c r="A281" s="39">
        <v>276</v>
      </c>
      <c r="B281" s="44" t="s">
        <v>90</v>
      </c>
      <c r="C281" s="44">
        <v>2304</v>
      </c>
      <c r="D281" s="44">
        <v>44.35</v>
      </c>
      <c r="E281" s="44">
        <v>3.78</v>
      </c>
      <c r="F281" s="45">
        <f t="shared" si="22"/>
        <v>477.38339999999999</v>
      </c>
      <c r="G281" s="45">
        <f t="shared" si="22"/>
        <v>40.687919999999998</v>
      </c>
      <c r="H281" s="45">
        <f t="shared" ref="H281:H344" si="23">D281+E281</f>
        <v>48.13</v>
      </c>
      <c r="I281" s="45">
        <f t="shared" ref="I281:I344" si="24">F281+G281</f>
        <v>518.07132000000001</v>
      </c>
      <c r="J281" s="46">
        <v>795</v>
      </c>
      <c r="K281" s="46">
        <f t="shared" ref="K281:K344" si="25">F281*65%</f>
        <v>310.29921000000002</v>
      </c>
    </row>
    <row r="282" spans="1:11">
      <c r="A282" s="39">
        <v>277</v>
      </c>
      <c r="B282" s="44" t="s">
        <v>90</v>
      </c>
      <c r="C282" s="44">
        <v>2305</v>
      </c>
      <c r="D282" s="44">
        <v>44.35</v>
      </c>
      <c r="E282" s="44">
        <v>3.78</v>
      </c>
      <c r="F282" s="45">
        <f t="shared" ref="F282:G345" si="26">D282*10.764</f>
        <v>477.38339999999999</v>
      </c>
      <c r="G282" s="45">
        <f t="shared" si="26"/>
        <v>40.687919999999998</v>
      </c>
      <c r="H282" s="45">
        <f t="shared" si="23"/>
        <v>48.13</v>
      </c>
      <c r="I282" s="45">
        <f t="shared" si="24"/>
        <v>518.07132000000001</v>
      </c>
      <c r="J282" s="46">
        <v>795</v>
      </c>
      <c r="K282" s="46">
        <f t="shared" si="25"/>
        <v>310.29921000000002</v>
      </c>
    </row>
    <row r="283" spans="1:11">
      <c r="A283" s="39">
        <v>278</v>
      </c>
      <c r="B283" s="44" t="s">
        <v>90</v>
      </c>
      <c r="C283" s="44">
        <v>2306</v>
      </c>
      <c r="D283" s="44">
        <v>44.09</v>
      </c>
      <c r="E283" s="44">
        <v>3.96</v>
      </c>
      <c r="F283" s="45">
        <f t="shared" si="26"/>
        <v>474.58476000000002</v>
      </c>
      <c r="G283" s="45">
        <f t="shared" si="26"/>
        <v>42.625439999999998</v>
      </c>
      <c r="H283" s="45">
        <f t="shared" si="23"/>
        <v>48.050000000000004</v>
      </c>
      <c r="I283" s="45">
        <f t="shared" si="24"/>
        <v>517.21019999999999</v>
      </c>
      <c r="J283" s="46">
        <v>795</v>
      </c>
      <c r="K283" s="46">
        <f t="shared" si="25"/>
        <v>308.48009400000001</v>
      </c>
    </row>
    <row r="284" spans="1:11">
      <c r="A284" s="39">
        <v>279</v>
      </c>
      <c r="B284" s="44" t="s">
        <v>90</v>
      </c>
      <c r="C284" s="44">
        <v>2307</v>
      </c>
      <c r="D284" s="45">
        <v>95.39</v>
      </c>
      <c r="E284" s="45">
        <v>3.81</v>
      </c>
      <c r="F284" s="45">
        <f t="shared" si="26"/>
        <v>1026.7779599999999</v>
      </c>
      <c r="G284" s="45">
        <f t="shared" si="26"/>
        <v>41.010839999999995</v>
      </c>
      <c r="H284" s="45">
        <f t="shared" si="23"/>
        <v>99.2</v>
      </c>
      <c r="I284" s="45">
        <f t="shared" si="24"/>
        <v>1067.7887999999998</v>
      </c>
      <c r="J284" s="46">
        <v>1690</v>
      </c>
      <c r="K284" s="46">
        <f t="shared" si="25"/>
        <v>667.40567399999998</v>
      </c>
    </row>
    <row r="285" spans="1:11">
      <c r="A285" s="39">
        <v>280</v>
      </c>
      <c r="B285" s="44" t="s">
        <v>90</v>
      </c>
      <c r="C285" s="44">
        <v>2308</v>
      </c>
      <c r="D285" s="44">
        <v>67.02</v>
      </c>
      <c r="E285" s="44">
        <v>3.94</v>
      </c>
      <c r="F285" s="45">
        <f t="shared" si="26"/>
        <v>721.40327999999988</v>
      </c>
      <c r="G285" s="45">
        <f t="shared" si="26"/>
        <v>42.410159999999998</v>
      </c>
      <c r="H285" s="45">
        <f t="shared" si="23"/>
        <v>70.959999999999994</v>
      </c>
      <c r="I285" s="45">
        <f t="shared" si="24"/>
        <v>763.8134399999999</v>
      </c>
      <c r="J285" s="46">
        <v>1210</v>
      </c>
      <c r="K285" s="46">
        <f t="shared" si="25"/>
        <v>468.91213199999993</v>
      </c>
    </row>
    <row r="286" spans="1:11">
      <c r="A286" s="39">
        <v>281</v>
      </c>
      <c r="B286" s="44" t="s">
        <v>90</v>
      </c>
      <c r="C286" s="44">
        <v>2309</v>
      </c>
      <c r="D286" s="45">
        <v>41.9</v>
      </c>
      <c r="E286" s="44">
        <v>3.57</v>
      </c>
      <c r="F286" s="45">
        <f t="shared" si="26"/>
        <v>451.01159999999993</v>
      </c>
      <c r="G286" s="45">
        <f t="shared" si="26"/>
        <v>38.427479999999996</v>
      </c>
      <c r="H286" s="45">
        <f t="shared" si="23"/>
        <v>45.47</v>
      </c>
      <c r="I286" s="45">
        <f t="shared" si="24"/>
        <v>489.43907999999993</v>
      </c>
      <c r="J286" s="46">
        <v>760</v>
      </c>
      <c r="K286" s="46">
        <f t="shared" si="25"/>
        <v>293.15753999999998</v>
      </c>
    </row>
    <row r="287" spans="1:11">
      <c r="A287" s="39">
        <v>282</v>
      </c>
      <c r="B287" s="44" t="s">
        <v>90</v>
      </c>
      <c r="C287" s="44">
        <v>2310</v>
      </c>
      <c r="D287" s="45">
        <v>41.3</v>
      </c>
      <c r="E287" s="45">
        <v>3.39</v>
      </c>
      <c r="F287" s="45">
        <f t="shared" si="26"/>
        <v>444.55319999999995</v>
      </c>
      <c r="G287" s="45">
        <f t="shared" si="26"/>
        <v>36.489959999999996</v>
      </c>
      <c r="H287" s="45">
        <f t="shared" si="23"/>
        <v>44.69</v>
      </c>
      <c r="I287" s="45">
        <f t="shared" si="24"/>
        <v>481.04315999999994</v>
      </c>
      <c r="J287" s="46">
        <v>750</v>
      </c>
      <c r="K287" s="46">
        <f t="shared" si="25"/>
        <v>288.95957999999996</v>
      </c>
    </row>
    <row r="288" spans="1:11">
      <c r="A288" s="39">
        <v>283</v>
      </c>
      <c r="B288" s="44" t="s">
        <v>90</v>
      </c>
      <c r="C288" s="44">
        <v>2311</v>
      </c>
      <c r="D288" s="45">
        <v>41.3</v>
      </c>
      <c r="E288" s="45">
        <v>3.39</v>
      </c>
      <c r="F288" s="45">
        <f t="shared" si="26"/>
        <v>444.55319999999995</v>
      </c>
      <c r="G288" s="45">
        <f t="shared" si="26"/>
        <v>36.489959999999996</v>
      </c>
      <c r="H288" s="45">
        <f t="shared" si="23"/>
        <v>44.69</v>
      </c>
      <c r="I288" s="45">
        <f t="shared" si="24"/>
        <v>481.04315999999994</v>
      </c>
      <c r="J288" s="46">
        <v>750</v>
      </c>
      <c r="K288" s="46">
        <f t="shared" si="25"/>
        <v>288.95957999999996</v>
      </c>
    </row>
    <row r="289" spans="1:11">
      <c r="A289" s="39">
        <v>284</v>
      </c>
      <c r="B289" s="44" t="s">
        <v>90</v>
      </c>
      <c r="C289" s="44">
        <v>2312</v>
      </c>
      <c r="D289" s="45">
        <v>41.9</v>
      </c>
      <c r="E289" s="44">
        <v>3.57</v>
      </c>
      <c r="F289" s="45">
        <f t="shared" si="26"/>
        <v>451.01159999999993</v>
      </c>
      <c r="G289" s="45">
        <f t="shared" si="26"/>
        <v>38.427479999999996</v>
      </c>
      <c r="H289" s="45">
        <f t="shared" si="23"/>
        <v>45.47</v>
      </c>
      <c r="I289" s="45">
        <f t="shared" si="24"/>
        <v>489.43907999999993</v>
      </c>
      <c r="J289" s="46">
        <v>760</v>
      </c>
      <c r="K289" s="46">
        <f t="shared" si="25"/>
        <v>293.15753999999998</v>
      </c>
    </row>
    <row r="290" spans="1:11">
      <c r="A290" s="39">
        <v>285</v>
      </c>
      <c r="B290" s="44" t="s">
        <v>90</v>
      </c>
      <c r="C290" s="44">
        <v>2401</v>
      </c>
      <c r="D290" s="44">
        <v>67.02</v>
      </c>
      <c r="E290" s="44">
        <v>3.94</v>
      </c>
      <c r="F290" s="45">
        <f t="shared" si="26"/>
        <v>721.40327999999988</v>
      </c>
      <c r="G290" s="45">
        <f t="shared" si="26"/>
        <v>42.410159999999998</v>
      </c>
      <c r="H290" s="45">
        <f t="shared" si="23"/>
        <v>70.959999999999994</v>
      </c>
      <c r="I290" s="45">
        <f t="shared" si="24"/>
        <v>763.8134399999999</v>
      </c>
      <c r="J290" s="46">
        <v>1210</v>
      </c>
      <c r="K290" s="46">
        <f t="shared" si="25"/>
        <v>468.91213199999993</v>
      </c>
    </row>
    <row r="291" spans="1:11">
      <c r="A291" s="39">
        <v>286</v>
      </c>
      <c r="B291" s="44" t="s">
        <v>90</v>
      </c>
      <c r="C291" s="44">
        <v>2402</v>
      </c>
      <c r="D291" s="44">
        <v>95.39</v>
      </c>
      <c r="E291" s="44">
        <v>3.81</v>
      </c>
      <c r="F291" s="45">
        <f t="shared" si="26"/>
        <v>1026.7779599999999</v>
      </c>
      <c r="G291" s="45">
        <f t="shared" si="26"/>
        <v>41.010839999999995</v>
      </c>
      <c r="H291" s="45">
        <f t="shared" si="23"/>
        <v>99.2</v>
      </c>
      <c r="I291" s="45">
        <f t="shared" si="24"/>
        <v>1067.7887999999998</v>
      </c>
      <c r="J291" s="46">
        <v>1690</v>
      </c>
      <c r="K291" s="46">
        <f t="shared" si="25"/>
        <v>667.40567399999998</v>
      </c>
    </row>
    <row r="292" spans="1:11">
      <c r="A292" s="39">
        <v>287</v>
      </c>
      <c r="B292" s="44" t="s">
        <v>90</v>
      </c>
      <c r="C292" s="44">
        <v>2403</v>
      </c>
      <c r="D292" s="44">
        <v>44.09</v>
      </c>
      <c r="E292" s="44">
        <v>3.96</v>
      </c>
      <c r="F292" s="45">
        <f t="shared" si="26"/>
        <v>474.58476000000002</v>
      </c>
      <c r="G292" s="45">
        <f t="shared" si="26"/>
        <v>42.625439999999998</v>
      </c>
      <c r="H292" s="45">
        <f t="shared" si="23"/>
        <v>48.050000000000004</v>
      </c>
      <c r="I292" s="45">
        <f t="shared" si="24"/>
        <v>517.21019999999999</v>
      </c>
      <c r="J292" s="46">
        <v>795</v>
      </c>
      <c r="K292" s="46">
        <f t="shared" si="25"/>
        <v>308.48009400000001</v>
      </c>
    </row>
    <row r="293" spans="1:11">
      <c r="A293" s="39">
        <v>288</v>
      </c>
      <c r="B293" s="44" t="s">
        <v>90</v>
      </c>
      <c r="C293" s="44">
        <v>2404</v>
      </c>
      <c r="D293" s="44">
        <v>44.35</v>
      </c>
      <c r="E293" s="44">
        <v>3.78</v>
      </c>
      <c r="F293" s="45">
        <f t="shared" si="26"/>
        <v>477.38339999999999</v>
      </c>
      <c r="G293" s="45">
        <f t="shared" si="26"/>
        <v>40.687919999999998</v>
      </c>
      <c r="H293" s="45">
        <f t="shared" si="23"/>
        <v>48.13</v>
      </c>
      <c r="I293" s="45">
        <f t="shared" si="24"/>
        <v>518.07132000000001</v>
      </c>
      <c r="J293" s="46">
        <v>795</v>
      </c>
      <c r="K293" s="46">
        <f t="shared" si="25"/>
        <v>310.29921000000002</v>
      </c>
    </row>
    <row r="294" spans="1:11">
      <c r="A294" s="39">
        <v>289</v>
      </c>
      <c r="B294" s="44" t="s">
        <v>90</v>
      </c>
      <c r="C294" s="44">
        <v>2405</v>
      </c>
      <c r="D294" s="44">
        <v>44.35</v>
      </c>
      <c r="E294" s="44">
        <v>3.78</v>
      </c>
      <c r="F294" s="45">
        <f t="shared" si="26"/>
        <v>477.38339999999999</v>
      </c>
      <c r="G294" s="45">
        <f t="shared" si="26"/>
        <v>40.687919999999998</v>
      </c>
      <c r="H294" s="45">
        <f t="shared" si="23"/>
        <v>48.13</v>
      </c>
      <c r="I294" s="45">
        <f t="shared" si="24"/>
        <v>518.07132000000001</v>
      </c>
      <c r="J294" s="46">
        <v>795</v>
      </c>
      <c r="K294" s="46">
        <f t="shared" si="25"/>
        <v>310.29921000000002</v>
      </c>
    </row>
    <row r="295" spans="1:11">
      <c r="A295" s="39">
        <v>290</v>
      </c>
      <c r="B295" s="44" t="s">
        <v>90</v>
      </c>
      <c r="C295" s="44">
        <v>2406</v>
      </c>
      <c r="D295" s="44">
        <v>44.09</v>
      </c>
      <c r="E295" s="44">
        <v>3.96</v>
      </c>
      <c r="F295" s="45">
        <f t="shared" si="26"/>
        <v>474.58476000000002</v>
      </c>
      <c r="G295" s="45">
        <f t="shared" si="26"/>
        <v>42.625439999999998</v>
      </c>
      <c r="H295" s="45">
        <f t="shared" si="23"/>
        <v>48.050000000000004</v>
      </c>
      <c r="I295" s="45">
        <f t="shared" si="24"/>
        <v>517.21019999999999</v>
      </c>
      <c r="J295" s="46">
        <v>795</v>
      </c>
      <c r="K295" s="46">
        <f t="shared" si="25"/>
        <v>308.48009400000001</v>
      </c>
    </row>
    <row r="296" spans="1:11">
      <c r="A296" s="39">
        <v>291</v>
      </c>
      <c r="B296" s="44" t="s">
        <v>90</v>
      </c>
      <c r="C296" s="44">
        <v>2407</v>
      </c>
      <c r="D296" s="45">
        <v>95.39</v>
      </c>
      <c r="E296" s="45">
        <v>3.81</v>
      </c>
      <c r="F296" s="45">
        <f t="shared" si="26"/>
        <v>1026.7779599999999</v>
      </c>
      <c r="G296" s="45">
        <f t="shared" si="26"/>
        <v>41.010839999999995</v>
      </c>
      <c r="H296" s="45">
        <f t="shared" si="23"/>
        <v>99.2</v>
      </c>
      <c r="I296" s="45">
        <f t="shared" si="24"/>
        <v>1067.7887999999998</v>
      </c>
      <c r="J296" s="46">
        <v>1690</v>
      </c>
      <c r="K296" s="46">
        <f t="shared" si="25"/>
        <v>667.40567399999998</v>
      </c>
    </row>
    <row r="297" spans="1:11">
      <c r="A297" s="39">
        <v>292</v>
      </c>
      <c r="B297" s="44" t="s">
        <v>90</v>
      </c>
      <c r="C297" s="44">
        <v>2408</v>
      </c>
      <c r="D297" s="44">
        <v>67.02</v>
      </c>
      <c r="E297" s="44">
        <v>3.94</v>
      </c>
      <c r="F297" s="45">
        <f t="shared" si="26"/>
        <v>721.40327999999988</v>
      </c>
      <c r="G297" s="45">
        <f t="shared" si="26"/>
        <v>42.410159999999998</v>
      </c>
      <c r="H297" s="45">
        <f t="shared" si="23"/>
        <v>70.959999999999994</v>
      </c>
      <c r="I297" s="45">
        <f t="shared" si="24"/>
        <v>763.8134399999999</v>
      </c>
      <c r="J297" s="46">
        <v>1210</v>
      </c>
      <c r="K297" s="46">
        <f t="shared" si="25"/>
        <v>468.91213199999993</v>
      </c>
    </row>
    <row r="298" spans="1:11">
      <c r="A298" s="39">
        <v>293</v>
      </c>
      <c r="B298" s="44" t="s">
        <v>90</v>
      </c>
      <c r="C298" s="44">
        <v>2409</v>
      </c>
      <c r="D298" s="45">
        <v>41.9</v>
      </c>
      <c r="E298" s="44">
        <v>3.57</v>
      </c>
      <c r="F298" s="45">
        <f t="shared" si="26"/>
        <v>451.01159999999993</v>
      </c>
      <c r="G298" s="45">
        <f t="shared" si="26"/>
        <v>38.427479999999996</v>
      </c>
      <c r="H298" s="45">
        <f t="shared" si="23"/>
        <v>45.47</v>
      </c>
      <c r="I298" s="45">
        <f t="shared" si="24"/>
        <v>489.43907999999993</v>
      </c>
      <c r="J298" s="46">
        <v>760</v>
      </c>
      <c r="K298" s="46">
        <f t="shared" si="25"/>
        <v>293.15753999999998</v>
      </c>
    </row>
    <row r="299" spans="1:11">
      <c r="A299" s="39">
        <v>294</v>
      </c>
      <c r="B299" s="44" t="s">
        <v>90</v>
      </c>
      <c r="C299" s="44">
        <v>2410</v>
      </c>
      <c r="D299" s="45">
        <v>41.3</v>
      </c>
      <c r="E299" s="45">
        <v>3.39</v>
      </c>
      <c r="F299" s="45">
        <f t="shared" si="26"/>
        <v>444.55319999999995</v>
      </c>
      <c r="G299" s="45">
        <f t="shared" si="26"/>
        <v>36.489959999999996</v>
      </c>
      <c r="H299" s="45">
        <f t="shared" si="23"/>
        <v>44.69</v>
      </c>
      <c r="I299" s="45">
        <f t="shared" si="24"/>
        <v>481.04315999999994</v>
      </c>
      <c r="J299" s="46">
        <v>750</v>
      </c>
      <c r="K299" s="46">
        <f t="shared" si="25"/>
        <v>288.95957999999996</v>
      </c>
    </row>
    <row r="300" spans="1:11">
      <c r="A300" s="39">
        <v>295</v>
      </c>
      <c r="B300" s="44" t="s">
        <v>90</v>
      </c>
      <c r="C300" s="44">
        <v>2411</v>
      </c>
      <c r="D300" s="45">
        <v>41.3</v>
      </c>
      <c r="E300" s="45">
        <v>3.39</v>
      </c>
      <c r="F300" s="45">
        <f t="shared" si="26"/>
        <v>444.55319999999995</v>
      </c>
      <c r="G300" s="45">
        <f t="shared" si="26"/>
        <v>36.489959999999996</v>
      </c>
      <c r="H300" s="45">
        <f t="shared" si="23"/>
        <v>44.69</v>
      </c>
      <c r="I300" s="45">
        <f t="shared" si="24"/>
        <v>481.04315999999994</v>
      </c>
      <c r="J300" s="46">
        <v>750</v>
      </c>
      <c r="K300" s="46">
        <f t="shared" si="25"/>
        <v>288.95957999999996</v>
      </c>
    </row>
    <row r="301" spans="1:11">
      <c r="A301" s="39">
        <v>296</v>
      </c>
      <c r="B301" s="44" t="s">
        <v>90</v>
      </c>
      <c r="C301" s="44">
        <v>2412</v>
      </c>
      <c r="D301" s="45">
        <v>41.9</v>
      </c>
      <c r="E301" s="44">
        <v>3.57</v>
      </c>
      <c r="F301" s="45">
        <f t="shared" si="26"/>
        <v>451.01159999999993</v>
      </c>
      <c r="G301" s="45">
        <f t="shared" si="26"/>
        <v>38.427479999999996</v>
      </c>
      <c r="H301" s="45">
        <f t="shared" si="23"/>
        <v>45.47</v>
      </c>
      <c r="I301" s="45">
        <f t="shared" si="24"/>
        <v>489.43907999999993</v>
      </c>
      <c r="J301" s="46">
        <v>760</v>
      </c>
      <c r="K301" s="46">
        <f t="shared" si="25"/>
        <v>293.15753999999998</v>
      </c>
    </row>
    <row r="302" spans="1:11">
      <c r="A302" s="39">
        <v>297</v>
      </c>
      <c r="B302" s="44" t="s">
        <v>90</v>
      </c>
      <c r="C302" s="44">
        <v>2501</v>
      </c>
      <c r="D302" s="44">
        <v>67.02</v>
      </c>
      <c r="E302" s="44">
        <v>3.94</v>
      </c>
      <c r="F302" s="45">
        <f t="shared" si="26"/>
        <v>721.40327999999988</v>
      </c>
      <c r="G302" s="45">
        <f t="shared" si="26"/>
        <v>42.410159999999998</v>
      </c>
      <c r="H302" s="45">
        <f t="shared" si="23"/>
        <v>70.959999999999994</v>
      </c>
      <c r="I302" s="45">
        <f t="shared" si="24"/>
        <v>763.8134399999999</v>
      </c>
      <c r="J302" s="46">
        <v>1210</v>
      </c>
      <c r="K302" s="46">
        <f t="shared" si="25"/>
        <v>468.91213199999993</v>
      </c>
    </row>
    <row r="303" spans="1:11">
      <c r="A303" s="39">
        <v>298</v>
      </c>
      <c r="B303" s="44" t="s">
        <v>90</v>
      </c>
      <c r="C303" s="44">
        <v>2502</v>
      </c>
      <c r="D303" s="44">
        <v>95.39</v>
      </c>
      <c r="E303" s="44">
        <v>3.81</v>
      </c>
      <c r="F303" s="45">
        <f t="shared" si="26"/>
        <v>1026.7779599999999</v>
      </c>
      <c r="G303" s="45">
        <f t="shared" si="26"/>
        <v>41.010839999999995</v>
      </c>
      <c r="H303" s="45">
        <f t="shared" si="23"/>
        <v>99.2</v>
      </c>
      <c r="I303" s="45">
        <f t="shared" si="24"/>
        <v>1067.7887999999998</v>
      </c>
      <c r="J303" s="46">
        <v>1690</v>
      </c>
      <c r="K303" s="46">
        <f t="shared" si="25"/>
        <v>667.40567399999998</v>
      </c>
    </row>
    <row r="304" spans="1:11">
      <c r="A304" s="39">
        <v>299</v>
      </c>
      <c r="B304" s="44" t="s">
        <v>90</v>
      </c>
      <c r="C304" s="44">
        <v>2503</v>
      </c>
      <c r="D304" s="44">
        <v>44.09</v>
      </c>
      <c r="E304" s="44">
        <v>3.96</v>
      </c>
      <c r="F304" s="45">
        <f t="shared" si="26"/>
        <v>474.58476000000002</v>
      </c>
      <c r="G304" s="45">
        <f t="shared" si="26"/>
        <v>42.625439999999998</v>
      </c>
      <c r="H304" s="45">
        <f t="shared" si="23"/>
        <v>48.050000000000004</v>
      </c>
      <c r="I304" s="45">
        <f t="shared" si="24"/>
        <v>517.21019999999999</v>
      </c>
      <c r="J304" s="46">
        <v>795</v>
      </c>
      <c r="K304" s="46">
        <f t="shared" si="25"/>
        <v>308.48009400000001</v>
      </c>
    </row>
    <row r="305" spans="1:11">
      <c r="A305" s="39">
        <v>300</v>
      </c>
      <c r="B305" s="44" t="s">
        <v>90</v>
      </c>
      <c r="C305" s="44">
        <v>2504</v>
      </c>
      <c r="D305" s="44">
        <v>44.35</v>
      </c>
      <c r="E305" s="44">
        <v>3.78</v>
      </c>
      <c r="F305" s="45">
        <f t="shared" si="26"/>
        <v>477.38339999999999</v>
      </c>
      <c r="G305" s="45">
        <f t="shared" si="26"/>
        <v>40.687919999999998</v>
      </c>
      <c r="H305" s="45">
        <f t="shared" si="23"/>
        <v>48.13</v>
      </c>
      <c r="I305" s="45">
        <f t="shared" si="24"/>
        <v>518.07132000000001</v>
      </c>
      <c r="J305" s="46">
        <v>795</v>
      </c>
      <c r="K305" s="46">
        <f t="shared" si="25"/>
        <v>310.29921000000002</v>
      </c>
    </row>
    <row r="306" spans="1:11">
      <c r="A306" s="39">
        <v>301</v>
      </c>
      <c r="B306" s="44" t="s">
        <v>90</v>
      </c>
      <c r="C306" s="44">
        <v>2505</v>
      </c>
      <c r="D306" s="44">
        <v>44.35</v>
      </c>
      <c r="E306" s="44">
        <v>3.78</v>
      </c>
      <c r="F306" s="45">
        <f t="shared" si="26"/>
        <v>477.38339999999999</v>
      </c>
      <c r="G306" s="45">
        <f t="shared" si="26"/>
        <v>40.687919999999998</v>
      </c>
      <c r="H306" s="45">
        <f t="shared" si="23"/>
        <v>48.13</v>
      </c>
      <c r="I306" s="45">
        <f t="shared" si="24"/>
        <v>518.07132000000001</v>
      </c>
      <c r="J306" s="46">
        <v>795</v>
      </c>
      <c r="K306" s="46">
        <f t="shared" si="25"/>
        <v>310.29921000000002</v>
      </c>
    </row>
    <row r="307" spans="1:11">
      <c r="A307" s="39">
        <v>302</v>
      </c>
      <c r="B307" s="44" t="s">
        <v>90</v>
      </c>
      <c r="C307" s="44">
        <v>2506</v>
      </c>
      <c r="D307" s="44">
        <v>44.09</v>
      </c>
      <c r="E307" s="44">
        <v>3.96</v>
      </c>
      <c r="F307" s="45">
        <f t="shared" si="26"/>
        <v>474.58476000000002</v>
      </c>
      <c r="G307" s="45">
        <f t="shared" si="26"/>
        <v>42.625439999999998</v>
      </c>
      <c r="H307" s="45">
        <f t="shared" si="23"/>
        <v>48.050000000000004</v>
      </c>
      <c r="I307" s="45">
        <f t="shared" si="24"/>
        <v>517.21019999999999</v>
      </c>
      <c r="J307" s="46">
        <v>795</v>
      </c>
      <c r="K307" s="46">
        <f t="shared" si="25"/>
        <v>308.48009400000001</v>
      </c>
    </row>
    <row r="308" spans="1:11">
      <c r="A308" s="39">
        <v>303</v>
      </c>
      <c r="B308" s="44" t="s">
        <v>90</v>
      </c>
      <c r="C308" s="44">
        <v>2507</v>
      </c>
      <c r="D308" s="45">
        <v>95.39</v>
      </c>
      <c r="E308" s="45">
        <v>3.81</v>
      </c>
      <c r="F308" s="45">
        <f t="shared" si="26"/>
        <v>1026.7779599999999</v>
      </c>
      <c r="G308" s="45">
        <f t="shared" si="26"/>
        <v>41.010839999999995</v>
      </c>
      <c r="H308" s="45">
        <f t="shared" si="23"/>
        <v>99.2</v>
      </c>
      <c r="I308" s="45">
        <f t="shared" si="24"/>
        <v>1067.7887999999998</v>
      </c>
      <c r="J308" s="46">
        <v>1690</v>
      </c>
      <c r="K308" s="46">
        <f t="shared" si="25"/>
        <v>667.40567399999998</v>
      </c>
    </row>
    <row r="309" spans="1:11">
      <c r="A309" s="39">
        <v>304</v>
      </c>
      <c r="B309" s="44" t="s">
        <v>90</v>
      </c>
      <c r="C309" s="44">
        <v>2508</v>
      </c>
      <c r="D309" s="44">
        <v>67.02</v>
      </c>
      <c r="E309" s="44">
        <v>3.94</v>
      </c>
      <c r="F309" s="45">
        <f t="shared" si="26"/>
        <v>721.40327999999988</v>
      </c>
      <c r="G309" s="45">
        <f t="shared" si="26"/>
        <v>42.410159999999998</v>
      </c>
      <c r="H309" s="45">
        <f t="shared" si="23"/>
        <v>70.959999999999994</v>
      </c>
      <c r="I309" s="45">
        <f t="shared" si="24"/>
        <v>763.8134399999999</v>
      </c>
      <c r="J309" s="46">
        <v>1210</v>
      </c>
      <c r="K309" s="46">
        <f t="shared" si="25"/>
        <v>468.91213199999993</v>
      </c>
    </row>
    <row r="310" spans="1:11">
      <c r="A310" s="39">
        <v>305</v>
      </c>
      <c r="B310" s="44" t="s">
        <v>90</v>
      </c>
      <c r="C310" s="44">
        <v>2509</v>
      </c>
      <c r="D310" s="45">
        <v>41.9</v>
      </c>
      <c r="E310" s="44">
        <v>3.57</v>
      </c>
      <c r="F310" s="45">
        <f t="shared" si="26"/>
        <v>451.01159999999993</v>
      </c>
      <c r="G310" s="45">
        <f t="shared" si="26"/>
        <v>38.427479999999996</v>
      </c>
      <c r="H310" s="45">
        <f t="shared" si="23"/>
        <v>45.47</v>
      </c>
      <c r="I310" s="45">
        <f t="shared" si="24"/>
        <v>489.43907999999993</v>
      </c>
      <c r="J310" s="46">
        <v>760</v>
      </c>
      <c r="K310" s="46">
        <f t="shared" si="25"/>
        <v>293.15753999999998</v>
      </c>
    </row>
    <row r="311" spans="1:11">
      <c r="A311" s="39">
        <v>306</v>
      </c>
      <c r="B311" s="44" t="s">
        <v>90</v>
      </c>
      <c r="C311" s="44">
        <v>2510</v>
      </c>
      <c r="D311" s="45">
        <v>41.3</v>
      </c>
      <c r="E311" s="45">
        <v>3.39</v>
      </c>
      <c r="F311" s="45">
        <f t="shared" si="26"/>
        <v>444.55319999999995</v>
      </c>
      <c r="G311" s="45">
        <f t="shared" si="26"/>
        <v>36.489959999999996</v>
      </c>
      <c r="H311" s="45">
        <f t="shared" si="23"/>
        <v>44.69</v>
      </c>
      <c r="I311" s="45">
        <f t="shared" si="24"/>
        <v>481.04315999999994</v>
      </c>
      <c r="J311" s="46">
        <v>750</v>
      </c>
      <c r="K311" s="46">
        <f t="shared" si="25"/>
        <v>288.95957999999996</v>
      </c>
    </row>
    <row r="312" spans="1:11">
      <c r="A312" s="39">
        <v>307</v>
      </c>
      <c r="B312" s="44" t="s">
        <v>90</v>
      </c>
      <c r="C312" s="44">
        <v>2511</v>
      </c>
      <c r="D312" s="45">
        <v>41.3</v>
      </c>
      <c r="E312" s="45">
        <v>3.39</v>
      </c>
      <c r="F312" s="45">
        <f t="shared" si="26"/>
        <v>444.55319999999995</v>
      </c>
      <c r="G312" s="45">
        <f t="shared" si="26"/>
        <v>36.489959999999996</v>
      </c>
      <c r="H312" s="45">
        <f t="shared" si="23"/>
        <v>44.69</v>
      </c>
      <c r="I312" s="45">
        <f t="shared" si="24"/>
        <v>481.04315999999994</v>
      </c>
      <c r="J312" s="46">
        <v>750</v>
      </c>
      <c r="K312" s="46">
        <f t="shared" si="25"/>
        <v>288.95957999999996</v>
      </c>
    </row>
    <row r="313" spans="1:11">
      <c r="A313" s="39">
        <v>308</v>
      </c>
      <c r="B313" s="44" t="s">
        <v>90</v>
      </c>
      <c r="C313" s="44">
        <v>2512</v>
      </c>
      <c r="D313" s="45">
        <v>41.9</v>
      </c>
      <c r="E313" s="44">
        <v>3.57</v>
      </c>
      <c r="F313" s="45">
        <f t="shared" si="26"/>
        <v>451.01159999999993</v>
      </c>
      <c r="G313" s="45">
        <f t="shared" si="26"/>
        <v>38.427479999999996</v>
      </c>
      <c r="H313" s="45">
        <f t="shared" si="23"/>
        <v>45.47</v>
      </c>
      <c r="I313" s="45">
        <f t="shared" si="24"/>
        <v>489.43907999999993</v>
      </c>
      <c r="J313" s="46">
        <v>760</v>
      </c>
      <c r="K313" s="46">
        <f t="shared" si="25"/>
        <v>293.15753999999998</v>
      </c>
    </row>
    <row r="314" spans="1:11">
      <c r="A314" s="39">
        <v>309</v>
      </c>
      <c r="B314" s="44" t="s">
        <v>90</v>
      </c>
      <c r="C314" s="51">
        <v>2601</v>
      </c>
      <c r="D314" s="44">
        <v>67.02</v>
      </c>
      <c r="E314" s="44">
        <v>3.94</v>
      </c>
      <c r="F314" s="45">
        <f t="shared" si="26"/>
        <v>721.40327999999988</v>
      </c>
      <c r="G314" s="45">
        <f t="shared" si="26"/>
        <v>42.410159999999998</v>
      </c>
      <c r="H314" s="45">
        <f t="shared" si="23"/>
        <v>70.959999999999994</v>
      </c>
      <c r="I314" s="45">
        <f t="shared" si="24"/>
        <v>763.8134399999999</v>
      </c>
      <c r="J314" s="46">
        <v>1210</v>
      </c>
      <c r="K314" s="46">
        <f t="shared" si="25"/>
        <v>468.91213199999993</v>
      </c>
    </row>
    <row r="315" spans="1:11">
      <c r="A315" s="39">
        <v>310</v>
      </c>
      <c r="B315" s="44" t="s">
        <v>90</v>
      </c>
      <c r="C315" s="51">
        <v>2602</v>
      </c>
      <c r="D315" s="44">
        <v>95.39</v>
      </c>
      <c r="E315" s="44">
        <v>3.81</v>
      </c>
      <c r="F315" s="45">
        <f t="shared" si="26"/>
        <v>1026.7779599999999</v>
      </c>
      <c r="G315" s="45">
        <f t="shared" si="26"/>
        <v>41.010839999999995</v>
      </c>
      <c r="H315" s="45">
        <f t="shared" si="23"/>
        <v>99.2</v>
      </c>
      <c r="I315" s="45">
        <f t="shared" si="24"/>
        <v>1067.7887999999998</v>
      </c>
      <c r="J315" s="46">
        <v>1690</v>
      </c>
      <c r="K315" s="46">
        <f t="shared" si="25"/>
        <v>667.40567399999998</v>
      </c>
    </row>
    <row r="316" spans="1:11">
      <c r="A316" s="39">
        <v>311</v>
      </c>
      <c r="B316" s="44" t="s">
        <v>90</v>
      </c>
      <c r="C316" s="51">
        <v>2603</v>
      </c>
      <c r="D316" s="44">
        <v>44.09</v>
      </c>
      <c r="E316" s="44">
        <v>3.96</v>
      </c>
      <c r="F316" s="45">
        <f t="shared" si="26"/>
        <v>474.58476000000002</v>
      </c>
      <c r="G316" s="45">
        <f t="shared" si="26"/>
        <v>42.625439999999998</v>
      </c>
      <c r="H316" s="45">
        <f t="shared" si="23"/>
        <v>48.050000000000004</v>
      </c>
      <c r="I316" s="45">
        <f t="shared" si="24"/>
        <v>517.21019999999999</v>
      </c>
      <c r="J316" s="46">
        <v>795</v>
      </c>
      <c r="K316" s="46">
        <f t="shared" si="25"/>
        <v>308.48009400000001</v>
      </c>
    </row>
    <row r="317" spans="1:11">
      <c r="A317" s="39">
        <v>312</v>
      </c>
      <c r="B317" s="44" t="s">
        <v>90</v>
      </c>
      <c r="C317" s="51">
        <v>2606</v>
      </c>
      <c r="D317" s="44">
        <v>44.09</v>
      </c>
      <c r="E317" s="44">
        <v>3.96</v>
      </c>
      <c r="F317" s="45">
        <f t="shared" si="26"/>
        <v>474.58476000000002</v>
      </c>
      <c r="G317" s="45">
        <f t="shared" si="26"/>
        <v>42.625439999999998</v>
      </c>
      <c r="H317" s="45">
        <f t="shared" si="23"/>
        <v>48.050000000000004</v>
      </c>
      <c r="I317" s="45">
        <f t="shared" si="24"/>
        <v>517.21019999999999</v>
      </c>
      <c r="J317" s="46">
        <v>795</v>
      </c>
      <c r="K317" s="46">
        <f t="shared" si="25"/>
        <v>308.48009400000001</v>
      </c>
    </row>
    <row r="318" spans="1:11">
      <c r="A318" s="39">
        <v>313</v>
      </c>
      <c r="B318" s="44" t="s">
        <v>90</v>
      </c>
      <c r="C318" s="51">
        <v>2607</v>
      </c>
      <c r="D318" s="45">
        <v>95.39</v>
      </c>
      <c r="E318" s="45">
        <v>3.81</v>
      </c>
      <c r="F318" s="45">
        <f t="shared" si="26"/>
        <v>1026.7779599999999</v>
      </c>
      <c r="G318" s="45">
        <f t="shared" si="26"/>
        <v>41.010839999999995</v>
      </c>
      <c r="H318" s="45">
        <f t="shared" si="23"/>
        <v>99.2</v>
      </c>
      <c r="I318" s="45">
        <f t="shared" si="24"/>
        <v>1067.7887999999998</v>
      </c>
      <c r="J318" s="46">
        <v>1690</v>
      </c>
      <c r="K318" s="46">
        <f t="shared" si="25"/>
        <v>667.40567399999998</v>
      </c>
    </row>
    <row r="319" spans="1:11">
      <c r="A319" s="39">
        <v>314</v>
      </c>
      <c r="B319" s="44" t="s">
        <v>90</v>
      </c>
      <c r="C319" s="51">
        <v>2608</v>
      </c>
      <c r="D319" s="44">
        <v>67.02</v>
      </c>
      <c r="E319" s="44">
        <v>3.94</v>
      </c>
      <c r="F319" s="45">
        <f t="shared" si="26"/>
        <v>721.40327999999988</v>
      </c>
      <c r="G319" s="45">
        <f t="shared" si="26"/>
        <v>42.410159999999998</v>
      </c>
      <c r="H319" s="45">
        <f t="shared" si="23"/>
        <v>70.959999999999994</v>
      </c>
      <c r="I319" s="45">
        <f t="shared" si="24"/>
        <v>763.8134399999999</v>
      </c>
      <c r="J319" s="46">
        <v>1210</v>
      </c>
      <c r="K319" s="46">
        <f t="shared" si="25"/>
        <v>468.91213199999993</v>
      </c>
    </row>
    <row r="320" spans="1:11">
      <c r="A320" s="39">
        <v>315</v>
      </c>
      <c r="B320" s="44" t="s">
        <v>90</v>
      </c>
      <c r="C320" s="51">
        <v>2609</v>
      </c>
      <c r="D320" s="45">
        <v>41.9</v>
      </c>
      <c r="E320" s="44">
        <v>3.57</v>
      </c>
      <c r="F320" s="45">
        <f t="shared" si="26"/>
        <v>451.01159999999993</v>
      </c>
      <c r="G320" s="45">
        <f t="shared" si="26"/>
        <v>38.427479999999996</v>
      </c>
      <c r="H320" s="45">
        <f t="shared" si="23"/>
        <v>45.47</v>
      </c>
      <c r="I320" s="45">
        <f t="shared" si="24"/>
        <v>489.43907999999993</v>
      </c>
      <c r="J320" s="46">
        <v>760</v>
      </c>
      <c r="K320" s="46">
        <f t="shared" si="25"/>
        <v>293.15753999999998</v>
      </c>
    </row>
    <row r="321" spans="1:11">
      <c r="A321" s="39">
        <v>316</v>
      </c>
      <c r="B321" s="44" t="s">
        <v>90</v>
      </c>
      <c r="C321" s="51">
        <v>2610</v>
      </c>
      <c r="D321" s="45">
        <v>41.3</v>
      </c>
      <c r="E321" s="45">
        <v>3.39</v>
      </c>
      <c r="F321" s="45">
        <f t="shared" si="26"/>
        <v>444.55319999999995</v>
      </c>
      <c r="G321" s="45">
        <f t="shared" si="26"/>
        <v>36.489959999999996</v>
      </c>
      <c r="H321" s="45">
        <f t="shared" si="23"/>
        <v>44.69</v>
      </c>
      <c r="I321" s="45">
        <f t="shared" si="24"/>
        <v>481.04315999999994</v>
      </c>
      <c r="J321" s="46">
        <v>750</v>
      </c>
      <c r="K321" s="46">
        <f t="shared" si="25"/>
        <v>288.95957999999996</v>
      </c>
    </row>
    <row r="322" spans="1:11">
      <c r="A322" s="39">
        <v>317</v>
      </c>
      <c r="B322" s="44" t="s">
        <v>90</v>
      </c>
      <c r="C322" s="51">
        <v>2611</v>
      </c>
      <c r="D322" s="45">
        <v>41.3</v>
      </c>
      <c r="E322" s="45">
        <v>3.39</v>
      </c>
      <c r="F322" s="45">
        <f t="shared" si="26"/>
        <v>444.55319999999995</v>
      </c>
      <c r="G322" s="45">
        <f t="shared" si="26"/>
        <v>36.489959999999996</v>
      </c>
      <c r="H322" s="45">
        <f t="shared" si="23"/>
        <v>44.69</v>
      </c>
      <c r="I322" s="45">
        <f t="shared" si="24"/>
        <v>481.04315999999994</v>
      </c>
      <c r="J322" s="46">
        <v>750</v>
      </c>
      <c r="K322" s="46">
        <f t="shared" si="25"/>
        <v>288.95957999999996</v>
      </c>
    </row>
    <row r="323" spans="1:11">
      <c r="A323" s="39">
        <v>318</v>
      </c>
      <c r="B323" s="44" t="s">
        <v>90</v>
      </c>
      <c r="C323" s="51">
        <v>2612</v>
      </c>
      <c r="D323" s="45">
        <v>41.9</v>
      </c>
      <c r="E323" s="44">
        <v>3.57</v>
      </c>
      <c r="F323" s="45">
        <f t="shared" si="26"/>
        <v>451.01159999999993</v>
      </c>
      <c r="G323" s="45">
        <f t="shared" si="26"/>
        <v>38.427479999999996</v>
      </c>
      <c r="H323" s="45">
        <f t="shared" si="23"/>
        <v>45.47</v>
      </c>
      <c r="I323" s="45">
        <f t="shared" si="24"/>
        <v>489.43907999999993</v>
      </c>
      <c r="J323" s="46">
        <v>760</v>
      </c>
      <c r="K323" s="46">
        <f t="shared" si="25"/>
        <v>293.15753999999998</v>
      </c>
    </row>
    <row r="324" spans="1:11">
      <c r="A324" s="39">
        <v>319</v>
      </c>
      <c r="B324" s="44" t="s">
        <v>90</v>
      </c>
      <c r="C324" s="44">
        <v>2701</v>
      </c>
      <c r="D324" s="44">
        <v>67.02</v>
      </c>
      <c r="E324" s="44">
        <v>3.94</v>
      </c>
      <c r="F324" s="45">
        <f t="shared" si="26"/>
        <v>721.40327999999988</v>
      </c>
      <c r="G324" s="45">
        <f t="shared" si="26"/>
        <v>42.410159999999998</v>
      </c>
      <c r="H324" s="45">
        <f t="shared" si="23"/>
        <v>70.959999999999994</v>
      </c>
      <c r="I324" s="45">
        <f t="shared" si="24"/>
        <v>763.8134399999999</v>
      </c>
      <c r="J324" s="46">
        <v>1210</v>
      </c>
      <c r="K324" s="46">
        <f t="shared" si="25"/>
        <v>468.91213199999993</v>
      </c>
    </row>
    <row r="325" spans="1:11">
      <c r="A325" s="39">
        <v>320</v>
      </c>
      <c r="B325" s="44" t="s">
        <v>90</v>
      </c>
      <c r="C325" s="44">
        <v>2702</v>
      </c>
      <c r="D325" s="44">
        <v>95.39</v>
      </c>
      <c r="E325" s="44">
        <v>3.81</v>
      </c>
      <c r="F325" s="45">
        <f t="shared" si="26"/>
        <v>1026.7779599999999</v>
      </c>
      <c r="G325" s="45">
        <f t="shared" si="26"/>
        <v>41.010839999999995</v>
      </c>
      <c r="H325" s="45">
        <f t="shared" si="23"/>
        <v>99.2</v>
      </c>
      <c r="I325" s="45">
        <f t="shared" si="24"/>
        <v>1067.7887999999998</v>
      </c>
      <c r="J325" s="46">
        <v>1690</v>
      </c>
      <c r="K325" s="46">
        <f t="shared" si="25"/>
        <v>667.40567399999998</v>
      </c>
    </row>
    <row r="326" spans="1:11">
      <c r="A326" s="39">
        <v>321</v>
      </c>
      <c r="B326" s="44" t="s">
        <v>90</v>
      </c>
      <c r="C326" s="44">
        <v>2703</v>
      </c>
      <c r="D326" s="44">
        <v>44.09</v>
      </c>
      <c r="E326" s="44">
        <v>3.96</v>
      </c>
      <c r="F326" s="45">
        <f t="shared" si="26"/>
        <v>474.58476000000002</v>
      </c>
      <c r="G326" s="45">
        <f t="shared" si="26"/>
        <v>42.625439999999998</v>
      </c>
      <c r="H326" s="45">
        <f t="shared" si="23"/>
        <v>48.050000000000004</v>
      </c>
      <c r="I326" s="45">
        <f t="shared" si="24"/>
        <v>517.21019999999999</v>
      </c>
      <c r="J326" s="46">
        <v>795</v>
      </c>
      <c r="K326" s="46">
        <f t="shared" si="25"/>
        <v>308.48009400000001</v>
      </c>
    </row>
    <row r="327" spans="1:11">
      <c r="A327" s="39">
        <v>322</v>
      </c>
      <c r="B327" s="44" t="s">
        <v>90</v>
      </c>
      <c r="C327" s="44">
        <v>2704</v>
      </c>
      <c r="D327" s="44">
        <v>44.35</v>
      </c>
      <c r="E327" s="44">
        <v>3.78</v>
      </c>
      <c r="F327" s="45">
        <f t="shared" si="26"/>
        <v>477.38339999999999</v>
      </c>
      <c r="G327" s="45">
        <f t="shared" si="26"/>
        <v>40.687919999999998</v>
      </c>
      <c r="H327" s="45">
        <f t="shared" si="23"/>
        <v>48.13</v>
      </c>
      <c r="I327" s="45">
        <f t="shared" si="24"/>
        <v>518.07132000000001</v>
      </c>
      <c r="J327" s="46">
        <v>795</v>
      </c>
      <c r="K327" s="46">
        <f t="shared" si="25"/>
        <v>310.29921000000002</v>
      </c>
    </row>
    <row r="328" spans="1:11">
      <c r="A328" s="39">
        <v>323</v>
      </c>
      <c r="B328" s="44" t="s">
        <v>90</v>
      </c>
      <c r="C328" s="44">
        <v>2705</v>
      </c>
      <c r="D328" s="44">
        <v>44.35</v>
      </c>
      <c r="E328" s="44">
        <v>3.78</v>
      </c>
      <c r="F328" s="45">
        <f t="shared" si="26"/>
        <v>477.38339999999999</v>
      </c>
      <c r="G328" s="45">
        <f t="shared" si="26"/>
        <v>40.687919999999998</v>
      </c>
      <c r="H328" s="45">
        <f t="shared" si="23"/>
        <v>48.13</v>
      </c>
      <c r="I328" s="45">
        <f t="shared" si="24"/>
        <v>518.07132000000001</v>
      </c>
      <c r="J328" s="46">
        <v>795</v>
      </c>
      <c r="K328" s="46">
        <f t="shared" si="25"/>
        <v>310.29921000000002</v>
      </c>
    </row>
    <row r="329" spans="1:11">
      <c r="A329" s="39">
        <v>324</v>
      </c>
      <c r="B329" s="44" t="s">
        <v>90</v>
      </c>
      <c r="C329" s="44">
        <v>2706</v>
      </c>
      <c r="D329" s="44">
        <v>44.09</v>
      </c>
      <c r="E329" s="44">
        <v>3.96</v>
      </c>
      <c r="F329" s="45">
        <f t="shared" si="26"/>
        <v>474.58476000000002</v>
      </c>
      <c r="G329" s="45">
        <f t="shared" si="26"/>
        <v>42.625439999999998</v>
      </c>
      <c r="H329" s="45">
        <f t="shared" si="23"/>
        <v>48.050000000000004</v>
      </c>
      <c r="I329" s="45">
        <f t="shared" si="24"/>
        <v>517.21019999999999</v>
      </c>
      <c r="J329" s="46">
        <v>795</v>
      </c>
      <c r="K329" s="46">
        <f t="shared" si="25"/>
        <v>308.48009400000001</v>
      </c>
    </row>
    <row r="330" spans="1:11">
      <c r="A330" s="39">
        <v>325</v>
      </c>
      <c r="B330" s="44" t="s">
        <v>90</v>
      </c>
      <c r="C330" s="44">
        <v>2707</v>
      </c>
      <c r="D330" s="45">
        <v>95.39</v>
      </c>
      <c r="E330" s="45">
        <v>3.81</v>
      </c>
      <c r="F330" s="45">
        <f t="shared" si="26"/>
        <v>1026.7779599999999</v>
      </c>
      <c r="G330" s="45">
        <f t="shared" si="26"/>
        <v>41.010839999999995</v>
      </c>
      <c r="H330" s="45">
        <f t="shared" si="23"/>
        <v>99.2</v>
      </c>
      <c r="I330" s="45">
        <f t="shared" si="24"/>
        <v>1067.7887999999998</v>
      </c>
      <c r="J330" s="46">
        <v>1690</v>
      </c>
      <c r="K330" s="46">
        <f t="shared" si="25"/>
        <v>667.40567399999998</v>
      </c>
    </row>
    <row r="331" spans="1:11">
      <c r="A331" s="39">
        <v>326</v>
      </c>
      <c r="B331" s="44" t="s">
        <v>90</v>
      </c>
      <c r="C331" s="44">
        <v>2708</v>
      </c>
      <c r="D331" s="44">
        <v>67.02</v>
      </c>
      <c r="E331" s="44">
        <v>3.94</v>
      </c>
      <c r="F331" s="45">
        <f t="shared" si="26"/>
        <v>721.40327999999988</v>
      </c>
      <c r="G331" s="45">
        <f t="shared" si="26"/>
        <v>42.410159999999998</v>
      </c>
      <c r="H331" s="45">
        <f t="shared" si="23"/>
        <v>70.959999999999994</v>
      </c>
      <c r="I331" s="45">
        <f t="shared" si="24"/>
        <v>763.8134399999999</v>
      </c>
      <c r="J331" s="46">
        <v>1210</v>
      </c>
      <c r="K331" s="46">
        <f t="shared" si="25"/>
        <v>468.91213199999993</v>
      </c>
    </row>
    <row r="332" spans="1:11">
      <c r="A332" s="39">
        <v>327</v>
      </c>
      <c r="B332" s="44" t="s">
        <v>90</v>
      </c>
      <c r="C332" s="44">
        <v>2709</v>
      </c>
      <c r="D332" s="45">
        <v>41.9</v>
      </c>
      <c r="E332" s="44">
        <v>3.57</v>
      </c>
      <c r="F332" s="45">
        <f t="shared" si="26"/>
        <v>451.01159999999993</v>
      </c>
      <c r="G332" s="45">
        <f t="shared" si="26"/>
        <v>38.427479999999996</v>
      </c>
      <c r="H332" s="45">
        <f t="shared" si="23"/>
        <v>45.47</v>
      </c>
      <c r="I332" s="45">
        <f t="shared" si="24"/>
        <v>489.43907999999993</v>
      </c>
      <c r="J332" s="46">
        <v>760</v>
      </c>
      <c r="K332" s="46">
        <f t="shared" si="25"/>
        <v>293.15753999999998</v>
      </c>
    </row>
    <row r="333" spans="1:11">
      <c r="A333" s="39">
        <v>328</v>
      </c>
      <c r="B333" s="44" t="s">
        <v>90</v>
      </c>
      <c r="C333" s="44">
        <v>2710</v>
      </c>
      <c r="D333" s="45">
        <v>41.3</v>
      </c>
      <c r="E333" s="45">
        <v>3.39</v>
      </c>
      <c r="F333" s="45">
        <f t="shared" si="26"/>
        <v>444.55319999999995</v>
      </c>
      <c r="G333" s="45">
        <f t="shared" si="26"/>
        <v>36.489959999999996</v>
      </c>
      <c r="H333" s="45">
        <f t="shared" si="23"/>
        <v>44.69</v>
      </c>
      <c r="I333" s="45">
        <f t="shared" si="24"/>
        <v>481.04315999999994</v>
      </c>
      <c r="J333" s="46">
        <v>750</v>
      </c>
      <c r="K333" s="46">
        <f t="shared" si="25"/>
        <v>288.95957999999996</v>
      </c>
    </row>
    <row r="334" spans="1:11">
      <c r="A334" s="39">
        <v>329</v>
      </c>
      <c r="B334" s="44" t="s">
        <v>90</v>
      </c>
      <c r="C334" s="44">
        <v>2711</v>
      </c>
      <c r="D334" s="45">
        <v>41.3</v>
      </c>
      <c r="E334" s="45">
        <v>3.39</v>
      </c>
      <c r="F334" s="45">
        <f t="shared" si="26"/>
        <v>444.55319999999995</v>
      </c>
      <c r="G334" s="45">
        <f t="shared" si="26"/>
        <v>36.489959999999996</v>
      </c>
      <c r="H334" s="45">
        <f t="shared" si="23"/>
        <v>44.69</v>
      </c>
      <c r="I334" s="45">
        <f t="shared" si="24"/>
        <v>481.04315999999994</v>
      </c>
      <c r="J334" s="46">
        <v>750</v>
      </c>
      <c r="K334" s="46">
        <f t="shared" si="25"/>
        <v>288.95957999999996</v>
      </c>
    </row>
    <row r="335" spans="1:11">
      <c r="A335" s="39">
        <v>330</v>
      </c>
      <c r="B335" s="44" t="s">
        <v>90</v>
      </c>
      <c r="C335" s="44">
        <v>2712</v>
      </c>
      <c r="D335" s="45">
        <v>41.9</v>
      </c>
      <c r="E335" s="44">
        <v>3.57</v>
      </c>
      <c r="F335" s="45">
        <f t="shared" si="26"/>
        <v>451.01159999999993</v>
      </c>
      <c r="G335" s="45">
        <f t="shared" si="26"/>
        <v>38.427479999999996</v>
      </c>
      <c r="H335" s="45">
        <f t="shared" si="23"/>
        <v>45.47</v>
      </c>
      <c r="I335" s="45">
        <f t="shared" si="24"/>
        <v>489.43907999999993</v>
      </c>
      <c r="J335" s="46">
        <v>760</v>
      </c>
      <c r="K335" s="46">
        <f t="shared" si="25"/>
        <v>293.15753999999998</v>
      </c>
    </row>
    <row r="336" spans="1:11">
      <c r="A336" s="39">
        <v>331</v>
      </c>
      <c r="B336" s="44" t="s">
        <v>90</v>
      </c>
      <c r="C336" s="44">
        <v>2801</v>
      </c>
      <c r="D336" s="44">
        <v>67.02</v>
      </c>
      <c r="E336" s="44">
        <v>3.94</v>
      </c>
      <c r="F336" s="45">
        <f t="shared" si="26"/>
        <v>721.40327999999988</v>
      </c>
      <c r="G336" s="45">
        <f t="shared" si="26"/>
        <v>42.410159999999998</v>
      </c>
      <c r="H336" s="45">
        <f t="shared" si="23"/>
        <v>70.959999999999994</v>
      </c>
      <c r="I336" s="45">
        <f t="shared" si="24"/>
        <v>763.8134399999999</v>
      </c>
      <c r="J336" s="46">
        <v>1210</v>
      </c>
      <c r="K336" s="46">
        <f t="shared" si="25"/>
        <v>468.91213199999993</v>
      </c>
    </row>
    <row r="337" spans="1:11">
      <c r="A337" s="39">
        <v>332</v>
      </c>
      <c r="B337" s="44" t="s">
        <v>90</v>
      </c>
      <c r="C337" s="44">
        <v>2802</v>
      </c>
      <c r="D337" s="44">
        <v>95.39</v>
      </c>
      <c r="E337" s="44">
        <v>3.81</v>
      </c>
      <c r="F337" s="45">
        <f t="shared" si="26"/>
        <v>1026.7779599999999</v>
      </c>
      <c r="G337" s="45">
        <f t="shared" si="26"/>
        <v>41.010839999999995</v>
      </c>
      <c r="H337" s="45">
        <f t="shared" si="23"/>
        <v>99.2</v>
      </c>
      <c r="I337" s="45">
        <f t="shared" si="24"/>
        <v>1067.7887999999998</v>
      </c>
      <c r="J337" s="46">
        <v>1690</v>
      </c>
      <c r="K337" s="46">
        <f t="shared" si="25"/>
        <v>667.40567399999998</v>
      </c>
    </row>
    <row r="338" spans="1:11">
      <c r="A338" s="39">
        <v>333</v>
      </c>
      <c r="B338" s="44" t="s">
        <v>90</v>
      </c>
      <c r="C338" s="44">
        <v>2803</v>
      </c>
      <c r="D338" s="44">
        <v>44.09</v>
      </c>
      <c r="E338" s="44">
        <v>3.96</v>
      </c>
      <c r="F338" s="45">
        <f t="shared" si="26"/>
        <v>474.58476000000002</v>
      </c>
      <c r="G338" s="45">
        <f t="shared" si="26"/>
        <v>42.625439999999998</v>
      </c>
      <c r="H338" s="45">
        <f t="shared" si="23"/>
        <v>48.050000000000004</v>
      </c>
      <c r="I338" s="45">
        <f t="shared" si="24"/>
        <v>517.21019999999999</v>
      </c>
      <c r="J338" s="46">
        <v>795</v>
      </c>
      <c r="K338" s="46">
        <f t="shared" si="25"/>
        <v>308.48009400000001</v>
      </c>
    </row>
    <row r="339" spans="1:11">
      <c r="A339" s="39">
        <v>334</v>
      </c>
      <c r="B339" s="44" t="s">
        <v>90</v>
      </c>
      <c r="C339" s="44">
        <v>2804</v>
      </c>
      <c r="D339" s="44">
        <v>44.35</v>
      </c>
      <c r="E339" s="44">
        <v>3.78</v>
      </c>
      <c r="F339" s="45">
        <f t="shared" si="26"/>
        <v>477.38339999999999</v>
      </c>
      <c r="G339" s="45">
        <f t="shared" si="26"/>
        <v>40.687919999999998</v>
      </c>
      <c r="H339" s="45">
        <f t="shared" si="23"/>
        <v>48.13</v>
      </c>
      <c r="I339" s="45">
        <f t="shared" si="24"/>
        <v>518.07132000000001</v>
      </c>
      <c r="J339" s="46">
        <v>795</v>
      </c>
      <c r="K339" s="46">
        <f t="shared" si="25"/>
        <v>310.29921000000002</v>
      </c>
    </row>
    <row r="340" spans="1:11">
      <c r="A340" s="39">
        <v>335</v>
      </c>
      <c r="B340" s="44" t="s">
        <v>90</v>
      </c>
      <c r="C340" s="44">
        <v>2805</v>
      </c>
      <c r="D340" s="44">
        <v>44.35</v>
      </c>
      <c r="E340" s="44">
        <v>3.78</v>
      </c>
      <c r="F340" s="45">
        <f t="shared" si="26"/>
        <v>477.38339999999999</v>
      </c>
      <c r="G340" s="45">
        <f t="shared" si="26"/>
        <v>40.687919999999998</v>
      </c>
      <c r="H340" s="45">
        <f t="shared" si="23"/>
        <v>48.13</v>
      </c>
      <c r="I340" s="45">
        <f t="shared" si="24"/>
        <v>518.07132000000001</v>
      </c>
      <c r="J340" s="46">
        <v>795</v>
      </c>
      <c r="K340" s="46">
        <f t="shared" si="25"/>
        <v>310.29921000000002</v>
      </c>
    </row>
    <row r="341" spans="1:11">
      <c r="A341" s="39">
        <v>336</v>
      </c>
      <c r="B341" s="44" t="s">
        <v>90</v>
      </c>
      <c r="C341" s="44">
        <v>2806</v>
      </c>
      <c r="D341" s="44">
        <v>44.09</v>
      </c>
      <c r="E341" s="44">
        <v>3.96</v>
      </c>
      <c r="F341" s="45">
        <f t="shared" si="26"/>
        <v>474.58476000000002</v>
      </c>
      <c r="G341" s="45">
        <f t="shared" si="26"/>
        <v>42.625439999999998</v>
      </c>
      <c r="H341" s="45">
        <f t="shared" si="23"/>
        <v>48.050000000000004</v>
      </c>
      <c r="I341" s="45">
        <f t="shared" si="24"/>
        <v>517.21019999999999</v>
      </c>
      <c r="J341" s="46">
        <v>795</v>
      </c>
      <c r="K341" s="46">
        <f t="shared" si="25"/>
        <v>308.48009400000001</v>
      </c>
    </row>
    <row r="342" spans="1:11">
      <c r="A342" s="39">
        <v>337</v>
      </c>
      <c r="B342" s="44" t="s">
        <v>90</v>
      </c>
      <c r="C342" s="44">
        <v>2807</v>
      </c>
      <c r="D342" s="45">
        <v>95.39</v>
      </c>
      <c r="E342" s="45">
        <v>3.81</v>
      </c>
      <c r="F342" s="45">
        <f t="shared" si="26"/>
        <v>1026.7779599999999</v>
      </c>
      <c r="G342" s="45">
        <f t="shared" si="26"/>
        <v>41.010839999999995</v>
      </c>
      <c r="H342" s="45">
        <f t="shared" si="23"/>
        <v>99.2</v>
      </c>
      <c r="I342" s="45">
        <f t="shared" si="24"/>
        <v>1067.7887999999998</v>
      </c>
      <c r="J342" s="46">
        <v>1690</v>
      </c>
      <c r="K342" s="46">
        <f t="shared" si="25"/>
        <v>667.40567399999998</v>
      </c>
    </row>
    <row r="343" spans="1:11">
      <c r="A343" s="39">
        <v>338</v>
      </c>
      <c r="B343" s="44" t="s">
        <v>90</v>
      </c>
      <c r="C343" s="44">
        <v>2808</v>
      </c>
      <c r="D343" s="44">
        <v>67.02</v>
      </c>
      <c r="E343" s="44">
        <v>3.94</v>
      </c>
      <c r="F343" s="45">
        <f t="shared" si="26"/>
        <v>721.40327999999988</v>
      </c>
      <c r="G343" s="45">
        <f t="shared" si="26"/>
        <v>42.410159999999998</v>
      </c>
      <c r="H343" s="45">
        <f t="shared" si="23"/>
        <v>70.959999999999994</v>
      </c>
      <c r="I343" s="45">
        <f t="shared" si="24"/>
        <v>763.8134399999999</v>
      </c>
      <c r="J343" s="46">
        <v>1210</v>
      </c>
      <c r="K343" s="46">
        <f t="shared" si="25"/>
        <v>468.91213199999993</v>
      </c>
    </row>
    <row r="344" spans="1:11">
      <c r="A344" s="39">
        <v>339</v>
      </c>
      <c r="B344" s="44" t="s">
        <v>90</v>
      </c>
      <c r="C344" s="44">
        <v>2809</v>
      </c>
      <c r="D344" s="45">
        <v>41.9</v>
      </c>
      <c r="E344" s="44">
        <v>3.57</v>
      </c>
      <c r="F344" s="45">
        <f t="shared" si="26"/>
        <v>451.01159999999993</v>
      </c>
      <c r="G344" s="45">
        <f t="shared" si="26"/>
        <v>38.427479999999996</v>
      </c>
      <c r="H344" s="45">
        <f t="shared" si="23"/>
        <v>45.47</v>
      </c>
      <c r="I344" s="45">
        <f t="shared" si="24"/>
        <v>489.43907999999993</v>
      </c>
      <c r="J344" s="46">
        <v>760</v>
      </c>
      <c r="K344" s="46">
        <f t="shared" si="25"/>
        <v>293.15753999999998</v>
      </c>
    </row>
    <row r="345" spans="1:11">
      <c r="A345" s="39">
        <v>340</v>
      </c>
      <c r="B345" s="44" t="s">
        <v>90</v>
      </c>
      <c r="C345" s="44">
        <v>2810</v>
      </c>
      <c r="D345" s="45">
        <v>41.3</v>
      </c>
      <c r="E345" s="45">
        <v>3.39</v>
      </c>
      <c r="F345" s="45">
        <f t="shared" si="26"/>
        <v>444.55319999999995</v>
      </c>
      <c r="G345" s="45">
        <f t="shared" si="26"/>
        <v>36.489959999999996</v>
      </c>
      <c r="H345" s="45">
        <f t="shared" ref="H345:H368" si="27">D345+E345</f>
        <v>44.69</v>
      </c>
      <c r="I345" s="45">
        <f t="shared" ref="I345:I367" si="28">F345+G345</f>
        <v>481.04315999999994</v>
      </c>
      <c r="J345" s="46">
        <v>750</v>
      </c>
      <c r="K345" s="46">
        <f t="shared" ref="K345:K367" si="29">F345*65%</f>
        <v>288.95957999999996</v>
      </c>
    </row>
    <row r="346" spans="1:11">
      <c r="A346" s="39">
        <v>341</v>
      </c>
      <c r="B346" s="44" t="s">
        <v>90</v>
      </c>
      <c r="C346" s="44">
        <v>2811</v>
      </c>
      <c r="D346" s="45">
        <v>41.3</v>
      </c>
      <c r="E346" s="45">
        <v>3.39</v>
      </c>
      <c r="F346" s="45">
        <f t="shared" ref="F346:G367" si="30">D346*10.764</f>
        <v>444.55319999999995</v>
      </c>
      <c r="G346" s="45">
        <f t="shared" si="30"/>
        <v>36.489959999999996</v>
      </c>
      <c r="H346" s="45">
        <f t="shared" si="27"/>
        <v>44.69</v>
      </c>
      <c r="I346" s="45">
        <f t="shared" si="28"/>
        <v>481.04315999999994</v>
      </c>
      <c r="J346" s="46">
        <v>750</v>
      </c>
      <c r="K346" s="46">
        <f t="shared" si="29"/>
        <v>288.95957999999996</v>
      </c>
    </row>
    <row r="347" spans="1:11">
      <c r="A347" s="39">
        <v>342</v>
      </c>
      <c r="B347" s="44" t="s">
        <v>90</v>
      </c>
      <c r="C347" s="44">
        <v>2812</v>
      </c>
      <c r="D347" s="45">
        <v>41.9</v>
      </c>
      <c r="E347" s="44">
        <v>3.57</v>
      </c>
      <c r="F347" s="45">
        <f t="shared" si="30"/>
        <v>451.01159999999993</v>
      </c>
      <c r="G347" s="45">
        <f t="shared" si="30"/>
        <v>38.427479999999996</v>
      </c>
      <c r="H347" s="45">
        <f t="shared" si="27"/>
        <v>45.47</v>
      </c>
      <c r="I347" s="45">
        <f t="shared" si="28"/>
        <v>489.43907999999993</v>
      </c>
      <c r="J347" s="46">
        <v>760</v>
      </c>
      <c r="K347" s="46">
        <f t="shared" si="29"/>
        <v>293.15753999999998</v>
      </c>
    </row>
    <row r="348" spans="1:11">
      <c r="A348" s="39">
        <v>343</v>
      </c>
      <c r="B348" s="44" t="s">
        <v>90</v>
      </c>
      <c r="C348" s="44">
        <v>2901</v>
      </c>
      <c r="D348" s="44">
        <v>67.02</v>
      </c>
      <c r="E348" s="44">
        <v>3.94</v>
      </c>
      <c r="F348" s="45">
        <f t="shared" si="30"/>
        <v>721.40327999999988</v>
      </c>
      <c r="G348" s="45">
        <f t="shared" si="30"/>
        <v>42.410159999999998</v>
      </c>
      <c r="H348" s="45">
        <f t="shared" si="27"/>
        <v>70.959999999999994</v>
      </c>
      <c r="I348" s="45">
        <f t="shared" si="28"/>
        <v>763.8134399999999</v>
      </c>
      <c r="J348" s="46">
        <v>1210</v>
      </c>
      <c r="K348" s="46">
        <f t="shared" si="29"/>
        <v>468.91213199999993</v>
      </c>
    </row>
    <row r="349" spans="1:11">
      <c r="A349" s="39">
        <v>344</v>
      </c>
      <c r="B349" s="44" t="s">
        <v>90</v>
      </c>
      <c r="C349" s="44">
        <v>2902</v>
      </c>
      <c r="D349" s="44">
        <v>95.39</v>
      </c>
      <c r="E349" s="44">
        <v>3.81</v>
      </c>
      <c r="F349" s="45">
        <f t="shared" si="30"/>
        <v>1026.7779599999999</v>
      </c>
      <c r="G349" s="45">
        <f t="shared" si="30"/>
        <v>41.010839999999995</v>
      </c>
      <c r="H349" s="45">
        <f t="shared" si="27"/>
        <v>99.2</v>
      </c>
      <c r="I349" s="45">
        <f t="shared" si="28"/>
        <v>1067.7887999999998</v>
      </c>
      <c r="J349" s="46">
        <v>1690</v>
      </c>
      <c r="K349" s="46">
        <f t="shared" si="29"/>
        <v>667.40567399999998</v>
      </c>
    </row>
    <row r="350" spans="1:11">
      <c r="A350" s="39">
        <v>345</v>
      </c>
      <c r="B350" s="44" t="s">
        <v>90</v>
      </c>
      <c r="C350" s="44">
        <v>2903</v>
      </c>
      <c r="D350" s="44">
        <v>44.09</v>
      </c>
      <c r="E350" s="44">
        <v>3.96</v>
      </c>
      <c r="F350" s="45">
        <f t="shared" si="30"/>
        <v>474.58476000000002</v>
      </c>
      <c r="G350" s="45">
        <f t="shared" si="30"/>
        <v>42.625439999999998</v>
      </c>
      <c r="H350" s="45">
        <f t="shared" si="27"/>
        <v>48.050000000000004</v>
      </c>
      <c r="I350" s="45">
        <f t="shared" si="28"/>
        <v>517.21019999999999</v>
      </c>
      <c r="J350" s="46">
        <v>795</v>
      </c>
      <c r="K350" s="46">
        <f t="shared" si="29"/>
        <v>308.48009400000001</v>
      </c>
    </row>
    <row r="351" spans="1:11">
      <c r="A351" s="39">
        <v>346</v>
      </c>
      <c r="B351" s="44" t="s">
        <v>90</v>
      </c>
      <c r="C351" s="44">
        <v>2904</v>
      </c>
      <c r="D351" s="44">
        <v>44.35</v>
      </c>
      <c r="E351" s="44">
        <v>3.78</v>
      </c>
      <c r="F351" s="45">
        <f t="shared" si="30"/>
        <v>477.38339999999999</v>
      </c>
      <c r="G351" s="45">
        <f t="shared" si="30"/>
        <v>40.687919999999998</v>
      </c>
      <c r="H351" s="45">
        <f t="shared" si="27"/>
        <v>48.13</v>
      </c>
      <c r="I351" s="45">
        <f t="shared" si="28"/>
        <v>518.07132000000001</v>
      </c>
      <c r="J351" s="46">
        <v>795</v>
      </c>
      <c r="K351" s="46">
        <f t="shared" si="29"/>
        <v>310.29921000000002</v>
      </c>
    </row>
    <row r="352" spans="1:11">
      <c r="A352" s="39">
        <v>347</v>
      </c>
      <c r="B352" s="44" t="s">
        <v>90</v>
      </c>
      <c r="C352" s="44">
        <v>2905</v>
      </c>
      <c r="D352" s="44">
        <v>44.35</v>
      </c>
      <c r="E352" s="44">
        <v>3.78</v>
      </c>
      <c r="F352" s="45">
        <f t="shared" si="30"/>
        <v>477.38339999999999</v>
      </c>
      <c r="G352" s="45">
        <f t="shared" si="30"/>
        <v>40.687919999999998</v>
      </c>
      <c r="H352" s="45">
        <f t="shared" si="27"/>
        <v>48.13</v>
      </c>
      <c r="I352" s="45">
        <f t="shared" si="28"/>
        <v>518.07132000000001</v>
      </c>
      <c r="J352" s="46">
        <v>795</v>
      </c>
      <c r="K352" s="46">
        <f t="shared" si="29"/>
        <v>310.29921000000002</v>
      </c>
    </row>
    <row r="353" spans="1:11">
      <c r="A353" s="39">
        <v>348</v>
      </c>
      <c r="B353" s="44" t="s">
        <v>90</v>
      </c>
      <c r="C353" s="44">
        <v>2906</v>
      </c>
      <c r="D353" s="44">
        <v>44.09</v>
      </c>
      <c r="E353" s="44">
        <v>3.96</v>
      </c>
      <c r="F353" s="45">
        <f t="shared" si="30"/>
        <v>474.58476000000002</v>
      </c>
      <c r="G353" s="45">
        <f t="shared" si="30"/>
        <v>42.625439999999998</v>
      </c>
      <c r="H353" s="45">
        <f t="shared" si="27"/>
        <v>48.050000000000004</v>
      </c>
      <c r="I353" s="45">
        <f t="shared" si="28"/>
        <v>517.21019999999999</v>
      </c>
      <c r="J353" s="46">
        <v>795</v>
      </c>
      <c r="K353" s="46">
        <f t="shared" si="29"/>
        <v>308.48009400000001</v>
      </c>
    </row>
    <row r="354" spans="1:11">
      <c r="A354" s="39">
        <v>349</v>
      </c>
      <c r="B354" s="44" t="s">
        <v>90</v>
      </c>
      <c r="C354" s="44">
        <v>2907</v>
      </c>
      <c r="D354" s="45">
        <v>95.39</v>
      </c>
      <c r="E354" s="45">
        <v>3.81</v>
      </c>
      <c r="F354" s="45">
        <f t="shared" si="30"/>
        <v>1026.7779599999999</v>
      </c>
      <c r="G354" s="45">
        <f t="shared" si="30"/>
        <v>41.010839999999995</v>
      </c>
      <c r="H354" s="45">
        <f t="shared" si="27"/>
        <v>99.2</v>
      </c>
      <c r="I354" s="45">
        <f t="shared" si="28"/>
        <v>1067.7887999999998</v>
      </c>
      <c r="J354" s="46">
        <v>1690</v>
      </c>
      <c r="K354" s="46">
        <f t="shared" si="29"/>
        <v>667.40567399999998</v>
      </c>
    </row>
    <row r="355" spans="1:11">
      <c r="A355" s="39">
        <v>350</v>
      </c>
      <c r="B355" s="44" t="s">
        <v>90</v>
      </c>
      <c r="C355" s="44">
        <v>2908</v>
      </c>
      <c r="D355" s="44">
        <v>67.02</v>
      </c>
      <c r="E355" s="44">
        <v>3.94</v>
      </c>
      <c r="F355" s="45">
        <f t="shared" si="30"/>
        <v>721.40327999999988</v>
      </c>
      <c r="G355" s="45">
        <f t="shared" si="30"/>
        <v>42.410159999999998</v>
      </c>
      <c r="H355" s="45">
        <f t="shared" si="27"/>
        <v>70.959999999999994</v>
      </c>
      <c r="I355" s="45">
        <f t="shared" si="28"/>
        <v>763.8134399999999</v>
      </c>
      <c r="J355" s="46">
        <v>1210</v>
      </c>
      <c r="K355" s="46">
        <f t="shared" si="29"/>
        <v>468.91213199999993</v>
      </c>
    </row>
    <row r="356" spans="1:11">
      <c r="A356" s="39">
        <v>351</v>
      </c>
      <c r="B356" s="44" t="s">
        <v>90</v>
      </c>
      <c r="C356" s="44">
        <v>2909</v>
      </c>
      <c r="D356" s="45">
        <v>41.9</v>
      </c>
      <c r="E356" s="44">
        <v>3.57</v>
      </c>
      <c r="F356" s="45">
        <f t="shared" si="30"/>
        <v>451.01159999999993</v>
      </c>
      <c r="G356" s="45">
        <f t="shared" si="30"/>
        <v>38.427479999999996</v>
      </c>
      <c r="H356" s="45">
        <f t="shared" si="27"/>
        <v>45.47</v>
      </c>
      <c r="I356" s="45">
        <f t="shared" si="28"/>
        <v>489.43907999999993</v>
      </c>
      <c r="J356" s="46">
        <v>760</v>
      </c>
      <c r="K356" s="46">
        <f t="shared" si="29"/>
        <v>293.15753999999998</v>
      </c>
    </row>
    <row r="357" spans="1:11">
      <c r="A357" s="39">
        <v>352</v>
      </c>
      <c r="B357" s="44" t="s">
        <v>90</v>
      </c>
      <c r="C357" s="44">
        <v>2910</v>
      </c>
      <c r="D357" s="45">
        <v>41.3</v>
      </c>
      <c r="E357" s="45">
        <v>3.39</v>
      </c>
      <c r="F357" s="45">
        <f t="shared" si="30"/>
        <v>444.55319999999995</v>
      </c>
      <c r="G357" s="45">
        <f t="shared" si="30"/>
        <v>36.489959999999996</v>
      </c>
      <c r="H357" s="45">
        <f t="shared" si="27"/>
        <v>44.69</v>
      </c>
      <c r="I357" s="45">
        <f t="shared" si="28"/>
        <v>481.04315999999994</v>
      </c>
      <c r="J357" s="46">
        <v>750</v>
      </c>
      <c r="K357" s="46">
        <f t="shared" si="29"/>
        <v>288.95957999999996</v>
      </c>
    </row>
    <row r="358" spans="1:11">
      <c r="A358" s="39">
        <v>353</v>
      </c>
      <c r="B358" s="44" t="s">
        <v>90</v>
      </c>
      <c r="C358" s="44">
        <v>2911</v>
      </c>
      <c r="D358" s="45">
        <v>41.3</v>
      </c>
      <c r="E358" s="45">
        <v>3.39</v>
      </c>
      <c r="F358" s="45">
        <f t="shared" si="30"/>
        <v>444.55319999999995</v>
      </c>
      <c r="G358" s="45">
        <f t="shared" si="30"/>
        <v>36.489959999999996</v>
      </c>
      <c r="H358" s="45">
        <f t="shared" si="27"/>
        <v>44.69</v>
      </c>
      <c r="I358" s="45">
        <f t="shared" si="28"/>
        <v>481.04315999999994</v>
      </c>
      <c r="J358" s="46">
        <v>750</v>
      </c>
      <c r="K358" s="46">
        <f t="shared" si="29"/>
        <v>288.95957999999996</v>
      </c>
    </row>
    <row r="359" spans="1:11">
      <c r="A359" s="39">
        <v>354</v>
      </c>
      <c r="B359" s="44" t="s">
        <v>90</v>
      </c>
      <c r="C359" s="44">
        <v>2912</v>
      </c>
      <c r="D359" s="45">
        <v>41.9</v>
      </c>
      <c r="E359" s="44">
        <v>3.57</v>
      </c>
      <c r="F359" s="45">
        <f t="shared" si="30"/>
        <v>451.01159999999993</v>
      </c>
      <c r="G359" s="45">
        <f t="shared" si="30"/>
        <v>38.427479999999996</v>
      </c>
      <c r="H359" s="45">
        <f t="shared" si="27"/>
        <v>45.47</v>
      </c>
      <c r="I359" s="45">
        <f t="shared" si="28"/>
        <v>489.43907999999993</v>
      </c>
      <c r="J359" s="46">
        <v>760</v>
      </c>
      <c r="K359" s="46">
        <f t="shared" si="29"/>
        <v>293.15753999999998</v>
      </c>
    </row>
    <row r="360" spans="1:11">
      <c r="A360" s="39">
        <v>355</v>
      </c>
      <c r="B360" s="44" t="s">
        <v>90</v>
      </c>
      <c r="C360" s="50">
        <v>3002</v>
      </c>
      <c r="D360" s="44">
        <v>95.39</v>
      </c>
      <c r="E360" s="44">
        <v>3.81</v>
      </c>
      <c r="F360" s="45">
        <f t="shared" si="30"/>
        <v>1026.7779599999999</v>
      </c>
      <c r="G360" s="45">
        <f t="shared" si="30"/>
        <v>41.010839999999995</v>
      </c>
      <c r="H360" s="45">
        <f t="shared" si="27"/>
        <v>99.2</v>
      </c>
      <c r="I360" s="45">
        <f t="shared" si="28"/>
        <v>1067.7887999999998</v>
      </c>
      <c r="J360" s="46">
        <v>1690</v>
      </c>
      <c r="K360" s="46">
        <f t="shared" si="29"/>
        <v>667.40567399999998</v>
      </c>
    </row>
    <row r="361" spans="1:11">
      <c r="A361" s="39">
        <v>356</v>
      </c>
      <c r="B361" s="44" t="s">
        <v>90</v>
      </c>
      <c r="C361" s="50">
        <v>3003</v>
      </c>
      <c r="D361" s="44">
        <v>44.09</v>
      </c>
      <c r="E361" s="44">
        <v>3.96</v>
      </c>
      <c r="F361" s="45">
        <f t="shared" si="30"/>
        <v>474.58476000000002</v>
      </c>
      <c r="G361" s="45">
        <f t="shared" si="30"/>
        <v>42.625439999999998</v>
      </c>
      <c r="H361" s="45">
        <f t="shared" si="27"/>
        <v>48.050000000000004</v>
      </c>
      <c r="I361" s="45">
        <f t="shared" si="28"/>
        <v>517.21019999999999</v>
      </c>
      <c r="J361" s="46">
        <v>795</v>
      </c>
      <c r="K361" s="46">
        <f t="shared" si="29"/>
        <v>308.48009400000001</v>
      </c>
    </row>
    <row r="362" spans="1:11">
      <c r="A362" s="39">
        <v>357</v>
      </c>
      <c r="B362" s="44" t="s">
        <v>90</v>
      </c>
      <c r="C362" s="50">
        <v>3006</v>
      </c>
      <c r="D362" s="44">
        <v>44.09</v>
      </c>
      <c r="E362" s="44">
        <v>3.96</v>
      </c>
      <c r="F362" s="45">
        <f t="shared" si="30"/>
        <v>474.58476000000002</v>
      </c>
      <c r="G362" s="45">
        <f t="shared" si="30"/>
        <v>42.625439999999998</v>
      </c>
      <c r="H362" s="45">
        <f t="shared" si="27"/>
        <v>48.050000000000004</v>
      </c>
      <c r="I362" s="45">
        <f t="shared" si="28"/>
        <v>517.21019999999999</v>
      </c>
      <c r="J362" s="46">
        <v>795</v>
      </c>
      <c r="K362" s="46">
        <f t="shared" si="29"/>
        <v>308.48009400000001</v>
      </c>
    </row>
    <row r="363" spans="1:11">
      <c r="A363" s="39">
        <v>358</v>
      </c>
      <c r="B363" s="44" t="s">
        <v>90</v>
      </c>
      <c r="C363" s="50">
        <v>3007</v>
      </c>
      <c r="D363" s="45">
        <v>95.39</v>
      </c>
      <c r="E363" s="45">
        <v>3.81</v>
      </c>
      <c r="F363" s="45">
        <f t="shared" si="30"/>
        <v>1026.7779599999999</v>
      </c>
      <c r="G363" s="45">
        <f t="shared" si="30"/>
        <v>41.010839999999995</v>
      </c>
      <c r="H363" s="45">
        <f t="shared" si="27"/>
        <v>99.2</v>
      </c>
      <c r="I363" s="45">
        <f t="shared" si="28"/>
        <v>1067.7887999999998</v>
      </c>
      <c r="J363" s="46">
        <v>1690</v>
      </c>
      <c r="K363" s="46">
        <f t="shared" si="29"/>
        <v>667.40567399999998</v>
      </c>
    </row>
    <row r="364" spans="1:11">
      <c r="A364" s="39">
        <v>359</v>
      </c>
      <c r="B364" s="44" t="s">
        <v>90</v>
      </c>
      <c r="C364" s="50">
        <v>3009</v>
      </c>
      <c r="D364" s="45">
        <v>41.9</v>
      </c>
      <c r="E364" s="44">
        <v>3.57</v>
      </c>
      <c r="F364" s="45">
        <f t="shared" si="30"/>
        <v>451.01159999999993</v>
      </c>
      <c r="G364" s="45">
        <f t="shared" si="30"/>
        <v>38.427479999999996</v>
      </c>
      <c r="H364" s="45">
        <f t="shared" si="27"/>
        <v>45.47</v>
      </c>
      <c r="I364" s="45">
        <f t="shared" si="28"/>
        <v>489.43907999999993</v>
      </c>
      <c r="J364" s="46">
        <v>760</v>
      </c>
      <c r="K364" s="46">
        <f t="shared" si="29"/>
        <v>293.15753999999998</v>
      </c>
    </row>
    <row r="365" spans="1:11">
      <c r="A365" s="39">
        <v>360</v>
      </c>
      <c r="B365" s="44" t="s">
        <v>90</v>
      </c>
      <c r="C365" s="50">
        <v>3010</v>
      </c>
      <c r="D365" s="45">
        <v>41.3</v>
      </c>
      <c r="E365" s="45">
        <v>3.39</v>
      </c>
      <c r="F365" s="45">
        <f t="shared" si="30"/>
        <v>444.55319999999995</v>
      </c>
      <c r="G365" s="45">
        <f t="shared" si="30"/>
        <v>36.489959999999996</v>
      </c>
      <c r="H365" s="45">
        <f t="shared" si="27"/>
        <v>44.69</v>
      </c>
      <c r="I365" s="45">
        <f t="shared" si="28"/>
        <v>481.04315999999994</v>
      </c>
      <c r="J365" s="46">
        <v>750</v>
      </c>
      <c r="K365" s="46">
        <f t="shared" si="29"/>
        <v>288.95957999999996</v>
      </c>
    </row>
    <row r="366" spans="1:11">
      <c r="A366" s="39">
        <v>361</v>
      </c>
      <c r="B366" s="44" t="s">
        <v>90</v>
      </c>
      <c r="C366" s="50">
        <v>3011</v>
      </c>
      <c r="D366" s="45">
        <v>41.3</v>
      </c>
      <c r="E366" s="45">
        <v>3.39</v>
      </c>
      <c r="F366" s="45">
        <f t="shared" si="30"/>
        <v>444.55319999999995</v>
      </c>
      <c r="G366" s="45">
        <f t="shared" si="30"/>
        <v>36.489959999999996</v>
      </c>
      <c r="H366" s="45">
        <f t="shared" si="27"/>
        <v>44.69</v>
      </c>
      <c r="I366" s="45">
        <f t="shared" si="28"/>
        <v>481.04315999999994</v>
      </c>
      <c r="J366" s="46">
        <v>750</v>
      </c>
      <c r="K366" s="46">
        <f t="shared" si="29"/>
        <v>288.95957999999996</v>
      </c>
    </row>
    <row r="367" spans="1:11">
      <c r="A367" s="39">
        <v>362</v>
      </c>
      <c r="B367" s="44" t="s">
        <v>90</v>
      </c>
      <c r="C367" s="50">
        <v>3012</v>
      </c>
      <c r="D367" s="45">
        <v>41.9</v>
      </c>
      <c r="E367" s="44">
        <v>3.57</v>
      </c>
      <c r="F367" s="45">
        <f t="shared" si="30"/>
        <v>451.01159999999993</v>
      </c>
      <c r="G367" s="45">
        <f t="shared" si="30"/>
        <v>38.427479999999996</v>
      </c>
      <c r="H367" s="45">
        <f t="shared" si="27"/>
        <v>45.47</v>
      </c>
      <c r="I367" s="45">
        <f t="shared" si="28"/>
        <v>489.43907999999993</v>
      </c>
      <c r="J367" s="46">
        <v>760</v>
      </c>
      <c r="K367" s="46">
        <f t="shared" si="29"/>
        <v>293.15753999999998</v>
      </c>
    </row>
    <row r="368" spans="1:11">
      <c r="A368" s="39"/>
      <c r="B368" s="39"/>
      <c r="C368" s="44"/>
      <c r="D368" s="55">
        <f>SUM(D24:D367)</f>
        <v>19280.569999999992</v>
      </c>
      <c r="E368" s="55">
        <f>SUM(E24:E367)</f>
        <v>1286.200000000001</v>
      </c>
      <c r="F368" s="55">
        <f>SUM(F24:F367)</f>
        <v>207536.05547999975</v>
      </c>
      <c r="G368" s="55">
        <f>SUM(G24:G367)</f>
        <v>13844.656800000037</v>
      </c>
      <c r="H368" s="48">
        <f t="shared" si="27"/>
        <v>20566.769999999993</v>
      </c>
      <c r="I368" s="48">
        <f>F368+G368</f>
        <v>221380.71227999977</v>
      </c>
      <c r="J368" s="55">
        <f>SUM(J24:J367)</f>
        <v>346315</v>
      </c>
      <c r="K368" s="55"/>
    </row>
    <row r="369" spans="1:11">
      <c r="A369" s="52"/>
      <c r="B369" s="52"/>
      <c r="C369" s="56"/>
      <c r="D369" s="56"/>
      <c r="E369" s="56"/>
      <c r="F369" s="56"/>
      <c r="G369" s="56"/>
      <c r="H369" s="56"/>
      <c r="I369" s="56"/>
      <c r="J369" s="57"/>
      <c r="K369" s="57"/>
    </row>
    <row r="370" spans="1:11">
      <c r="A370" s="52"/>
      <c r="B370" s="52"/>
      <c r="C370" s="56"/>
      <c r="D370" s="56"/>
      <c r="E370" s="56"/>
      <c r="F370" s="56"/>
      <c r="G370" s="56"/>
      <c r="H370" s="56"/>
      <c r="I370" s="56"/>
      <c r="J370" s="57"/>
      <c r="K370" s="57"/>
    </row>
    <row r="378" spans="1:11">
      <c r="F378" s="63"/>
    </row>
    <row r="379" spans="1:11">
      <c r="F379" s="64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41"/>
  <sheetViews>
    <sheetView tabSelected="1" topLeftCell="C1" workbookViewId="0">
      <selection activeCell="E13" sqref="E13"/>
    </sheetView>
  </sheetViews>
  <sheetFormatPr defaultColWidth="8.77734375" defaultRowHeight="14.4"/>
  <cols>
    <col min="1" max="1" width="0" style="114" hidden="1" customWidth="1"/>
    <col min="2" max="2" width="0" style="142" hidden="1" customWidth="1"/>
    <col min="3" max="3" width="11.33203125" style="114" bestFit="1" customWidth="1"/>
    <col min="4" max="4" width="13.6640625" style="114" customWidth="1"/>
    <col min="5" max="5" width="25.77734375" style="114" customWidth="1"/>
    <col min="6" max="6" width="12.44140625" style="114" bestFit="1" customWidth="1"/>
    <col min="7" max="7" width="13" style="114" customWidth="1"/>
    <col min="8" max="8" width="14.6640625" style="115" bestFit="1" customWidth="1"/>
    <col min="9" max="16384" width="8.77734375" style="114"/>
  </cols>
  <sheetData>
    <row r="1" spans="2:11" ht="15.6">
      <c r="B1" s="114"/>
      <c r="C1" s="351" t="s">
        <v>154</v>
      </c>
      <c r="D1" s="351"/>
      <c r="E1" s="351"/>
      <c r="F1" s="351"/>
      <c r="G1" s="351"/>
    </row>
    <row r="2" spans="2:11" ht="62.4">
      <c r="B2" s="114"/>
      <c r="C2" s="116" t="s">
        <v>0</v>
      </c>
      <c r="D2" s="116" t="s">
        <v>161</v>
      </c>
      <c r="E2" s="117" t="s">
        <v>157</v>
      </c>
      <c r="F2" s="118" t="s">
        <v>155</v>
      </c>
      <c r="G2" s="154" t="s">
        <v>1</v>
      </c>
    </row>
    <row r="3" spans="2:11" ht="15.6">
      <c r="B3" s="114"/>
      <c r="C3" s="119" t="s">
        <v>93</v>
      </c>
      <c r="D3" s="120">
        <v>386.51063829787233</v>
      </c>
      <c r="E3" s="121">
        <v>94</v>
      </c>
      <c r="F3" s="122">
        <v>10000</v>
      </c>
      <c r="G3" s="155">
        <f>E3*D3*F3/10000000</f>
        <v>36.332000000000001</v>
      </c>
      <c r="H3" s="123"/>
    </row>
    <row r="4" spans="2:11" ht="15.6">
      <c r="B4" s="114"/>
      <c r="C4" s="124" t="s">
        <v>94</v>
      </c>
      <c r="D4" s="125">
        <v>577.80341880341882</v>
      </c>
      <c r="E4" s="126">
        <v>117</v>
      </c>
      <c r="F4" s="127">
        <v>10000</v>
      </c>
      <c r="G4" s="156">
        <f>E4*D4*F4/10000000</f>
        <v>67.602999999999994</v>
      </c>
      <c r="H4" s="123"/>
    </row>
    <row r="5" spans="2:11" ht="15.6">
      <c r="B5" s="114"/>
      <c r="C5" s="128" t="s">
        <v>49</v>
      </c>
      <c r="D5" s="129"/>
      <c r="E5" s="130"/>
      <c r="F5" s="131"/>
      <c r="G5" s="157">
        <f>E5*D5*F5/10000000</f>
        <v>0</v>
      </c>
      <c r="H5" s="123"/>
    </row>
    <row r="6" spans="2:11" ht="15.6">
      <c r="B6" s="114"/>
      <c r="C6" s="132" t="s">
        <v>95</v>
      </c>
      <c r="D6" s="133">
        <v>1369</v>
      </c>
      <c r="E6" s="134">
        <v>2</v>
      </c>
      <c r="F6" s="135">
        <v>15000</v>
      </c>
      <c r="G6" s="158">
        <f>E6*D6*F6/10000000</f>
        <v>4.1070000000000002</v>
      </c>
      <c r="H6" s="123"/>
      <c r="J6" s="114" t="s">
        <v>1</v>
      </c>
    </row>
    <row r="7" spans="2:11" ht="15.6">
      <c r="B7" s="114"/>
      <c r="C7" s="136" t="s">
        <v>158</v>
      </c>
      <c r="D7" s="137"/>
      <c r="E7" s="138"/>
      <c r="F7" s="139"/>
      <c r="G7" s="159">
        <f>E7*D7*F7/10000000</f>
        <v>0</v>
      </c>
      <c r="H7" s="123"/>
      <c r="J7" s="370">
        <f>G8+27.37</f>
        <v>135.41200000000001</v>
      </c>
      <c r="K7" s="370"/>
    </row>
    <row r="8" spans="2:11" ht="15.6">
      <c r="B8" s="114"/>
      <c r="C8" s="352" t="s">
        <v>17</v>
      </c>
      <c r="D8" s="352"/>
      <c r="E8" s="352"/>
      <c r="F8" s="352"/>
      <c r="G8" s="160">
        <f>SUM(G3:G7)</f>
        <v>108.042</v>
      </c>
      <c r="H8" s="140"/>
    </row>
    <row r="9" spans="2:11">
      <c r="B9" s="114"/>
      <c r="G9" s="141"/>
    </row>
    <row r="10" spans="2:11" ht="15.6">
      <c r="C10" s="353" t="s">
        <v>59</v>
      </c>
      <c r="D10" s="354"/>
      <c r="E10" s="354"/>
      <c r="F10" s="354"/>
      <c r="G10" s="354"/>
      <c r="H10" s="355"/>
    </row>
    <row r="11" spans="2:11" ht="46.8">
      <c r="C11" s="143" t="s">
        <v>22</v>
      </c>
      <c r="D11" s="143" t="s">
        <v>21</v>
      </c>
      <c r="E11" s="144" t="s">
        <v>18</v>
      </c>
      <c r="F11" s="145" t="s">
        <v>19</v>
      </c>
      <c r="G11" s="161" t="s">
        <v>20</v>
      </c>
      <c r="H11" s="162" t="s">
        <v>156</v>
      </c>
    </row>
    <row r="12" spans="2:11" ht="15.6">
      <c r="C12" s="146">
        <v>1</v>
      </c>
      <c r="D12" s="147">
        <v>44896</v>
      </c>
      <c r="E12" s="148" t="s">
        <v>116</v>
      </c>
      <c r="F12" s="149">
        <v>0.1</v>
      </c>
      <c r="G12" s="163">
        <f>SUM($F$12:F12)</f>
        <v>0.1</v>
      </c>
      <c r="H12" s="164" t="str">
        <f>IF(MONTH(D12)&lt;4,YEAR(D12)-1 &amp; "-" &amp; YEAR(D12),YEAR(D12) &amp; "-" &amp; YEAR(D12)+1)</f>
        <v>2022-2023</v>
      </c>
      <c r="K12" s="152"/>
    </row>
    <row r="13" spans="2:11" ht="15.6">
      <c r="C13" s="146">
        <v>2</v>
      </c>
      <c r="D13" s="147">
        <v>44986</v>
      </c>
      <c r="E13" s="148" t="s">
        <v>114</v>
      </c>
      <c r="F13" s="149">
        <v>0.05</v>
      </c>
      <c r="G13" s="163">
        <f>SUM($F$12:F13)</f>
        <v>0.15000000000000002</v>
      </c>
      <c r="H13" s="164" t="str">
        <f t="shared" ref="H13:H41" si="0">IF(MONTH(D13)&lt;4,YEAR(D13)-1 &amp; "-" &amp; YEAR(D13),YEAR(D13) &amp; "-" &amp; YEAR(D13)+1)</f>
        <v>2022-2023</v>
      </c>
    </row>
    <row r="14" spans="2:11" ht="15.6">
      <c r="C14" s="146">
        <v>3</v>
      </c>
      <c r="D14" s="147">
        <v>45078</v>
      </c>
      <c r="E14" s="148" t="s">
        <v>117</v>
      </c>
      <c r="F14" s="149">
        <v>0.05</v>
      </c>
      <c r="G14" s="163">
        <f>SUM($F$12:F14)</f>
        <v>0.2</v>
      </c>
      <c r="H14" s="164" t="str">
        <f t="shared" si="0"/>
        <v>2023-2024</v>
      </c>
    </row>
    <row r="15" spans="2:11" ht="15.6">
      <c r="C15" s="146">
        <v>4</v>
      </c>
      <c r="D15" s="147">
        <v>45170</v>
      </c>
      <c r="E15" s="148" t="s">
        <v>67</v>
      </c>
      <c r="F15" s="149">
        <v>2.5000000000000001E-2</v>
      </c>
      <c r="G15" s="163">
        <f>SUM($F$12:F15)</f>
        <v>0.22500000000000001</v>
      </c>
      <c r="H15" s="164" t="str">
        <f t="shared" si="0"/>
        <v>2023-2024</v>
      </c>
    </row>
    <row r="16" spans="2:11" ht="15.6">
      <c r="C16" s="146">
        <v>5</v>
      </c>
      <c r="D16" s="147">
        <v>45261</v>
      </c>
      <c r="E16" s="148" t="s">
        <v>105</v>
      </c>
      <c r="F16" s="149">
        <v>2.5000000000000001E-2</v>
      </c>
      <c r="G16" s="163">
        <f>SUM($F$12:F16)</f>
        <v>0.25</v>
      </c>
      <c r="H16" s="164" t="str">
        <f t="shared" si="0"/>
        <v>2023-2024</v>
      </c>
    </row>
    <row r="17" spans="3:8" ht="15.6">
      <c r="C17" s="146">
        <v>6</v>
      </c>
      <c r="D17" s="147">
        <v>45352</v>
      </c>
      <c r="E17" s="148" t="s">
        <v>106</v>
      </c>
      <c r="F17" s="149">
        <v>2.5000000000000001E-2</v>
      </c>
      <c r="G17" s="163">
        <f>SUM($F$12:F17)</f>
        <v>0.27500000000000002</v>
      </c>
      <c r="H17" s="164" t="str">
        <f t="shared" si="0"/>
        <v>2023-2024</v>
      </c>
    </row>
    <row r="18" spans="3:8" ht="15.6">
      <c r="C18" s="146">
        <v>7</v>
      </c>
      <c r="D18" s="147">
        <v>45444</v>
      </c>
      <c r="E18" s="148" t="s">
        <v>96</v>
      </c>
      <c r="F18" s="149">
        <v>2.5000000000000001E-2</v>
      </c>
      <c r="G18" s="163">
        <f>SUM($F$12:F18)</f>
        <v>0.30000000000000004</v>
      </c>
      <c r="H18" s="164" t="str">
        <f t="shared" si="0"/>
        <v>2024-2025</v>
      </c>
    </row>
    <row r="19" spans="3:8" ht="15.6">
      <c r="C19" s="146">
        <v>8</v>
      </c>
      <c r="D19" s="147">
        <v>45536</v>
      </c>
      <c r="E19" s="148" t="s">
        <v>107</v>
      </c>
      <c r="F19" s="149">
        <v>2.5000000000000001E-2</v>
      </c>
      <c r="G19" s="163">
        <f>SUM($F$12:F19)</f>
        <v>0.32500000000000007</v>
      </c>
      <c r="H19" s="164" t="str">
        <f t="shared" si="0"/>
        <v>2024-2025</v>
      </c>
    </row>
    <row r="20" spans="3:8" ht="15.6">
      <c r="C20" s="146">
        <v>9</v>
      </c>
      <c r="D20" s="147">
        <v>45627</v>
      </c>
      <c r="E20" s="148" t="s">
        <v>97</v>
      </c>
      <c r="F20" s="149">
        <v>2.5000000000000001E-2</v>
      </c>
      <c r="G20" s="163">
        <f>SUM($F$12:F20)</f>
        <v>0.35000000000000009</v>
      </c>
      <c r="H20" s="164" t="str">
        <f t="shared" si="0"/>
        <v>2024-2025</v>
      </c>
    </row>
    <row r="21" spans="3:8" ht="15.6">
      <c r="C21" s="146">
        <v>10</v>
      </c>
      <c r="D21" s="147">
        <v>45717</v>
      </c>
      <c r="E21" s="148" t="s">
        <v>108</v>
      </c>
      <c r="F21" s="149">
        <v>2.5000000000000001E-2</v>
      </c>
      <c r="G21" s="163">
        <f>SUM($F$12:F21)</f>
        <v>0.37500000000000011</v>
      </c>
      <c r="H21" s="164" t="str">
        <f t="shared" si="0"/>
        <v>2024-2025</v>
      </c>
    </row>
    <row r="22" spans="3:8" ht="15.6">
      <c r="C22" s="146">
        <v>11</v>
      </c>
      <c r="D22" s="147">
        <v>45809</v>
      </c>
      <c r="E22" s="148" t="s">
        <v>98</v>
      </c>
      <c r="F22" s="149">
        <v>2.5000000000000001E-2</v>
      </c>
      <c r="G22" s="163">
        <f>SUM($F$12:F22)</f>
        <v>0.40000000000000013</v>
      </c>
      <c r="H22" s="164" t="str">
        <f t="shared" si="0"/>
        <v>2025-2026</v>
      </c>
    </row>
    <row r="23" spans="3:8" ht="15.6">
      <c r="C23" s="146">
        <v>12</v>
      </c>
      <c r="D23" s="147">
        <v>45901</v>
      </c>
      <c r="E23" s="148" t="s">
        <v>99</v>
      </c>
      <c r="F23" s="149">
        <v>2.5000000000000001E-2</v>
      </c>
      <c r="G23" s="163">
        <f>SUM($F$12:F23)</f>
        <v>0.42500000000000016</v>
      </c>
      <c r="H23" s="164" t="str">
        <f t="shared" si="0"/>
        <v>2025-2026</v>
      </c>
    </row>
    <row r="24" spans="3:8" ht="15.6">
      <c r="C24" s="146">
        <v>13</v>
      </c>
      <c r="D24" s="147">
        <v>45992</v>
      </c>
      <c r="E24" s="148" t="s">
        <v>109</v>
      </c>
      <c r="F24" s="149">
        <v>2.5000000000000001E-2</v>
      </c>
      <c r="G24" s="163">
        <f>SUM($F$12:F24)</f>
        <v>0.45000000000000018</v>
      </c>
      <c r="H24" s="164" t="str">
        <f t="shared" si="0"/>
        <v>2025-2026</v>
      </c>
    </row>
    <row r="25" spans="3:8" ht="15.6">
      <c r="C25" s="146">
        <v>14</v>
      </c>
      <c r="D25" s="147">
        <v>46082</v>
      </c>
      <c r="E25" s="148" t="s">
        <v>110</v>
      </c>
      <c r="F25" s="149">
        <v>2.5000000000000001E-2</v>
      </c>
      <c r="G25" s="163">
        <f>SUM($F$12:F25)</f>
        <v>0.4750000000000002</v>
      </c>
      <c r="H25" s="164" t="str">
        <f t="shared" si="0"/>
        <v>2025-2026</v>
      </c>
    </row>
    <row r="26" spans="3:8" ht="15.6">
      <c r="C26" s="146">
        <v>15</v>
      </c>
      <c r="D26" s="147">
        <v>46174</v>
      </c>
      <c r="E26" s="148" t="s">
        <v>112</v>
      </c>
      <c r="F26" s="149">
        <v>2.5000000000000001E-2</v>
      </c>
      <c r="G26" s="163">
        <f>SUM($F$12:F26)</f>
        <v>0.50000000000000022</v>
      </c>
      <c r="H26" s="164" t="str">
        <f t="shared" si="0"/>
        <v>2026-2027</v>
      </c>
    </row>
    <row r="27" spans="3:8" ht="15.6">
      <c r="C27" s="146">
        <v>16</v>
      </c>
      <c r="D27" s="147">
        <v>46266</v>
      </c>
      <c r="E27" s="148" t="s">
        <v>111</v>
      </c>
      <c r="F27" s="149">
        <v>2.5000000000000001E-2</v>
      </c>
      <c r="G27" s="163">
        <f>SUM($F$12:F27)</f>
        <v>0.52500000000000024</v>
      </c>
      <c r="H27" s="164" t="str">
        <f t="shared" si="0"/>
        <v>2026-2027</v>
      </c>
    </row>
    <row r="28" spans="3:8" ht="15.6">
      <c r="C28" s="146">
        <v>17</v>
      </c>
      <c r="D28" s="147">
        <v>46357</v>
      </c>
      <c r="E28" s="148" t="s">
        <v>100</v>
      </c>
      <c r="F28" s="149">
        <v>2.5000000000000001E-2</v>
      </c>
      <c r="G28" s="163">
        <f>SUM($F$12:F28)</f>
        <v>0.55000000000000027</v>
      </c>
      <c r="H28" s="164" t="str">
        <f t="shared" si="0"/>
        <v>2026-2027</v>
      </c>
    </row>
    <row r="29" spans="3:8" ht="15.6">
      <c r="C29" s="146">
        <v>18</v>
      </c>
      <c r="D29" s="147">
        <v>46447</v>
      </c>
      <c r="E29" s="148" t="s">
        <v>100</v>
      </c>
      <c r="F29" s="149">
        <v>2.5000000000000001E-2</v>
      </c>
      <c r="G29" s="163">
        <f>SUM($F$12:F29)</f>
        <v>0.57500000000000029</v>
      </c>
      <c r="H29" s="164" t="str">
        <f t="shared" si="0"/>
        <v>2026-2027</v>
      </c>
    </row>
    <row r="30" spans="3:8" ht="15.6">
      <c r="C30" s="146">
        <v>19</v>
      </c>
      <c r="D30" s="147">
        <v>46539</v>
      </c>
      <c r="E30" s="148" t="s">
        <v>68</v>
      </c>
      <c r="F30" s="149">
        <v>2.5000000000000001E-2</v>
      </c>
      <c r="G30" s="163">
        <f>SUM($F$12:F30)</f>
        <v>0.60000000000000031</v>
      </c>
      <c r="H30" s="164" t="str">
        <f t="shared" si="0"/>
        <v>2027-2028</v>
      </c>
    </row>
    <row r="31" spans="3:8" ht="15.6">
      <c r="C31" s="146">
        <v>20</v>
      </c>
      <c r="D31" s="147">
        <v>46631</v>
      </c>
      <c r="E31" s="148" t="s">
        <v>68</v>
      </c>
      <c r="F31" s="149">
        <v>2.5000000000000001E-2</v>
      </c>
      <c r="G31" s="163">
        <f>SUM($F$12:F31)</f>
        <v>0.62500000000000033</v>
      </c>
      <c r="H31" s="164" t="str">
        <f t="shared" si="0"/>
        <v>2027-2028</v>
      </c>
    </row>
    <row r="32" spans="3:8" ht="15.6">
      <c r="C32" s="146">
        <v>21</v>
      </c>
      <c r="D32" s="147">
        <v>46722</v>
      </c>
      <c r="E32" s="153" t="s">
        <v>113</v>
      </c>
      <c r="F32" s="149">
        <v>2.5000000000000001E-2</v>
      </c>
      <c r="G32" s="163">
        <f>SUM($F$12:F32)</f>
        <v>0.65000000000000036</v>
      </c>
      <c r="H32" s="164" t="str">
        <f t="shared" si="0"/>
        <v>2027-2028</v>
      </c>
    </row>
    <row r="33" spans="3:8" ht="15.6">
      <c r="C33" s="146">
        <v>22</v>
      </c>
      <c r="D33" s="147">
        <v>46813</v>
      </c>
      <c r="E33" s="148" t="s">
        <v>101</v>
      </c>
      <c r="F33" s="149">
        <v>0.05</v>
      </c>
      <c r="G33" s="163">
        <f>SUM($F$12:F33)</f>
        <v>0.7000000000000004</v>
      </c>
      <c r="H33" s="164" t="str">
        <f t="shared" si="0"/>
        <v>2027-2028</v>
      </c>
    </row>
    <row r="34" spans="3:8" ht="15.6">
      <c r="C34" s="146">
        <v>23</v>
      </c>
      <c r="D34" s="147">
        <v>46905</v>
      </c>
      <c r="E34" s="148" t="s">
        <v>102</v>
      </c>
      <c r="F34" s="149">
        <v>0.05</v>
      </c>
      <c r="G34" s="163">
        <f>SUM($F$12:F34)</f>
        <v>0.75000000000000044</v>
      </c>
      <c r="H34" s="164" t="str">
        <f t="shared" si="0"/>
        <v>2028-2029</v>
      </c>
    </row>
    <row r="35" spans="3:8" ht="15.6">
      <c r="C35" s="146">
        <v>24</v>
      </c>
      <c r="D35" s="147">
        <v>46997</v>
      </c>
      <c r="E35" s="148" t="s">
        <v>102</v>
      </c>
      <c r="F35" s="149">
        <v>0.05</v>
      </c>
      <c r="G35" s="163">
        <f>SUM($F$12:F35)</f>
        <v>0.80000000000000049</v>
      </c>
      <c r="H35" s="164" t="str">
        <f t="shared" si="0"/>
        <v>2028-2029</v>
      </c>
    </row>
    <row r="36" spans="3:8" ht="15.6">
      <c r="C36" s="146">
        <v>25</v>
      </c>
      <c r="D36" s="147">
        <v>47088</v>
      </c>
      <c r="E36" s="148" t="s">
        <v>103</v>
      </c>
      <c r="F36" s="149">
        <v>0</v>
      </c>
      <c r="G36" s="163">
        <f>SUM($F$12:F36)</f>
        <v>0.80000000000000049</v>
      </c>
      <c r="H36" s="164" t="str">
        <f t="shared" si="0"/>
        <v>2028-2029</v>
      </c>
    </row>
    <row r="37" spans="3:8" ht="15.6">
      <c r="C37" s="146">
        <v>26</v>
      </c>
      <c r="D37" s="147">
        <v>47178</v>
      </c>
      <c r="E37" s="148" t="s">
        <v>104</v>
      </c>
      <c r="F37" s="149">
        <v>0.1</v>
      </c>
      <c r="G37" s="163">
        <f>SUM($F$12:F37)</f>
        <v>0.90000000000000047</v>
      </c>
      <c r="H37" s="164" t="str">
        <f t="shared" si="0"/>
        <v>2028-2029</v>
      </c>
    </row>
    <row r="38" spans="3:8" ht="15.6">
      <c r="C38" s="146">
        <v>27</v>
      </c>
      <c r="D38" s="147">
        <v>47270</v>
      </c>
      <c r="E38" s="148" t="s">
        <v>104</v>
      </c>
      <c r="F38" s="149">
        <v>0.1</v>
      </c>
      <c r="G38" s="163">
        <f>SUM($F$12:F38)</f>
        <v>1.0000000000000004</v>
      </c>
      <c r="H38" s="164" t="str">
        <f t="shared" si="0"/>
        <v>2029-2030</v>
      </c>
    </row>
    <row r="39" spans="3:8" ht="15.6">
      <c r="C39" s="146">
        <v>28</v>
      </c>
      <c r="D39" s="147">
        <v>47362</v>
      </c>
      <c r="E39" s="148" t="s">
        <v>104</v>
      </c>
      <c r="F39" s="149">
        <v>0</v>
      </c>
      <c r="G39" s="163">
        <f>SUM($F$12:F39)</f>
        <v>1.0000000000000004</v>
      </c>
      <c r="H39" s="164" t="str">
        <f t="shared" si="0"/>
        <v>2029-2030</v>
      </c>
    </row>
    <row r="40" spans="3:8" ht="15.6">
      <c r="C40" s="146">
        <v>29</v>
      </c>
      <c r="D40" s="147">
        <v>47453</v>
      </c>
      <c r="E40" s="148" t="s">
        <v>104</v>
      </c>
      <c r="F40" s="149">
        <v>0</v>
      </c>
      <c r="G40" s="163">
        <f>SUM($F$12:F40)</f>
        <v>1.0000000000000004</v>
      </c>
      <c r="H40" s="164" t="str">
        <f t="shared" si="0"/>
        <v>2029-2030</v>
      </c>
    </row>
    <row r="41" spans="3:8" ht="15.6">
      <c r="C41" s="146">
        <v>30</v>
      </c>
      <c r="D41" s="147">
        <v>47543</v>
      </c>
      <c r="E41" s="148" t="s">
        <v>104</v>
      </c>
      <c r="F41" s="149">
        <v>0</v>
      </c>
      <c r="G41" s="150">
        <f>SUM($F$12:F41)</f>
        <v>1.0000000000000004</v>
      </c>
      <c r="H41" s="151" t="str">
        <f t="shared" si="0"/>
        <v>2029-2030</v>
      </c>
    </row>
  </sheetData>
  <sheetProtection sheet="1" objects="1" scenarios="1"/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32"/>
  <sheetViews>
    <sheetView topLeftCell="A6" workbookViewId="0">
      <selection activeCell="G32" sqref="G32"/>
    </sheetView>
  </sheetViews>
  <sheetFormatPr defaultColWidth="12" defaultRowHeight="14.4"/>
  <cols>
    <col min="1" max="2" width="12" style="115"/>
    <col min="3" max="3" width="14.6640625" style="115" bestFit="1" customWidth="1"/>
    <col min="4" max="4" width="28.77734375" style="115" bestFit="1" customWidth="1"/>
    <col min="5" max="5" width="6.44140625" style="115" bestFit="1" customWidth="1"/>
    <col min="6" max="6" width="11.33203125" style="115" bestFit="1" customWidth="1"/>
    <col min="7" max="7" width="8.6640625" style="115" bestFit="1" customWidth="1"/>
    <col min="8" max="8" width="6.6640625" style="115" bestFit="1" customWidth="1"/>
    <col min="9" max="9" width="7.44140625" style="115" bestFit="1" customWidth="1"/>
    <col min="10" max="10" width="10.77734375" style="114" bestFit="1" customWidth="1"/>
    <col min="11" max="11" width="11.77734375" style="114" bestFit="1" customWidth="1"/>
    <col min="12" max="42" width="12" style="114"/>
    <col min="43" max="43" width="12" style="115"/>
    <col min="44" max="16384" width="12" style="114"/>
  </cols>
  <sheetData>
    <row r="1" spans="1:17" ht="15.6">
      <c r="A1" s="351" t="s">
        <v>159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46.8">
      <c r="A2" s="179" t="s">
        <v>22</v>
      </c>
      <c r="B2" s="180" t="s">
        <v>21</v>
      </c>
      <c r="C2" s="181" t="s">
        <v>156</v>
      </c>
      <c r="D2" s="165" t="s">
        <v>23</v>
      </c>
      <c r="E2" s="166" t="str">
        <f>'Implementation and Revenue'!C3</f>
        <v>1BHK</v>
      </c>
      <c r="F2" s="166" t="str">
        <f>'Implementation and Revenue'!C4</f>
        <v>2 BHK</v>
      </c>
      <c r="G2" s="166" t="str">
        <f>'Implementation and Revenue'!C5</f>
        <v>3 BHK</v>
      </c>
      <c r="H2" s="166" t="str">
        <f>'Implementation and Revenue'!C6</f>
        <v>Shops</v>
      </c>
      <c r="I2" s="166" t="str">
        <f>'Implementation and Revenue'!C7</f>
        <v>Offices</v>
      </c>
      <c r="J2" s="184" t="s">
        <v>55</v>
      </c>
      <c r="K2" s="184" t="s">
        <v>56</v>
      </c>
      <c r="L2" s="185" t="s">
        <v>50</v>
      </c>
      <c r="M2" s="185" t="s">
        <v>51</v>
      </c>
      <c r="N2" s="186" t="s">
        <v>52</v>
      </c>
      <c r="O2" s="187" t="s">
        <v>53</v>
      </c>
      <c r="P2" s="188" t="s">
        <v>160</v>
      </c>
      <c r="Q2" s="189" t="s">
        <v>54</v>
      </c>
    </row>
    <row r="3" spans="1:17" ht="19.05" customHeight="1">
      <c r="A3" s="179">
        <v>1</v>
      </c>
      <c r="B3" s="182">
        <f>'Implementation and Revenue'!D12</f>
        <v>44896</v>
      </c>
      <c r="C3" s="183" t="str">
        <f>IF(MONTH(B3)&lt;4,YEAR(B3)-1 &amp; "-" &amp; YEAR(B3),YEAR(B3) &amp; "-" &amp; YEAR(B3)+1)</f>
        <v>2022-2023</v>
      </c>
      <c r="D3" s="167" t="str">
        <f>'Implementation and Revenue'!E12</f>
        <v>Excavation &amp; Piling</v>
      </c>
      <c r="E3" s="168"/>
      <c r="F3" s="168"/>
      <c r="G3" s="168"/>
      <c r="H3" s="168"/>
      <c r="I3" s="168"/>
      <c r="J3" s="190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90">
        <f>SUM($J$3:J3)</f>
        <v>0</v>
      </c>
      <c r="L3" s="191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91">
        <f>SUM($L$3:L3)</f>
        <v>0</v>
      </c>
      <c r="N3" s="192">
        <f>VLOOKUP(B3,'Implementation and Revenue'!$D$12:$G$40,3,FALSE)</f>
        <v>0.1</v>
      </c>
      <c r="O3" s="192">
        <f>VLOOKUP(B3,'Implementation and Revenue'!$D$12:$G$40,4,FALSE)</f>
        <v>0.1</v>
      </c>
      <c r="P3" s="193">
        <f>M3*O3</f>
        <v>0</v>
      </c>
      <c r="Q3" s="194">
        <f>M3*O3</f>
        <v>0</v>
      </c>
    </row>
    <row r="4" spans="1:17" ht="19.05" customHeight="1">
      <c r="A4" s="179">
        <v>2</v>
      </c>
      <c r="B4" s="182">
        <f>'Implementation and Revenue'!D13</f>
        <v>44986</v>
      </c>
      <c r="C4" s="183" t="str">
        <f t="shared" ref="C4:C31" si="0">IF(MONTH(B4)&lt;4,YEAR(B4)-1 &amp; "-" &amp; YEAR(B4),YEAR(B4) &amp; "-" &amp; YEAR(B4)+1)</f>
        <v>2022-2023</v>
      </c>
      <c r="D4" s="167" t="str">
        <f>'Implementation and Revenue'!E13</f>
        <v>Plinth</v>
      </c>
      <c r="E4" s="168"/>
      <c r="F4" s="168">
        <v>1</v>
      </c>
      <c r="G4" s="168"/>
      <c r="H4" s="168"/>
      <c r="I4" s="168"/>
      <c r="J4" s="190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577.80341880341882</v>
      </c>
      <c r="K4" s="190">
        <f>J4+K3</f>
        <v>577.80341880341882</v>
      </c>
      <c r="L4" s="191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0.57780341880341879</v>
      </c>
      <c r="M4" s="191">
        <f>SUM($L$3:L4)</f>
        <v>0.57780341880341879</v>
      </c>
      <c r="N4" s="192">
        <f>VLOOKUP(B4,'Implementation and Revenue'!$D$12:$G$40,3,FALSE)</f>
        <v>0.05</v>
      </c>
      <c r="O4" s="192">
        <f>VLOOKUP(B4,'Implementation and Revenue'!$D$12:$G$40,4,FALSE)</f>
        <v>0.15000000000000002</v>
      </c>
      <c r="P4" s="193">
        <f t="shared" ref="P4:P12" si="1">M4*O4</f>
        <v>8.6670512820512829E-2</v>
      </c>
      <c r="Q4" s="195">
        <f>(L4*O4)+(M3*N4)</f>
        <v>8.6670512820512829E-2</v>
      </c>
    </row>
    <row r="5" spans="1:17" ht="19.05" customHeight="1">
      <c r="A5" s="179">
        <v>3</v>
      </c>
      <c r="B5" s="182">
        <f>'Implementation and Revenue'!D14</f>
        <v>45078</v>
      </c>
      <c r="C5" s="183" t="str">
        <f t="shared" si="0"/>
        <v>2023-2024</v>
      </c>
      <c r="D5" s="167" t="str">
        <f>'Implementation and Revenue'!E14</f>
        <v>Podium</v>
      </c>
      <c r="E5" s="168"/>
      <c r="F5" s="168">
        <v>1</v>
      </c>
      <c r="G5" s="168"/>
      <c r="H5" s="168"/>
      <c r="I5" s="168"/>
      <c r="J5" s="190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577.80341880341882</v>
      </c>
      <c r="K5" s="190">
        <f t="shared" ref="K5:K12" si="2">J5+K4</f>
        <v>1155.6068376068376</v>
      </c>
      <c r="L5" s="191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0.57780341880341879</v>
      </c>
      <c r="M5" s="191">
        <f>SUM($L$3:L5)</f>
        <v>1.1556068376068376</v>
      </c>
      <c r="N5" s="192">
        <f>VLOOKUP(B5,'Implementation and Revenue'!$D$12:$G$40,3,FALSE)</f>
        <v>0.05</v>
      </c>
      <c r="O5" s="192">
        <f>VLOOKUP(B5,'Implementation and Revenue'!$D$12:$G$40,4,FALSE)</f>
        <v>0.2</v>
      </c>
      <c r="P5" s="193">
        <f t="shared" si="1"/>
        <v>0.23112136752136753</v>
      </c>
      <c r="Q5" s="195">
        <f t="shared" ref="Q5:Q12" si="3">(L5*O5)+(M4*N5)</f>
        <v>0.1444508547008547</v>
      </c>
    </row>
    <row r="6" spans="1:17" ht="19.05" customHeight="1">
      <c r="A6" s="179">
        <v>4</v>
      </c>
      <c r="B6" s="182">
        <f>'Implementation and Revenue'!D15</f>
        <v>45170</v>
      </c>
      <c r="C6" s="183" t="str">
        <f t="shared" si="0"/>
        <v>2023-2024</v>
      </c>
      <c r="D6" s="167" t="str">
        <f>'Implementation and Revenue'!E15</f>
        <v>Podium 2nd Slab</v>
      </c>
      <c r="E6" s="168">
        <v>2</v>
      </c>
      <c r="F6" s="168">
        <v>1</v>
      </c>
      <c r="G6" s="168"/>
      <c r="H6" s="168"/>
      <c r="I6" s="168"/>
      <c r="J6" s="190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1350.8246953991634</v>
      </c>
      <c r="K6" s="190">
        <f t="shared" si="2"/>
        <v>2506.4315330060008</v>
      </c>
      <c r="L6" s="191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1.3508246953991634</v>
      </c>
      <c r="M6" s="191">
        <f>SUM($L$3:L6)</f>
        <v>2.5064315330060012</v>
      </c>
      <c r="N6" s="192">
        <f>VLOOKUP(B6,'Implementation and Revenue'!$D$12:$G$40,3,FALSE)</f>
        <v>2.5000000000000001E-2</v>
      </c>
      <c r="O6" s="192">
        <f>VLOOKUP(B6,'Implementation and Revenue'!$D$12:$G$40,4,FALSE)</f>
        <v>0.22500000000000001</v>
      </c>
      <c r="P6" s="193">
        <f t="shared" si="1"/>
        <v>0.56394709492635031</v>
      </c>
      <c r="Q6" s="195">
        <f t="shared" si="3"/>
        <v>0.33282572740498273</v>
      </c>
    </row>
    <row r="7" spans="1:17" ht="19.05" customHeight="1">
      <c r="A7" s="179">
        <v>5</v>
      </c>
      <c r="B7" s="182">
        <f>'Implementation and Revenue'!D16</f>
        <v>45261</v>
      </c>
      <c r="C7" s="183" t="str">
        <f t="shared" si="0"/>
        <v>2023-2024</v>
      </c>
      <c r="D7" s="167" t="str">
        <f>'Implementation and Revenue'!E16</f>
        <v>Podium 4th Slab</v>
      </c>
      <c r="E7" s="168">
        <v>4</v>
      </c>
      <c r="F7" s="168">
        <v>3</v>
      </c>
      <c r="G7" s="168">
        <v>1</v>
      </c>
      <c r="H7" s="168"/>
      <c r="I7" s="168"/>
      <c r="J7" s="190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3279.4528096017457</v>
      </c>
      <c r="K7" s="190">
        <f t="shared" si="2"/>
        <v>5785.8843426077465</v>
      </c>
      <c r="L7" s="191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3.2794528096017457</v>
      </c>
      <c r="M7" s="191">
        <f>SUM($L$3:L7)</f>
        <v>5.7858843426077469</v>
      </c>
      <c r="N7" s="192">
        <f>VLOOKUP(B7,'Implementation and Revenue'!$D$12:$G$40,3,FALSE)</f>
        <v>2.5000000000000001E-2</v>
      </c>
      <c r="O7" s="192">
        <f>VLOOKUP(B7,'Implementation and Revenue'!$D$12:$G$40,4,FALSE)</f>
        <v>0.25</v>
      </c>
      <c r="P7" s="193">
        <f t="shared" si="1"/>
        <v>1.4464710856519367</v>
      </c>
      <c r="Q7" s="195">
        <f t="shared" si="3"/>
        <v>0.8825239907255864</v>
      </c>
    </row>
    <row r="8" spans="1:17" ht="19.05" customHeight="1">
      <c r="A8" s="179">
        <v>6</v>
      </c>
      <c r="B8" s="182">
        <f>'Implementation and Revenue'!D17</f>
        <v>45352</v>
      </c>
      <c r="C8" s="183" t="str">
        <f t="shared" si="0"/>
        <v>2023-2024</v>
      </c>
      <c r="D8" s="167" t="str">
        <f>'Implementation and Revenue'!E17</f>
        <v>3rd Slab</v>
      </c>
      <c r="E8" s="168">
        <v>3</v>
      </c>
      <c r="F8" s="168">
        <v>2</v>
      </c>
      <c r="G8" s="168">
        <v>2</v>
      </c>
      <c r="H8" s="168"/>
      <c r="I8" s="168"/>
      <c r="J8" s="190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2315.1387525004548</v>
      </c>
      <c r="K8" s="190">
        <f t="shared" si="2"/>
        <v>8101.0230951082012</v>
      </c>
      <c r="L8" s="191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2.3151387525004545</v>
      </c>
      <c r="M8" s="191">
        <f>SUM($L$3:L8)</f>
        <v>8.1010230951082018</v>
      </c>
      <c r="N8" s="192">
        <f>VLOOKUP(B8,'Implementation and Revenue'!$D$12:$G$40,3,FALSE)</f>
        <v>2.5000000000000001E-2</v>
      </c>
      <c r="O8" s="192">
        <f>VLOOKUP(B8,'Implementation and Revenue'!$D$12:$G$40,4,FALSE)</f>
        <v>0.27500000000000002</v>
      </c>
      <c r="P8" s="193">
        <f t="shared" si="1"/>
        <v>2.2277813511547557</v>
      </c>
      <c r="Q8" s="195">
        <f t="shared" si="3"/>
        <v>0.78131026550281879</v>
      </c>
    </row>
    <row r="9" spans="1:17" s="169" customFormat="1" ht="19.05" customHeight="1">
      <c r="A9" s="179">
        <v>7</v>
      </c>
      <c r="B9" s="182">
        <f>'Implementation and Revenue'!D18</f>
        <v>45444</v>
      </c>
      <c r="C9" s="183" t="str">
        <f t="shared" si="0"/>
        <v>2024-2025</v>
      </c>
      <c r="D9" s="167" t="str">
        <f>'Implementation and Revenue'!E18</f>
        <v>6th Slab</v>
      </c>
      <c r="E9" s="168">
        <v>4</v>
      </c>
      <c r="F9" s="168">
        <v>2</v>
      </c>
      <c r="G9" s="168">
        <v>3</v>
      </c>
      <c r="H9" s="168"/>
      <c r="I9" s="168"/>
      <c r="J9" s="190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2701.6493907983267</v>
      </c>
      <c r="K9" s="190">
        <f t="shared" si="2"/>
        <v>10802.672485906529</v>
      </c>
      <c r="L9" s="191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2.7016493907983268</v>
      </c>
      <c r="M9" s="191">
        <f>SUM($L$3:L9)</f>
        <v>10.802672485906529</v>
      </c>
      <c r="N9" s="192">
        <f>VLOOKUP(B9,'Implementation and Revenue'!$D$12:$G$40,3,FALSE)</f>
        <v>2.5000000000000001E-2</v>
      </c>
      <c r="O9" s="192">
        <f>VLOOKUP(B9,'Implementation and Revenue'!$D$12:$G$40,4,FALSE)</f>
        <v>0.30000000000000004</v>
      </c>
      <c r="P9" s="193">
        <f t="shared" si="1"/>
        <v>3.2408017457719591</v>
      </c>
      <c r="Q9" s="195">
        <f t="shared" si="3"/>
        <v>1.0130203946172032</v>
      </c>
    </row>
    <row r="10" spans="1:17" ht="19.05" customHeight="1">
      <c r="A10" s="179">
        <v>8</v>
      </c>
      <c r="B10" s="182">
        <f>'Implementation and Revenue'!D19</f>
        <v>45536</v>
      </c>
      <c r="C10" s="183" t="str">
        <f t="shared" si="0"/>
        <v>2024-2025</v>
      </c>
      <c r="D10" s="167" t="str">
        <f>'Implementation and Revenue'!E19</f>
        <v>9th Slab</v>
      </c>
      <c r="E10" s="168">
        <v>5</v>
      </c>
      <c r="F10" s="168">
        <v>5</v>
      </c>
      <c r="G10" s="168">
        <v>3</v>
      </c>
      <c r="H10" s="168"/>
      <c r="I10" s="168"/>
      <c r="J10" s="190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4821.5702855064555</v>
      </c>
      <c r="K10" s="190">
        <f t="shared" si="2"/>
        <v>15624.242771412984</v>
      </c>
      <c r="L10" s="191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4.8215702855064562</v>
      </c>
      <c r="M10" s="191">
        <f>SUM($L$3:L10)</f>
        <v>15.624242771412984</v>
      </c>
      <c r="N10" s="192">
        <f>VLOOKUP(B10,'Implementation and Revenue'!$D$12:$G$40,3,FALSE)</f>
        <v>2.5000000000000001E-2</v>
      </c>
      <c r="O10" s="192">
        <f>VLOOKUP(B10,'Implementation and Revenue'!$D$12:$G$40,4,FALSE)</f>
        <v>0.32500000000000007</v>
      </c>
      <c r="P10" s="193">
        <f>M10*O10</f>
        <v>5.0778789007092211</v>
      </c>
      <c r="Q10" s="195">
        <f>(L10*O10)+(M9*N10)</f>
        <v>1.8370771549372618</v>
      </c>
    </row>
    <row r="11" spans="1:17" ht="19.05" customHeight="1">
      <c r="A11" s="179">
        <v>9</v>
      </c>
      <c r="B11" s="182">
        <f>'Implementation and Revenue'!D20</f>
        <v>45627</v>
      </c>
      <c r="C11" s="183" t="str">
        <f t="shared" si="0"/>
        <v>2024-2025</v>
      </c>
      <c r="D11" s="167" t="str">
        <f>'Implementation and Revenue'!E20</f>
        <v>12th Slab</v>
      </c>
      <c r="E11" s="168">
        <v>5</v>
      </c>
      <c r="F11" s="168">
        <v>3</v>
      </c>
      <c r="G11" s="168">
        <v>3</v>
      </c>
      <c r="H11" s="168"/>
      <c r="I11" s="168"/>
      <c r="J11" s="190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3665.9634478996181</v>
      </c>
      <c r="K11" s="190">
        <f t="shared" si="2"/>
        <v>19290.206219312604</v>
      </c>
      <c r="L11" s="191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3.6659634478996184</v>
      </c>
      <c r="M11" s="191">
        <f>SUM($L$3:L11)</f>
        <v>19.290206219312601</v>
      </c>
      <c r="N11" s="192">
        <f>VLOOKUP(B11,'Implementation and Revenue'!$D$12:$G$40,3,FALSE)</f>
        <v>2.5000000000000001E-2</v>
      </c>
      <c r="O11" s="192">
        <f>VLOOKUP(B11,'Implementation and Revenue'!$D$12:$G$40,4,FALSE)</f>
        <v>0.35000000000000009</v>
      </c>
      <c r="P11" s="193">
        <f t="shared" si="1"/>
        <v>6.7515721767594119</v>
      </c>
      <c r="Q11" s="195">
        <f t="shared" si="3"/>
        <v>1.6736932760501912</v>
      </c>
    </row>
    <row r="12" spans="1:17" ht="19.05" customHeight="1">
      <c r="A12" s="179">
        <v>10</v>
      </c>
      <c r="B12" s="182">
        <f>'Implementation and Revenue'!D21</f>
        <v>45717</v>
      </c>
      <c r="C12" s="183" t="str">
        <f t="shared" si="0"/>
        <v>2024-2025</v>
      </c>
      <c r="D12" s="167" t="str">
        <f>'Implementation and Revenue'!E21</f>
        <v>15th Slab</v>
      </c>
      <c r="E12" s="168">
        <v>6</v>
      </c>
      <c r="F12" s="168">
        <v>3</v>
      </c>
      <c r="G12" s="168">
        <v>1</v>
      </c>
      <c r="H12" s="168"/>
      <c r="I12" s="168"/>
      <c r="J12" s="190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4052.4740861974901</v>
      </c>
      <c r="K12" s="190">
        <f t="shared" si="2"/>
        <v>23342.680305510094</v>
      </c>
      <c r="L12" s="191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4.0524740861974902</v>
      </c>
      <c r="M12" s="191">
        <f>SUM($L$3:L12)</f>
        <v>23.342680305510093</v>
      </c>
      <c r="N12" s="192">
        <f>VLOOKUP(B12,'Implementation and Revenue'!$D$12:$G$40,3,FALSE)</f>
        <v>2.5000000000000001E-2</v>
      </c>
      <c r="O12" s="192">
        <f>VLOOKUP(B12,'Implementation and Revenue'!$D$12:$G$40,4,FALSE)</f>
        <v>0.37500000000000011</v>
      </c>
      <c r="P12" s="193">
        <f t="shared" si="1"/>
        <v>8.7535051145662877</v>
      </c>
      <c r="Q12" s="195">
        <f t="shared" si="3"/>
        <v>2.0019329378068744</v>
      </c>
    </row>
    <row r="13" spans="1:17" ht="19.05" customHeight="1">
      <c r="A13" s="179">
        <v>11</v>
      </c>
      <c r="B13" s="182">
        <f>'Implementation and Revenue'!D22</f>
        <v>45809</v>
      </c>
      <c r="C13" s="183" t="str">
        <f t="shared" si="0"/>
        <v>2025-2026</v>
      </c>
      <c r="D13" s="167" t="str">
        <f>'Implementation and Revenue'!E22</f>
        <v>18th Slab</v>
      </c>
      <c r="E13" s="168">
        <v>4</v>
      </c>
      <c r="F13" s="168">
        <v>2</v>
      </c>
      <c r="G13" s="168">
        <v>2</v>
      </c>
      <c r="H13" s="168"/>
      <c r="I13" s="168"/>
      <c r="J13" s="190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2701.6493907983267</v>
      </c>
      <c r="K13" s="190">
        <f t="shared" ref="K13:K30" si="4">J13+K12</f>
        <v>26044.329696308421</v>
      </c>
      <c r="L13" s="191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2.7016493907983268</v>
      </c>
      <c r="M13" s="191">
        <f>SUM($L$3:L13)</f>
        <v>26.04432969630842</v>
      </c>
      <c r="N13" s="192">
        <f>VLOOKUP(B13,'Implementation and Revenue'!$D$12:$G$40,3,FALSE)</f>
        <v>2.5000000000000001E-2</v>
      </c>
      <c r="O13" s="192">
        <f>VLOOKUP(B13,'Implementation and Revenue'!$D$12:$G$40,4,FALSE)</f>
        <v>0.40000000000000013</v>
      </c>
      <c r="P13" s="193">
        <f t="shared" ref="P13:P31" si="5">M13*O13</f>
        <v>10.417731878523371</v>
      </c>
      <c r="Q13" s="195">
        <f t="shared" ref="Q13:Q22" si="6">(L13*O13)+(M12*N13)</f>
        <v>1.6642267639570834</v>
      </c>
    </row>
    <row r="14" spans="1:17" ht="19.05" customHeight="1">
      <c r="A14" s="179">
        <v>12</v>
      </c>
      <c r="B14" s="182">
        <f>'Implementation and Revenue'!D23</f>
        <v>45901</v>
      </c>
      <c r="C14" s="183" t="str">
        <f t="shared" si="0"/>
        <v>2025-2026</v>
      </c>
      <c r="D14" s="167" t="str">
        <f>'Implementation and Revenue'!E23</f>
        <v>21st Slab</v>
      </c>
      <c r="E14" s="168">
        <v>4</v>
      </c>
      <c r="F14" s="168">
        <v>2</v>
      </c>
      <c r="G14" s="168">
        <v>1</v>
      </c>
      <c r="H14" s="168"/>
      <c r="I14" s="168"/>
      <c r="J14" s="190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2701.6493907983267</v>
      </c>
      <c r="K14" s="190">
        <f t="shared" si="4"/>
        <v>28745.979087106749</v>
      </c>
      <c r="L14" s="191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2.7016493907983268</v>
      </c>
      <c r="M14" s="191">
        <f>SUM($L$3:L14)</f>
        <v>28.745979087106747</v>
      </c>
      <c r="N14" s="192">
        <f>VLOOKUP(B14,'Implementation and Revenue'!$D$12:$G$40,3,FALSE)</f>
        <v>2.5000000000000001E-2</v>
      </c>
      <c r="O14" s="192">
        <f>VLOOKUP(B14,'Implementation and Revenue'!$D$12:$G$40,4,FALSE)</f>
        <v>0.42500000000000016</v>
      </c>
      <c r="P14" s="193">
        <f t="shared" si="5"/>
        <v>12.217041112020372</v>
      </c>
      <c r="Q14" s="195">
        <f t="shared" si="6"/>
        <v>1.7993092334969998</v>
      </c>
    </row>
    <row r="15" spans="1:17" ht="19.05" customHeight="1">
      <c r="A15" s="179">
        <v>13</v>
      </c>
      <c r="B15" s="182">
        <f>'Implementation and Revenue'!D24</f>
        <v>45992</v>
      </c>
      <c r="C15" s="183" t="str">
        <f t="shared" si="0"/>
        <v>2025-2026</v>
      </c>
      <c r="D15" s="167" t="str">
        <f>'Implementation and Revenue'!E24</f>
        <v>24th Slab</v>
      </c>
      <c r="E15" s="168">
        <v>5</v>
      </c>
      <c r="F15" s="168">
        <v>1</v>
      </c>
      <c r="G15" s="168">
        <v>2</v>
      </c>
      <c r="H15" s="168"/>
      <c r="I15" s="168"/>
      <c r="J15" s="190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2510.3566102927807</v>
      </c>
      <c r="K15" s="190">
        <f t="shared" si="4"/>
        <v>31256.335697399529</v>
      </c>
      <c r="L15" s="191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2.5103566102927806</v>
      </c>
      <c r="M15" s="191">
        <f>SUM($L$3:L15)</f>
        <v>31.256335697399528</v>
      </c>
      <c r="N15" s="192">
        <f>VLOOKUP(B15,'Implementation and Revenue'!$D$12:$G$40,3,FALSE)</f>
        <v>2.5000000000000001E-2</v>
      </c>
      <c r="O15" s="192">
        <f>VLOOKUP(B15,'Implementation and Revenue'!$D$12:$G$40,4,FALSE)</f>
        <v>0.45000000000000018</v>
      </c>
      <c r="P15" s="193">
        <f t="shared" si="5"/>
        <v>14.065351063829793</v>
      </c>
      <c r="Q15" s="195">
        <f t="shared" si="6"/>
        <v>1.8483099518094206</v>
      </c>
    </row>
    <row r="16" spans="1:17" ht="19.05" customHeight="1">
      <c r="A16" s="179">
        <v>14</v>
      </c>
      <c r="B16" s="182">
        <f>'Implementation and Revenue'!D25</f>
        <v>46082</v>
      </c>
      <c r="C16" s="183" t="str">
        <f t="shared" si="0"/>
        <v>2025-2026</v>
      </c>
      <c r="D16" s="167" t="str">
        <f>'Implementation and Revenue'!E25</f>
        <v>27th Slab</v>
      </c>
      <c r="E16" s="168">
        <v>2</v>
      </c>
      <c r="F16" s="168">
        <v>4</v>
      </c>
      <c r="G16" s="168"/>
      <c r="H16" s="168"/>
      <c r="I16" s="168"/>
      <c r="J16" s="190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3084.2349518094197</v>
      </c>
      <c r="K16" s="190">
        <f t="shared" si="4"/>
        <v>34340.570649208952</v>
      </c>
      <c r="L16" s="191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3.0842349518094201</v>
      </c>
      <c r="M16" s="191">
        <f>SUM($L$3:L16)</f>
        <v>34.340570649208949</v>
      </c>
      <c r="N16" s="192">
        <f>VLOOKUP(B16,'Implementation and Revenue'!$D$12:$G$40,3,FALSE)</f>
        <v>2.5000000000000001E-2</v>
      </c>
      <c r="O16" s="192">
        <f>VLOOKUP(B16,'Implementation and Revenue'!$D$12:$G$40,4,FALSE)</f>
        <v>0.4750000000000002</v>
      </c>
      <c r="P16" s="193">
        <f t="shared" si="5"/>
        <v>16.311771058374259</v>
      </c>
      <c r="Q16" s="195">
        <f t="shared" si="6"/>
        <v>2.2464199945444636</v>
      </c>
    </row>
    <row r="17" spans="1:17" ht="19.05" customHeight="1">
      <c r="A17" s="179">
        <v>15</v>
      </c>
      <c r="B17" s="182">
        <f>'Implementation and Revenue'!D26</f>
        <v>46174</v>
      </c>
      <c r="C17" s="183" t="str">
        <f t="shared" si="0"/>
        <v>2026-2027</v>
      </c>
      <c r="D17" s="167" t="str">
        <f>'Implementation and Revenue'!E26</f>
        <v>30th Slab</v>
      </c>
      <c r="E17" s="168">
        <v>7</v>
      </c>
      <c r="F17" s="168">
        <v>2</v>
      </c>
      <c r="G17" s="168">
        <v>1</v>
      </c>
      <c r="H17" s="168"/>
      <c r="I17" s="168"/>
      <c r="J17" s="190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3861.1813056919436</v>
      </c>
      <c r="K17" s="190">
        <f t="shared" si="4"/>
        <v>38201.751954900894</v>
      </c>
      <c r="L17" s="191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3.861181305691944</v>
      </c>
      <c r="M17" s="191">
        <f>SUM($L$3:L17)</f>
        <v>38.201751954900892</v>
      </c>
      <c r="N17" s="192">
        <f>VLOOKUP(B17,'Implementation and Revenue'!$D$12:$G$40,3,FALSE)</f>
        <v>2.5000000000000001E-2</v>
      </c>
      <c r="O17" s="192">
        <f>VLOOKUP(B17,'Implementation and Revenue'!$D$12:$G$40,4,FALSE)</f>
        <v>0.50000000000000022</v>
      </c>
      <c r="P17" s="193">
        <f t="shared" si="5"/>
        <v>19.100875977450453</v>
      </c>
      <c r="Q17" s="195">
        <f t="shared" si="6"/>
        <v>2.7891049190761965</v>
      </c>
    </row>
    <row r="18" spans="1:17" ht="19.05" customHeight="1">
      <c r="A18" s="179">
        <v>16</v>
      </c>
      <c r="B18" s="182">
        <f>'Implementation and Revenue'!D27</f>
        <v>46266</v>
      </c>
      <c r="C18" s="183" t="str">
        <f t="shared" si="0"/>
        <v>2026-2027</v>
      </c>
      <c r="D18" s="167" t="str">
        <f>'Implementation and Revenue'!E27</f>
        <v>32nd Slab</v>
      </c>
      <c r="E18" s="168">
        <v>5</v>
      </c>
      <c r="F18" s="168">
        <v>3</v>
      </c>
      <c r="G18" s="168">
        <v>1</v>
      </c>
      <c r="H18" s="168"/>
      <c r="I18" s="168"/>
      <c r="J18" s="190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3665.9634478996181</v>
      </c>
      <c r="K18" s="190">
        <f t="shared" si="4"/>
        <v>41867.71540280051</v>
      </c>
      <c r="L18" s="191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3.6659634478996184</v>
      </c>
      <c r="M18" s="191">
        <f>SUM($L$3:L18)</f>
        <v>41.867715402800513</v>
      </c>
      <c r="N18" s="192">
        <f>VLOOKUP(B18,'Implementation and Revenue'!$D$12:$G$40,3,FALSE)</f>
        <v>2.5000000000000001E-2</v>
      </c>
      <c r="O18" s="192">
        <f>VLOOKUP(B18,'Implementation and Revenue'!$D$12:$G$40,4,FALSE)</f>
        <v>0.52500000000000024</v>
      </c>
      <c r="P18" s="193">
        <f t="shared" si="5"/>
        <v>21.980550586470279</v>
      </c>
      <c r="Q18" s="195">
        <f t="shared" si="6"/>
        <v>2.8796746090198231</v>
      </c>
    </row>
    <row r="19" spans="1:17" ht="19.05" customHeight="1">
      <c r="A19" s="179">
        <v>17</v>
      </c>
      <c r="B19" s="182">
        <f>'Implementation and Revenue'!D28</f>
        <v>46357</v>
      </c>
      <c r="C19" s="183" t="str">
        <f t="shared" si="0"/>
        <v>2026-2027</v>
      </c>
      <c r="D19" s="167" t="str">
        <f>'Implementation and Revenue'!E28</f>
        <v>Plumbing and Electrical</v>
      </c>
      <c r="E19" s="168">
        <v>4</v>
      </c>
      <c r="F19" s="168">
        <v>3</v>
      </c>
      <c r="G19" s="168">
        <v>2</v>
      </c>
      <c r="H19" s="168"/>
      <c r="I19" s="168"/>
      <c r="J19" s="190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3279.4528096017457</v>
      </c>
      <c r="K19" s="190">
        <f t="shared" si="4"/>
        <v>45147.168212402255</v>
      </c>
      <c r="L19" s="191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3.2794528096017457</v>
      </c>
      <c r="M19" s="191">
        <f>SUM($L$3:L19)</f>
        <v>45.147168212402256</v>
      </c>
      <c r="N19" s="192">
        <f>VLOOKUP(B19,'Implementation and Revenue'!$D$12:$G$40,3,FALSE)</f>
        <v>2.5000000000000001E-2</v>
      </c>
      <c r="O19" s="192">
        <f>VLOOKUP(B19,'Implementation and Revenue'!$D$12:$G$40,4,FALSE)</f>
        <v>0.55000000000000027</v>
      </c>
      <c r="P19" s="193">
        <f t="shared" si="5"/>
        <v>24.830942516821253</v>
      </c>
      <c r="Q19" s="195">
        <f t="shared" si="6"/>
        <v>2.8503919303509737</v>
      </c>
    </row>
    <row r="20" spans="1:17" ht="19.05" customHeight="1">
      <c r="A20" s="179">
        <v>18</v>
      </c>
      <c r="B20" s="182">
        <f>'Implementation and Revenue'!D29</f>
        <v>46447</v>
      </c>
      <c r="C20" s="183" t="str">
        <f t="shared" si="0"/>
        <v>2026-2027</v>
      </c>
      <c r="D20" s="167" t="str">
        <f>'Implementation and Revenue'!E29</f>
        <v>Plumbing and Electrical</v>
      </c>
      <c r="E20" s="168">
        <v>2</v>
      </c>
      <c r="F20" s="168">
        <v>3</v>
      </c>
      <c r="G20" s="168">
        <v>2</v>
      </c>
      <c r="H20" s="168"/>
      <c r="I20" s="168"/>
      <c r="J20" s="190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2506.4315330060008</v>
      </c>
      <c r="K20" s="190">
        <f t="shared" si="4"/>
        <v>47653.599745408254</v>
      </c>
      <c r="L20" s="191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2.5064315330060012</v>
      </c>
      <c r="M20" s="191">
        <f>SUM($L$3:L20)</f>
        <v>47.653599745408258</v>
      </c>
      <c r="N20" s="192">
        <f>VLOOKUP(B20,'Implementation and Revenue'!$D$12:$G$40,3,FALSE)</f>
        <v>2.5000000000000001E-2</v>
      </c>
      <c r="O20" s="192">
        <f>VLOOKUP(B20,'Implementation and Revenue'!$D$12:$G$40,4,FALSE)</f>
        <v>0.57500000000000029</v>
      </c>
      <c r="P20" s="193">
        <f t="shared" si="5"/>
        <v>27.400819853609761</v>
      </c>
      <c r="Q20" s="195">
        <f t="shared" si="6"/>
        <v>2.5698773367885082</v>
      </c>
    </row>
    <row r="21" spans="1:17" ht="19.05" customHeight="1">
      <c r="A21" s="179">
        <v>19</v>
      </c>
      <c r="B21" s="182">
        <f>'Implementation and Revenue'!D30</f>
        <v>46539</v>
      </c>
      <c r="C21" s="183" t="str">
        <f t="shared" si="0"/>
        <v>2027-2028</v>
      </c>
      <c r="D21" s="167" t="str">
        <f>'Implementation and Revenue'!E30</f>
        <v>Internal Finishing</v>
      </c>
      <c r="E21" s="168">
        <v>2</v>
      </c>
      <c r="F21" s="170">
        <v>3</v>
      </c>
      <c r="G21" s="168">
        <v>2</v>
      </c>
      <c r="H21" s="168"/>
      <c r="I21" s="168"/>
      <c r="J21" s="190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2506.4315330060008</v>
      </c>
      <c r="K21" s="190">
        <f t="shared" si="4"/>
        <v>50160.031278414252</v>
      </c>
      <c r="L21" s="191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2.5064315330060012</v>
      </c>
      <c r="M21" s="191">
        <f>SUM($L$3:L21)</f>
        <v>50.160031278414259</v>
      </c>
      <c r="N21" s="192">
        <f>VLOOKUP(B21,'Implementation and Revenue'!$D$12:$G$40,3,FALSE)</f>
        <v>2.5000000000000001E-2</v>
      </c>
      <c r="O21" s="192">
        <f>VLOOKUP(B21,'Implementation and Revenue'!$D$12:$G$40,4,FALSE)</f>
        <v>0.60000000000000031</v>
      </c>
      <c r="P21" s="193">
        <f t="shared" si="5"/>
        <v>30.096018767048569</v>
      </c>
      <c r="Q21" s="195">
        <f t="shared" si="6"/>
        <v>2.6951989134388077</v>
      </c>
    </row>
    <row r="22" spans="1:17" ht="19.05" customHeight="1">
      <c r="A22" s="179">
        <v>20</v>
      </c>
      <c r="B22" s="182">
        <f>'Implementation and Revenue'!D31</f>
        <v>46631</v>
      </c>
      <c r="C22" s="183" t="str">
        <f t="shared" si="0"/>
        <v>2027-2028</v>
      </c>
      <c r="D22" s="167" t="str">
        <f>'Implementation and Revenue'!E31</f>
        <v>Internal Finishing</v>
      </c>
      <c r="E22" s="168">
        <v>5</v>
      </c>
      <c r="F22" s="168">
        <v>2</v>
      </c>
      <c r="G22" s="168">
        <v>1</v>
      </c>
      <c r="H22" s="168"/>
      <c r="I22" s="168"/>
      <c r="J22" s="190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3088.1600290961997</v>
      </c>
      <c r="K22" s="190">
        <f t="shared" si="4"/>
        <v>53248.191307510453</v>
      </c>
      <c r="L22" s="191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3.0881600290961995</v>
      </c>
      <c r="M22" s="191">
        <f>SUM($L$3:L22)</f>
        <v>53.24819130751046</v>
      </c>
      <c r="N22" s="192">
        <f>VLOOKUP(B22,'Implementation and Revenue'!$D$12:$G$40,3,FALSE)</f>
        <v>2.5000000000000001E-2</v>
      </c>
      <c r="O22" s="192">
        <f>VLOOKUP(B22,'Implementation and Revenue'!$D$12:$G$40,4,FALSE)</f>
        <v>0.62500000000000033</v>
      </c>
      <c r="P22" s="193">
        <f t="shared" si="5"/>
        <v>33.280119567194056</v>
      </c>
      <c r="Q22" s="195">
        <f t="shared" si="6"/>
        <v>3.1841008001454822</v>
      </c>
    </row>
    <row r="23" spans="1:17" ht="19.05" customHeight="1">
      <c r="A23" s="179">
        <v>21</v>
      </c>
      <c r="B23" s="182">
        <f>'Implementation and Revenue'!D32</f>
        <v>46722</v>
      </c>
      <c r="C23" s="183" t="str">
        <f t="shared" si="0"/>
        <v>2027-2028</v>
      </c>
      <c r="D23" s="167" t="str">
        <f>'Implementation and Revenue'!E32</f>
        <v>Doors &amp; Windows</v>
      </c>
      <c r="E23" s="168"/>
      <c r="F23" s="168">
        <v>3</v>
      </c>
      <c r="G23" s="168"/>
      <c r="H23" s="168">
        <v>1</v>
      </c>
      <c r="I23" s="168"/>
      <c r="J23" s="190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3102.4102564102564</v>
      </c>
      <c r="K23" s="190">
        <f t="shared" si="4"/>
        <v>56350.601563920711</v>
      </c>
      <c r="L23" s="191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3.7869102564102564</v>
      </c>
      <c r="M23" s="191">
        <f>SUM($L$3:L23)</f>
        <v>57.035101563920719</v>
      </c>
      <c r="N23" s="192">
        <f>VLOOKUP(B23,'Implementation and Revenue'!$D$12:$G$40,3,FALSE)</f>
        <v>2.5000000000000001E-2</v>
      </c>
      <c r="O23" s="192">
        <f>VLOOKUP(B23,'Implementation and Revenue'!$D$12:$G$40,4,FALSE)</f>
        <v>0.65000000000000036</v>
      </c>
      <c r="P23" s="193">
        <f t="shared" si="5"/>
        <v>37.072816016548487</v>
      </c>
      <c r="Q23" s="195">
        <f>(L23*O23)+(M22*N23)</f>
        <v>3.7926964493544295</v>
      </c>
    </row>
    <row r="24" spans="1:17" ht="19.05" customHeight="1">
      <c r="A24" s="179">
        <v>22</v>
      </c>
      <c r="B24" s="182">
        <f>'Implementation and Revenue'!D33</f>
        <v>46813</v>
      </c>
      <c r="C24" s="183" t="str">
        <f t="shared" si="0"/>
        <v>2027-2028</v>
      </c>
      <c r="D24" s="167" t="str">
        <f>'Implementation and Revenue'!E33</f>
        <v>Lift and Other fittings</v>
      </c>
      <c r="E24" s="168">
        <v>2</v>
      </c>
      <c r="F24" s="168">
        <v>1</v>
      </c>
      <c r="G24" s="168"/>
      <c r="H24" s="168"/>
      <c r="I24" s="168"/>
      <c r="J24" s="190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1350.8246953991634</v>
      </c>
      <c r="K24" s="190">
        <f t="shared" si="4"/>
        <v>57701.426259319873</v>
      </c>
      <c r="L24" s="191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1.3508246953991634</v>
      </c>
      <c r="M24" s="191">
        <f>SUM($L$3:L24)</f>
        <v>58.385926259319881</v>
      </c>
      <c r="N24" s="192">
        <f>VLOOKUP(B24,'Implementation and Revenue'!$D$12:$G$40,3,FALSE)</f>
        <v>0.05</v>
      </c>
      <c r="O24" s="192">
        <f>VLOOKUP(B24,'Implementation and Revenue'!$D$12:$G$40,4,FALSE)</f>
        <v>0.7000000000000004</v>
      </c>
      <c r="P24" s="193">
        <f t="shared" si="5"/>
        <v>40.87014838152394</v>
      </c>
      <c r="Q24" s="195">
        <f t="shared" ref="Q24:Q31" si="7">(L24*O24)+(M23*N24)</f>
        <v>3.7973323649754511</v>
      </c>
    </row>
    <row r="25" spans="1:17" ht="19.05" customHeight="1">
      <c r="A25" s="179">
        <v>23</v>
      </c>
      <c r="B25" s="182">
        <f>'Implementation and Revenue'!D34</f>
        <v>46905</v>
      </c>
      <c r="C25" s="183" t="str">
        <f t="shared" si="0"/>
        <v>2028-2029</v>
      </c>
      <c r="D25" s="167" t="str">
        <f>'Implementation and Revenue'!E34</f>
        <v>External Painting and Finishing</v>
      </c>
      <c r="E25" s="168">
        <v>3</v>
      </c>
      <c r="F25" s="168">
        <v>1</v>
      </c>
      <c r="G25" s="168">
        <v>2</v>
      </c>
      <c r="H25" s="168"/>
      <c r="I25" s="168"/>
      <c r="J25" s="190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1737.3353336970358</v>
      </c>
      <c r="K25" s="190">
        <f t="shared" si="4"/>
        <v>59438.761593016912</v>
      </c>
      <c r="L25" s="191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1.7373353336970356</v>
      </c>
      <c r="M25" s="191">
        <f>SUM($L$3:L25)</f>
        <v>60.123261593016913</v>
      </c>
      <c r="N25" s="192">
        <f>VLOOKUP(B25,'Implementation and Revenue'!$D$12:$G$40,3,FALSE)</f>
        <v>0.05</v>
      </c>
      <c r="O25" s="192">
        <f>VLOOKUP(B25,'Implementation and Revenue'!$D$12:$G$40,4,FALSE)</f>
        <v>0.75000000000000044</v>
      </c>
      <c r="P25" s="193">
        <f t="shared" si="5"/>
        <v>45.092446194762715</v>
      </c>
      <c r="Q25" s="195">
        <f t="shared" si="7"/>
        <v>4.2222978132387716</v>
      </c>
    </row>
    <row r="26" spans="1:17" ht="19.05" customHeight="1">
      <c r="A26" s="179">
        <v>24</v>
      </c>
      <c r="B26" s="182">
        <f>'Implementation and Revenue'!D35</f>
        <v>46997</v>
      </c>
      <c r="C26" s="183" t="str">
        <f t="shared" si="0"/>
        <v>2028-2029</v>
      </c>
      <c r="D26" s="167" t="str">
        <f>'Implementation and Revenue'!E35</f>
        <v>External Painting and Finishing</v>
      </c>
      <c r="E26" s="168">
        <v>6</v>
      </c>
      <c r="F26" s="168">
        <v>2</v>
      </c>
      <c r="G26" s="168">
        <v>3</v>
      </c>
      <c r="H26" s="168"/>
      <c r="I26" s="168"/>
      <c r="J26" s="190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3474.6706673940716</v>
      </c>
      <c r="K26" s="190">
        <f t="shared" si="4"/>
        <v>62913.432260410984</v>
      </c>
      <c r="L26" s="191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3.4746706673940713</v>
      </c>
      <c r="M26" s="191">
        <f>SUM($L$3:L26)</f>
        <v>63.597932260410985</v>
      </c>
      <c r="N26" s="192">
        <f>VLOOKUP(B26,'Implementation and Revenue'!$D$12:$G$40,3,FALSE)</f>
        <v>0.05</v>
      </c>
      <c r="O26" s="192">
        <f>VLOOKUP(B26,'Implementation and Revenue'!$D$12:$G$40,4,FALSE)</f>
        <v>0.80000000000000049</v>
      </c>
      <c r="P26" s="193">
        <f t="shared" si="5"/>
        <v>50.878345808328817</v>
      </c>
      <c r="Q26" s="195">
        <f t="shared" si="7"/>
        <v>5.7858996135661052</v>
      </c>
    </row>
    <row r="27" spans="1:17" ht="19.05" customHeight="1">
      <c r="A27" s="179">
        <v>25</v>
      </c>
      <c r="B27" s="182">
        <f>'Implementation and Revenue'!D36</f>
        <v>47088</v>
      </c>
      <c r="C27" s="183" t="str">
        <f t="shared" si="0"/>
        <v>2028-2029</v>
      </c>
      <c r="D27" s="167" t="str">
        <f>'Implementation and Revenue'!E36</f>
        <v>OC Application</v>
      </c>
      <c r="E27" s="168">
        <v>13</v>
      </c>
      <c r="F27" s="168"/>
      <c r="G27" s="168">
        <v>1</v>
      </c>
      <c r="H27" s="168"/>
      <c r="I27" s="168">
        <v>2</v>
      </c>
      <c r="J27" s="190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5024.6382978723404</v>
      </c>
      <c r="K27" s="190">
        <f t="shared" si="4"/>
        <v>67938.070558283318</v>
      </c>
      <c r="L27" s="191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5.0246382978723405</v>
      </c>
      <c r="M27" s="191">
        <f>SUM($L$3:L27)</f>
        <v>68.622570558283329</v>
      </c>
      <c r="N27" s="192">
        <f>VLOOKUP(B27,'Implementation and Revenue'!$D$12:$G$40,3,FALSE)</f>
        <v>0</v>
      </c>
      <c r="O27" s="192">
        <f>VLOOKUP(B27,'Implementation and Revenue'!$D$12:$G$40,4,FALSE)</f>
        <v>0.80000000000000049</v>
      </c>
      <c r="P27" s="193">
        <f t="shared" si="5"/>
        <v>54.898056446626697</v>
      </c>
      <c r="Q27" s="195">
        <f t="shared" si="7"/>
        <v>4.0197106382978749</v>
      </c>
    </row>
    <row r="28" spans="1:17" ht="19.05" customHeight="1">
      <c r="A28" s="179">
        <v>26</v>
      </c>
      <c r="B28" s="182">
        <f>'Implementation and Revenue'!D37</f>
        <v>47178</v>
      </c>
      <c r="C28" s="183" t="str">
        <f t="shared" si="0"/>
        <v>2028-2029</v>
      </c>
      <c r="D28" s="167" t="str">
        <f>'Implementation and Revenue'!E37</f>
        <v>OC Ready to occupy</v>
      </c>
      <c r="E28" s="168">
        <v>9</v>
      </c>
      <c r="F28" s="168">
        <v>1</v>
      </c>
      <c r="G28" s="168">
        <v>6</v>
      </c>
      <c r="H28" s="168">
        <v>1</v>
      </c>
      <c r="I28" s="168">
        <v>1</v>
      </c>
      <c r="J28" s="190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5425.3991634842696</v>
      </c>
      <c r="K28" s="190">
        <f>J28+K27</f>
        <v>73363.469721767586</v>
      </c>
      <c r="L28" s="191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6.1098991634842701</v>
      </c>
      <c r="M28" s="191">
        <f>SUM($L$3:L28)</f>
        <v>74.7324697217676</v>
      </c>
      <c r="N28" s="192">
        <f>VLOOKUP(B28,'Implementation and Revenue'!$D$12:$G$40,3,FALSE)</f>
        <v>0.1</v>
      </c>
      <c r="O28" s="192">
        <f>VLOOKUP(B28,'Implementation and Revenue'!$D$12:$G$40,4,FALSE)</f>
        <v>0.90000000000000047</v>
      </c>
      <c r="P28" s="193">
        <f t="shared" si="5"/>
        <v>67.259222749590876</v>
      </c>
      <c r="Q28" s="195">
        <f t="shared" si="7"/>
        <v>12.361166302964179</v>
      </c>
    </row>
    <row r="29" spans="1:17" ht="19.05" customHeight="1">
      <c r="A29" s="179">
        <v>27</v>
      </c>
      <c r="B29" s="182">
        <f>'Implementation and Revenue'!D38</f>
        <v>47270</v>
      </c>
      <c r="C29" s="183" t="str">
        <f t="shared" si="0"/>
        <v>2029-2030</v>
      </c>
      <c r="D29" s="167" t="str">
        <f>'Implementation and Revenue'!E38</f>
        <v>OC Ready to occupy</v>
      </c>
      <c r="E29" s="168">
        <v>35</v>
      </c>
      <c r="F29" s="168">
        <v>1</v>
      </c>
      <c r="G29" s="168">
        <v>6</v>
      </c>
      <c r="H29" s="168">
        <v>1</v>
      </c>
      <c r="I29" s="168">
        <v>2</v>
      </c>
      <c r="J29" s="190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15474.67575922895</v>
      </c>
      <c r="K29" s="190">
        <f t="shared" si="4"/>
        <v>88838.145480996536</v>
      </c>
      <c r="L29" s="191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16.159175759228951</v>
      </c>
      <c r="M29" s="191">
        <f>SUM($L$3:L29)</f>
        <v>90.891645480996544</v>
      </c>
      <c r="N29" s="192">
        <f>VLOOKUP(B29,'Implementation and Revenue'!$D$12:$G$40,3,FALSE)</f>
        <v>0.1</v>
      </c>
      <c r="O29" s="192">
        <f>VLOOKUP(B29,'Implementation and Revenue'!$D$12:$G$40,4,FALSE)</f>
        <v>1.0000000000000004</v>
      </c>
      <c r="P29" s="193">
        <f t="shared" si="5"/>
        <v>90.891645480996587</v>
      </c>
      <c r="Q29" s="195">
        <f t="shared" si="7"/>
        <v>23.632422731405718</v>
      </c>
    </row>
    <row r="30" spans="1:17" ht="19.05" customHeight="1">
      <c r="A30" s="179">
        <v>28</v>
      </c>
      <c r="B30" s="182">
        <f>'Implementation and Revenue'!D39</f>
        <v>47362</v>
      </c>
      <c r="C30" s="183" t="str">
        <f t="shared" si="0"/>
        <v>2029-2030</v>
      </c>
      <c r="D30" s="167" t="str">
        <f>'Implementation and Revenue'!E39</f>
        <v>OC Ready to occupy</v>
      </c>
      <c r="E30" s="168">
        <v>44</v>
      </c>
      <c r="F30" s="168">
        <v>1</v>
      </c>
      <c r="G30" s="168">
        <v>7</v>
      </c>
      <c r="H30" s="168">
        <v>2</v>
      </c>
      <c r="I30" s="168">
        <v>3</v>
      </c>
      <c r="J30" s="190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20322.2715039098</v>
      </c>
      <c r="K30" s="190">
        <f t="shared" si="4"/>
        <v>109160.41698490633</v>
      </c>
      <c r="L30" s="191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21.6912715039098</v>
      </c>
      <c r="M30" s="191">
        <f>SUM($L$3:L30)</f>
        <v>112.58291698490635</v>
      </c>
      <c r="N30" s="192">
        <f>VLOOKUP(B30,'Implementation and Revenue'!$D$12:$G$40,3,FALSE)</f>
        <v>0</v>
      </c>
      <c r="O30" s="192">
        <f>VLOOKUP(B30,'Implementation and Revenue'!$D$12:$G$40,4,FALSE)</f>
        <v>1.0000000000000004</v>
      </c>
      <c r="P30" s="193">
        <f t="shared" si="5"/>
        <v>112.5829169849064</v>
      </c>
      <c r="Q30" s="195">
        <f t="shared" si="7"/>
        <v>21.69127150390981</v>
      </c>
    </row>
    <row r="31" spans="1:17" ht="19.05" customHeight="1">
      <c r="A31" s="179">
        <v>29</v>
      </c>
      <c r="B31" s="182">
        <f>'Implementation and Revenue'!D40</f>
        <v>47453</v>
      </c>
      <c r="C31" s="183" t="str">
        <f t="shared" si="0"/>
        <v>2029-2030</v>
      </c>
      <c r="D31" s="167" t="str">
        <f>'Implementation and Revenue'!E40</f>
        <v>OC Ready to occupy</v>
      </c>
      <c r="E31" s="168">
        <v>45</v>
      </c>
      <c r="F31" s="168">
        <v>2</v>
      </c>
      <c r="G31" s="168">
        <v>8</v>
      </c>
      <c r="H31" s="168">
        <v>2</v>
      </c>
      <c r="I31" s="168">
        <v>3</v>
      </c>
      <c r="J31" s="190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21286.585561011092</v>
      </c>
      <c r="K31" s="190">
        <f>J31+K30</f>
        <v>130447.00254591742</v>
      </c>
      <c r="L31" s="191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22.65558556101109</v>
      </c>
      <c r="M31" s="191">
        <f>SUM($L$3:L31)</f>
        <v>135.23850254591744</v>
      </c>
      <c r="N31" s="192">
        <f>VLOOKUP(B31,'Implementation and Revenue'!$D$12:$G$40,3,FALSE)</f>
        <v>0</v>
      </c>
      <c r="O31" s="192">
        <f>VLOOKUP(B31,'Implementation and Revenue'!$D$12:$G$40,4,FALSE)</f>
        <v>1.0000000000000004</v>
      </c>
      <c r="P31" s="193">
        <f t="shared" si="5"/>
        <v>135.2385025459175</v>
      </c>
      <c r="Q31" s="195">
        <f t="shared" si="7"/>
        <v>22.655585561011101</v>
      </c>
    </row>
    <row r="32" spans="1:17" ht="16.95" customHeight="1">
      <c r="A32" s="171"/>
      <c r="B32" s="172"/>
      <c r="C32" s="172"/>
      <c r="D32" s="173"/>
      <c r="E32" s="174">
        <f>SUM(E3:E31)</f>
        <v>226</v>
      </c>
      <c r="F32" s="174">
        <f>SUM(F3:F31)</f>
        <v>58</v>
      </c>
      <c r="G32" s="174">
        <f>SUM(G3:G31)</f>
        <v>60</v>
      </c>
      <c r="H32" s="174">
        <f>SUM(H3:H31)</f>
        <v>7</v>
      </c>
      <c r="I32" s="174">
        <f>SUM(I3:I31)</f>
        <v>11</v>
      </c>
      <c r="J32" s="175"/>
      <c r="K32" s="175"/>
      <c r="L32" s="176"/>
      <c r="M32" s="176"/>
      <c r="N32" s="177"/>
      <c r="O32" s="177"/>
      <c r="P32" s="176"/>
      <c r="Q32" s="178">
        <f>SUM(Q3:Q31)</f>
        <v>135.23850254591747</v>
      </c>
    </row>
  </sheetData>
  <sheetProtection sheet="1" objects="1" scenarios="1"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43"/>
  <sheetViews>
    <sheetView topLeftCell="Q1" workbookViewId="0">
      <pane ySplit="3" topLeftCell="A4" activePane="bottomLeft" state="frozen"/>
      <selection activeCell="B1" sqref="B1"/>
      <selection pane="bottomLeft" activeCell="H11" sqref="H11"/>
    </sheetView>
  </sheetViews>
  <sheetFormatPr defaultColWidth="8.77734375" defaultRowHeight="15" customHeight="1"/>
  <cols>
    <col min="1" max="1" width="36.44140625" style="258" bestFit="1" customWidth="1"/>
    <col min="2" max="2" width="13.6640625" style="258" bestFit="1" customWidth="1"/>
    <col min="3" max="32" width="11.109375" style="258" customWidth="1"/>
    <col min="33" max="16384" width="8.77734375" style="258"/>
  </cols>
  <sheetData>
    <row r="1" spans="1:35" ht="13.8">
      <c r="A1" s="356" t="str">
        <f>'Project Brief'!B1</f>
        <v>Kasturi Van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1:35" ht="13.8">
      <c r="A2" s="357" t="s">
        <v>24</v>
      </c>
      <c r="B2" s="259" t="s">
        <v>156</v>
      </c>
      <c r="C2" s="260" t="str">
        <f>IF(MONTH(C3)&lt;4,YEAR(C3)-1 &amp; "-" &amp; YEAR(C3),YEAR(C3) &amp; "-" &amp; YEAR(C3)+1)</f>
        <v>2022-2023</v>
      </c>
      <c r="D2" s="260" t="str">
        <f t="shared" ref="D2:R2" si="0">IF(MONTH(D3)&lt;4,YEAR(D3)-1 &amp; "-" &amp; YEAR(D3),YEAR(D3) &amp; "-" &amp; YEAR(D3)+1)</f>
        <v>2022-2023</v>
      </c>
      <c r="E2" s="260" t="str">
        <f t="shared" si="0"/>
        <v>2023-2024</v>
      </c>
      <c r="F2" s="260" t="str">
        <f t="shared" si="0"/>
        <v>2023-2024</v>
      </c>
      <c r="G2" s="260" t="str">
        <f t="shared" si="0"/>
        <v>2023-2024</v>
      </c>
      <c r="H2" s="260" t="str">
        <f t="shared" si="0"/>
        <v>2023-2024</v>
      </c>
      <c r="I2" s="260" t="str">
        <f t="shared" si="0"/>
        <v>2024-2025</v>
      </c>
      <c r="J2" s="260" t="str">
        <f t="shared" si="0"/>
        <v>2024-2025</v>
      </c>
      <c r="K2" s="260" t="str">
        <f t="shared" si="0"/>
        <v>2024-2025</v>
      </c>
      <c r="L2" s="260" t="str">
        <f t="shared" si="0"/>
        <v>2024-2025</v>
      </c>
      <c r="M2" s="260" t="str">
        <f t="shared" si="0"/>
        <v>2025-2026</v>
      </c>
      <c r="N2" s="260" t="str">
        <f t="shared" si="0"/>
        <v>2025-2026</v>
      </c>
      <c r="O2" s="260" t="str">
        <f t="shared" si="0"/>
        <v>2025-2026</v>
      </c>
      <c r="P2" s="260" t="str">
        <f t="shared" si="0"/>
        <v>2025-2026</v>
      </c>
      <c r="Q2" s="260" t="str">
        <f t="shared" si="0"/>
        <v>2026-2027</v>
      </c>
      <c r="R2" s="260" t="str">
        <f t="shared" si="0"/>
        <v>2026-2027</v>
      </c>
      <c r="S2" s="260" t="str">
        <f t="shared" ref="S2:AE2" si="1">IF(MONTH(S3)&lt;4,YEAR(S3)-1 &amp; "-" &amp; YEAR(S3),YEAR(S3) &amp; "-" &amp; YEAR(S3)+1)</f>
        <v>2026-2027</v>
      </c>
      <c r="T2" s="260" t="str">
        <f t="shared" si="1"/>
        <v>2026-2027</v>
      </c>
      <c r="U2" s="260" t="str">
        <f t="shared" si="1"/>
        <v>2027-2028</v>
      </c>
      <c r="V2" s="260" t="str">
        <f t="shared" si="1"/>
        <v>2027-2028</v>
      </c>
      <c r="W2" s="260" t="str">
        <f t="shared" si="1"/>
        <v>2027-2028</v>
      </c>
      <c r="X2" s="260" t="str">
        <f t="shared" si="1"/>
        <v>2027-2028</v>
      </c>
      <c r="Y2" s="260" t="str">
        <f t="shared" si="1"/>
        <v>2028-2029</v>
      </c>
      <c r="Z2" s="260" t="str">
        <f t="shared" si="1"/>
        <v>2028-2029</v>
      </c>
      <c r="AA2" s="260" t="str">
        <f t="shared" si="1"/>
        <v>2028-2029</v>
      </c>
      <c r="AB2" s="260" t="str">
        <f t="shared" si="1"/>
        <v>2028-2029</v>
      </c>
      <c r="AC2" s="260" t="str">
        <f t="shared" si="1"/>
        <v>2029-2030</v>
      </c>
      <c r="AD2" s="260" t="str">
        <f t="shared" si="1"/>
        <v>2029-2030</v>
      </c>
      <c r="AE2" s="260" t="str">
        <f t="shared" si="1"/>
        <v>2029-2030</v>
      </c>
      <c r="AF2" s="260"/>
    </row>
    <row r="3" spans="1:35" s="262" customFormat="1" ht="13.8">
      <c r="A3" s="357"/>
      <c r="B3" s="357"/>
      <c r="C3" s="261">
        <v>44896</v>
      </c>
      <c r="D3" s="261">
        <v>44986</v>
      </c>
      <c r="E3" s="261">
        <v>45078</v>
      </c>
      <c r="F3" s="261">
        <v>45170</v>
      </c>
      <c r="G3" s="261">
        <v>45261</v>
      </c>
      <c r="H3" s="261">
        <v>45352</v>
      </c>
      <c r="I3" s="261">
        <v>45444</v>
      </c>
      <c r="J3" s="261">
        <v>45536</v>
      </c>
      <c r="K3" s="261">
        <v>45627</v>
      </c>
      <c r="L3" s="261">
        <v>45717</v>
      </c>
      <c r="M3" s="261">
        <v>45809</v>
      </c>
      <c r="N3" s="261">
        <v>45901</v>
      </c>
      <c r="O3" s="261">
        <v>45992</v>
      </c>
      <c r="P3" s="261">
        <v>46082</v>
      </c>
      <c r="Q3" s="261">
        <v>46174</v>
      </c>
      <c r="R3" s="261">
        <v>46266</v>
      </c>
      <c r="S3" s="261">
        <v>46357</v>
      </c>
      <c r="T3" s="261">
        <v>46447</v>
      </c>
      <c r="U3" s="261">
        <v>46539</v>
      </c>
      <c r="V3" s="261">
        <v>46631</v>
      </c>
      <c r="W3" s="261">
        <v>46722</v>
      </c>
      <c r="X3" s="261">
        <v>46813</v>
      </c>
      <c r="Y3" s="261">
        <v>46905</v>
      </c>
      <c r="Z3" s="261">
        <v>46997</v>
      </c>
      <c r="AA3" s="261">
        <v>47088</v>
      </c>
      <c r="AB3" s="261">
        <v>47178</v>
      </c>
      <c r="AC3" s="261">
        <v>47270</v>
      </c>
      <c r="AD3" s="261">
        <v>47362</v>
      </c>
      <c r="AE3" s="261">
        <v>47453</v>
      </c>
      <c r="AF3" s="261" t="s">
        <v>2</v>
      </c>
    </row>
    <row r="4" spans="1:35" s="262" customFormat="1" ht="13.8">
      <c r="A4" s="357"/>
      <c r="B4" s="357"/>
      <c r="C4" s="263" t="s">
        <v>25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35" ht="14.4">
      <c r="A5" s="265" t="s">
        <v>26</v>
      </c>
      <c r="B5" s="358"/>
      <c r="C5" s="266"/>
      <c r="D5" s="266">
        <f>C31</f>
        <v>4.7300000000000004</v>
      </c>
      <c r="E5" s="266">
        <f t="shared" ref="E5:M5" si="2">+D31</f>
        <v>4.7825763748894783</v>
      </c>
      <c r="F5" s="266">
        <f t="shared" si="2"/>
        <v>4.7155164249926322</v>
      </c>
      <c r="G5" s="266">
        <f t="shared" si="2"/>
        <v>4.4424563477999142</v>
      </c>
      <c r="H5" s="266">
        <f t="shared" si="2"/>
        <v>3.7264427482135147</v>
      </c>
      <c r="I5" s="266">
        <f t="shared" si="2"/>
        <v>2.6009341734043474</v>
      </c>
      <c r="J5" s="266">
        <f t="shared" si="2"/>
        <v>0.59216697770956372</v>
      </c>
      <c r="K5" s="266">
        <f t="shared" si="2"/>
        <v>-1.8930747076651606</v>
      </c>
      <c r="L5" s="266">
        <f t="shared" si="2"/>
        <v>-4.4494502719269562</v>
      </c>
      <c r="M5" s="266">
        <f t="shared" si="2"/>
        <v>-6.6208986744320679</v>
      </c>
      <c r="N5" s="266">
        <f t="shared" ref="N5:AE5" si="3">+M31</f>
        <v>-8.9378032507869705</v>
      </c>
      <c r="O5" s="266">
        <f t="shared" si="3"/>
        <v>-11.177375357601957</v>
      </c>
      <c r="P5" s="266">
        <f t="shared" si="3"/>
        <v>-13.918477996104521</v>
      </c>
      <c r="Q5" s="266">
        <f t="shared" si="3"/>
        <v>-15.819220591872043</v>
      </c>
      <c r="R5" s="266">
        <f t="shared" si="3"/>
        <v>-18.720590763107833</v>
      </c>
      <c r="S5" s="266">
        <f t="shared" si="3"/>
        <v>-21.810266244399998</v>
      </c>
      <c r="T5" s="266">
        <f t="shared" si="3"/>
        <v>-25.443661904361011</v>
      </c>
      <c r="U5" s="266">
        <f t="shared" si="3"/>
        <v>-29.37200965788449</v>
      </c>
      <c r="V5" s="266">
        <f t="shared" si="3"/>
        <v>-33.189473334757665</v>
      </c>
      <c r="W5" s="266">
        <f t="shared" si="3"/>
        <v>-36.782472624924168</v>
      </c>
      <c r="X5" s="266">
        <f t="shared" si="3"/>
        <v>-39.631313765881728</v>
      </c>
      <c r="Y5" s="266">
        <f t="shared" si="3"/>
        <v>-43.689956491218261</v>
      </c>
      <c r="Z5" s="266">
        <f t="shared" si="3"/>
        <v>-49.902508768291476</v>
      </c>
      <c r="AA5" s="266">
        <f t="shared" si="3"/>
        <v>-58.330334245037356</v>
      </c>
      <c r="AB5" s="266">
        <f t="shared" si="3"/>
        <v>-67.773223697051478</v>
      </c>
      <c r="AC5" s="266">
        <f t="shared" si="3"/>
        <v>-68.725714032018331</v>
      </c>
      <c r="AD5" s="266">
        <f t="shared" si="3"/>
        <v>-59.046010438543647</v>
      </c>
      <c r="AE5" s="266">
        <f t="shared" si="3"/>
        <v>-51.446520572564872</v>
      </c>
      <c r="AF5" s="266"/>
      <c r="AH5" s="267"/>
    </row>
    <row r="6" spans="1:35" ht="13.8">
      <c r="A6" s="268" t="s">
        <v>162</v>
      </c>
      <c r="B6" s="35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>
        <f>SUM(C6:AE6)</f>
        <v>0</v>
      </c>
      <c r="AH6" s="270"/>
    </row>
    <row r="7" spans="1:35" ht="13.8">
      <c r="A7" s="268" t="s">
        <v>163</v>
      </c>
      <c r="B7" s="358"/>
      <c r="C7" s="269">
        <f>VLOOKUP(C3,'Inflow Calculation'!$B$3:$Q$31,16,FALSE)</f>
        <v>0</v>
      </c>
      <c r="D7" s="269">
        <f>VLOOKUP(D3,'Inflow Calculation'!$B$3:$Q$31,16,FALSE)</f>
        <v>8.6670512820512829E-2</v>
      </c>
      <c r="E7" s="269">
        <f>VLOOKUP(E3,'Inflow Calculation'!$B$3:$Q$31,16,FALSE)</f>
        <v>0.1444508547008547</v>
      </c>
      <c r="F7" s="269">
        <f>VLOOKUP(F3,'Inflow Calculation'!$B$3:$Q$31,16,FALSE)</f>
        <v>0.33282572740498273</v>
      </c>
      <c r="G7" s="269">
        <f>VLOOKUP(G3,'Inflow Calculation'!$B$3:$Q$31,16,FALSE)</f>
        <v>0.8825239907255864</v>
      </c>
      <c r="H7" s="269">
        <f>VLOOKUP(H3,'Inflow Calculation'!$B$3:$Q$31,16,FALSE)</f>
        <v>0.78131026550281879</v>
      </c>
      <c r="I7" s="269">
        <f>VLOOKUP(I3,'Inflow Calculation'!$B$3:$Q$31,16,FALSE)</f>
        <v>1.0130203946172032</v>
      </c>
      <c r="J7" s="269">
        <f>VLOOKUP(J3,'Inflow Calculation'!$B$3:$Q$31,16,FALSE)</f>
        <v>1.8370771549372618</v>
      </c>
      <c r="K7" s="269">
        <f>VLOOKUP(K3,'Inflow Calculation'!$B$3:$Q$31,16,FALSE)</f>
        <v>1.6736932760501912</v>
      </c>
      <c r="L7" s="269">
        <f>VLOOKUP(L3,'Inflow Calculation'!$B$3:$Q$31,16,FALSE)</f>
        <v>2.0019329378068744</v>
      </c>
      <c r="M7" s="269">
        <f>VLOOKUP(M3,'Inflow Calculation'!$B$3:$Q$31,16,FALSE)</f>
        <v>1.6642267639570834</v>
      </c>
      <c r="N7" s="269">
        <f>VLOOKUP(N3,'Inflow Calculation'!$B$3:$Q$31,16,FALSE)</f>
        <v>1.7993092334969998</v>
      </c>
      <c r="O7" s="269">
        <f>VLOOKUP(O3,'Inflow Calculation'!$B$3:$Q$31,16,FALSE)</f>
        <v>1.8483099518094206</v>
      </c>
      <c r="P7" s="269">
        <f>VLOOKUP(P3,'Inflow Calculation'!$B$3:$Q$31,16,FALSE)</f>
        <v>2.2464199945444636</v>
      </c>
      <c r="Q7" s="269">
        <f>VLOOKUP(Q3,'Inflow Calculation'!$B$3:$Q$31,16,FALSE)</f>
        <v>2.7891049190761965</v>
      </c>
      <c r="R7" s="269">
        <f>VLOOKUP(R3,'Inflow Calculation'!$B$3:$Q$31,16,FALSE)</f>
        <v>2.8796746090198231</v>
      </c>
      <c r="S7" s="269">
        <f>VLOOKUP(S3,'Inflow Calculation'!$B$3:$Q$31,16,FALSE)</f>
        <v>2.8503919303509737</v>
      </c>
      <c r="T7" s="269">
        <f>VLOOKUP(T3,'Inflow Calculation'!$B$3:$Q$31,16,FALSE)</f>
        <v>2.5698773367885082</v>
      </c>
      <c r="U7" s="269">
        <f>VLOOKUP(U3,'Inflow Calculation'!$B$3:$Q$31,16,FALSE)</f>
        <v>2.6951989134388077</v>
      </c>
      <c r="V7" s="269">
        <f>VLOOKUP(V3,'Inflow Calculation'!$B$3:$Q$31,16,FALSE)</f>
        <v>3.1841008001454822</v>
      </c>
      <c r="W7" s="269">
        <f>VLOOKUP(W3,'Inflow Calculation'!$B$3:$Q$31,16,FALSE)</f>
        <v>3.7926964493544295</v>
      </c>
      <c r="X7" s="269">
        <f>VLOOKUP(X3,'Inflow Calculation'!$B$3:$Q$31,16,FALSE)</f>
        <v>3.7973323649754511</v>
      </c>
      <c r="Y7" s="269">
        <f>VLOOKUP(Y3,'Inflow Calculation'!$B$3:$Q$31,16,FALSE)</f>
        <v>4.2222978132387716</v>
      </c>
      <c r="Z7" s="269">
        <f>VLOOKUP(Z3,'Inflow Calculation'!$B$3:$Q$31,16,FALSE)</f>
        <v>5.7858996135661052</v>
      </c>
      <c r="AA7" s="269">
        <f>VLOOKUP(AA3,'Inflow Calculation'!$B$3:$Q$31,16,FALSE)</f>
        <v>4.0197106382978749</v>
      </c>
      <c r="AB7" s="269">
        <f>VLOOKUP(AB3,'Inflow Calculation'!$B$3:$Q$31,16,FALSE)</f>
        <v>12.361166302964179</v>
      </c>
      <c r="AC7" s="269">
        <f>VLOOKUP(AC3,'Inflow Calculation'!$B$3:$Q$31,16,FALSE)</f>
        <v>23.632422731405718</v>
      </c>
      <c r="AD7" s="269">
        <f>VLOOKUP(AD3,'Inflow Calculation'!$B$3:$Q$31,16,FALSE)</f>
        <v>21.69127150390981</v>
      </c>
      <c r="AE7" s="269">
        <f>VLOOKUP(AE3,'Inflow Calculation'!$B$3:$Q$31,16,FALSE)</f>
        <v>22.655585561011101</v>
      </c>
      <c r="AF7" s="269">
        <f>SUM(C7:AE7)</f>
        <v>135.23850254591747</v>
      </c>
      <c r="AH7" s="270"/>
    </row>
    <row r="8" spans="1:35" ht="13.8">
      <c r="A8" s="271" t="s">
        <v>1</v>
      </c>
      <c r="B8" s="272">
        <f>+SUM(C8:AE8)</f>
        <v>135.23850254591747</v>
      </c>
      <c r="C8" s="272">
        <f>SUM(C6:C6)</f>
        <v>0</v>
      </c>
      <c r="D8" s="272">
        <f t="shared" ref="D8:AE8" si="4">SUM(D6:D7)</f>
        <v>8.6670512820512829E-2</v>
      </c>
      <c r="E8" s="272">
        <f t="shared" si="4"/>
        <v>0.1444508547008547</v>
      </c>
      <c r="F8" s="272">
        <f t="shared" si="4"/>
        <v>0.33282572740498273</v>
      </c>
      <c r="G8" s="272">
        <f t="shared" si="4"/>
        <v>0.8825239907255864</v>
      </c>
      <c r="H8" s="272">
        <f t="shared" si="4"/>
        <v>0.78131026550281879</v>
      </c>
      <c r="I8" s="272">
        <f t="shared" si="4"/>
        <v>1.0130203946172032</v>
      </c>
      <c r="J8" s="272">
        <f t="shared" si="4"/>
        <v>1.8370771549372618</v>
      </c>
      <c r="K8" s="272">
        <f t="shared" si="4"/>
        <v>1.6736932760501912</v>
      </c>
      <c r="L8" s="272">
        <f t="shared" si="4"/>
        <v>2.0019329378068744</v>
      </c>
      <c r="M8" s="272">
        <f t="shared" si="4"/>
        <v>1.6642267639570834</v>
      </c>
      <c r="N8" s="272">
        <f t="shared" si="4"/>
        <v>1.7993092334969998</v>
      </c>
      <c r="O8" s="272">
        <f t="shared" si="4"/>
        <v>1.8483099518094206</v>
      </c>
      <c r="P8" s="272">
        <f t="shared" si="4"/>
        <v>2.2464199945444636</v>
      </c>
      <c r="Q8" s="272">
        <f t="shared" si="4"/>
        <v>2.7891049190761965</v>
      </c>
      <c r="R8" s="272">
        <f t="shared" si="4"/>
        <v>2.8796746090198231</v>
      </c>
      <c r="S8" s="272">
        <f t="shared" si="4"/>
        <v>2.8503919303509737</v>
      </c>
      <c r="T8" s="272">
        <f t="shared" si="4"/>
        <v>2.5698773367885082</v>
      </c>
      <c r="U8" s="272">
        <f t="shared" si="4"/>
        <v>2.6951989134388077</v>
      </c>
      <c r="V8" s="272">
        <f t="shared" si="4"/>
        <v>3.1841008001454822</v>
      </c>
      <c r="W8" s="272">
        <f t="shared" si="4"/>
        <v>3.7926964493544295</v>
      </c>
      <c r="X8" s="272">
        <f t="shared" si="4"/>
        <v>3.7973323649754511</v>
      </c>
      <c r="Y8" s="272">
        <f t="shared" si="4"/>
        <v>4.2222978132387716</v>
      </c>
      <c r="Z8" s="272">
        <f t="shared" si="4"/>
        <v>5.7858996135661052</v>
      </c>
      <c r="AA8" s="272">
        <f t="shared" si="4"/>
        <v>4.0197106382978749</v>
      </c>
      <c r="AB8" s="272">
        <f t="shared" si="4"/>
        <v>12.361166302964179</v>
      </c>
      <c r="AC8" s="272">
        <f t="shared" si="4"/>
        <v>23.632422731405718</v>
      </c>
      <c r="AD8" s="272">
        <f t="shared" si="4"/>
        <v>21.69127150390981</v>
      </c>
      <c r="AE8" s="272">
        <f t="shared" si="4"/>
        <v>22.655585561011101</v>
      </c>
      <c r="AF8" s="272">
        <f>SUM(C8:AE8)</f>
        <v>135.23850254591747</v>
      </c>
      <c r="AH8" s="273"/>
    </row>
    <row r="9" spans="1:35" ht="13.8">
      <c r="A9" s="274" t="str">
        <f>'Project Brief'!A6</f>
        <v>Land Acquisition Cost</v>
      </c>
      <c r="B9" s="275">
        <f>'Project Brief'!B6</f>
        <v>4.07</v>
      </c>
      <c r="C9" s="276">
        <f>'Project Brief'!C6</f>
        <v>4.07</v>
      </c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9"/>
      <c r="S9" s="278"/>
      <c r="T9" s="278"/>
      <c r="U9" s="278"/>
      <c r="V9" s="278"/>
      <c r="W9" s="278"/>
      <c r="X9" s="278"/>
      <c r="Y9" s="278"/>
      <c r="Z9" s="278"/>
      <c r="AA9" s="278"/>
      <c r="AB9" s="280">
        <v>0.5</v>
      </c>
      <c r="AC9" s="280">
        <v>0.5</v>
      </c>
      <c r="AD9" s="280">
        <v>1</v>
      </c>
      <c r="AE9" s="280">
        <v>1.59</v>
      </c>
      <c r="AF9" s="280">
        <f t="shared" ref="AF9:AF20" si="5">+SUM(C9:AE9)</f>
        <v>7.66</v>
      </c>
      <c r="AH9" s="270"/>
      <c r="AI9" s="281"/>
    </row>
    <row r="10" spans="1:35" ht="13.8">
      <c r="A10" s="274" t="str">
        <f>'Project Brief'!A7</f>
        <v>Rent and Hardship Compensation</v>
      </c>
      <c r="B10" s="275">
        <f>'Project Brief'!B7</f>
        <v>0</v>
      </c>
      <c r="C10" s="276">
        <f>'Project Brief'!C7</f>
        <v>0</v>
      </c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>
        <f t="shared" si="5"/>
        <v>0</v>
      </c>
      <c r="AG10" s="282"/>
      <c r="AH10" s="270"/>
      <c r="AI10" s="281"/>
    </row>
    <row r="11" spans="1:35" ht="13.8">
      <c r="A11" s="274" t="str">
        <f>'Project Brief'!A8</f>
        <v>Fungible FSI Premium</v>
      </c>
      <c r="B11" s="275">
        <f>'Project Brief'!B8</f>
        <v>0</v>
      </c>
      <c r="C11" s="276">
        <f>'Project Brief'!C8</f>
        <v>0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>
        <f t="shared" si="5"/>
        <v>0</v>
      </c>
      <c r="AG11" s="282"/>
      <c r="AH11" s="270"/>
      <c r="AI11" s="281"/>
    </row>
    <row r="12" spans="1:35" ht="13.8">
      <c r="A12" s="274" t="str">
        <f>'Project Brief'!A9</f>
        <v>TDR</v>
      </c>
      <c r="B12" s="275">
        <f>'Project Brief'!B9</f>
        <v>0</v>
      </c>
      <c r="C12" s="276">
        <f>'Project Brief'!C9</f>
        <v>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>
        <f t="shared" si="5"/>
        <v>0</v>
      </c>
      <c r="AG12" s="282"/>
      <c r="AH12" s="270"/>
      <c r="AI12" s="281"/>
    </row>
    <row r="13" spans="1:35" ht="13.8">
      <c r="A13" s="274" t="str">
        <f>'Project Brief'!A10</f>
        <v>Approvals and Other Premiums</v>
      </c>
      <c r="B13" s="275">
        <f>'Project Brief'!B10</f>
        <v>0</v>
      </c>
      <c r="C13" s="276">
        <f>'Project Brief'!C10</f>
        <v>0</v>
      </c>
      <c r="D13" s="196">
        <v>0.2</v>
      </c>
      <c r="E13" s="196">
        <v>0.20416666666666669</v>
      </c>
      <c r="F13" s="196">
        <v>0.20416666666666669</v>
      </c>
      <c r="G13" s="196">
        <v>0.20416666666666669</v>
      </c>
      <c r="H13" s="196">
        <v>0.20416666666666669</v>
      </c>
      <c r="I13" s="196">
        <v>0.20416666666666669</v>
      </c>
      <c r="J13" s="196">
        <v>0.20416666666666669</v>
      </c>
      <c r="K13" s="196">
        <v>0.20416666666666669</v>
      </c>
      <c r="L13" s="196">
        <v>0.20416666666666669</v>
      </c>
      <c r="M13" s="196">
        <v>0.20416666666666669</v>
      </c>
      <c r="N13" s="196">
        <v>0.20416666666666669</v>
      </c>
      <c r="O13" s="196">
        <v>0.20416666666666669</v>
      </c>
      <c r="P13" s="196">
        <v>0.20416666666666669</v>
      </c>
      <c r="Q13" s="196">
        <v>0.20416666666666669</v>
      </c>
      <c r="R13" s="196">
        <v>0.20416666666666669</v>
      </c>
      <c r="S13" s="196">
        <v>0.20416666666666669</v>
      </c>
      <c r="T13" s="196">
        <v>0.20416666666666669</v>
      </c>
      <c r="U13" s="196">
        <v>0.20416666666666669</v>
      </c>
      <c r="V13" s="196">
        <v>0.20416666666666669</v>
      </c>
      <c r="W13" s="196">
        <v>0.20416666666666669</v>
      </c>
      <c r="X13" s="196">
        <v>0.20416666666666669</v>
      </c>
      <c r="Y13" s="196">
        <v>0.20416666666666669</v>
      </c>
      <c r="Z13" s="196">
        <v>0.20416666666666669</v>
      </c>
      <c r="AA13" s="196">
        <f>0.204166666666667+8.23</f>
        <v>8.4341666666666679</v>
      </c>
      <c r="AB13" s="196"/>
      <c r="AC13" s="196"/>
      <c r="AD13" s="196"/>
      <c r="AE13" s="196"/>
      <c r="AF13" s="196">
        <f t="shared" si="5"/>
        <v>13.125833333333334</v>
      </c>
      <c r="AG13" s="282"/>
      <c r="AH13" s="270"/>
      <c r="AI13" s="281"/>
    </row>
    <row r="14" spans="1:35" ht="13.8">
      <c r="A14" s="274" t="str">
        <f>'Project Brief'!A11</f>
        <v>Construction Cost - Rehab Building</v>
      </c>
      <c r="B14" s="275">
        <f>'Project Brief'!B11</f>
        <v>0</v>
      </c>
      <c r="C14" s="276">
        <f>'Project Brief'!C11</f>
        <v>0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>
        <f t="shared" si="5"/>
        <v>0</v>
      </c>
      <c r="AG14" s="282"/>
      <c r="AH14" s="270"/>
      <c r="AI14" s="281"/>
    </row>
    <row r="15" spans="1:35" ht="13.8">
      <c r="A15" s="274" t="str">
        <f>'Project Brief'!A12</f>
        <v>Construction Cost - Sale Building</v>
      </c>
      <c r="B15" s="275">
        <f>'Project Brief'!B12</f>
        <v>47.34</v>
      </c>
      <c r="C15" s="276">
        <f>'Project Brief'!C12</f>
        <v>1.44</v>
      </c>
      <c r="D15" s="196">
        <v>6.5</v>
      </c>
      <c r="E15" s="196">
        <v>6.5</v>
      </c>
      <c r="F15" s="196">
        <v>5.5</v>
      </c>
      <c r="G15" s="196">
        <v>5.5</v>
      </c>
      <c r="H15" s="196">
        <v>5.5</v>
      </c>
      <c r="I15" s="196">
        <v>5.5</v>
      </c>
      <c r="J15" s="196">
        <v>5.5</v>
      </c>
      <c r="K15" s="196">
        <v>5.5</v>
      </c>
      <c r="L15" s="196">
        <v>5.5</v>
      </c>
      <c r="M15" s="196">
        <v>5.5</v>
      </c>
      <c r="N15" s="196">
        <v>5.5</v>
      </c>
      <c r="O15" s="196">
        <v>5.5</v>
      </c>
      <c r="P15" s="196">
        <v>5.5</v>
      </c>
      <c r="Q15" s="196">
        <v>5.25</v>
      </c>
      <c r="R15" s="196">
        <v>5.75</v>
      </c>
      <c r="S15" s="196">
        <v>5.5</v>
      </c>
      <c r="T15" s="196">
        <v>5.5</v>
      </c>
      <c r="U15" s="196">
        <v>5.5</v>
      </c>
      <c r="V15" s="196">
        <v>5.5</v>
      </c>
      <c r="W15" s="196">
        <v>5.5</v>
      </c>
      <c r="X15" s="196">
        <v>5.5</v>
      </c>
      <c r="Y15" s="196">
        <v>5.5</v>
      </c>
      <c r="Z15" s="196">
        <v>5.5</v>
      </c>
      <c r="AA15" s="196">
        <v>4.37</v>
      </c>
      <c r="AB15" s="196"/>
      <c r="AC15" s="196"/>
      <c r="AD15" s="196"/>
      <c r="AE15" s="196"/>
      <c r="AF15" s="196">
        <f t="shared" si="5"/>
        <v>134.31</v>
      </c>
      <c r="AG15" s="281"/>
      <c r="AH15" s="270"/>
      <c r="AI15" s="281"/>
    </row>
    <row r="16" spans="1:35" ht="13.8">
      <c r="A16" s="283" t="str">
        <f>'Project Brief'!A13</f>
        <v>Selling and Marketing</v>
      </c>
      <c r="B16" s="284">
        <f>'Project Brief'!B13</f>
        <v>7</v>
      </c>
      <c r="C16" s="285">
        <f>'Project Brief'!C13</f>
        <v>0</v>
      </c>
      <c r="D16" s="197">
        <v>0.23084413793103453</v>
      </c>
      <c r="E16" s="197">
        <v>0.23084413793103453</v>
      </c>
      <c r="F16" s="197">
        <v>0.23084413793103453</v>
      </c>
      <c r="G16" s="197">
        <v>0.23084413793103453</v>
      </c>
      <c r="H16" s="197">
        <v>0.23084413793103453</v>
      </c>
      <c r="I16" s="197">
        <v>0.23084413793103453</v>
      </c>
      <c r="J16" s="197">
        <v>0.23084413793103453</v>
      </c>
      <c r="K16" s="197">
        <v>0.23084413793103453</v>
      </c>
      <c r="L16" s="197">
        <v>0.23084413793103453</v>
      </c>
      <c r="M16" s="197">
        <v>0.23084413793103453</v>
      </c>
      <c r="N16" s="197">
        <v>0.23084413793103453</v>
      </c>
      <c r="O16" s="197">
        <v>0.23084413793103453</v>
      </c>
      <c r="P16" s="197">
        <v>0.23084413793103453</v>
      </c>
      <c r="Q16" s="197">
        <v>0.23084413793103453</v>
      </c>
      <c r="R16" s="197">
        <v>0.23084413793103453</v>
      </c>
      <c r="S16" s="197">
        <v>0.23084413793103453</v>
      </c>
      <c r="T16" s="197">
        <v>0.23084413793103453</v>
      </c>
      <c r="U16" s="197">
        <v>0.23084413793103453</v>
      </c>
      <c r="V16" s="197">
        <v>0.23084413793103453</v>
      </c>
      <c r="W16" s="197">
        <v>0.23084413793103453</v>
      </c>
      <c r="X16" s="197">
        <v>0.23084413793103453</v>
      </c>
      <c r="Y16" s="197">
        <v>0.23084413793103453</v>
      </c>
      <c r="Z16" s="197">
        <v>0.23084413793103453</v>
      </c>
      <c r="AA16" s="197">
        <v>0.23084413793103453</v>
      </c>
      <c r="AB16" s="197">
        <v>0.23084413793103453</v>
      </c>
      <c r="AC16" s="197">
        <v>0.23084413793103453</v>
      </c>
      <c r="AD16" s="197">
        <v>0.23084413793103453</v>
      </c>
      <c r="AE16" s="197">
        <f>B16-SUM(C16:AD16)</f>
        <v>0.76720827586206575</v>
      </c>
      <c r="AF16" s="197">
        <f t="shared" si="5"/>
        <v>7</v>
      </c>
      <c r="AG16" s="281"/>
      <c r="AH16" s="270"/>
      <c r="AI16" s="281"/>
    </row>
    <row r="17" spans="1:35" ht="13.8">
      <c r="A17" s="283" t="str">
        <f>'Project Brief'!A14</f>
        <v>Professional Fees and Admin expenses</v>
      </c>
      <c r="B17" s="284">
        <f>'Project Brief'!B14</f>
        <v>5</v>
      </c>
      <c r="C17" s="285">
        <f>'Project Brief'!C14</f>
        <v>0</v>
      </c>
      <c r="D17" s="197">
        <v>0.18</v>
      </c>
      <c r="E17" s="197">
        <v>0.18</v>
      </c>
      <c r="F17" s="197">
        <v>0.18</v>
      </c>
      <c r="G17" s="197">
        <v>0.18</v>
      </c>
      <c r="H17" s="197">
        <v>0.18</v>
      </c>
      <c r="I17" s="197">
        <v>0.18</v>
      </c>
      <c r="J17" s="197">
        <v>0.18</v>
      </c>
      <c r="K17" s="197">
        <v>0.18</v>
      </c>
      <c r="L17" s="197">
        <v>0.18</v>
      </c>
      <c r="M17" s="197">
        <v>0.18</v>
      </c>
      <c r="N17" s="197">
        <v>0.18</v>
      </c>
      <c r="O17" s="197">
        <v>0.18</v>
      </c>
      <c r="P17" s="197">
        <v>0.18</v>
      </c>
      <c r="Q17" s="197">
        <v>0.18</v>
      </c>
      <c r="R17" s="197">
        <v>0.18</v>
      </c>
      <c r="S17" s="197">
        <v>0.18</v>
      </c>
      <c r="T17" s="197">
        <v>0.18</v>
      </c>
      <c r="U17" s="197">
        <v>0.18</v>
      </c>
      <c r="V17" s="197">
        <v>0.18</v>
      </c>
      <c r="W17" s="197">
        <v>0.18</v>
      </c>
      <c r="X17" s="197">
        <v>0.18</v>
      </c>
      <c r="Y17" s="197">
        <v>0.18</v>
      </c>
      <c r="Z17" s="197">
        <v>0.18</v>
      </c>
      <c r="AA17" s="197">
        <v>0.06</v>
      </c>
      <c r="AB17" s="197"/>
      <c r="AC17" s="197"/>
      <c r="AD17" s="197"/>
      <c r="AE17" s="197"/>
      <c r="AF17" s="197">
        <f t="shared" si="5"/>
        <v>4.2000000000000011</v>
      </c>
      <c r="AG17" s="281"/>
      <c r="AH17" s="270"/>
      <c r="AI17" s="281"/>
    </row>
    <row r="18" spans="1:35" ht="13.8">
      <c r="A18" s="286" t="str">
        <f>'Project Brief'!A15</f>
        <v>Contingency</v>
      </c>
      <c r="B18" s="287">
        <f>'Project Brief'!B15</f>
        <v>2.3670000000000004</v>
      </c>
      <c r="C18" s="288">
        <f>'Project Brief'!C15</f>
        <v>0</v>
      </c>
      <c r="D18" s="198"/>
      <c r="E18" s="198"/>
      <c r="F18" s="198"/>
      <c r="G18" s="198">
        <f>$B$18/21</f>
        <v>0.11271428571428574</v>
      </c>
      <c r="H18" s="198">
        <f t="shared" ref="H18:AA18" si="6">$B$18/21</f>
        <v>0.11271428571428574</v>
      </c>
      <c r="I18" s="198">
        <f t="shared" si="6"/>
        <v>0.11271428571428574</v>
      </c>
      <c r="J18" s="198">
        <f t="shared" si="6"/>
        <v>0.11271428571428574</v>
      </c>
      <c r="K18" s="198">
        <f t="shared" si="6"/>
        <v>0.11271428571428574</v>
      </c>
      <c r="L18" s="198">
        <f t="shared" si="6"/>
        <v>0.11271428571428574</v>
      </c>
      <c r="M18" s="198">
        <f t="shared" si="6"/>
        <v>0.11271428571428574</v>
      </c>
      <c r="N18" s="198">
        <f t="shared" si="6"/>
        <v>0.11271428571428574</v>
      </c>
      <c r="O18" s="198">
        <f t="shared" si="6"/>
        <v>0.11271428571428574</v>
      </c>
      <c r="P18" s="198">
        <f t="shared" si="6"/>
        <v>0.11271428571428574</v>
      </c>
      <c r="Q18" s="198">
        <f t="shared" si="6"/>
        <v>0.11271428571428574</v>
      </c>
      <c r="R18" s="198">
        <f t="shared" si="6"/>
        <v>0.11271428571428574</v>
      </c>
      <c r="S18" s="198">
        <f t="shared" si="6"/>
        <v>0.11271428571428574</v>
      </c>
      <c r="T18" s="198">
        <f t="shared" si="6"/>
        <v>0.11271428571428574</v>
      </c>
      <c r="U18" s="198">
        <f t="shared" si="6"/>
        <v>0.11271428571428574</v>
      </c>
      <c r="V18" s="198">
        <f t="shared" si="6"/>
        <v>0.11271428571428574</v>
      </c>
      <c r="W18" s="198">
        <f t="shared" si="6"/>
        <v>0.11271428571428574</v>
      </c>
      <c r="X18" s="198">
        <f t="shared" si="6"/>
        <v>0.11271428571428574</v>
      </c>
      <c r="Y18" s="198">
        <f t="shared" si="6"/>
        <v>0.11271428571428574</v>
      </c>
      <c r="Z18" s="198">
        <f t="shared" si="6"/>
        <v>0.11271428571428574</v>
      </c>
      <c r="AA18" s="198">
        <f t="shared" si="6"/>
        <v>0.11271428571428574</v>
      </c>
      <c r="AB18" s="198"/>
      <c r="AC18" s="198"/>
      <c r="AD18" s="198"/>
      <c r="AE18" s="198"/>
      <c r="AF18" s="197">
        <f t="shared" si="5"/>
        <v>2.367</v>
      </c>
      <c r="AG18" s="281"/>
      <c r="AH18" s="270"/>
      <c r="AI18" s="281"/>
    </row>
    <row r="19" spans="1:35" ht="13.8">
      <c r="A19" s="289" t="str">
        <f>'Project Brief'!A16</f>
        <v>Finance Cost</v>
      </c>
      <c r="B19" s="290">
        <f>'Project Brief'!B16</f>
        <v>3</v>
      </c>
      <c r="C19" s="291">
        <f>'Project Brief'!C16</f>
        <v>0</v>
      </c>
      <c r="D19" s="199">
        <f>VLOOKUP(D3,'Loan - SBI'!$C$3:$F$31,4,FALSE)</f>
        <v>0.17325000000000002</v>
      </c>
      <c r="E19" s="199">
        <f>VLOOKUP(E3,'Loan - SBI'!$C$3:$F$31,4,FALSE)</f>
        <v>0.34650000000000003</v>
      </c>
      <c r="F19" s="199">
        <f>VLOOKUP(F3,'Loan - SBI'!$C$3:$F$31,4,FALSE)</f>
        <v>0.49087500000000001</v>
      </c>
      <c r="G19" s="199">
        <f>VLOOKUP(G3,'Loan - SBI'!$C$3:$F$31,4,FALSE)</f>
        <v>0.62081249999999999</v>
      </c>
      <c r="H19" s="199">
        <f>VLOOKUP(H3,'Loan - SBI'!$C$3:$F$31,4,FALSE)</f>
        <v>0.72909374999999998</v>
      </c>
      <c r="I19" s="199">
        <f>VLOOKUP(I3,'Loan - SBI'!$C$3:$F$31,4,FALSE)</f>
        <v>0.7940625</v>
      </c>
      <c r="J19" s="199">
        <f>VLOOKUP(J3,'Loan - SBI'!$C$3:$F$31,4,FALSE)</f>
        <v>0.84459375000000003</v>
      </c>
      <c r="K19" s="199">
        <f>VLOOKUP(K3,'Loan - SBI'!$C$3:$F$31,4,FALSE)</f>
        <v>0.90234375</v>
      </c>
      <c r="L19" s="199">
        <f>VLOOKUP(L3,'Loan - SBI'!$C$3:$F$31,4,FALSE)</f>
        <v>0.94565625000000009</v>
      </c>
      <c r="M19" s="199">
        <f>VLOOKUP(M3,'Loan - SBI'!$C$3:$F$31,4,FALSE)</f>
        <v>1.0034062500000001</v>
      </c>
      <c r="N19" s="199">
        <f>VLOOKUP(N3,'Loan - SBI'!$C$3:$F$31,4,FALSE)</f>
        <v>1.06115625</v>
      </c>
      <c r="O19" s="199">
        <f>VLOOKUP(O3,'Loan - SBI'!$C$3:$F$31,4,FALSE)</f>
        <v>1.1116875000000002</v>
      </c>
      <c r="P19" s="199">
        <f>VLOOKUP(P3,'Loan - SBI'!$C$3:$F$31,4,FALSE)</f>
        <v>1.1694375000000001</v>
      </c>
      <c r="Q19" s="199">
        <f>VLOOKUP(Q3,'Loan - SBI'!$C$3:$F$31,4,FALSE)</f>
        <v>1.21275</v>
      </c>
      <c r="R19" s="199">
        <f>VLOOKUP(R3,'Loan - SBI'!$C$3:$F$31,4,FALSE)</f>
        <v>1.241625</v>
      </c>
      <c r="S19" s="199">
        <f>VLOOKUP(S3,'Loan - SBI'!$C$3:$F$31,4,FALSE)</f>
        <v>1.2560625000000001</v>
      </c>
      <c r="T19" s="199">
        <f>VLOOKUP(T3,'Loan - SBI'!$C$3:$F$31,4,FALSE)</f>
        <v>1.2705</v>
      </c>
      <c r="U19" s="199">
        <f>VLOOKUP(U3,'Loan - SBI'!$C$3:$F$31,4,FALSE)</f>
        <v>1.2849375000000001</v>
      </c>
      <c r="V19" s="199">
        <f>VLOOKUP(V3,'Loan - SBI'!$C$3:$F$31,4,FALSE)</f>
        <v>1.2993750000000002</v>
      </c>
      <c r="W19" s="199">
        <f>VLOOKUP(W3,'Loan - SBI'!$C$3:$F$31,4,FALSE)</f>
        <v>1.3138125</v>
      </c>
      <c r="X19" s="199">
        <f>VLOOKUP(X3,'Loan - SBI'!$C$3:$F$31,4,FALSE)</f>
        <v>1.3282500000000002</v>
      </c>
      <c r="Y19" s="199">
        <f>VLOOKUP(Y3,'Loan - SBI'!$C$3:$F$31,4,FALSE)</f>
        <v>1.3571250000000001</v>
      </c>
      <c r="Z19" s="199">
        <f>VLOOKUP(Z3,'Loan - SBI'!$C$3:$F$31,4,FALSE)</f>
        <v>1.3860000000000001</v>
      </c>
      <c r="AA19" s="199">
        <f>VLOOKUP(AA3,'Loan - SBI'!$C$3:$F$31,4,FALSE)</f>
        <v>1.4148750000000001</v>
      </c>
      <c r="AB19" s="199">
        <f>VLOOKUP(AB3,'Loan - SBI'!$C$3:$F$31,4,FALSE)</f>
        <v>1.0828125</v>
      </c>
      <c r="AC19" s="199">
        <f>VLOOKUP(AC3,'Loan - SBI'!$C$3:$F$31,4,FALSE)</f>
        <v>0.72187500000000004</v>
      </c>
      <c r="AD19" s="199">
        <f>VLOOKUP(AD3,'Loan - SBI'!$C$3:$F$31,4,FALSE)</f>
        <v>0.36093750000000002</v>
      </c>
      <c r="AE19" s="199">
        <f>VLOOKUP(AE3,'Loan - SBI'!$C$3:$F$31,4,FALSE)</f>
        <v>0</v>
      </c>
      <c r="AF19" s="197">
        <f t="shared" si="5"/>
        <v>26.723812500000001</v>
      </c>
      <c r="AG19" s="281"/>
      <c r="AH19" s="270"/>
      <c r="AI19" s="281"/>
    </row>
    <row r="20" spans="1:35" ht="13.8">
      <c r="A20" s="292" t="s">
        <v>45</v>
      </c>
      <c r="B20" s="293"/>
      <c r="C20" s="293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>
        <v>1</v>
      </c>
      <c r="R20" s="200"/>
      <c r="S20" s="200"/>
      <c r="T20" s="200"/>
      <c r="U20" s="200"/>
      <c r="V20" s="200"/>
      <c r="W20" s="200"/>
      <c r="X20" s="200">
        <v>1.25</v>
      </c>
      <c r="Y20" s="200">
        <v>4</v>
      </c>
      <c r="Z20" s="200">
        <v>7.75</v>
      </c>
      <c r="AA20" s="200"/>
      <c r="AB20" s="200"/>
      <c r="AC20" s="200"/>
      <c r="AD20" s="200"/>
      <c r="AE20" s="200">
        <v>-14</v>
      </c>
      <c r="AF20" s="197">
        <f t="shared" si="5"/>
        <v>0</v>
      </c>
      <c r="AG20" s="281"/>
      <c r="AH20" s="270"/>
      <c r="AI20" s="281"/>
    </row>
    <row r="21" spans="1:35" ht="13.8">
      <c r="A21" s="294" t="s">
        <v>42</v>
      </c>
      <c r="B21" s="295">
        <f>+SUM(B9:B20)</f>
        <v>68.777000000000001</v>
      </c>
      <c r="C21" s="295">
        <f>+SUM(C9:C20)</f>
        <v>5.51</v>
      </c>
      <c r="D21" s="296">
        <f t="shared" ref="D21:AE21" si="7">+SUM(D9:D20)</f>
        <v>7.2840941379310351</v>
      </c>
      <c r="E21" s="296">
        <f t="shared" si="7"/>
        <v>7.461510804597701</v>
      </c>
      <c r="F21" s="296">
        <f t="shared" si="7"/>
        <v>6.6058858045977011</v>
      </c>
      <c r="G21" s="296">
        <f t="shared" si="7"/>
        <v>6.8485375903119863</v>
      </c>
      <c r="H21" s="296">
        <f t="shared" si="7"/>
        <v>6.9568188403119864</v>
      </c>
      <c r="I21" s="296">
        <f t="shared" si="7"/>
        <v>7.0217875903119866</v>
      </c>
      <c r="J21" s="296">
        <f t="shared" si="7"/>
        <v>7.0723188403119863</v>
      </c>
      <c r="K21" s="296">
        <f t="shared" si="7"/>
        <v>7.1300688403119867</v>
      </c>
      <c r="L21" s="296">
        <f t="shared" si="7"/>
        <v>7.1733813403119866</v>
      </c>
      <c r="M21" s="296">
        <f t="shared" si="7"/>
        <v>7.231131340311987</v>
      </c>
      <c r="N21" s="296">
        <f t="shared" si="7"/>
        <v>7.2888813403119865</v>
      </c>
      <c r="O21" s="296">
        <f t="shared" si="7"/>
        <v>7.3394125903119871</v>
      </c>
      <c r="P21" s="296">
        <f t="shared" si="7"/>
        <v>7.3971625903119866</v>
      </c>
      <c r="Q21" s="296">
        <f t="shared" si="7"/>
        <v>8.1904750903119865</v>
      </c>
      <c r="R21" s="296">
        <f t="shared" si="7"/>
        <v>7.7193500903119867</v>
      </c>
      <c r="S21" s="296">
        <f t="shared" si="7"/>
        <v>7.4837875903119873</v>
      </c>
      <c r="T21" s="296">
        <f t="shared" si="7"/>
        <v>7.4982250903119869</v>
      </c>
      <c r="U21" s="296">
        <f t="shared" si="7"/>
        <v>7.5126625903119866</v>
      </c>
      <c r="V21" s="296">
        <f t="shared" si="7"/>
        <v>7.5271000903119871</v>
      </c>
      <c r="W21" s="296">
        <f t="shared" si="7"/>
        <v>7.5415375903119868</v>
      </c>
      <c r="X21" s="296">
        <f t="shared" si="7"/>
        <v>8.8059750903119873</v>
      </c>
      <c r="Y21" s="296">
        <f t="shared" si="7"/>
        <v>11.584850090311987</v>
      </c>
      <c r="Z21" s="296">
        <f t="shared" si="7"/>
        <v>15.363725090311988</v>
      </c>
      <c r="AA21" s="296">
        <f t="shared" si="7"/>
        <v>14.622600090311989</v>
      </c>
      <c r="AB21" s="296">
        <f t="shared" si="7"/>
        <v>1.8136566379310346</v>
      </c>
      <c r="AC21" s="296">
        <f t="shared" si="7"/>
        <v>1.4527191379310347</v>
      </c>
      <c r="AD21" s="296">
        <f t="shared" si="7"/>
        <v>1.5917816379310343</v>
      </c>
      <c r="AE21" s="296">
        <f t="shared" si="7"/>
        <v>-11.642791724137934</v>
      </c>
      <c r="AF21" s="296">
        <f>SUM(C21:AE21)</f>
        <v>195.38664583333335</v>
      </c>
      <c r="AG21" s="281"/>
      <c r="AH21" s="297"/>
      <c r="AI21" s="281"/>
    </row>
    <row r="22" spans="1:35" ht="13.8">
      <c r="A22" s="298" t="s">
        <v>27</v>
      </c>
      <c r="B22" s="299"/>
      <c r="C22" s="300">
        <f t="shared" ref="C22:AE22" si="8">C5+C8-C21</f>
        <v>-5.51</v>
      </c>
      <c r="D22" s="300">
        <f t="shared" si="8"/>
        <v>-2.4674236251105217</v>
      </c>
      <c r="E22" s="300">
        <f t="shared" si="8"/>
        <v>-2.5344835750073678</v>
      </c>
      <c r="F22" s="300">
        <f t="shared" si="8"/>
        <v>-1.5575436522000858</v>
      </c>
      <c r="G22" s="300">
        <f t="shared" si="8"/>
        <v>-1.5235572517864853</v>
      </c>
      <c r="H22" s="300">
        <f t="shared" si="8"/>
        <v>-2.4490658265956524</v>
      </c>
      <c r="I22" s="300">
        <f t="shared" si="8"/>
        <v>-3.4078330222904363</v>
      </c>
      <c r="J22" s="300">
        <f t="shared" si="8"/>
        <v>-4.6430747076651606</v>
      </c>
      <c r="K22" s="300">
        <f t="shared" si="8"/>
        <v>-7.3494502719269565</v>
      </c>
      <c r="L22" s="300">
        <f t="shared" si="8"/>
        <v>-9.6208986744320679</v>
      </c>
      <c r="M22" s="300">
        <f t="shared" si="8"/>
        <v>-12.18780325078697</v>
      </c>
      <c r="N22" s="300">
        <f t="shared" si="8"/>
        <v>-14.427375357601957</v>
      </c>
      <c r="O22" s="300">
        <f t="shared" si="8"/>
        <v>-16.668477996104521</v>
      </c>
      <c r="P22" s="300">
        <f t="shared" si="8"/>
        <v>-19.069220591872043</v>
      </c>
      <c r="Q22" s="300">
        <f t="shared" si="8"/>
        <v>-21.220590763107833</v>
      </c>
      <c r="R22" s="300">
        <f t="shared" si="8"/>
        <v>-23.560266244399998</v>
      </c>
      <c r="S22" s="300">
        <f t="shared" si="8"/>
        <v>-26.443661904361011</v>
      </c>
      <c r="T22" s="300">
        <f t="shared" si="8"/>
        <v>-30.37200965788449</v>
      </c>
      <c r="U22" s="300">
        <f t="shared" si="8"/>
        <v>-34.189473334757665</v>
      </c>
      <c r="V22" s="300">
        <f t="shared" si="8"/>
        <v>-37.532472624924168</v>
      </c>
      <c r="W22" s="300">
        <f t="shared" si="8"/>
        <v>-40.531313765881727</v>
      </c>
      <c r="X22" s="300">
        <f t="shared" si="8"/>
        <v>-44.639956491218264</v>
      </c>
      <c r="Y22" s="300">
        <f t="shared" si="8"/>
        <v>-51.052508768291474</v>
      </c>
      <c r="Z22" s="300">
        <f t="shared" si="8"/>
        <v>-59.480334245037355</v>
      </c>
      <c r="AA22" s="300">
        <f t="shared" si="8"/>
        <v>-68.933223697051474</v>
      </c>
      <c r="AB22" s="300">
        <f t="shared" si="8"/>
        <v>-57.225714032018331</v>
      </c>
      <c r="AC22" s="300">
        <f t="shared" si="8"/>
        <v>-46.546010438543647</v>
      </c>
      <c r="AD22" s="300">
        <f t="shared" si="8"/>
        <v>-38.946520572564872</v>
      </c>
      <c r="AE22" s="300">
        <f t="shared" si="8"/>
        <v>-17.148143287415834</v>
      </c>
      <c r="AF22" s="300"/>
      <c r="AG22" s="281"/>
      <c r="AH22" s="267"/>
      <c r="AI22" s="281"/>
    </row>
    <row r="23" spans="1:35" ht="13.8">
      <c r="A23" s="301"/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281"/>
      <c r="AH23" s="267"/>
      <c r="AI23" s="281"/>
    </row>
    <row r="24" spans="1:35" ht="13.8">
      <c r="A24" s="304" t="s">
        <v>28</v>
      </c>
      <c r="B24" s="269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6"/>
      <c r="AH24" s="307"/>
      <c r="AI24" s="281"/>
    </row>
    <row r="25" spans="1:35" ht="13.8">
      <c r="A25" s="308" t="s">
        <v>164</v>
      </c>
      <c r="B25" s="359"/>
      <c r="C25" s="309">
        <v>10.24</v>
      </c>
      <c r="D25" s="309">
        <f>C27</f>
        <v>10.24</v>
      </c>
      <c r="E25" s="309">
        <f t="shared" ref="E25:M25" si="9">D27</f>
        <v>11.49</v>
      </c>
      <c r="F25" s="309">
        <f t="shared" si="9"/>
        <v>12.74</v>
      </c>
      <c r="G25" s="309">
        <f t="shared" si="9"/>
        <v>13.74</v>
      </c>
      <c r="H25" s="309">
        <f t="shared" si="9"/>
        <v>14.49</v>
      </c>
      <c r="I25" s="309">
        <f t="shared" si="9"/>
        <v>15.790000000000001</v>
      </c>
      <c r="J25" s="309">
        <f>I27</f>
        <v>17.54</v>
      </c>
      <c r="K25" s="309">
        <f t="shared" si="9"/>
        <v>18.54</v>
      </c>
      <c r="L25" s="309">
        <f t="shared" si="9"/>
        <v>19.439999999999998</v>
      </c>
      <c r="M25" s="309">
        <f t="shared" si="9"/>
        <v>20.939999999999998</v>
      </c>
      <c r="N25" s="309">
        <f t="shared" ref="N25:AE25" si="10">M27</f>
        <v>22.189999999999998</v>
      </c>
      <c r="O25" s="309">
        <f t="shared" si="10"/>
        <v>23.439999999999998</v>
      </c>
      <c r="P25" s="309">
        <f t="shared" si="10"/>
        <v>24.439999999999998</v>
      </c>
      <c r="Q25" s="309">
        <f t="shared" si="10"/>
        <v>25.689999999999998</v>
      </c>
      <c r="R25" s="309">
        <f t="shared" si="10"/>
        <v>26.689999999999998</v>
      </c>
      <c r="S25" s="309">
        <f t="shared" si="10"/>
        <v>27.439999999999998</v>
      </c>
      <c r="T25" s="309">
        <f t="shared" si="10"/>
        <v>27.939999999999998</v>
      </c>
      <c r="U25" s="309">
        <f t="shared" si="10"/>
        <v>28.439999999999998</v>
      </c>
      <c r="V25" s="309">
        <f t="shared" si="10"/>
        <v>28.939999999999998</v>
      </c>
      <c r="W25" s="309">
        <f t="shared" si="10"/>
        <v>29.189999999999998</v>
      </c>
      <c r="X25" s="309">
        <f t="shared" si="10"/>
        <v>29.589999999999996</v>
      </c>
      <c r="Y25" s="309">
        <f t="shared" si="10"/>
        <v>30.039999999999996</v>
      </c>
      <c r="Z25" s="309">
        <f t="shared" si="10"/>
        <v>30.189999999999994</v>
      </c>
      <c r="AA25" s="309">
        <f t="shared" si="10"/>
        <v>30.339999999999993</v>
      </c>
      <c r="AB25" s="309">
        <f t="shared" si="10"/>
        <v>30.499999999999993</v>
      </c>
      <c r="AC25" s="309">
        <f t="shared" si="10"/>
        <v>30.499999999999993</v>
      </c>
      <c r="AD25" s="309">
        <f t="shared" si="10"/>
        <v>30.499999999999993</v>
      </c>
      <c r="AE25" s="309">
        <f t="shared" si="10"/>
        <v>30.499999999999993</v>
      </c>
      <c r="AF25" s="310">
        <f>C25</f>
        <v>10.24</v>
      </c>
      <c r="AG25" s="297"/>
      <c r="AH25" s="297"/>
      <c r="AI25" s="281"/>
    </row>
    <row r="26" spans="1:35" ht="13.8">
      <c r="A26" s="308" t="s">
        <v>165</v>
      </c>
      <c r="B26" s="360"/>
      <c r="C26" s="309"/>
      <c r="D26" s="309">
        <v>1.25</v>
      </c>
      <c r="E26" s="309">
        <v>1.25</v>
      </c>
      <c r="F26" s="309">
        <v>1</v>
      </c>
      <c r="G26" s="309">
        <v>0.75</v>
      </c>
      <c r="H26" s="309">
        <v>1.3</v>
      </c>
      <c r="I26" s="309">
        <v>1.75</v>
      </c>
      <c r="J26" s="309">
        <v>1</v>
      </c>
      <c r="K26" s="309">
        <v>0.9</v>
      </c>
      <c r="L26" s="309">
        <v>1.5</v>
      </c>
      <c r="M26" s="309">
        <v>1.25</v>
      </c>
      <c r="N26" s="309">
        <v>1.25</v>
      </c>
      <c r="O26" s="309">
        <v>1</v>
      </c>
      <c r="P26" s="309">
        <v>1.25</v>
      </c>
      <c r="Q26" s="309">
        <v>1</v>
      </c>
      <c r="R26" s="309">
        <v>0.75</v>
      </c>
      <c r="S26" s="309">
        <v>0.5</v>
      </c>
      <c r="T26" s="309">
        <v>0.5</v>
      </c>
      <c r="U26" s="309">
        <v>0.5</v>
      </c>
      <c r="V26" s="309">
        <v>0.25</v>
      </c>
      <c r="W26" s="309">
        <v>0.4</v>
      </c>
      <c r="X26" s="309">
        <v>0.45</v>
      </c>
      <c r="Y26" s="309">
        <v>0.15</v>
      </c>
      <c r="Z26" s="309">
        <v>0.15</v>
      </c>
      <c r="AA26" s="309">
        <v>0.16</v>
      </c>
      <c r="AB26" s="309"/>
      <c r="AC26" s="309"/>
      <c r="AD26" s="309"/>
      <c r="AE26" s="309"/>
      <c r="AF26" s="309">
        <f>SUM(D26:AE26)</f>
        <v>20.259999999999998</v>
      </c>
      <c r="AG26" s="281"/>
      <c r="AH26" s="267"/>
      <c r="AI26" s="281"/>
    </row>
    <row r="27" spans="1:35" ht="13.8">
      <c r="A27" s="308" t="s">
        <v>47</v>
      </c>
      <c r="B27" s="360"/>
      <c r="C27" s="309">
        <f>C25+C26</f>
        <v>10.24</v>
      </c>
      <c r="D27" s="309">
        <f>D25+D26</f>
        <v>11.49</v>
      </c>
      <c r="E27" s="309">
        <f t="shared" ref="E27:AE27" si="11">E25+E26</f>
        <v>12.74</v>
      </c>
      <c r="F27" s="309">
        <f t="shared" si="11"/>
        <v>13.74</v>
      </c>
      <c r="G27" s="309">
        <f t="shared" si="11"/>
        <v>14.49</v>
      </c>
      <c r="H27" s="309">
        <f t="shared" si="11"/>
        <v>15.790000000000001</v>
      </c>
      <c r="I27" s="309">
        <f t="shared" si="11"/>
        <v>17.54</v>
      </c>
      <c r="J27" s="309">
        <f t="shared" si="11"/>
        <v>18.54</v>
      </c>
      <c r="K27" s="309">
        <f t="shared" si="11"/>
        <v>19.439999999999998</v>
      </c>
      <c r="L27" s="309">
        <f t="shared" si="11"/>
        <v>20.939999999999998</v>
      </c>
      <c r="M27" s="309">
        <f t="shared" si="11"/>
        <v>22.189999999999998</v>
      </c>
      <c r="N27" s="309">
        <f t="shared" si="11"/>
        <v>23.439999999999998</v>
      </c>
      <c r="O27" s="309">
        <f t="shared" si="11"/>
        <v>24.439999999999998</v>
      </c>
      <c r="P27" s="309">
        <f t="shared" si="11"/>
        <v>25.689999999999998</v>
      </c>
      <c r="Q27" s="309">
        <f t="shared" si="11"/>
        <v>26.689999999999998</v>
      </c>
      <c r="R27" s="309">
        <f t="shared" si="11"/>
        <v>27.439999999999998</v>
      </c>
      <c r="S27" s="309">
        <f t="shared" si="11"/>
        <v>27.939999999999998</v>
      </c>
      <c r="T27" s="309">
        <f t="shared" si="11"/>
        <v>28.439999999999998</v>
      </c>
      <c r="U27" s="309">
        <f t="shared" si="11"/>
        <v>28.939999999999998</v>
      </c>
      <c r="V27" s="309">
        <f t="shared" si="11"/>
        <v>29.189999999999998</v>
      </c>
      <c r="W27" s="309">
        <f t="shared" si="11"/>
        <v>29.589999999999996</v>
      </c>
      <c r="X27" s="309">
        <f t="shared" si="11"/>
        <v>30.039999999999996</v>
      </c>
      <c r="Y27" s="309">
        <f t="shared" si="11"/>
        <v>30.189999999999994</v>
      </c>
      <c r="Z27" s="309">
        <f t="shared" si="11"/>
        <v>30.339999999999993</v>
      </c>
      <c r="AA27" s="309">
        <f t="shared" si="11"/>
        <v>30.499999999999993</v>
      </c>
      <c r="AB27" s="309">
        <f t="shared" si="11"/>
        <v>30.499999999999993</v>
      </c>
      <c r="AC27" s="309">
        <f t="shared" si="11"/>
        <v>30.499999999999993</v>
      </c>
      <c r="AD27" s="309">
        <f t="shared" si="11"/>
        <v>30.499999999999993</v>
      </c>
      <c r="AE27" s="309">
        <f t="shared" si="11"/>
        <v>30.499999999999993</v>
      </c>
      <c r="AF27" s="310">
        <f>SUM(AF25:AF26)</f>
        <v>30.5</v>
      </c>
      <c r="AG27" s="281"/>
      <c r="AH27" s="297"/>
      <c r="AI27" s="281"/>
    </row>
    <row r="28" spans="1:35" ht="13.8">
      <c r="A28" s="311" t="s">
        <v>29</v>
      </c>
      <c r="B28" s="360"/>
      <c r="C28" s="312">
        <v>0</v>
      </c>
      <c r="D28" s="312">
        <v>6</v>
      </c>
      <c r="E28" s="312">
        <v>6</v>
      </c>
      <c r="F28" s="312">
        <v>5</v>
      </c>
      <c r="G28" s="312">
        <v>4.5</v>
      </c>
      <c r="H28" s="312">
        <v>3.75</v>
      </c>
      <c r="I28" s="312">
        <v>2.25</v>
      </c>
      <c r="J28" s="312">
        <v>1.75</v>
      </c>
      <c r="K28" s="312">
        <v>2</v>
      </c>
      <c r="L28" s="312">
        <v>1.5</v>
      </c>
      <c r="M28" s="312">
        <v>2</v>
      </c>
      <c r="N28" s="312">
        <v>2</v>
      </c>
      <c r="O28" s="312">
        <v>1.75</v>
      </c>
      <c r="P28" s="312">
        <v>2</v>
      </c>
      <c r="Q28" s="312">
        <v>1.5</v>
      </c>
      <c r="R28" s="312">
        <v>1</v>
      </c>
      <c r="S28" s="312">
        <v>0.5</v>
      </c>
      <c r="T28" s="312">
        <v>0.5</v>
      </c>
      <c r="U28" s="312">
        <v>0.5</v>
      </c>
      <c r="V28" s="312">
        <v>0.5</v>
      </c>
      <c r="W28" s="312">
        <v>0.5</v>
      </c>
      <c r="X28" s="312">
        <v>0.5</v>
      </c>
      <c r="Y28" s="312">
        <v>1</v>
      </c>
      <c r="Z28" s="312">
        <v>1</v>
      </c>
      <c r="AA28" s="312">
        <v>1</v>
      </c>
      <c r="AB28" s="312"/>
      <c r="AC28" s="312"/>
      <c r="AD28" s="312"/>
      <c r="AE28" s="312"/>
      <c r="AF28" s="312">
        <f>+SUM(C28:AE28)</f>
        <v>49</v>
      </c>
      <c r="AH28" s="297"/>
      <c r="AI28" s="281"/>
    </row>
    <row r="29" spans="1:35" ht="13.8">
      <c r="A29" s="313" t="s">
        <v>30</v>
      </c>
      <c r="B29" s="360"/>
      <c r="C29" s="314">
        <v>0</v>
      </c>
      <c r="D29" s="314">
        <v>0</v>
      </c>
      <c r="E29" s="314">
        <v>0</v>
      </c>
      <c r="F29" s="314">
        <v>0</v>
      </c>
      <c r="G29" s="314">
        <v>0</v>
      </c>
      <c r="H29" s="314">
        <v>0</v>
      </c>
      <c r="I29" s="314">
        <v>0</v>
      </c>
      <c r="J29" s="314">
        <v>0</v>
      </c>
      <c r="K29" s="314">
        <v>0</v>
      </c>
      <c r="L29" s="314">
        <v>0</v>
      </c>
      <c r="M29" s="314">
        <v>0</v>
      </c>
      <c r="N29" s="314">
        <v>0</v>
      </c>
      <c r="O29" s="314">
        <v>0</v>
      </c>
      <c r="P29" s="314">
        <v>0</v>
      </c>
      <c r="Q29" s="314">
        <v>0</v>
      </c>
      <c r="R29" s="314">
        <v>0</v>
      </c>
      <c r="S29" s="314">
        <v>0</v>
      </c>
      <c r="T29" s="314">
        <v>0</v>
      </c>
      <c r="U29" s="314">
        <v>0</v>
      </c>
      <c r="V29" s="314">
        <v>0</v>
      </c>
      <c r="W29" s="314">
        <v>0</v>
      </c>
      <c r="X29" s="314">
        <v>0</v>
      </c>
      <c r="Y29" s="314">
        <v>0</v>
      </c>
      <c r="Z29" s="314">
        <v>0</v>
      </c>
      <c r="AA29" s="314">
        <v>0</v>
      </c>
      <c r="AB29" s="314">
        <v>-11.5</v>
      </c>
      <c r="AC29" s="314">
        <v>-12.5</v>
      </c>
      <c r="AD29" s="314">
        <v>-12.5</v>
      </c>
      <c r="AE29" s="314">
        <v>-12.5</v>
      </c>
      <c r="AF29" s="314">
        <f>+SUM(C29:AE29)</f>
        <v>-49</v>
      </c>
      <c r="AH29" s="267"/>
      <c r="AI29" s="281"/>
    </row>
    <row r="30" spans="1:35" ht="13.8">
      <c r="A30" s="315" t="s">
        <v>168</v>
      </c>
      <c r="B30" s="360"/>
      <c r="C30" s="316">
        <f>C27+C28+C29</f>
        <v>10.24</v>
      </c>
      <c r="D30" s="316">
        <f>D26+D28+D29</f>
        <v>7.25</v>
      </c>
      <c r="E30" s="316">
        <f t="shared" ref="E30:AE30" si="12">E26+E28+E29</f>
        <v>7.25</v>
      </c>
      <c r="F30" s="316">
        <f t="shared" si="12"/>
        <v>6</v>
      </c>
      <c r="G30" s="316">
        <f t="shared" si="12"/>
        <v>5.25</v>
      </c>
      <c r="H30" s="316">
        <f t="shared" si="12"/>
        <v>5.05</v>
      </c>
      <c r="I30" s="316">
        <f t="shared" si="12"/>
        <v>4</v>
      </c>
      <c r="J30" s="316">
        <f t="shared" si="12"/>
        <v>2.75</v>
      </c>
      <c r="K30" s="316">
        <f t="shared" si="12"/>
        <v>2.9</v>
      </c>
      <c r="L30" s="316">
        <f t="shared" si="12"/>
        <v>3</v>
      </c>
      <c r="M30" s="316">
        <f t="shared" si="12"/>
        <v>3.25</v>
      </c>
      <c r="N30" s="316">
        <f t="shared" si="12"/>
        <v>3.25</v>
      </c>
      <c r="O30" s="316">
        <f t="shared" si="12"/>
        <v>2.75</v>
      </c>
      <c r="P30" s="316">
        <f t="shared" si="12"/>
        <v>3.25</v>
      </c>
      <c r="Q30" s="316">
        <f t="shared" si="12"/>
        <v>2.5</v>
      </c>
      <c r="R30" s="316">
        <f t="shared" si="12"/>
        <v>1.75</v>
      </c>
      <c r="S30" s="316">
        <f t="shared" si="12"/>
        <v>1</v>
      </c>
      <c r="T30" s="316">
        <f t="shared" si="12"/>
        <v>1</v>
      </c>
      <c r="U30" s="316">
        <f t="shared" si="12"/>
        <v>1</v>
      </c>
      <c r="V30" s="316">
        <f t="shared" si="12"/>
        <v>0.75</v>
      </c>
      <c r="W30" s="316">
        <f t="shared" si="12"/>
        <v>0.9</v>
      </c>
      <c r="X30" s="316">
        <f t="shared" si="12"/>
        <v>0.95</v>
      </c>
      <c r="Y30" s="316">
        <f t="shared" si="12"/>
        <v>1.1499999999999999</v>
      </c>
      <c r="Z30" s="316">
        <f t="shared" si="12"/>
        <v>1.1499999999999999</v>
      </c>
      <c r="AA30" s="316">
        <f t="shared" si="12"/>
        <v>1.1599999999999999</v>
      </c>
      <c r="AB30" s="316">
        <f t="shared" si="12"/>
        <v>-11.5</v>
      </c>
      <c r="AC30" s="316">
        <f t="shared" si="12"/>
        <v>-12.5</v>
      </c>
      <c r="AD30" s="316">
        <f t="shared" si="12"/>
        <v>-12.5</v>
      </c>
      <c r="AE30" s="316">
        <f t="shared" si="12"/>
        <v>-12.5</v>
      </c>
      <c r="AF30" s="316">
        <f>+SUM(C30:AE30)</f>
        <v>30.500000000000014</v>
      </c>
      <c r="AG30" s="281"/>
      <c r="AH30" s="267"/>
      <c r="AI30" s="281"/>
    </row>
    <row r="31" spans="1:35" ht="13.8">
      <c r="A31" s="317" t="s">
        <v>31</v>
      </c>
      <c r="B31" s="360"/>
      <c r="C31" s="318">
        <f>+C30+C22</f>
        <v>4.7300000000000004</v>
      </c>
      <c r="D31" s="318">
        <f t="shared" ref="D31:AE31" si="13">+D30+D22</f>
        <v>4.7825763748894783</v>
      </c>
      <c r="E31" s="318">
        <f t="shared" si="13"/>
        <v>4.7155164249926322</v>
      </c>
      <c r="F31" s="318">
        <f t="shared" si="13"/>
        <v>4.4424563477999142</v>
      </c>
      <c r="G31" s="318">
        <f t="shared" si="13"/>
        <v>3.7264427482135147</v>
      </c>
      <c r="H31" s="318">
        <f t="shared" si="13"/>
        <v>2.6009341734043474</v>
      </c>
      <c r="I31" s="318">
        <f t="shared" si="13"/>
        <v>0.59216697770956372</v>
      </c>
      <c r="J31" s="318">
        <f t="shared" si="13"/>
        <v>-1.8930747076651606</v>
      </c>
      <c r="K31" s="318">
        <f t="shared" si="13"/>
        <v>-4.4494502719269562</v>
      </c>
      <c r="L31" s="318">
        <f t="shared" si="13"/>
        <v>-6.6208986744320679</v>
      </c>
      <c r="M31" s="318">
        <f t="shared" si="13"/>
        <v>-8.9378032507869705</v>
      </c>
      <c r="N31" s="318">
        <f t="shared" si="13"/>
        <v>-11.177375357601957</v>
      </c>
      <c r="O31" s="318">
        <f t="shared" si="13"/>
        <v>-13.918477996104521</v>
      </c>
      <c r="P31" s="318">
        <f t="shared" si="13"/>
        <v>-15.819220591872043</v>
      </c>
      <c r="Q31" s="318">
        <f t="shared" si="13"/>
        <v>-18.720590763107833</v>
      </c>
      <c r="R31" s="318">
        <f t="shared" si="13"/>
        <v>-21.810266244399998</v>
      </c>
      <c r="S31" s="318">
        <f t="shared" si="13"/>
        <v>-25.443661904361011</v>
      </c>
      <c r="T31" s="318">
        <f t="shared" si="13"/>
        <v>-29.37200965788449</v>
      </c>
      <c r="U31" s="318">
        <f t="shared" si="13"/>
        <v>-33.189473334757665</v>
      </c>
      <c r="V31" s="318">
        <f t="shared" si="13"/>
        <v>-36.782472624924168</v>
      </c>
      <c r="W31" s="318">
        <f t="shared" si="13"/>
        <v>-39.631313765881728</v>
      </c>
      <c r="X31" s="318">
        <f t="shared" si="13"/>
        <v>-43.689956491218261</v>
      </c>
      <c r="Y31" s="318">
        <f t="shared" si="13"/>
        <v>-49.902508768291476</v>
      </c>
      <c r="Z31" s="318">
        <f t="shared" si="13"/>
        <v>-58.330334245037356</v>
      </c>
      <c r="AA31" s="318">
        <f t="shared" si="13"/>
        <v>-67.773223697051478</v>
      </c>
      <c r="AB31" s="318">
        <f t="shared" si="13"/>
        <v>-68.725714032018331</v>
      </c>
      <c r="AC31" s="318">
        <f t="shared" si="13"/>
        <v>-59.046010438543647</v>
      </c>
      <c r="AD31" s="318">
        <f t="shared" si="13"/>
        <v>-51.446520572564872</v>
      </c>
      <c r="AE31" s="318">
        <f t="shared" si="13"/>
        <v>-29.648143287415834</v>
      </c>
      <c r="AF31" s="318"/>
      <c r="AG31" s="319"/>
      <c r="AH31" s="273"/>
      <c r="AI31" s="281"/>
    </row>
    <row r="32" spans="1:35" ht="13.8">
      <c r="A32" s="268" t="s">
        <v>166</v>
      </c>
      <c r="B32" s="360"/>
      <c r="C32" s="305">
        <f>+C28-C29</f>
        <v>0</v>
      </c>
      <c r="D32" s="305">
        <f>SUM($D$28:D28)+SUM($D$29:D29)</f>
        <v>6</v>
      </c>
      <c r="E32" s="305">
        <f>SUM($D$28:E28)+SUM($D$29:E29)</f>
        <v>12</v>
      </c>
      <c r="F32" s="305">
        <f>SUM($D$28:F28)+SUM($D$29:F29)</f>
        <v>17</v>
      </c>
      <c r="G32" s="305">
        <f>SUM($D$28:G28)+SUM($D$29:G29)</f>
        <v>21.5</v>
      </c>
      <c r="H32" s="305">
        <f>SUM($D$28:H28)+SUM($D$29:H29)</f>
        <v>25.25</v>
      </c>
      <c r="I32" s="305">
        <f>SUM($D$28:I28)+SUM($D$29:I29)</f>
        <v>27.5</v>
      </c>
      <c r="J32" s="305">
        <f>SUM($D$28:J28)+SUM($D$29:J29)</f>
        <v>29.25</v>
      </c>
      <c r="K32" s="305">
        <f>SUM($D$28:K28)+SUM($D$29:K29)</f>
        <v>31.25</v>
      </c>
      <c r="L32" s="305">
        <f>SUM($D$28:L28)+SUM($D$29:L29)</f>
        <v>32.75</v>
      </c>
      <c r="M32" s="305">
        <f>SUM($D$28:M28)+SUM($D$29:M29)</f>
        <v>34.75</v>
      </c>
      <c r="N32" s="305">
        <f>SUM($D$28:N28)+SUM($D$29:N29)</f>
        <v>36.75</v>
      </c>
      <c r="O32" s="305">
        <f>SUM($D$28:O28)+SUM($D$29:O29)</f>
        <v>38.5</v>
      </c>
      <c r="P32" s="305">
        <f>SUM($D$28:P28)+SUM($D$29:P29)</f>
        <v>40.5</v>
      </c>
      <c r="Q32" s="305">
        <f>SUM($D$28:Q28)+SUM($D$29:Q29)</f>
        <v>42</v>
      </c>
      <c r="R32" s="305">
        <f>SUM($D$28:R28)+SUM($D$29:R29)</f>
        <v>43</v>
      </c>
      <c r="S32" s="305">
        <f>SUM($D$28:S28)+SUM($D$29:S29)</f>
        <v>43.5</v>
      </c>
      <c r="T32" s="305">
        <f>SUM($D$28:T28)+SUM($D$29:T29)</f>
        <v>44</v>
      </c>
      <c r="U32" s="305">
        <f>SUM($D$28:U28)+SUM($D$29:U29)</f>
        <v>44.5</v>
      </c>
      <c r="V32" s="305">
        <f>SUM($D$28:V28)+SUM($D$29:V29)</f>
        <v>45</v>
      </c>
      <c r="W32" s="305">
        <f>SUM($D$28:W28)+SUM($D$29:W29)</f>
        <v>45.5</v>
      </c>
      <c r="X32" s="305">
        <f>SUM($D$28:X28)+SUM($D$29:X29)</f>
        <v>46</v>
      </c>
      <c r="Y32" s="305">
        <f>SUM($D$28:Y28)+SUM($D$29:Y29)</f>
        <v>47</v>
      </c>
      <c r="Z32" s="305">
        <f>SUM($D$28:Z28)+SUM($D$29:Z29)</f>
        <v>48</v>
      </c>
      <c r="AA32" s="305">
        <f>SUM($D$28:AA28)+SUM($D$29:AA29)</f>
        <v>49</v>
      </c>
      <c r="AB32" s="305">
        <f>SUM($D$28:AB28)+SUM($D$29:AB29)</f>
        <v>37.5</v>
      </c>
      <c r="AC32" s="305">
        <f>SUM($D$28:AC28)+SUM($D$29:AC29)</f>
        <v>25</v>
      </c>
      <c r="AD32" s="305">
        <f>SUM($D$28:AD28)+SUM($D$29:AD29)</f>
        <v>12.5</v>
      </c>
      <c r="AE32" s="305">
        <f>SUM($D$28:AE28)+SUM($D$29:AE29)</f>
        <v>0</v>
      </c>
      <c r="AF32" s="305"/>
      <c r="AG32" s="281"/>
      <c r="AH32" s="267"/>
    </row>
    <row r="33" spans="1:34" ht="13.8">
      <c r="A33" s="320" t="s">
        <v>167</v>
      </c>
      <c r="B33" s="360"/>
      <c r="C33" s="321">
        <f t="shared" ref="C33:AE33" si="14">C32/C27</f>
        <v>0</v>
      </c>
      <c r="D33" s="321">
        <f t="shared" si="14"/>
        <v>0.5221932114882506</v>
      </c>
      <c r="E33" s="321">
        <f t="shared" si="14"/>
        <v>0.9419152276295133</v>
      </c>
      <c r="F33" s="321">
        <f t="shared" si="14"/>
        <v>1.2372634643377001</v>
      </c>
      <c r="G33" s="321">
        <f t="shared" si="14"/>
        <v>1.4837819185645273</v>
      </c>
      <c r="H33" s="321">
        <f t="shared" si="14"/>
        <v>1.5991133628879037</v>
      </c>
      <c r="I33" s="321">
        <f t="shared" si="14"/>
        <v>1.5678449258836944</v>
      </c>
      <c r="J33" s="321">
        <f t="shared" si="14"/>
        <v>1.5776699029126213</v>
      </c>
      <c r="K33" s="321">
        <f t="shared" si="14"/>
        <v>1.6075102880658438</v>
      </c>
      <c r="L33" s="321">
        <f t="shared" si="14"/>
        <v>1.5639923591212992</v>
      </c>
      <c r="M33" s="321">
        <f t="shared" si="14"/>
        <v>1.5660207300585851</v>
      </c>
      <c r="N33" s="321">
        <f t="shared" si="14"/>
        <v>1.5678327645051195</v>
      </c>
      <c r="O33" s="321">
        <f t="shared" si="14"/>
        <v>1.5752864157119477</v>
      </c>
      <c r="P33" s="321">
        <f t="shared" si="14"/>
        <v>1.5764889061891789</v>
      </c>
      <c r="Q33" s="321">
        <f t="shared" si="14"/>
        <v>1.5736230798051707</v>
      </c>
      <c r="R33" s="321">
        <f t="shared" si="14"/>
        <v>1.5670553935860059</v>
      </c>
      <c r="S33" s="321">
        <f t="shared" si="14"/>
        <v>1.5569076592698641</v>
      </c>
      <c r="T33" s="321">
        <f t="shared" si="14"/>
        <v>1.5471167369901548</v>
      </c>
      <c r="U33" s="321">
        <f t="shared" si="14"/>
        <v>1.5376641326883207</v>
      </c>
      <c r="V33" s="321">
        <f t="shared" si="14"/>
        <v>1.5416238437821173</v>
      </c>
      <c r="W33" s="321">
        <f t="shared" si="14"/>
        <v>1.537681649205813</v>
      </c>
      <c r="X33" s="321">
        <f t="shared" si="14"/>
        <v>1.5312916111850867</v>
      </c>
      <c r="Y33" s="321">
        <f t="shared" si="14"/>
        <v>1.5568068896985761</v>
      </c>
      <c r="Z33" s="321">
        <f t="shared" si="14"/>
        <v>1.5820698747528019</v>
      </c>
      <c r="AA33" s="321">
        <f t="shared" si="14"/>
        <v>1.6065573770491808</v>
      </c>
      <c r="AB33" s="321">
        <f t="shared" si="14"/>
        <v>1.2295081967213117</v>
      </c>
      <c r="AC33" s="321">
        <f t="shared" si="14"/>
        <v>0.81967213114754123</v>
      </c>
      <c r="AD33" s="321">
        <f t="shared" si="14"/>
        <v>0.40983606557377061</v>
      </c>
      <c r="AE33" s="321">
        <f t="shared" si="14"/>
        <v>0</v>
      </c>
      <c r="AF33" s="321"/>
      <c r="AH33" s="267"/>
    </row>
    <row r="34" spans="1:34" ht="13.8">
      <c r="A34" s="322" t="s">
        <v>172</v>
      </c>
      <c r="B34" s="360"/>
      <c r="C34" s="323">
        <f>C32/SUM($C$22:C22)*-1</f>
        <v>0</v>
      </c>
      <c r="D34" s="323">
        <f>D32/SUM($C$22:D22)*-1</f>
        <v>0.75212252501093346</v>
      </c>
      <c r="E34" s="323">
        <f>E32/SUM($C$22:E22)*-1</f>
        <v>1.1415625891242098</v>
      </c>
      <c r="F34" s="323">
        <f>F32/SUM($C$22:F22)*-1</f>
        <v>1.4085147872933339</v>
      </c>
      <c r="G34" s="323">
        <f>G32/SUM($C$22:G22)*-1</f>
        <v>1.5816955184119985</v>
      </c>
      <c r="H34" s="323">
        <f>H32/SUM($C$22:H22)*-1</f>
        <v>1.573986013845657</v>
      </c>
      <c r="I34" s="323">
        <f>I32/SUM($C$22:I22)*-1</f>
        <v>1.4138885119844595</v>
      </c>
      <c r="J34" s="323">
        <f>J32/SUM($C$22:J22)*-1</f>
        <v>1.2140464975227951</v>
      </c>
      <c r="K34" s="323">
        <f>K32/SUM($C$22:K22)*-1</f>
        <v>0.99387986485920465</v>
      </c>
      <c r="L34" s="323">
        <f>L32/SUM($C$22:L22)*-1</f>
        <v>0.79754855526515445</v>
      </c>
      <c r="M34" s="323">
        <f>M32/SUM($C$22:M22)*-1</f>
        <v>0.65256826442032378</v>
      </c>
      <c r="N34" s="323">
        <f>N32/SUM($C$22:N22)*-1</f>
        <v>0.54300841472488703</v>
      </c>
      <c r="O34" s="323">
        <f>O32/SUM($C$22:O22)*-1</f>
        <v>0.45644783853936061</v>
      </c>
      <c r="P34" s="323">
        <f>P32/SUM($C$22:P22)*-1</f>
        <v>0.39162139920079564</v>
      </c>
      <c r="Q34" s="323">
        <f>Q32/SUM($C$22:Q22)*-1</f>
        <v>0.3369791304258743</v>
      </c>
      <c r="R34" s="323">
        <f>R32/SUM($C$22:R22)*-1</f>
        <v>0.29015419471952181</v>
      </c>
      <c r="S34" s="323">
        <f>S32/SUM($C$22:S22)*-1</f>
        <v>0.24908279310430584</v>
      </c>
      <c r="T34" s="323">
        <f>T32/SUM($C$22:T22)*-1</f>
        <v>0.21462081224025895</v>
      </c>
      <c r="U34" s="323">
        <f>U32/SUM($C$22:U22)*-1</f>
        <v>0.18603507072255929</v>
      </c>
      <c r="V34" s="323">
        <f>V32/SUM($C$22:V22)*-1</f>
        <v>0.16261062625276829</v>
      </c>
      <c r="W34" s="323">
        <f>W32/SUM($C$22:W22)*-1</f>
        <v>0.14341278472794661</v>
      </c>
      <c r="X34" s="323">
        <f>X32/SUM($C$22:X22)*-1</f>
        <v>0.12710484497646199</v>
      </c>
      <c r="Y34" s="323">
        <f>Y32/SUM($C$22:Y22)*-1</f>
        <v>0.1138128998384451</v>
      </c>
      <c r="Z34" s="323">
        <f>Z32/SUM($C$22:Z22)*-1</f>
        <v>0.10160046221163974</v>
      </c>
      <c r="AA34" s="323">
        <f>AA32/SUM($C$22:AA22)*-1</f>
        <v>9.0510773097085384E-2</v>
      </c>
      <c r="AB34" s="324"/>
      <c r="AC34" s="323"/>
      <c r="AD34" s="323"/>
      <c r="AE34" s="323"/>
      <c r="AF34" s="323"/>
      <c r="AH34" s="267"/>
    </row>
    <row r="35" spans="1:34" ht="15" customHeight="1">
      <c r="A35" s="325" t="s">
        <v>169</v>
      </c>
      <c r="B35" s="360"/>
      <c r="C35" s="326">
        <f>IF(C32=0,0,C32/SUM($C$15:C15))</f>
        <v>0</v>
      </c>
      <c r="D35" s="326">
        <f>IF(D32=0,0,D32/SUM($C$15:D15))</f>
        <v>0.75566750629722923</v>
      </c>
      <c r="E35" s="326">
        <f>IF(E32=0,0,E32/SUM($C$15:E15))</f>
        <v>0.8310249307479225</v>
      </c>
      <c r="F35" s="326">
        <f>IF(F32=0,0,F32/SUM($C$15:F15))</f>
        <v>0.85255767301905727</v>
      </c>
      <c r="G35" s="326">
        <f>IF(G32=0,0,G32/SUM($C$15:G15))</f>
        <v>0.84512578616352207</v>
      </c>
      <c r="H35" s="326">
        <f>IF(H32=0,0,H32/SUM($C$15:H15))</f>
        <v>0.81609566903684561</v>
      </c>
      <c r="I35" s="326">
        <f>IF(I32=0,0,I32/SUM($C$15:I15))</f>
        <v>0.75466520307354557</v>
      </c>
      <c r="J35" s="326">
        <f>IF(J32=0,0,J32/SUM($C$15:J15))</f>
        <v>0.69742489270386265</v>
      </c>
      <c r="K35" s="326">
        <f>IF(K32=0,0,K32/SUM($C$15:K15))</f>
        <v>0.65872681281618894</v>
      </c>
      <c r="L35" s="326">
        <f>IF(L32=0,0,L32/SUM($C$15:L15))</f>
        <v>0.6186248583301851</v>
      </c>
      <c r="M35" s="326">
        <f>IF(M32=0,0,M32/SUM($C$15:M15))</f>
        <v>0.59462696783025326</v>
      </c>
      <c r="N35" s="326">
        <f>IF(N32=0,0,N32/SUM($C$15:N15))</f>
        <v>0.57475758523615894</v>
      </c>
      <c r="O35" s="326">
        <f>IF(O32=0,0,O32/SUM($C$15:O15))</f>
        <v>0.55443548387096775</v>
      </c>
      <c r="P35" s="326">
        <f>IF(P32=0,0,P32/SUM($C$15:P15))</f>
        <v>0.54043234587670141</v>
      </c>
      <c r="Q35" s="326">
        <f>IF(Q32=0,0,Q32/SUM($C$15:Q15))</f>
        <v>0.52375607931163493</v>
      </c>
      <c r="R35" s="326">
        <f>IF(R32=0,0,R32/SUM($C$15:R15))</f>
        <v>0.50034908075401441</v>
      </c>
      <c r="S35" s="326">
        <f>IF(S32=0,0,S32/SUM($C$15:S15))</f>
        <v>0.47572178477690291</v>
      </c>
      <c r="T35" s="326">
        <f>IF(T32=0,0,T32/SUM($C$15:T15))</f>
        <v>0.45388900350732414</v>
      </c>
      <c r="U35" s="326">
        <f>IF(U32=0,0,U32/SUM($C$15:U15))</f>
        <v>0.4344006247559547</v>
      </c>
      <c r="V35" s="326">
        <f>IF(V32=0,0,V32/SUM($C$15:V15))</f>
        <v>0.41689827682045583</v>
      </c>
      <c r="W35" s="326">
        <f>IF(W32=0,0,W32/SUM($C$15:W15))</f>
        <v>0.40109308885754585</v>
      </c>
      <c r="X35" s="326">
        <f>IF(X32=0,0,X32/SUM($C$15:X15))</f>
        <v>0.38674962165797883</v>
      </c>
      <c r="Y35" s="326">
        <f>IF(Y32=0,0,Y32/SUM($C$15:Y15))</f>
        <v>0.37769206043072967</v>
      </c>
      <c r="Z35" s="326">
        <f>IF(Z32=0,0,Z32/SUM($C$15:Z15))</f>
        <v>0.3694012621209789</v>
      </c>
      <c r="AA35" s="326">
        <f>IF(AA32=0,0,AA32/SUM($C$15:AA15))</f>
        <v>0.36482763755491027</v>
      </c>
      <c r="AB35" s="326">
        <f>IF(AB32=0,0,AB32/SUM($C$15:AB15))</f>
        <v>0.27920482465937013</v>
      </c>
      <c r="AC35" s="326">
        <f>IF(AC32=0,0,AC32/SUM($C$15:AC15))</f>
        <v>0.18613654977291341</v>
      </c>
      <c r="AD35" s="326">
        <f>IF(AD32=0,0,AD32/SUM($C$15:AD15))</f>
        <v>9.3068274886456706E-2</v>
      </c>
      <c r="AE35" s="326">
        <f>IF(AE32=0,0,AE32/SUM($C$15:AE15))</f>
        <v>0</v>
      </c>
      <c r="AF35" s="327"/>
    </row>
    <row r="36" spans="1:34" ht="15" customHeight="1">
      <c r="A36" s="325" t="s">
        <v>171</v>
      </c>
      <c r="B36" s="361"/>
      <c r="C36" s="328">
        <f>(C32/'Project Brief'!$B$24)/(Cashflow!C27/'Project Brief'!$B$20)</f>
        <v>0</v>
      </c>
      <c r="D36" s="328">
        <f>(D32/'Project Brief'!$B$24)/(Cashflow!D27/'Project Brief'!$B$20)</f>
        <v>0.35926892950391642</v>
      </c>
      <c r="E36" s="328">
        <f>(E32/'Project Brief'!$B$24)/(Cashflow!E27/'Project Brief'!$B$20)</f>
        <v>0.64803767660910516</v>
      </c>
      <c r="F36" s="328">
        <f>(F32/'Project Brief'!$B$24)/(Cashflow!F27/'Project Brief'!$B$20)</f>
        <v>0.8512372634643377</v>
      </c>
      <c r="G36" s="328">
        <f>(G32/'Project Brief'!$B$24)/(Cashflow!G27/'Project Brief'!$B$20)</f>
        <v>1.0208419599723948</v>
      </c>
      <c r="H36" s="328">
        <f>(H32/'Project Brief'!$B$24)/(Cashflow!H27/'Project Brief'!$B$20)</f>
        <v>1.1001899936668778</v>
      </c>
      <c r="I36" s="328">
        <f>(I32/'Project Brief'!$B$24)/(Cashflow!I27/'Project Brief'!$B$20)</f>
        <v>1.0786773090079818</v>
      </c>
      <c r="J36" s="328">
        <f>(J32/'Project Brief'!$B$24)/(Cashflow!J27/'Project Brief'!$B$20)</f>
        <v>1.0854368932038834</v>
      </c>
      <c r="K36" s="328">
        <f>(K32/'Project Brief'!$B$24)/(Cashflow!K27/'Project Brief'!$B$20)</f>
        <v>1.1059670781893005</v>
      </c>
      <c r="L36" s="328">
        <f>(L32/'Project Brief'!$B$24)/(Cashflow!L27/'Project Brief'!$B$20)</f>
        <v>1.0760267430754538</v>
      </c>
      <c r="M36" s="328">
        <f>(M32/'Project Brief'!$B$24)/(Cashflow!M27/'Project Brief'!$B$20)</f>
        <v>1.0774222622803065</v>
      </c>
      <c r="N36" s="328">
        <f>(N32/'Project Brief'!$B$24)/(Cashflow!N27/'Project Brief'!$B$20)</f>
        <v>1.0786689419795221</v>
      </c>
      <c r="O36" s="328">
        <f>(O32/'Project Brief'!$B$24)/(Cashflow!O27/'Project Brief'!$B$20)</f>
        <v>1.0837970540098201</v>
      </c>
      <c r="P36" s="328">
        <f>(P32/'Project Brief'!$B$24)/(Cashflow!P27/'Project Brief'!$B$20)</f>
        <v>1.084624367458155</v>
      </c>
      <c r="Q36" s="328">
        <f>(Q32/'Project Brief'!$B$24)/(Cashflow!Q27/'Project Brief'!$B$20)</f>
        <v>1.0826526789059574</v>
      </c>
      <c r="R36" s="328">
        <f>(R32/'Project Brief'!$B$24)/(Cashflow!R27/'Project Brief'!$B$20)</f>
        <v>1.078134110787172</v>
      </c>
      <c r="S36" s="328">
        <f>(S32/'Project Brief'!$B$24)/(Cashflow!S27/'Project Brief'!$B$20)</f>
        <v>1.0711524695776664</v>
      </c>
      <c r="T36" s="328">
        <f>(T32/'Project Brief'!$B$24)/(Cashflow!T27/'Project Brief'!$B$20)</f>
        <v>1.0644163150492265</v>
      </c>
      <c r="U36" s="328">
        <f>(U32/'Project Brief'!$B$24)/(Cashflow!U27/'Project Brief'!$B$20)</f>
        <v>1.0579129232895645</v>
      </c>
      <c r="V36" s="328">
        <f>(V32/'Project Brief'!$B$24)/(Cashflow!V27/'Project Brief'!$B$20)</f>
        <v>1.0606372045220966</v>
      </c>
      <c r="W36" s="328">
        <f>(W32/'Project Brief'!$B$24)/(Cashflow!W27/'Project Brief'!$B$20)</f>
        <v>1.0579249746535995</v>
      </c>
      <c r="X36" s="328">
        <f>(X32/'Project Brief'!$B$24)/(Cashflow!X27/'Project Brief'!$B$20)</f>
        <v>1.0535286284953396</v>
      </c>
      <c r="Y36" s="328">
        <f>(Y32/'Project Brief'!$B$24)/(Cashflow!Y27/'Project Brief'!$B$20)</f>
        <v>1.0710831401126204</v>
      </c>
      <c r="Z36" s="328">
        <f>(Z32/'Project Brief'!$B$24)/(Cashflow!Z27/'Project Brief'!$B$20)</f>
        <v>1.0884640738299276</v>
      </c>
      <c r="AA36" s="328">
        <f>(AA32/'Project Brief'!$B$24)/(Cashflow!AA27/'Project Brief'!$B$20)</f>
        <v>1.1053114754098363</v>
      </c>
      <c r="AB36" s="328">
        <f>(AB32/'Project Brief'!$B$24)/(Cashflow!AB27/'Project Brief'!$B$20)</f>
        <v>0.84590163934426243</v>
      </c>
      <c r="AC36" s="328">
        <f>(AC32/'Project Brief'!$B$24)/(Cashflow!AC27/'Project Brief'!$B$20)</f>
        <v>0.56393442622950829</v>
      </c>
      <c r="AD36" s="328">
        <f>(AD32/'Project Brief'!$B$24)/(Cashflow!AD27/'Project Brief'!$B$20)</f>
        <v>0.28196721311475414</v>
      </c>
      <c r="AE36" s="328">
        <f>(AE32/'Project Brief'!$B$24)/(Cashflow!AE27/'Project Brief'!$B$20)</f>
        <v>0</v>
      </c>
      <c r="AF36" s="325"/>
    </row>
    <row r="37" spans="1:34" ht="15" customHeight="1">
      <c r="D37" s="281"/>
    </row>
    <row r="38" spans="1:34" ht="15" customHeight="1">
      <c r="D38" s="281"/>
    </row>
    <row r="39" spans="1:34" ht="15" customHeight="1">
      <c r="D39" s="281"/>
    </row>
    <row r="40" spans="1:34" ht="15" customHeight="1">
      <c r="D40" s="281"/>
    </row>
    <row r="41" spans="1:34" ht="15" customHeight="1">
      <c r="D41" s="281"/>
      <c r="F41" s="281"/>
      <c r="G41" s="329"/>
    </row>
    <row r="42" spans="1:34" ht="15" customHeight="1">
      <c r="D42" s="281"/>
    </row>
    <row r="43" spans="1:34" ht="15" customHeight="1">
      <c r="D43" s="281"/>
    </row>
  </sheetData>
  <mergeCells count="5">
    <mergeCell ref="A1:AF1"/>
    <mergeCell ref="A2:A4"/>
    <mergeCell ref="B5:B7"/>
    <mergeCell ref="B3:B4"/>
    <mergeCell ref="B25:B36"/>
  </mergeCells>
  <conditionalFormatting sqref="A5:AE5 I26:AE26 A6:A7 C7:AE7 C6:D6 A26:A34 C26:G26 A8:AE25 C27:AE34 AF7:AF26">
    <cfRule type="cellIs" dxfId="13" priority="32" operator="lessThan">
      <formula>0</formula>
    </cfRule>
  </conditionalFormatting>
  <conditionalFormatting sqref="C31:AE31">
    <cfRule type="cellIs" dxfId="12" priority="30" operator="lessThan">
      <formula>0</formula>
    </cfRule>
  </conditionalFormatting>
  <conditionalFormatting sqref="C34:AE34">
    <cfRule type="cellIs" dxfId="11" priority="26" operator="greaterThan">
      <formula>0.7</formula>
    </cfRule>
    <cfRule type="cellIs" dxfId="10" priority="27" operator="lessThan">
      <formula>0.7</formula>
    </cfRule>
  </conditionalFormatting>
  <conditionalFormatting sqref="H26">
    <cfRule type="cellIs" dxfId="9" priority="24" operator="lessThan">
      <formula>0</formula>
    </cfRule>
  </conditionalFormatting>
  <conditionalFormatting sqref="E6:AE6">
    <cfRule type="cellIs" dxfId="8" priority="13" operator="lessThan">
      <formula>0</formula>
    </cfRule>
  </conditionalFormatting>
  <conditionalFormatting sqref="AF5 AF28:AF34">
    <cfRule type="cellIs" dxfId="7" priority="8" operator="lessThan">
      <formula>0</formula>
    </cfRule>
  </conditionalFormatting>
  <conditionalFormatting sqref="AF31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greaterThan">
      <formula>2</formula>
    </cfRule>
  </conditionalFormatting>
  <conditionalFormatting sqref="AF34">
    <cfRule type="cellIs" dxfId="3" priority="3" operator="greaterThan">
      <formula>0.7</formula>
    </cfRule>
    <cfRule type="cellIs" dxfId="2" priority="4" operator="lessThan">
      <formula>0.7</formula>
    </cfRule>
  </conditionalFormatting>
  <conditionalFormatting sqref="AF6">
    <cfRule type="cellIs" dxfId="1" priority="2" operator="lessThan">
      <formula>0</formula>
    </cfRule>
  </conditionalFormatting>
  <conditionalFormatting sqref="AF27">
    <cfRule type="cellIs" dxfId="0" priority="1" operator="lessThan">
      <formula>0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5"/>
  <sheetViews>
    <sheetView workbookViewId="0">
      <selection activeCell="K5" sqref="K5"/>
    </sheetView>
  </sheetViews>
  <sheetFormatPr defaultColWidth="8.77734375" defaultRowHeight="18" customHeight="1"/>
  <cols>
    <col min="1" max="1" width="8.77734375" style="77"/>
    <col min="2" max="2" width="14.6640625" style="77" bestFit="1" customWidth="1"/>
    <col min="3" max="3" width="8.77734375" style="215"/>
    <col min="4" max="4" width="15.44140625" style="216" bestFit="1" customWidth="1"/>
    <col min="5" max="5" width="12.44140625" style="216" customWidth="1"/>
    <col min="6" max="7" width="8.77734375" style="216"/>
    <col min="8" max="16384" width="8.77734375" style="203"/>
  </cols>
  <sheetData>
    <row r="1" spans="1:10" ht="18" customHeight="1">
      <c r="A1" s="362"/>
      <c r="B1" s="362"/>
      <c r="C1" s="362"/>
      <c r="D1" s="362"/>
      <c r="E1" s="362"/>
      <c r="F1" s="201">
        <v>0.11550000000000001</v>
      </c>
      <c r="G1" s="202"/>
    </row>
    <row r="2" spans="1:10" ht="18" customHeight="1">
      <c r="A2" s="204" t="s">
        <v>58</v>
      </c>
      <c r="B2" s="217" t="s">
        <v>156</v>
      </c>
      <c r="C2" s="204" t="s">
        <v>37</v>
      </c>
      <c r="D2" s="205" t="s">
        <v>170</v>
      </c>
      <c r="E2" s="205" t="s">
        <v>38</v>
      </c>
      <c r="F2" s="205" t="s">
        <v>39</v>
      </c>
      <c r="G2" s="205" t="s">
        <v>40</v>
      </c>
    </row>
    <row r="3" spans="1:10" ht="18" customHeight="1">
      <c r="A3" s="206">
        <v>1</v>
      </c>
      <c r="B3" s="218" t="str">
        <f>'Implementation and Revenue'!H12</f>
        <v>2022-2023</v>
      </c>
      <c r="C3" s="207">
        <f>'Implementation and Revenue'!D12</f>
        <v>44896</v>
      </c>
      <c r="D3" s="208">
        <f>HLOOKUP($C3,Cashflow!$C$3:$AE$29,26,FALSE)</f>
        <v>0</v>
      </c>
      <c r="E3" s="208">
        <f>HLOOKUP($C3,Cashflow!$C$3:$AE$29,27,FALSE)</f>
        <v>0</v>
      </c>
      <c r="F3" s="208">
        <f>+G3*$F$1*1/4</f>
        <v>0</v>
      </c>
      <c r="G3" s="208">
        <f>+D3</f>
        <v>0</v>
      </c>
      <c r="I3" s="209"/>
    </row>
    <row r="4" spans="1:10" ht="18" customHeight="1">
      <c r="A4" s="206">
        <v>2</v>
      </c>
      <c r="B4" s="218" t="str">
        <f>'Implementation and Revenue'!H13</f>
        <v>2022-2023</v>
      </c>
      <c r="C4" s="207">
        <f>'Implementation and Revenue'!D13</f>
        <v>44986</v>
      </c>
      <c r="D4" s="208">
        <f>HLOOKUP($C4,Cashflow!$C$3:$AE$29,26,FALSE)</f>
        <v>6</v>
      </c>
      <c r="E4" s="208">
        <f>HLOOKUP($C4,Cashflow!$C$3:$AE$29,27,FALSE)</f>
        <v>0</v>
      </c>
      <c r="F4" s="208">
        <f>+G4*$F$1*1/4</f>
        <v>0.17325000000000002</v>
      </c>
      <c r="G4" s="208">
        <f>+G3+D4+E4</f>
        <v>6</v>
      </c>
      <c r="H4" s="210"/>
      <c r="I4" s="209"/>
    </row>
    <row r="5" spans="1:10" ht="18" customHeight="1">
      <c r="A5" s="206">
        <v>3</v>
      </c>
      <c r="B5" s="218" t="str">
        <f>'Implementation and Revenue'!H14</f>
        <v>2023-2024</v>
      </c>
      <c r="C5" s="207">
        <f>'Implementation and Revenue'!D14</f>
        <v>45078</v>
      </c>
      <c r="D5" s="208">
        <f>HLOOKUP($C5,Cashflow!$C$3:$AE$29,26,FALSE)</f>
        <v>6</v>
      </c>
      <c r="E5" s="208">
        <f>HLOOKUP($C5,Cashflow!$C$3:$AE$29,27,FALSE)</f>
        <v>0</v>
      </c>
      <c r="F5" s="208">
        <f t="shared" ref="F5:F21" si="0">+G5*$F$1*1/4</f>
        <v>0.34650000000000003</v>
      </c>
      <c r="G5" s="208">
        <f t="shared" ref="G5:G31" si="1">+G4+D5+E5</f>
        <v>12</v>
      </c>
      <c r="H5" s="210"/>
      <c r="I5" s="209"/>
    </row>
    <row r="6" spans="1:10" ht="18" customHeight="1">
      <c r="A6" s="206">
        <v>4</v>
      </c>
      <c r="B6" s="218" t="str">
        <f>'Implementation and Revenue'!H15</f>
        <v>2023-2024</v>
      </c>
      <c r="C6" s="207">
        <f>'Implementation and Revenue'!D15</f>
        <v>45170</v>
      </c>
      <c r="D6" s="208">
        <f>HLOOKUP($C6,Cashflow!$C$3:$AE$29,26,FALSE)</f>
        <v>5</v>
      </c>
      <c r="E6" s="208">
        <f>HLOOKUP($C6,Cashflow!$C$3:$AE$29,27,FALSE)</f>
        <v>0</v>
      </c>
      <c r="F6" s="208">
        <f t="shared" si="0"/>
        <v>0.49087500000000001</v>
      </c>
      <c r="G6" s="208">
        <f t="shared" si="1"/>
        <v>17</v>
      </c>
      <c r="H6" s="210"/>
      <c r="I6" s="209"/>
    </row>
    <row r="7" spans="1:10" ht="18" customHeight="1">
      <c r="A7" s="206">
        <v>5</v>
      </c>
      <c r="B7" s="218" t="str">
        <f>'Implementation and Revenue'!H16</f>
        <v>2023-2024</v>
      </c>
      <c r="C7" s="207">
        <f>'Implementation and Revenue'!D16</f>
        <v>45261</v>
      </c>
      <c r="D7" s="208">
        <f>HLOOKUP($C7,Cashflow!$C$3:$AE$29,26,FALSE)</f>
        <v>4.5</v>
      </c>
      <c r="E7" s="208">
        <f>HLOOKUP($C7,Cashflow!$C$3:$AE$29,27,FALSE)</f>
        <v>0</v>
      </c>
      <c r="F7" s="208">
        <f t="shared" si="0"/>
        <v>0.62081249999999999</v>
      </c>
      <c r="G7" s="208">
        <f t="shared" si="1"/>
        <v>21.5</v>
      </c>
      <c r="H7" s="210"/>
      <c r="I7" s="209"/>
    </row>
    <row r="8" spans="1:10" ht="18" customHeight="1">
      <c r="A8" s="206">
        <v>6</v>
      </c>
      <c r="B8" s="218" t="str">
        <f>'Implementation and Revenue'!H17</f>
        <v>2023-2024</v>
      </c>
      <c r="C8" s="207">
        <f>'Implementation and Revenue'!D17</f>
        <v>45352</v>
      </c>
      <c r="D8" s="208">
        <f>HLOOKUP($C8,Cashflow!$C$3:$AE$29,26,FALSE)</f>
        <v>3.75</v>
      </c>
      <c r="E8" s="208">
        <f>HLOOKUP($C8,Cashflow!$C$3:$AE$29,27,FALSE)</f>
        <v>0</v>
      </c>
      <c r="F8" s="208">
        <f t="shared" si="0"/>
        <v>0.72909374999999998</v>
      </c>
      <c r="G8" s="208">
        <f t="shared" si="1"/>
        <v>25.25</v>
      </c>
      <c r="H8" s="210"/>
      <c r="I8" s="209"/>
      <c r="J8" s="209"/>
    </row>
    <row r="9" spans="1:10" ht="18" customHeight="1">
      <c r="A9" s="206">
        <v>7</v>
      </c>
      <c r="B9" s="218" t="str">
        <f>'Implementation and Revenue'!H18</f>
        <v>2024-2025</v>
      </c>
      <c r="C9" s="207">
        <f>'Implementation and Revenue'!D18</f>
        <v>45444</v>
      </c>
      <c r="D9" s="208">
        <f>HLOOKUP($C9,Cashflow!$C$3:$AE$29,26,FALSE)</f>
        <v>2.25</v>
      </c>
      <c r="E9" s="208">
        <f>HLOOKUP($C9,Cashflow!$C$3:$AE$29,27,FALSE)</f>
        <v>0</v>
      </c>
      <c r="F9" s="208">
        <f t="shared" si="0"/>
        <v>0.7940625</v>
      </c>
      <c r="G9" s="208">
        <f t="shared" si="1"/>
        <v>27.5</v>
      </c>
      <c r="H9" s="210"/>
      <c r="I9" s="209"/>
      <c r="J9" s="209"/>
    </row>
    <row r="10" spans="1:10" ht="18" customHeight="1">
      <c r="A10" s="206">
        <v>8</v>
      </c>
      <c r="B10" s="218" t="str">
        <f>'Implementation and Revenue'!H19</f>
        <v>2024-2025</v>
      </c>
      <c r="C10" s="207">
        <f>'Implementation and Revenue'!D19</f>
        <v>45536</v>
      </c>
      <c r="D10" s="208">
        <f>HLOOKUP($C10,Cashflow!$C$3:$AE$29,26,FALSE)</f>
        <v>1.75</v>
      </c>
      <c r="E10" s="208">
        <f>HLOOKUP($C10,Cashflow!$C$3:$AE$29,27,FALSE)</f>
        <v>0</v>
      </c>
      <c r="F10" s="208">
        <f t="shared" si="0"/>
        <v>0.84459375000000003</v>
      </c>
      <c r="G10" s="208">
        <f t="shared" si="1"/>
        <v>29.25</v>
      </c>
      <c r="H10" s="210"/>
      <c r="I10" s="209"/>
      <c r="J10" s="209"/>
    </row>
    <row r="11" spans="1:10" ht="18" customHeight="1">
      <c r="A11" s="206">
        <v>9</v>
      </c>
      <c r="B11" s="218" t="str">
        <f>'Implementation and Revenue'!H20</f>
        <v>2024-2025</v>
      </c>
      <c r="C11" s="207">
        <f>'Implementation and Revenue'!D20</f>
        <v>45627</v>
      </c>
      <c r="D11" s="208">
        <f>HLOOKUP($C11,Cashflow!$C$3:$AE$29,26,FALSE)</f>
        <v>2</v>
      </c>
      <c r="E11" s="208">
        <f>HLOOKUP($C11,Cashflow!$C$3:$AE$29,27,FALSE)</f>
        <v>0</v>
      </c>
      <c r="F11" s="208">
        <f t="shared" si="0"/>
        <v>0.90234375</v>
      </c>
      <c r="G11" s="208">
        <f t="shared" si="1"/>
        <v>31.25</v>
      </c>
      <c r="H11" s="210"/>
      <c r="I11" s="209"/>
      <c r="J11" s="209"/>
    </row>
    <row r="12" spans="1:10" ht="18" customHeight="1">
      <c r="A12" s="206">
        <v>10</v>
      </c>
      <c r="B12" s="218" t="str">
        <f>'Implementation and Revenue'!H21</f>
        <v>2024-2025</v>
      </c>
      <c r="C12" s="207">
        <f>'Implementation and Revenue'!D21</f>
        <v>45717</v>
      </c>
      <c r="D12" s="208">
        <f>HLOOKUP($C12,Cashflow!$C$3:$AE$29,26,FALSE)</f>
        <v>1.5</v>
      </c>
      <c r="E12" s="208">
        <f>HLOOKUP($C12,Cashflow!$C$3:$AE$29,27,FALSE)</f>
        <v>0</v>
      </c>
      <c r="F12" s="208">
        <f t="shared" si="0"/>
        <v>0.94565625000000009</v>
      </c>
      <c r="G12" s="208">
        <f t="shared" si="1"/>
        <v>32.75</v>
      </c>
      <c r="H12" s="210"/>
      <c r="I12" s="209"/>
      <c r="J12" s="209"/>
    </row>
    <row r="13" spans="1:10" ht="18" customHeight="1">
      <c r="A13" s="206">
        <v>11</v>
      </c>
      <c r="B13" s="218" t="str">
        <f>'Implementation and Revenue'!H22</f>
        <v>2025-2026</v>
      </c>
      <c r="C13" s="207">
        <f>'Implementation and Revenue'!D22</f>
        <v>45809</v>
      </c>
      <c r="D13" s="208">
        <f>HLOOKUP($C13,Cashflow!$C$3:$AE$29,26,FALSE)</f>
        <v>2</v>
      </c>
      <c r="E13" s="208">
        <f>HLOOKUP($C13,Cashflow!$C$3:$AE$29,27,FALSE)</f>
        <v>0</v>
      </c>
      <c r="F13" s="208">
        <f t="shared" si="0"/>
        <v>1.0034062500000001</v>
      </c>
      <c r="G13" s="208">
        <f t="shared" si="1"/>
        <v>34.75</v>
      </c>
      <c r="H13" s="210"/>
      <c r="I13" s="209"/>
      <c r="J13" s="209"/>
    </row>
    <row r="14" spans="1:10" ht="18" customHeight="1">
      <c r="A14" s="206">
        <v>12</v>
      </c>
      <c r="B14" s="218" t="str">
        <f>'Implementation and Revenue'!H23</f>
        <v>2025-2026</v>
      </c>
      <c r="C14" s="207">
        <f>'Implementation and Revenue'!D23</f>
        <v>45901</v>
      </c>
      <c r="D14" s="208">
        <f>HLOOKUP($C14,Cashflow!$C$3:$AE$29,26,FALSE)</f>
        <v>2</v>
      </c>
      <c r="E14" s="208">
        <f>HLOOKUP($C14,Cashflow!$C$3:$AE$29,27,FALSE)</f>
        <v>0</v>
      </c>
      <c r="F14" s="208">
        <f t="shared" si="0"/>
        <v>1.06115625</v>
      </c>
      <c r="G14" s="208">
        <f t="shared" si="1"/>
        <v>36.75</v>
      </c>
      <c r="H14" s="210"/>
      <c r="I14" s="209"/>
      <c r="J14" s="209"/>
    </row>
    <row r="15" spans="1:10" ht="18" customHeight="1">
      <c r="A15" s="206">
        <v>13</v>
      </c>
      <c r="B15" s="218" t="str">
        <f>'Implementation and Revenue'!H24</f>
        <v>2025-2026</v>
      </c>
      <c r="C15" s="207">
        <f>'Implementation and Revenue'!D24</f>
        <v>45992</v>
      </c>
      <c r="D15" s="208">
        <f>HLOOKUP($C15,Cashflow!$C$3:$AE$29,26,FALSE)</f>
        <v>1.75</v>
      </c>
      <c r="E15" s="208">
        <f>HLOOKUP($C15,Cashflow!$C$3:$AE$29,27,FALSE)</f>
        <v>0</v>
      </c>
      <c r="F15" s="208">
        <f t="shared" si="0"/>
        <v>1.1116875000000002</v>
      </c>
      <c r="G15" s="208">
        <f t="shared" si="1"/>
        <v>38.5</v>
      </c>
      <c r="H15" s="210"/>
      <c r="I15" s="209"/>
      <c r="J15" s="209"/>
    </row>
    <row r="16" spans="1:10" ht="18" customHeight="1">
      <c r="A16" s="206">
        <v>14</v>
      </c>
      <c r="B16" s="218" t="str">
        <f>'Implementation and Revenue'!H25</f>
        <v>2025-2026</v>
      </c>
      <c r="C16" s="207">
        <f>'Implementation and Revenue'!D25</f>
        <v>46082</v>
      </c>
      <c r="D16" s="208">
        <f>HLOOKUP($C16,Cashflow!$C$3:$AE$29,26,FALSE)</f>
        <v>2</v>
      </c>
      <c r="E16" s="208">
        <f>HLOOKUP($C16,Cashflow!$C$3:$AE$29,27,FALSE)</f>
        <v>0</v>
      </c>
      <c r="F16" s="208">
        <f t="shared" si="0"/>
        <v>1.1694375000000001</v>
      </c>
      <c r="G16" s="208">
        <f t="shared" si="1"/>
        <v>40.5</v>
      </c>
      <c r="H16" s="210"/>
      <c r="I16" s="209"/>
      <c r="J16" s="209"/>
    </row>
    <row r="17" spans="1:10" ht="18" customHeight="1">
      <c r="A17" s="206">
        <v>15</v>
      </c>
      <c r="B17" s="218" t="str">
        <f>'Implementation and Revenue'!H26</f>
        <v>2026-2027</v>
      </c>
      <c r="C17" s="207">
        <f>'Implementation and Revenue'!D26</f>
        <v>46174</v>
      </c>
      <c r="D17" s="208">
        <f>HLOOKUP($C17,Cashflow!$C$3:$AE$29,26,FALSE)</f>
        <v>1.5</v>
      </c>
      <c r="E17" s="208">
        <f>HLOOKUP($C17,Cashflow!$C$3:$AE$29,27,FALSE)</f>
        <v>0</v>
      </c>
      <c r="F17" s="208">
        <f t="shared" si="0"/>
        <v>1.21275</v>
      </c>
      <c r="G17" s="208">
        <f t="shared" si="1"/>
        <v>42</v>
      </c>
      <c r="H17" s="210"/>
      <c r="I17" s="209"/>
      <c r="J17" s="209"/>
    </row>
    <row r="18" spans="1:10" ht="18" customHeight="1">
      <c r="A18" s="206">
        <v>16</v>
      </c>
      <c r="B18" s="218" t="str">
        <f>'Implementation and Revenue'!H27</f>
        <v>2026-2027</v>
      </c>
      <c r="C18" s="207">
        <f>'Implementation and Revenue'!D27</f>
        <v>46266</v>
      </c>
      <c r="D18" s="208">
        <f>HLOOKUP($C18,Cashflow!$C$3:$AE$29,26,FALSE)</f>
        <v>1</v>
      </c>
      <c r="E18" s="208">
        <f>HLOOKUP($C18,Cashflow!$C$3:$AE$29,27,FALSE)</f>
        <v>0</v>
      </c>
      <c r="F18" s="208">
        <f t="shared" si="0"/>
        <v>1.241625</v>
      </c>
      <c r="G18" s="208">
        <f t="shared" si="1"/>
        <v>43</v>
      </c>
      <c r="H18" s="210"/>
      <c r="I18" s="209"/>
      <c r="J18" s="209"/>
    </row>
    <row r="19" spans="1:10" ht="18" customHeight="1">
      <c r="A19" s="206">
        <v>17</v>
      </c>
      <c r="B19" s="218" t="str">
        <f>'Implementation and Revenue'!H28</f>
        <v>2026-2027</v>
      </c>
      <c r="C19" s="207">
        <f>'Implementation and Revenue'!D28</f>
        <v>46357</v>
      </c>
      <c r="D19" s="208">
        <f>HLOOKUP($C19,Cashflow!$C$3:$AE$29,26,FALSE)</f>
        <v>0.5</v>
      </c>
      <c r="E19" s="208">
        <f>HLOOKUP($C19,Cashflow!$C$3:$AE$29,27,FALSE)</f>
        <v>0</v>
      </c>
      <c r="F19" s="208">
        <f t="shared" si="0"/>
        <v>1.2560625000000001</v>
      </c>
      <c r="G19" s="208">
        <f t="shared" si="1"/>
        <v>43.5</v>
      </c>
      <c r="H19" s="210"/>
      <c r="I19" s="209"/>
      <c r="J19" s="209"/>
    </row>
    <row r="20" spans="1:10" ht="18" customHeight="1">
      <c r="A20" s="206">
        <v>18</v>
      </c>
      <c r="B20" s="218" t="str">
        <f>'Implementation and Revenue'!H29</f>
        <v>2026-2027</v>
      </c>
      <c r="C20" s="207">
        <f>'Implementation and Revenue'!D29</f>
        <v>46447</v>
      </c>
      <c r="D20" s="208">
        <f>HLOOKUP($C20,Cashflow!$C$3:$AE$29,26,FALSE)</f>
        <v>0.5</v>
      </c>
      <c r="E20" s="208">
        <f>HLOOKUP($C20,Cashflow!$C$3:$AE$29,27,FALSE)</f>
        <v>0</v>
      </c>
      <c r="F20" s="208">
        <f t="shared" si="0"/>
        <v>1.2705</v>
      </c>
      <c r="G20" s="208">
        <f t="shared" si="1"/>
        <v>44</v>
      </c>
      <c r="H20" s="210"/>
      <c r="I20" s="209"/>
      <c r="J20" s="209"/>
    </row>
    <row r="21" spans="1:10" ht="18" customHeight="1">
      <c r="A21" s="206">
        <v>19</v>
      </c>
      <c r="B21" s="218" t="str">
        <f>'Implementation and Revenue'!H30</f>
        <v>2027-2028</v>
      </c>
      <c r="C21" s="207">
        <f>'Implementation and Revenue'!D30</f>
        <v>46539</v>
      </c>
      <c r="D21" s="208">
        <f>HLOOKUP($C21,Cashflow!$C$3:$AE$29,26,FALSE)</f>
        <v>0.5</v>
      </c>
      <c r="E21" s="208">
        <f>HLOOKUP($C21,Cashflow!$C$3:$AE$29,27,FALSE)</f>
        <v>0</v>
      </c>
      <c r="F21" s="208">
        <f t="shared" si="0"/>
        <v>1.2849375000000001</v>
      </c>
      <c r="G21" s="208">
        <f t="shared" si="1"/>
        <v>44.5</v>
      </c>
      <c r="H21" s="210"/>
      <c r="I21" s="209"/>
      <c r="J21" s="209"/>
    </row>
    <row r="22" spans="1:10" ht="18" customHeight="1">
      <c r="A22" s="206">
        <v>20</v>
      </c>
      <c r="B22" s="218" t="str">
        <f>'Implementation and Revenue'!H31</f>
        <v>2027-2028</v>
      </c>
      <c r="C22" s="207">
        <f>'Implementation and Revenue'!D31</f>
        <v>46631</v>
      </c>
      <c r="D22" s="208">
        <f>HLOOKUP($C22,Cashflow!$C$3:$AE$29,26,FALSE)</f>
        <v>0.5</v>
      </c>
      <c r="E22" s="208">
        <f>HLOOKUP($C22,Cashflow!$C$3:$AE$29,27,FALSE)</f>
        <v>0</v>
      </c>
      <c r="F22" s="208">
        <f>+G22*$F$1*1/4</f>
        <v>1.2993750000000002</v>
      </c>
      <c r="G22" s="208">
        <f t="shared" si="1"/>
        <v>45</v>
      </c>
      <c r="H22" s="210"/>
      <c r="I22" s="209"/>
      <c r="J22" s="209"/>
    </row>
    <row r="23" spans="1:10" ht="18" customHeight="1">
      <c r="A23" s="206">
        <v>21</v>
      </c>
      <c r="B23" s="218" t="str">
        <f>'Implementation and Revenue'!H32</f>
        <v>2027-2028</v>
      </c>
      <c r="C23" s="207">
        <f>'Implementation and Revenue'!D32</f>
        <v>46722</v>
      </c>
      <c r="D23" s="208">
        <f>HLOOKUP($C23,Cashflow!$C$3:$AE$29,26,FALSE)</f>
        <v>0.5</v>
      </c>
      <c r="E23" s="208">
        <f>HLOOKUP($C23,Cashflow!$C$3:$AE$29,27,FALSE)</f>
        <v>0</v>
      </c>
      <c r="F23" s="208">
        <f>+G23*$F$1*1/4</f>
        <v>1.3138125</v>
      </c>
      <c r="G23" s="208">
        <f t="shared" si="1"/>
        <v>45.5</v>
      </c>
      <c r="H23" s="210"/>
      <c r="I23" s="209"/>
      <c r="J23" s="209"/>
    </row>
    <row r="24" spans="1:10" ht="18" customHeight="1">
      <c r="A24" s="206">
        <v>22</v>
      </c>
      <c r="B24" s="218" t="str">
        <f>'Implementation and Revenue'!H33</f>
        <v>2027-2028</v>
      </c>
      <c r="C24" s="207">
        <f>'Implementation and Revenue'!D33</f>
        <v>46813</v>
      </c>
      <c r="D24" s="208">
        <f>HLOOKUP($C24,Cashflow!$C$3:$AE$29,26,FALSE)</f>
        <v>0.5</v>
      </c>
      <c r="E24" s="208">
        <f>HLOOKUP($C24,Cashflow!$C$3:$AE$29,27,FALSE)</f>
        <v>0</v>
      </c>
      <c r="F24" s="208">
        <f t="shared" ref="F24:F31" si="2">+G24*$F$1*1/4</f>
        <v>1.3282500000000002</v>
      </c>
      <c r="G24" s="208">
        <f t="shared" si="1"/>
        <v>46</v>
      </c>
      <c r="H24" s="210"/>
      <c r="I24" s="209"/>
      <c r="J24" s="209"/>
    </row>
    <row r="25" spans="1:10" ht="18" customHeight="1">
      <c r="A25" s="206">
        <v>23</v>
      </c>
      <c r="B25" s="218" t="str">
        <f>'Implementation and Revenue'!H34</f>
        <v>2028-2029</v>
      </c>
      <c r="C25" s="207">
        <f>'Implementation and Revenue'!D34</f>
        <v>46905</v>
      </c>
      <c r="D25" s="208">
        <f>HLOOKUP($C25,Cashflow!$C$3:$AE$29,26,FALSE)</f>
        <v>1</v>
      </c>
      <c r="E25" s="208">
        <f>HLOOKUP($C25,Cashflow!$C$3:$AE$29,27,FALSE)</f>
        <v>0</v>
      </c>
      <c r="F25" s="208">
        <f t="shared" si="2"/>
        <v>1.3571250000000001</v>
      </c>
      <c r="G25" s="208">
        <f t="shared" si="1"/>
        <v>47</v>
      </c>
      <c r="H25" s="210"/>
      <c r="I25" s="209"/>
      <c r="J25" s="209"/>
    </row>
    <row r="26" spans="1:10" ht="18" customHeight="1">
      <c r="A26" s="206">
        <v>24</v>
      </c>
      <c r="B26" s="218" t="str">
        <f>'Implementation and Revenue'!H35</f>
        <v>2028-2029</v>
      </c>
      <c r="C26" s="207">
        <f>'Implementation and Revenue'!D35</f>
        <v>46997</v>
      </c>
      <c r="D26" s="208">
        <f>HLOOKUP($C26,Cashflow!$C$3:$AE$29,26,FALSE)</f>
        <v>1</v>
      </c>
      <c r="E26" s="208">
        <f>HLOOKUP($C26,Cashflow!$C$3:$AE$29,27,FALSE)</f>
        <v>0</v>
      </c>
      <c r="F26" s="208">
        <f t="shared" si="2"/>
        <v>1.3860000000000001</v>
      </c>
      <c r="G26" s="208">
        <f t="shared" si="1"/>
        <v>48</v>
      </c>
      <c r="H26" s="210"/>
      <c r="I26" s="209"/>
      <c r="J26" s="209"/>
    </row>
    <row r="27" spans="1:10" ht="18" customHeight="1">
      <c r="A27" s="206">
        <v>25</v>
      </c>
      <c r="B27" s="218" t="str">
        <f>'Implementation and Revenue'!H36</f>
        <v>2028-2029</v>
      </c>
      <c r="C27" s="207">
        <f>'Implementation and Revenue'!D36</f>
        <v>47088</v>
      </c>
      <c r="D27" s="208">
        <f>HLOOKUP($C27,Cashflow!$C$3:$AE$29,26,FALSE)</f>
        <v>1</v>
      </c>
      <c r="E27" s="208">
        <f>HLOOKUP($C27,Cashflow!$C$3:$AE$29,27,FALSE)</f>
        <v>0</v>
      </c>
      <c r="F27" s="208">
        <f t="shared" si="2"/>
        <v>1.4148750000000001</v>
      </c>
      <c r="G27" s="208">
        <f t="shared" si="1"/>
        <v>49</v>
      </c>
      <c r="H27" s="210"/>
      <c r="I27" s="209"/>
      <c r="J27" s="209"/>
    </row>
    <row r="28" spans="1:10" ht="18" customHeight="1">
      <c r="A28" s="206">
        <v>26</v>
      </c>
      <c r="B28" s="218" t="str">
        <f>'Implementation and Revenue'!H37</f>
        <v>2028-2029</v>
      </c>
      <c r="C28" s="207">
        <f>'Implementation and Revenue'!D37</f>
        <v>47178</v>
      </c>
      <c r="D28" s="208">
        <f>HLOOKUP($C28,Cashflow!$C$3:$AE$29,26,FALSE)</f>
        <v>0</v>
      </c>
      <c r="E28" s="208">
        <f>HLOOKUP($C28,Cashflow!$C$3:$AE$29,27,FALSE)</f>
        <v>-11.5</v>
      </c>
      <c r="F28" s="208">
        <f t="shared" si="2"/>
        <v>1.0828125</v>
      </c>
      <c r="G28" s="208">
        <f t="shared" si="1"/>
        <v>37.5</v>
      </c>
      <c r="H28" s="210"/>
      <c r="I28" s="209"/>
      <c r="J28" s="209"/>
    </row>
    <row r="29" spans="1:10" ht="18" customHeight="1">
      <c r="A29" s="206">
        <v>27</v>
      </c>
      <c r="B29" s="218" t="str">
        <f>'Implementation and Revenue'!H38</f>
        <v>2029-2030</v>
      </c>
      <c r="C29" s="207">
        <f>'Implementation and Revenue'!D38</f>
        <v>47270</v>
      </c>
      <c r="D29" s="208">
        <f>HLOOKUP($C29,Cashflow!$C$3:$AE$29,26,FALSE)</f>
        <v>0</v>
      </c>
      <c r="E29" s="208">
        <f>HLOOKUP($C29,Cashflow!$C$3:$AE$29,27,FALSE)</f>
        <v>-12.5</v>
      </c>
      <c r="F29" s="208">
        <f t="shared" si="2"/>
        <v>0.72187500000000004</v>
      </c>
      <c r="G29" s="208">
        <f>+G28+D29+E29</f>
        <v>25</v>
      </c>
      <c r="H29" s="210"/>
      <c r="I29" s="209"/>
      <c r="J29" s="209"/>
    </row>
    <row r="30" spans="1:10" ht="18" customHeight="1">
      <c r="A30" s="206">
        <v>28</v>
      </c>
      <c r="B30" s="218" t="str">
        <f>'Implementation and Revenue'!H39</f>
        <v>2029-2030</v>
      </c>
      <c r="C30" s="207">
        <f>'Implementation and Revenue'!D39</f>
        <v>47362</v>
      </c>
      <c r="D30" s="208">
        <f>HLOOKUP($C30,Cashflow!$C$3:$AE$29,26,FALSE)</f>
        <v>0</v>
      </c>
      <c r="E30" s="208">
        <f>HLOOKUP($C30,Cashflow!$C$3:$AE$29,27,FALSE)</f>
        <v>-12.5</v>
      </c>
      <c r="F30" s="208">
        <f t="shared" si="2"/>
        <v>0.36093750000000002</v>
      </c>
      <c r="G30" s="208">
        <f t="shared" si="1"/>
        <v>12.5</v>
      </c>
      <c r="H30" s="210"/>
      <c r="I30" s="209"/>
      <c r="J30" s="209"/>
    </row>
    <row r="31" spans="1:10" ht="18" customHeight="1">
      <c r="A31" s="206">
        <v>29</v>
      </c>
      <c r="B31" s="218" t="str">
        <f>'Implementation and Revenue'!H40</f>
        <v>2029-2030</v>
      </c>
      <c r="C31" s="207">
        <f>'Implementation and Revenue'!D40</f>
        <v>47453</v>
      </c>
      <c r="D31" s="208">
        <f>HLOOKUP($C31,Cashflow!$C$3:$AE$29,26,FALSE)</f>
        <v>0</v>
      </c>
      <c r="E31" s="208">
        <f>HLOOKUP($C31,Cashflow!$C$3:$AE$29,27,FALSE)</f>
        <v>-12.5</v>
      </c>
      <c r="F31" s="208">
        <f t="shared" si="2"/>
        <v>0</v>
      </c>
      <c r="G31" s="208">
        <f t="shared" si="1"/>
        <v>0</v>
      </c>
      <c r="H31" s="210"/>
      <c r="I31" s="209"/>
      <c r="J31" s="209"/>
    </row>
    <row r="32" spans="1:10" ht="18" customHeight="1">
      <c r="A32" s="211" t="s">
        <v>2</v>
      </c>
      <c r="B32" s="211"/>
      <c r="C32" s="212"/>
      <c r="D32" s="213">
        <f>+SUM(D3:D31)</f>
        <v>49</v>
      </c>
      <c r="E32" s="213">
        <f>+SUM(E3:E31)</f>
        <v>-49</v>
      </c>
      <c r="F32" s="213">
        <f>+SUM(F3:F31)</f>
        <v>26.723812500000001</v>
      </c>
      <c r="G32" s="214"/>
      <c r="I32" s="209"/>
      <c r="J32" s="209"/>
    </row>
    <row r="33" spans="9:10" ht="18" customHeight="1">
      <c r="I33" s="209"/>
      <c r="J33" s="209"/>
    </row>
    <row r="34" spans="9:10" ht="18" customHeight="1">
      <c r="I34" s="209"/>
      <c r="J34" s="209"/>
    </row>
    <row r="35" spans="9:10" ht="18" customHeight="1">
      <c r="I35" s="209"/>
      <c r="J35" s="209"/>
    </row>
    <row r="36" spans="9:10" ht="18" customHeight="1">
      <c r="I36" s="209"/>
      <c r="J36" s="209"/>
    </row>
    <row r="37" spans="9:10" ht="18" customHeight="1">
      <c r="I37" s="209"/>
      <c r="J37" s="209"/>
    </row>
    <row r="38" spans="9:10" ht="18" customHeight="1">
      <c r="I38" s="209"/>
      <c r="J38" s="209"/>
    </row>
    <row r="39" spans="9:10" ht="18" customHeight="1">
      <c r="I39" s="209"/>
      <c r="J39" s="209"/>
    </row>
    <row r="40" spans="9:10" ht="18" customHeight="1">
      <c r="I40" s="209"/>
      <c r="J40" s="209"/>
    </row>
    <row r="41" spans="9:10" ht="18" customHeight="1">
      <c r="I41" s="209"/>
      <c r="J41" s="209"/>
    </row>
    <row r="42" spans="9:10" ht="18" customHeight="1">
      <c r="I42" s="209"/>
      <c r="J42" s="209"/>
    </row>
    <row r="43" spans="9:10" ht="18" customHeight="1">
      <c r="I43" s="209"/>
      <c r="J43" s="209"/>
    </row>
    <row r="44" spans="9:10" ht="18" customHeight="1">
      <c r="I44" s="209"/>
      <c r="J44" s="209"/>
    </row>
    <row r="45" spans="9:10" ht="18" customHeight="1">
      <c r="I45" s="209"/>
      <c r="J45" s="209"/>
    </row>
    <row r="46" spans="9:10" ht="18" customHeight="1">
      <c r="I46" s="209"/>
      <c r="J46" s="209"/>
    </row>
    <row r="47" spans="9:10" ht="18" customHeight="1">
      <c r="I47" s="209"/>
      <c r="J47" s="209"/>
    </row>
    <row r="48" spans="9:10" ht="18" customHeight="1">
      <c r="I48" s="209"/>
      <c r="J48" s="209"/>
    </row>
    <row r="49" spans="9:10" ht="18" customHeight="1">
      <c r="I49" s="209"/>
      <c r="J49" s="209"/>
    </row>
    <row r="50" spans="9:10" ht="18" customHeight="1">
      <c r="I50" s="209"/>
      <c r="J50" s="209"/>
    </row>
    <row r="51" spans="9:10" ht="18" customHeight="1">
      <c r="I51" s="209"/>
      <c r="J51" s="209"/>
    </row>
    <row r="52" spans="9:10" ht="18" customHeight="1">
      <c r="I52" s="209"/>
      <c r="J52" s="209"/>
    </row>
    <row r="53" spans="9:10" ht="18" customHeight="1">
      <c r="I53" s="209"/>
      <c r="J53" s="209"/>
    </row>
    <row r="54" spans="9:10" ht="18" customHeight="1">
      <c r="I54" s="209"/>
      <c r="J54" s="209"/>
    </row>
    <row r="55" spans="9:10" ht="18" customHeight="1">
      <c r="I55" s="209"/>
      <c r="J55" s="209"/>
    </row>
    <row r="56" spans="9:10" ht="18" customHeight="1">
      <c r="I56" s="209"/>
      <c r="J56" s="209"/>
    </row>
    <row r="57" spans="9:10" ht="18" customHeight="1">
      <c r="I57" s="209"/>
      <c r="J57" s="209"/>
    </row>
    <row r="58" spans="9:10" ht="18" customHeight="1">
      <c r="I58" s="209"/>
      <c r="J58" s="209"/>
    </row>
    <row r="59" spans="9:10" ht="18" customHeight="1">
      <c r="I59" s="209"/>
      <c r="J59" s="209"/>
    </row>
    <row r="60" spans="9:10" ht="18" customHeight="1">
      <c r="I60" s="209"/>
      <c r="J60" s="209"/>
    </row>
    <row r="61" spans="9:10" ht="18" customHeight="1">
      <c r="I61" s="209"/>
      <c r="J61" s="209"/>
    </row>
    <row r="62" spans="9:10" ht="18" customHeight="1">
      <c r="I62" s="209"/>
      <c r="J62" s="209"/>
    </row>
    <row r="63" spans="9:10" ht="18" customHeight="1">
      <c r="I63" s="209"/>
      <c r="J63" s="209"/>
    </row>
    <row r="64" spans="9:10" ht="18" customHeight="1">
      <c r="I64" s="209"/>
      <c r="J64" s="209"/>
    </row>
    <row r="65" spans="3:10" ht="18" customHeight="1">
      <c r="I65" s="209"/>
      <c r="J65" s="209"/>
    </row>
    <row r="66" spans="3:10" ht="18" customHeight="1">
      <c r="J66" s="209"/>
    </row>
    <row r="76" spans="3:10" s="77" customFormat="1" ht="18" customHeight="1">
      <c r="C76" s="215"/>
      <c r="D76" s="216"/>
      <c r="E76" s="216"/>
      <c r="F76" s="216"/>
      <c r="G76" s="216"/>
      <c r="H76" s="203"/>
      <c r="I76" s="203"/>
    </row>
    <row r="77" spans="3:10" s="77" customFormat="1" ht="18" customHeight="1">
      <c r="C77" s="215"/>
      <c r="D77" s="216"/>
      <c r="E77" s="216"/>
      <c r="F77" s="216"/>
      <c r="G77" s="216"/>
      <c r="H77" s="203"/>
      <c r="I77" s="203"/>
    </row>
    <row r="78" spans="3:10" s="77" customFormat="1" ht="18" customHeight="1">
      <c r="C78" s="215"/>
      <c r="D78" s="216"/>
      <c r="E78" s="216"/>
      <c r="F78" s="216"/>
      <c r="G78" s="216"/>
      <c r="H78" s="203"/>
      <c r="I78" s="203"/>
    </row>
    <row r="79" spans="3:10" s="77" customFormat="1" ht="18" customHeight="1">
      <c r="C79" s="215"/>
      <c r="D79" s="216"/>
      <c r="E79" s="216"/>
      <c r="F79" s="216"/>
      <c r="G79" s="216"/>
      <c r="H79" s="203"/>
      <c r="I79" s="203"/>
    </row>
    <row r="80" spans="3:10" s="77" customFormat="1" ht="18" customHeight="1">
      <c r="C80" s="215"/>
      <c r="D80" s="216"/>
      <c r="E80" s="216"/>
      <c r="F80" s="216"/>
      <c r="G80" s="216"/>
      <c r="H80" s="203"/>
      <c r="I80" s="203"/>
    </row>
    <row r="81" spans="3:9" s="77" customFormat="1" ht="18" customHeight="1">
      <c r="C81" s="215"/>
      <c r="D81" s="216"/>
      <c r="E81" s="216"/>
      <c r="F81" s="216"/>
      <c r="G81" s="216"/>
      <c r="H81" s="203"/>
      <c r="I81" s="203"/>
    </row>
    <row r="82" spans="3:9" s="77" customFormat="1" ht="18" customHeight="1">
      <c r="C82" s="215"/>
      <c r="D82" s="216"/>
      <c r="E82" s="216"/>
      <c r="F82" s="216"/>
      <c r="G82" s="216"/>
      <c r="H82" s="203"/>
      <c r="I82" s="203"/>
    </row>
    <row r="83" spans="3:9" s="77" customFormat="1" ht="18" customHeight="1">
      <c r="C83" s="215"/>
      <c r="D83" s="216"/>
      <c r="E83" s="216"/>
      <c r="F83" s="216"/>
      <c r="G83" s="216"/>
      <c r="H83" s="203"/>
      <c r="I83" s="203"/>
    </row>
    <row r="84" spans="3:9" s="77" customFormat="1" ht="18" customHeight="1">
      <c r="C84" s="215"/>
      <c r="D84" s="216"/>
      <c r="E84" s="216"/>
      <c r="F84" s="216"/>
      <c r="G84" s="216"/>
      <c r="H84" s="203"/>
      <c r="I84" s="203"/>
    </row>
    <row r="85" spans="3:9" s="77" customFormat="1" ht="18" customHeight="1">
      <c r="C85" s="215"/>
      <c r="D85" s="216"/>
      <c r="E85" s="216"/>
      <c r="F85" s="216"/>
      <c r="G85" s="216"/>
      <c r="H85" s="203"/>
      <c r="I85" s="203"/>
    </row>
    <row r="86" spans="3:9" s="77" customFormat="1" ht="18" customHeight="1">
      <c r="C86" s="215"/>
      <c r="D86" s="216"/>
      <c r="E86" s="216"/>
      <c r="F86" s="216"/>
      <c r="G86" s="216"/>
      <c r="H86" s="203"/>
      <c r="I86" s="203"/>
    </row>
    <row r="87" spans="3:9" s="77" customFormat="1" ht="18" customHeight="1">
      <c r="C87" s="215"/>
      <c r="D87" s="216"/>
      <c r="E87" s="216"/>
      <c r="F87" s="216"/>
      <c r="G87" s="216"/>
      <c r="H87" s="203"/>
      <c r="I87" s="203"/>
    </row>
    <row r="88" spans="3:9" s="77" customFormat="1" ht="18" customHeight="1">
      <c r="C88" s="215"/>
      <c r="D88" s="216"/>
      <c r="E88" s="216"/>
      <c r="F88" s="216"/>
      <c r="G88" s="216"/>
      <c r="H88" s="203"/>
      <c r="I88" s="203"/>
    </row>
    <row r="89" spans="3:9" s="77" customFormat="1" ht="18" customHeight="1">
      <c r="C89" s="215"/>
      <c r="D89" s="216"/>
      <c r="E89" s="216"/>
      <c r="F89" s="216"/>
      <c r="G89" s="216"/>
      <c r="H89" s="203"/>
      <c r="I89" s="203"/>
    </row>
    <row r="90" spans="3:9" s="77" customFormat="1" ht="18" customHeight="1">
      <c r="C90" s="215"/>
      <c r="D90" s="216"/>
      <c r="E90" s="216"/>
      <c r="F90" s="216"/>
      <c r="G90" s="216"/>
      <c r="H90" s="203"/>
      <c r="I90" s="203"/>
    </row>
    <row r="91" spans="3:9" s="77" customFormat="1" ht="18" customHeight="1">
      <c r="C91" s="215"/>
      <c r="D91" s="216"/>
      <c r="E91" s="216"/>
      <c r="F91" s="216"/>
      <c r="G91" s="216"/>
      <c r="H91" s="203"/>
      <c r="I91" s="203"/>
    </row>
    <row r="92" spans="3:9" s="77" customFormat="1" ht="18" customHeight="1">
      <c r="C92" s="215"/>
      <c r="D92" s="216"/>
      <c r="E92" s="216"/>
      <c r="F92" s="216"/>
      <c r="G92" s="216"/>
      <c r="H92" s="203"/>
      <c r="I92" s="203"/>
    </row>
    <row r="93" spans="3:9" s="77" customFormat="1" ht="18" customHeight="1">
      <c r="C93" s="215"/>
      <c r="D93" s="216"/>
      <c r="E93" s="216"/>
      <c r="F93" s="216"/>
      <c r="G93" s="216"/>
      <c r="H93" s="203"/>
      <c r="I93" s="203"/>
    </row>
    <row r="94" spans="3:9" s="77" customFormat="1" ht="18" customHeight="1">
      <c r="C94" s="215"/>
      <c r="D94" s="216"/>
      <c r="E94" s="216"/>
      <c r="F94" s="216"/>
      <c r="G94" s="216"/>
      <c r="H94" s="203"/>
      <c r="I94" s="203"/>
    </row>
    <row r="95" spans="3:9" s="77" customFormat="1" ht="18" customHeight="1">
      <c r="C95" s="215"/>
      <c r="D95" s="216"/>
      <c r="E95" s="216"/>
      <c r="F95" s="216"/>
      <c r="G95" s="216"/>
      <c r="H95" s="203"/>
      <c r="I95" s="203"/>
    </row>
    <row r="96" spans="3:9" s="77" customFormat="1" ht="18" customHeight="1">
      <c r="C96" s="215"/>
      <c r="D96" s="216"/>
      <c r="E96" s="216"/>
      <c r="F96" s="216"/>
      <c r="G96" s="216"/>
      <c r="H96" s="203"/>
      <c r="I96" s="203"/>
    </row>
    <row r="97" spans="3:9" s="77" customFormat="1" ht="18" customHeight="1">
      <c r="C97" s="215"/>
      <c r="D97" s="216"/>
      <c r="E97" s="216"/>
      <c r="F97" s="216"/>
      <c r="G97" s="216"/>
      <c r="H97" s="203"/>
      <c r="I97" s="203"/>
    </row>
    <row r="98" spans="3:9" s="77" customFormat="1" ht="18" customHeight="1">
      <c r="C98" s="215"/>
      <c r="D98" s="216"/>
      <c r="E98" s="216"/>
      <c r="F98" s="216"/>
      <c r="G98" s="216"/>
      <c r="H98" s="203"/>
      <c r="I98" s="203"/>
    </row>
    <row r="99" spans="3:9" s="77" customFormat="1" ht="18" customHeight="1">
      <c r="C99" s="215"/>
      <c r="D99" s="216"/>
      <c r="E99" s="216"/>
      <c r="F99" s="216"/>
      <c r="G99" s="216"/>
      <c r="H99" s="203"/>
      <c r="I99" s="203"/>
    </row>
    <row r="100" spans="3:9" s="77" customFormat="1" ht="18" customHeight="1">
      <c r="C100" s="215"/>
      <c r="D100" s="216"/>
      <c r="E100" s="216"/>
      <c r="F100" s="216"/>
      <c r="G100" s="216"/>
      <c r="H100" s="203"/>
      <c r="I100" s="203"/>
    </row>
    <row r="101" spans="3:9" s="77" customFormat="1" ht="18" customHeight="1">
      <c r="C101" s="215"/>
      <c r="D101" s="216"/>
      <c r="E101" s="216"/>
      <c r="F101" s="216"/>
      <c r="G101" s="216"/>
      <c r="H101" s="203"/>
      <c r="I101" s="203"/>
    </row>
    <row r="102" spans="3:9" s="77" customFormat="1" ht="18" customHeight="1">
      <c r="C102" s="215"/>
      <c r="D102" s="216"/>
      <c r="E102" s="216"/>
      <c r="F102" s="216"/>
      <c r="G102" s="216"/>
      <c r="H102" s="203"/>
      <c r="I102" s="203"/>
    </row>
    <row r="103" spans="3:9" s="77" customFormat="1" ht="18" customHeight="1">
      <c r="C103" s="215"/>
      <c r="D103" s="216"/>
      <c r="E103" s="216"/>
      <c r="F103" s="216"/>
      <c r="G103" s="216"/>
      <c r="H103" s="203"/>
      <c r="I103" s="203"/>
    </row>
    <row r="104" spans="3:9" s="77" customFormat="1" ht="18" customHeight="1">
      <c r="C104" s="215"/>
      <c r="D104" s="216"/>
      <c r="E104" s="216"/>
      <c r="F104" s="216"/>
      <c r="G104" s="216"/>
      <c r="H104" s="203"/>
      <c r="I104" s="203"/>
    </row>
    <row r="105" spans="3:9" s="77" customFormat="1" ht="18" customHeight="1">
      <c r="C105" s="215"/>
      <c r="D105" s="216"/>
      <c r="E105" s="216"/>
      <c r="F105" s="216"/>
      <c r="G105" s="216"/>
      <c r="H105" s="203"/>
      <c r="I105" s="203"/>
    </row>
    <row r="106" spans="3:9" s="77" customFormat="1" ht="18" customHeight="1">
      <c r="C106" s="215"/>
      <c r="D106" s="216"/>
      <c r="E106" s="216"/>
      <c r="F106" s="216"/>
      <c r="G106" s="216"/>
      <c r="H106" s="203"/>
      <c r="I106" s="203"/>
    </row>
    <row r="107" spans="3:9" s="77" customFormat="1" ht="18" customHeight="1">
      <c r="C107" s="215"/>
      <c r="D107" s="216"/>
      <c r="E107" s="216"/>
      <c r="F107" s="216"/>
      <c r="G107" s="216"/>
      <c r="H107" s="203"/>
      <c r="I107" s="203"/>
    </row>
    <row r="108" spans="3:9" s="77" customFormat="1" ht="18" customHeight="1">
      <c r="C108" s="215"/>
      <c r="D108" s="216"/>
      <c r="E108" s="216"/>
      <c r="F108" s="216"/>
      <c r="G108" s="216"/>
      <c r="H108" s="203"/>
      <c r="I108" s="203"/>
    </row>
    <row r="109" spans="3:9" s="77" customFormat="1" ht="18" customHeight="1">
      <c r="C109" s="215"/>
      <c r="D109" s="216"/>
      <c r="E109" s="216"/>
      <c r="F109" s="216"/>
      <c r="G109" s="216"/>
      <c r="H109" s="203"/>
      <c r="I109" s="203"/>
    </row>
    <row r="110" spans="3:9" s="77" customFormat="1" ht="18" customHeight="1">
      <c r="C110" s="215"/>
      <c r="D110" s="216"/>
      <c r="E110" s="216"/>
      <c r="F110" s="216"/>
      <c r="G110" s="216"/>
      <c r="H110" s="203"/>
      <c r="I110" s="203"/>
    </row>
    <row r="111" spans="3:9" s="77" customFormat="1" ht="18" customHeight="1">
      <c r="C111" s="215"/>
      <c r="D111" s="216"/>
      <c r="E111" s="216"/>
      <c r="F111" s="216"/>
      <c r="G111" s="216"/>
      <c r="H111" s="203"/>
      <c r="I111" s="203"/>
    </row>
    <row r="112" spans="3:9" s="77" customFormat="1" ht="18" customHeight="1">
      <c r="C112" s="215"/>
      <c r="D112" s="216"/>
      <c r="E112" s="216"/>
      <c r="F112" s="216"/>
      <c r="G112" s="216"/>
      <c r="H112" s="203"/>
      <c r="I112" s="203"/>
    </row>
    <row r="113" spans="3:9" s="77" customFormat="1" ht="18" customHeight="1">
      <c r="C113" s="215"/>
      <c r="D113" s="216"/>
      <c r="E113" s="216"/>
      <c r="F113" s="216"/>
      <c r="G113" s="216"/>
      <c r="H113" s="203"/>
      <c r="I113" s="203"/>
    </row>
    <row r="114" spans="3:9" s="77" customFormat="1" ht="18" customHeight="1">
      <c r="C114" s="215"/>
      <c r="D114" s="216"/>
      <c r="E114" s="216"/>
      <c r="F114" s="216"/>
      <c r="G114" s="216"/>
      <c r="H114" s="203"/>
      <c r="I114" s="203"/>
    </row>
    <row r="115" spans="3:9" s="77" customFormat="1" ht="18" customHeight="1">
      <c r="C115" s="215"/>
      <c r="D115" s="216"/>
      <c r="E115" s="216"/>
      <c r="F115" s="216"/>
      <c r="G115" s="216"/>
      <c r="H115" s="203"/>
      <c r="I115" s="203"/>
    </row>
    <row r="116" spans="3:9" s="77" customFormat="1" ht="18" customHeight="1">
      <c r="C116" s="215"/>
      <c r="D116" s="216"/>
      <c r="E116" s="216"/>
      <c r="F116" s="216"/>
      <c r="G116" s="216"/>
      <c r="H116" s="203"/>
      <c r="I116" s="203"/>
    </row>
    <row r="117" spans="3:9" s="77" customFormat="1" ht="18" customHeight="1">
      <c r="C117" s="215"/>
      <c r="D117" s="216"/>
      <c r="E117" s="216"/>
      <c r="F117" s="216"/>
      <c r="G117" s="216"/>
      <c r="H117" s="203"/>
      <c r="I117" s="203"/>
    </row>
    <row r="118" spans="3:9" s="77" customFormat="1" ht="18" customHeight="1">
      <c r="C118" s="215"/>
      <c r="D118" s="216"/>
      <c r="E118" s="216"/>
      <c r="F118" s="216"/>
      <c r="G118" s="216"/>
      <c r="H118" s="203"/>
      <c r="I118" s="203"/>
    </row>
    <row r="119" spans="3:9" s="77" customFormat="1" ht="18" customHeight="1">
      <c r="C119" s="215"/>
      <c r="D119" s="216"/>
      <c r="E119" s="216"/>
      <c r="F119" s="216"/>
      <c r="G119" s="216"/>
      <c r="H119" s="203"/>
      <c r="I119" s="203"/>
    </row>
    <row r="120" spans="3:9" s="77" customFormat="1" ht="18" customHeight="1">
      <c r="C120" s="215"/>
      <c r="D120" s="216"/>
      <c r="E120" s="216"/>
      <c r="F120" s="216"/>
      <c r="G120" s="216"/>
      <c r="H120" s="203"/>
      <c r="I120" s="203"/>
    </row>
    <row r="121" spans="3:9" s="77" customFormat="1" ht="18" customHeight="1">
      <c r="C121" s="215"/>
      <c r="D121" s="216"/>
      <c r="E121" s="216"/>
      <c r="F121" s="216"/>
      <c r="G121" s="216"/>
      <c r="H121" s="203"/>
      <c r="I121" s="203"/>
    </row>
    <row r="122" spans="3:9" s="77" customFormat="1" ht="18" customHeight="1">
      <c r="C122" s="215"/>
      <c r="D122" s="216"/>
      <c r="E122" s="216"/>
      <c r="F122" s="216"/>
      <c r="G122" s="216"/>
      <c r="H122" s="203"/>
      <c r="I122" s="203"/>
    </row>
    <row r="123" spans="3:9" s="77" customFormat="1" ht="18" customHeight="1">
      <c r="C123" s="215"/>
      <c r="D123" s="216"/>
      <c r="E123" s="216"/>
      <c r="F123" s="216"/>
      <c r="G123" s="216"/>
      <c r="H123" s="203"/>
      <c r="I123" s="203"/>
    </row>
    <row r="124" spans="3:9" s="77" customFormat="1" ht="18" customHeight="1">
      <c r="C124" s="215"/>
      <c r="D124" s="216"/>
      <c r="E124" s="216"/>
      <c r="F124" s="216"/>
      <c r="G124" s="216"/>
      <c r="H124" s="203"/>
      <c r="I124" s="203"/>
    </row>
    <row r="125" spans="3:9" s="77" customFormat="1" ht="18" customHeight="1">
      <c r="C125" s="215"/>
      <c r="D125" s="216"/>
      <c r="E125" s="216"/>
      <c r="F125" s="216"/>
      <c r="G125" s="216"/>
      <c r="H125" s="203"/>
      <c r="I125" s="203"/>
    </row>
    <row r="126" spans="3:9" s="77" customFormat="1" ht="18" customHeight="1">
      <c r="C126" s="215"/>
      <c r="D126" s="216"/>
      <c r="E126" s="216"/>
      <c r="F126" s="216"/>
      <c r="G126" s="216"/>
      <c r="H126" s="203"/>
      <c r="I126" s="203"/>
    </row>
    <row r="127" spans="3:9" s="77" customFormat="1" ht="18" customHeight="1">
      <c r="C127" s="215"/>
      <c r="D127" s="216"/>
      <c r="E127" s="216"/>
      <c r="F127" s="216"/>
      <c r="G127" s="216"/>
      <c r="H127" s="203"/>
      <c r="I127" s="203"/>
    </row>
    <row r="128" spans="3:9" s="77" customFormat="1" ht="18" customHeight="1">
      <c r="C128" s="215"/>
      <c r="D128" s="216"/>
      <c r="E128" s="216"/>
      <c r="F128" s="216"/>
      <c r="G128" s="216"/>
      <c r="H128" s="203"/>
      <c r="I128" s="203"/>
    </row>
    <row r="129" spans="3:9" s="77" customFormat="1" ht="18" customHeight="1">
      <c r="C129" s="215"/>
      <c r="D129" s="216"/>
      <c r="E129" s="216"/>
      <c r="F129" s="216"/>
      <c r="G129" s="216"/>
      <c r="H129" s="203"/>
      <c r="I129" s="203"/>
    </row>
    <row r="130" spans="3:9" s="77" customFormat="1" ht="18" customHeight="1">
      <c r="C130" s="215"/>
      <c r="D130" s="216"/>
      <c r="E130" s="216"/>
      <c r="F130" s="216"/>
      <c r="G130" s="216"/>
      <c r="H130" s="203"/>
      <c r="I130" s="203"/>
    </row>
    <row r="131" spans="3:9" s="77" customFormat="1" ht="18" customHeight="1">
      <c r="C131" s="215"/>
      <c r="D131" s="216"/>
      <c r="E131" s="216"/>
      <c r="F131" s="216"/>
      <c r="G131" s="216"/>
      <c r="H131" s="203"/>
      <c r="I131" s="203"/>
    </row>
    <row r="132" spans="3:9" s="77" customFormat="1" ht="18" customHeight="1">
      <c r="C132" s="215"/>
      <c r="D132" s="216"/>
      <c r="E132" s="216"/>
      <c r="F132" s="216"/>
      <c r="G132" s="216"/>
      <c r="H132" s="203"/>
      <c r="I132" s="203"/>
    </row>
    <row r="133" spans="3:9" s="77" customFormat="1" ht="18" customHeight="1">
      <c r="C133" s="215"/>
      <c r="D133" s="216"/>
      <c r="E133" s="216"/>
      <c r="F133" s="216"/>
      <c r="G133" s="216"/>
      <c r="H133" s="203"/>
      <c r="I133" s="203"/>
    </row>
    <row r="134" spans="3:9" s="77" customFormat="1" ht="18" customHeight="1">
      <c r="C134" s="215"/>
      <c r="D134" s="216"/>
      <c r="E134" s="216"/>
      <c r="F134" s="216"/>
      <c r="G134" s="216"/>
      <c r="H134" s="203"/>
      <c r="I134" s="203"/>
    </row>
    <row r="135" spans="3:9" s="77" customFormat="1" ht="18" customHeight="1">
      <c r="C135" s="215"/>
      <c r="D135" s="216"/>
      <c r="E135" s="216"/>
      <c r="F135" s="216"/>
      <c r="G135" s="216"/>
      <c r="H135" s="203"/>
      <c r="I135" s="203"/>
    </row>
    <row r="136" spans="3:9" s="77" customFormat="1" ht="18" customHeight="1">
      <c r="C136" s="215"/>
      <c r="D136" s="216"/>
      <c r="E136" s="216"/>
      <c r="F136" s="216"/>
      <c r="G136" s="216"/>
      <c r="H136" s="203"/>
      <c r="I136" s="203"/>
    </row>
    <row r="137" spans="3:9" s="77" customFormat="1" ht="18" customHeight="1">
      <c r="C137" s="215"/>
      <c r="D137" s="216"/>
      <c r="E137" s="216"/>
      <c r="F137" s="216"/>
      <c r="G137" s="216"/>
      <c r="H137" s="203"/>
      <c r="I137" s="203"/>
    </row>
    <row r="138" spans="3:9" s="77" customFormat="1" ht="18" customHeight="1">
      <c r="C138" s="215"/>
      <c r="D138" s="216"/>
      <c r="E138" s="216"/>
      <c r="F138" s="216"/>
      <c r="G138" s="216"/>
      <c r="H138" s="203"/>
      <c r="I138" s="203"/>
    </row>
    <row r="139" spans="3:9" s="77" customFormat="1" ht="18" customHeight="1">
      <c r="C139" s="215"/>
      <c r="D139" s="216"/>
      <c r="E139" s="216"/>
      <c r="F139" s="216"/>
      <c r="G139" s="216"/>
      <c r="H139" s="203"/>
      <c r="I139" s="203"/>
    </row>
    <row r="140" spans="3:9" s="77" customFormat="1" ht="18" customHeight="1">
      <c r="C140" s="215"/>
      <c r="D140" s="216"/>
      <c r="E140" s="216"/>
      <c r="F140" s="216"/>
      <c r="G140" s="216"/>
      <c r="H140" s="203"/>
      <c r="I140" s="203"/>
    </row>
    <row r="141" spans="3:9" s="77" customFormat="1" ht="18" customHeight="1">
      <c r="C141" s="215"/>
      <c r="D141" s="216"/>
      <c r="E141" s="216"/>
      <c r="F141" s="216"/>
      <c r="G141" s="216"/>
      <c r="H141" s="203"/>
      <c r="I141" s="203"/>
    </row>
    <row r="142" spans="3:9" s="77" customFormat="1" ht="18" customHeight="1">
      <c r="C142" s="215"/>
      <c r="D142" s="216"/>
      <c r="E142" s="216"/>
      <c r="F142" s="216"/>
      <c r="G142" s="216"/>
      <c r="H142" s="203"/>
      <c r="I142" s="203"/>
    </row>
    <row r="143" spans="3:9" s="77" customFormat="1" ht="18" customHeight="1">
      <c r="C143" s="215"/>
      <c r="D143" s="216"/>
      <c r="E143" s="216"/>
      <c r="F143" s="216"/>
      <c r="G143" s="216"/>
      <c r="H143" s="203"/>
      <c r="I143" s="203"/>
    </row>
    <row r="144" spans="3:9" s="77" customFormat="1" ht="18" customHeight="1">
      <c r="C144" s="215"/>
      <c r="D144" s="216"/>
      <c r="E144" s="216"/>
      <c r="F144" s="216"/>
      <c r="G144" s="216"/>
      <c r="H144" s="203"/>
      <c r="I144" s="203"/>
    </row>
    <row r="145" spans="3:9" s="77" customFormat="1" ht="18" customHeight="1">
      <c r="C145" s="215"/>
      <c r="D145" s="216"/>
      <c r="E145" s="216"/>
      <c r="F145" s="216"/>
      <c r="G145" s="216"/>
      <c r="H145" s="203"/>
      <c r="I145" s="203"/>
    </row>
    <row r="146" spans="3:9" s="77" customFormat="1" ht="18" customHeight="1">
      <c r="C146" s="215"/>
      <c r="D146" s="216"/>
      <c r="E146" s="216"/>
      <c r="F146" s="216"/>
      <c r="G146" s="216"/>
      <c r="H146" s="203"/>
      <c r="I146" s="203"/>
    </row>
    <row r="147" spans="3:9" s="77" customFormat="1" ht="18" customHeight="1">
      <c r="C147" s="215"/>
      <c r="D147" s="216"/>
      <c r="E147" s="216"/>
      <c r="F147" s="216"/>
      <c r="G147" s="216"/>
      <c r="H147" s="203"/>
      <c r="I147" s="203"/>
    </row>
    <row r="148" spans="3:9" s="77" customFormat="1" ht="18" customHeight="1">
      <c r="C148" s="215"/>
      <c r="D148" s="216"/>
      <c r="E148" s="216"/>
      <c r="F148" s="216"/>
      <c r="G148" s="216"/>
      <c r="H148" s="203"/>
      <c r="I148" s="203"/>
    </row>
    <row r="149" spans="3:9" s="77" customFormat="1" ht="18" customHeight="1">
      <c r="C149" s="215"/>
      <c r="D149" s="216"/>
      <c r="E149" s="216"/>
      <c r="F149" s="216"/>
      <c r="G149" s="216"/>
      <c r="H149" s="203"/>
      <c r="I149" s="203"/>
    </row>
    <row r="150" spans="3:9" s="77" customFormat="1" ht="18" customHeight="1">
      <c r="C150" s="215"/>
      <c r="D150" s="216"/>
      <c r="E150" s="216"/>
      <c r="F150" s="216"/>
      <c r="G150" s="216"/>
      <c r="H150" s="203"/>
      <c r="I150" s="203"/>
    </row>
    <row r="151" spans="3:9" s="77" customFormat="1" ht="18" customHeight="1">
      <c r="C151" s="215"/>
      <c r="D151" s="216"/>
      <c r="E151" s="216"/>
      <c r="F151" s="216"/>
      <c r="G151" s="216"/>
      <c r="H151" s="203"/>
      <c r="I151" s="203"/>
    </row>
    <row r="152" spans="3:9" s="77" customFormat="1" ht="18" customHeight="1">
      <c r="C152" s="215"/>
      <c r="D152" s="216"/>
      <c r="E152" s="216"/>
      <c r="F152" s="216"/>
      <c r="G152" s="216"/>
      <c r="H152" s="203"/>
      <c r="I152" s="203"/>
    </row>
    <row r="153" spans="3:9" s="77" customFormat="1" ht="18" customHeight="1">
      <c r="C153" s="215"/>
      <c r="D153" s="216"/>
      <c r="E153" s="216"/>
      <c r="F153" s="216"/>
      <c r="G153" s="216"/>
      <c r="H153" s="203"/>
      <c r="I153" s="203"/>
    </row>
    <row r="154" spans="3:9" s="77" customFormat="1" ht="18" customHeight="1">
      <c r="C154" s="215"/>
      <c r="D154" s="216"/>
      <c r="E154" s="216"/>
      <c r="F154" s="216"/>
      <c r="G154" s="216"/>
      <c r="H154" s="203"/>
      <c r="I154" s="203"/>
    </row>
    <row r="155" spans="3:9" s="77" customFormat="1" ht="18" customHeight="1">
      <c r="C155" s="215"/>
      <c r="D155" s="216"/>
      <c r="E155" s="216"/>
      <c r="F155" s="216"/>
      <c r="G155" s="216"/>
      <c r="H155" s="203"/>
      <c r="I155" s="203"/>
    </row>
    <row r="156" spans="3:9" s="77" customFormat="1" ht="18" customHeight="1">
      <c r="C156" s="215"/>
      <c r="D156" s="216"/>
      <c r="E156" s="216"/>
      <c r="F156" s="216"/>
      <c r="G156" s="216"/>
      <c r="H156" s="203"/>
      <c r="I156" s="203"/>
    </row>
    <row r="157" spans="3:9" s="77" customFormat="1" ht="18" customHeight="1">
      <c r="C157" s="215"/>
      <c r="D157" s="216"/>
      <c r="E157" s="216"/>
      <c r="F157" s="216"/>
      <c r="G157" s="216"/>
      <c r="H157" s="203"/>
      <c r="I157" s="203"/>
    </row>
    <row r="158" spans="3:9" s="77" customFormat="1" ht="18" customHeight="1">
      <c r="C158" s="215"/>
      <c r="D158" s="216"/>
      <c r="E158" s="216"/>
      <c r="F158" s="216"/>
      <c r="G158" s="216"/>
      <c r="H158" s="203"/>
      <c r="I158" s="203"/>
    </row>
    <row r="159" spans="3:9" s="77" customFormat="1" ht="18" customHeight="1">
      <c r="C159" s="215"/>
      <c r="D159" s="216"/>
      <c r="E159" s="216"/>
      <c r="F159" s="216"/>
      <c r="G159" s="216"/>
      <c r="H159" s="203"/>
      <c r="I159" s="203"/>
    </row>
    <row r="160" spans="3:9" s="77" customFormat="1" ht="18" customHeight="1">
      <c r="C160" s="215"/>
      <c r="D160" s="216"/>
      <c r="E160" s="216"/>
      <c r="F160" s="216"/>
      <c r="G160" s="216"/>
      <c r="H160" s="203"/>
      <c r="I160" s="203"/>
    </row>
    <row r="161" spans="3:9" s="77" customFormat="1" ht="18" customHeight="1">
      <c r="C161" s="215"/>
      <c r="D161" s="216"/>
      <c r="E161" s="216"/>
      <c r="F161" s="216"/>
      <c r="G161" s="216"/>
      <c r="H161" s="203"/>
      <c r="I161" s="203"/>
    </row>
    <row r="162" spans="3:9" s="77" customFormat="1" ht="18" customHeight="1">
      <c r="C162" s="215"/>
      <c r="D162" s="216"/>
      <c r="E162" s="216"/>
      <c r="F162" s="216"/>
      <c r="G162" s="216"/>
      <c r="H162" s="203"/>
      <c r="I162" s="203"/>
    </row>
    <row r="163" spans="3:9" s="77" customFormat="1" ht="18" customHeight="1">
      <c r="C163" s="215"/>
      <c r="D163" s="216"/>
      <c r="E163" s="216"/>
      <c r="F163" s="216"/>
      <c r="G163" s="216"/>
      <c r="H163" s="203"/>
      <c r="I163" s="203"/>
    </row>
    <row r="164" spans="3:9" s="77" customFormat="1" ht="18" customHeight="1">
      <c r="C164" s="215"/>
      <c r="D164" s="216"/>
      <c r="E164" s="216"/>
      <c r="F164" s="216"/>
      <c r="G164" s="216"/>
      <c r="H164" s="203"/>
      <c r="I164" s="203"/>
    </row>
    <row r="165" spans="3:9" s="77" customFormat="1" ht="18" customHeight="1">
      <c r="C165" s="215"/>
      <c r="D165" s="216"/>
      <c r="E165" s="216"/>
      <c r="F165" s="216"/>
      <c r="G165" s="216"/>
      <c r="H165" s="203"/>
      <c r="I165" s="203"/>
    </row>
    <row r="166" spans="3:9" s="77" customFormat="1" ht="18" customHeight="1">
      <c r="C166" s="215"/>
      <c r="D166" s="216"/>
      <c r="E166" s="216"/>
      <c r="F166" s="216"/>
      <c r="G166" s="216"/>
      <c r="H166" s="203"/>
      <c r="I166" s="203"/>
    </row>
    <row r="167" spans="3:9" s="77" customFormat="1" ht="18" customHeight="1">
      <c r="C167" s="215"/>
      <c r="D167" s="216"/>
      <c r="E167" s="216"/>
      <c r="F167" s="216"/>
      <c r="G167" s="216"/>
      <c r="H167" s="203"/>
      <c r="I167" s="203"/>
    </row>
    <row r="168" spans="3:9" s="77" customFormat="1" ht="18" customHeight="1">
      <c r="C168" s="215"/>
      <c r="D168" s="216"/>
      <c r="E168" s="216"/>
      <c r="F168" s="216"/>
      <c r="G168" s="216"/>
      <c r="H168" s="203"/>
      <c r="I168" s="203"/>
    </row>
    <row r="169" spans="3:9" s="77" customFormat="1" ht="18" customHeight="1">
      <c r="C169" s="215"/>
      <c r="D169" s="216"/>
      <c r="E169" s="216"/>
      <c r="F169" s="216"/>
      <c r="G169" s="216"/>
      <c r="H169" s="203"/>
      <c r="I169" s="203"/>
    </row>
    <row r="170" spans="3:9" s="77" customFormat="1" ht="18" customHeight="1">
      <c r="C170" s="215"/>
      <c r="D170" s="216"/>
      <c r="E170" s="216"/>
      <c r="F170" s="216"/>
      <c r="G170" s="216"/>
      <c r="H170" s="203"/>
      <c r="I170" s="203"/>
    </row>
    <row r="171" spans="3:9" s="77" customFormat="1" ht="18" customHeight="1">
      <c r="C171" s="215"/>
      <c r="D171" s="216"/>
      <c r="E171" s="216"/>
      <c r="F171" s="216"/>
      <c r="G171" s="216"/>
      <c r="H171" s="203"/>
      <c r="I171" s="203"/>
    </row>
    <row r="172" spans="3:9" s="77" customFormat="1" ht="18" customHeight="1">
      <c r="C172" s="215"/>
      <c r="D172" s="216"/>
      <c r="E172" s="216"/>
      <c r="F172" s="216"/>
      <c r="G172" s="216"/>
      <c r="H172" s="203"/>
      <c r="I172" s="203"/>
    </row>
    <row r="173" spans="3:9" s="77" customFormat="1" ht="18" customHeight="1">
      <c r="C173" s="215"/>
      <c r="D173" s="216"/>
      <c r="E173" s="216"/>
      <c r="F173" s="216"/>
      <c r="G173" s="216"/>
      <c r="H173" s="203"/>
      <c r="I173" s="203"/>
    </row>
    <row r="174" spans="3:9" s="77" customFormat="1" ht="18" customHeight="1">
      <c r="C174" s="215"/>
      <c r="D174" s="216"/>
      <c r="E174" s="216"/>
      <c r="F174" s="216"/>
      <c r="G174" s="216"/>
      <c r="H174" s="203"/>
      <c r="I174" s="203"/>
    </row>
    <row r="175" spans="3:9" s="77" customFormat="1" ht="18" customHeight="1">
      <c r="C175" s="215"/>
      <c r="D175" s="216"/>
      <c r="E175" s="216"/>
      <c r="F175" s="216"/>
      <c r="G175" s="216"/>
      <c r="H175" s="203"/>
      <c r="I175" s="20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I14" sqref="I14"/>
    </sheetView>
  </sheetViews>
  <sheetFormatPr defaultColWidth="10.77734375" defaultRowHeight="13.8"/>
  <cols>
    <col min="1" max="1" width="16.109375" style="62" customWidth="1"/>
    <col min="2" max="2" width="40.44140625" style="62" bestFit="1" customWidth="1"/>
    <col min="3" max="3" width="12.6640625" style="62" bestFit="1" customWidth="1"/>
    <col min="4" max="16384" width="10.77734375" style="62"/>
  </cols>
  <sheetData>
    <row r="1" spans="1:3">
      <c r="A1" s="330" t="s">
        <v>22</v>
      </c>
      <c r="B1" s="330" t="s">
        <v>133</v>
      </c>
      <c r="C1" s="331" t="s">
        <v>134</v>
      </c>
    </row>
    <row r="2" spans="1:3">
      <c r="A2" s="332" t="s">
        <v>119</v>
      </c>
      <c r="B2" s="332" t="s">
        <v>118</v>
      </c>
      <c r="C2" s="333">
        <v>79.75</v>
      </c>
    </row>
    <row r="3" spans="1:3">
      <c r="A3" s="334" t="s">
        <v>120</v>
      </c>
      <c r="B3" s="334" t="s">
        <v>121</v>
      </c>
      <c r="C3" s="335">
        <f>SUM(Cashflow!$C$13:$AA$13)</f>
        <v>13.125833333333334</v>
      </c>
    </row>
    <row r="4" spans="1:3">
      <c r="A4" s="334" t="s">
        <v>122</v>
      </c>
      <c r="B4" s="334" t="s">
        <v>123</v>
      </c>
      <c r="C4" s="335">
        <f>SUM(Cashflow!$C$15:$AA$15)</f>
        <v>134.31</v>
      </c>
    </row>
    <row r="5" spans="1:3">
      <c r="A5" s="336" t="s">
        <v>124</v>
      </c>
      <c r="B5" s="336" t="s">
        <v>125</v>
      </c>
      <c r="C5" s="337">
        <f>SUM(Cashflow!$C$7:$AA$7)</f>
        <v>54.898056446626676</v>
      </c>
    </row>
    <row r="6" spans="1:3">
      <c r="A6" s="336" t="s">
        <v>126</v>
      </c>
      <c r="B6" s="336" t="s">
        <v>45</v>
      </c>
      <c r="C6" s="338">
        <f>Cashflow!AE20*-1</f>
        <v>14</v>
      </c>
    </row>
    <row r="7" spans="1:3">
      <c r="A7" s="339" t="s">
        <v>128</v>
      </c>
      <c r="B7" s="339" t="s">
        <v>127</v>
      </c>
      <c r="C7" s="340">
        <f>C2+C3+C4-C5+C6</f>
        <v>186.28777688670667</v>
      </c>
    </row>
    <row r="8" spans="1:3">
      <c r="A8" s="341" t="s">
        <v>129</v>
      </c>
      <c r="B8" s="341" t="s">
        <v>130</v>
      </c>
      <c r="C8" s="342">
        <v>49</v>
      </c>
    </row>
    <row r="9" spans="1:3">
      <c r="A9" s="343" t="s">
        <v>131</v>
      </c>
      <c r="B9" s="343" t="s">
        <v>132</v>
      </c>
      <c r="C9" s="344">
        <f>C7/C8</f>
        <v>3.8017913650348301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I27"/>
  <sheetViews>
    <sheetView workbookViewId="0">
      <selection activeCell="C6" sqref="C6:C10"/>
    </sheetView>
  </sheetViews>
  <sheetFormatPr defaultColWidth="10.77734375" defaultRowHeight="15"/>
  <cols>
    <col min="1" max="1" width="41.33203125" style="203" bestFit="1" customWidth="1"/>
    <col min="2" max="4" width="10.77734375" style="203"/>
    <col min="5" max="6" width="11.109375" style="203" bestFit="1" customWidth="1"/>
    <col min="7" max="16384" width="10.77734375" style="203"/>
  </cols>
  <sheetData>
    <row r="2" spans="1:9" ht="15.6">
      <c r="A2" s="219" t="s">
        <v>0</v>
      </c>
      <c r="B2" s="220" t="str">
        <f>[1]Cashflow!C5</f>
        <v>2022-2023</v>
      </c>
      <c r="C2" s="220" t="s">
        <v>173</v>
      </c>
      <c r="D2" s="221" t="s">
        <v>174</v>
      </c>
      <c r="E2" s="221" t="s">
        <v>175</v>
      </c>
      <c r="F2" s="221" t="s">
        <v>176</v>
      </c>
      <c r="G2" s="219" t="s">
        <v>177</v>
      </c>
      <c r="H2" s="219" t="s">
        <v>178</v>
      </c>
      <c r="I2" s="219" t="s">
        <v>179</v>
      </c>
    </row>
    <row r="3" spans="1:9" ht="15.6">
      <c r="A3" s="219"/>
      <c r="B3" s="222"/>
      <c r="C3" s="222"/>
      <c r="D3" s="219"/>
      <c r="E3" s="219"/>
      <c r="F3" s="219"/>
      <c r="G3" s="219"/>
      <c r="H3" s="219"/>
      <c r="I3" s="219"/>
    </row>
    <row r="4" spans="1:9">
      <c r="A4" s="203" t="s">
        <v>180</v>
      </c>
      <c r="B4" s="223">
        <f>SUMIFS(Cashflow!$C$8:$AE$8,Cashflow!$C$2:$AE$2,'Annualised Cashflow'!B$2)</f>
        <v>8.6670512820512829E-2</v>
      </c>
      <c r="C4" s="223">
        <f>SUMIFS(Cashflow!$C$8:$AE$8,Cashflow!$C$2:$AE$2,'Annualised Cashflow'!C$2)</f>
        <v>2.1411108383342428</v>
      </c>
      <c r="D4" s="223">
        <f>SUMIFS(Cashflow!$C$8:$AE$8,Cashflow!$C$2:$AE$2,'Annualised Cashflow'!D$2)</f>
        <v>6.5257237634115306</v>
      </c>
      <c r="E4" s="223">
        <f>SUMIFS(Cashflow!$C$8:$AE$8,Cashflow!$C$2:$AE$2,'Annualised Cashflow'!E$2)</f>
        <v>7.5582659438079673</v>
      </c>
      <c r="F4" s="223">
        <f>SUMIFS(Cashflow!$C$8:$AE$8,Cashflow!$C$2:$AE$2,'Annualised Cashflow'!F$2)</f>
        <v>11.089048795235501</v>
      </c>
      <c r="G4" s="223">
        <f>SUMIFS(Cashflow!$C$8:$AE$8,Cashflow!$C$2:$AE$2,'Annualised Cashflow'!G$2)</f>
        <v>13.46932852791417</v>
      </c>
      <c r="H4" s="223">
        <f>SUMIFS(Cashflow!$C$8:$AE$8,Cashflow!$C$2:$AE$2,'Annualised Cashflow'!H$2)</f>
        <v>26.389074368066929</v>
      </c>
      <c r="I4" s="223">
        <f>SUMIFS(Cashflow!$C$8:$AE$8,Cashflow!$C$2:$AE$2,'Annualised Cashflow'!I$2)</f>
        <v>67.979279796326637</v>
      </c>
    </row>
    <row r="5" spans="1:9">
      <c r="B5" s="223"/>
      <c r="C5" s="223"/>
      <c r="D5" s="223"/>
      <c r="E5" s="223"/>
      <c r="F5" s="223"/>
      <c r="G5" s="223"/>
      <c r="H5" s="223"/>
      <c r="I5" s="223"/>
    </row>
    <row r="6" spans="1:9">
      <c r="A6" s="203" t="s">
        <v>221</v>
      </c>
      <c r="B6" s="223">
        <f>SUMPRODUCT((Cashflow!$C$2:$AE$2='Annualised Cashflow'!B$2)*(Cashflow!$C$9:$AE$9))</f>
        <v>4.07</v>
      </c>
      <c r="C6" s="223">
        <f>SUMPRODUCT((Cashflow!$C$2:$AE$2='Annualised Cashflow'!C$2)*(Cashflow!$C$9:$AE$9))</f>
        <v>0</v>
      </c>
      <c r="D6" s="223">
        <f>SUMPRODUCT((Cashflow!$C$2:$AE$2='Annualised Cashflow'!D$2)*(Cashflow!$C$9:$AE$9))</f>
        <v>0</v>
      </c>
      <c r="E6" s="223">
        <f>SUMPRODUCT((Cashflow!$C$2:$AE$2='Annualised Cashflow'!E$2)*(Cashflow!$C$9:$AE$9))</f>
        <v>0</v>
      </c>
      <c r="F6" s="223">
        <f>SUMPRODUCT((Cashflow!$C$2:$AE$2='Annualised Cashflow'!F$2)*(Cashflow!$C$9:$AE$9))</f>
        <v>0</v>
      </c>
      <c r="G6" s="223">
        <f>SUMPRODUCT((Cashflow!$C$2:$AE$2='Annualised Cashflow'!G$2)*(Cashflow!$C$9:$AE$9))</f>
        <v>0</v>
      </c>
      <c r="H6" s="223">
        <f>SUMPRODUCT((Cashflow!$C$2:$AE$2='Annualised Cashflow'!H$2)*(Cashflow!$C$9:$AE$9))</f>
        <v>0.5</v>
      </c>
      <c r="I6" s="223">
        <f>SUMPRODUCT((Cashflow!$C$2:$AE$2='Annualised Cashflow'!I$2)*(Cashflow!$C$9:$AE$9))</f>
        <v>3.09</v>
      </c>
    </row>
    <row r="7" spans="1:9" s="225" customFormat="1" ht="15.6">
      <c r="A7" s="224" t="s">
        <v>181</v>
      </c>
      <c r="B7" s="223">
        <f>SUMPRODUCT((Cashflow!$C$2:$AE$2='Annualised Cashflow'!B$2)*(Cashflow!$C$10:$AE$15))</f>
        <v>8.14</v>
      </c>
      <c r="C7" s="223">
        <f>SUMPRODUCT((Cashflow!$C$2:$AE$2='Annualised Cashflow'!C$2)*(Cashflow!$C$10:$AE$15))</f>
        <v>23.816666666666666</v>
      </c>
      <c r="D7" s="223">
        <f>SUMPRODUCT((Cashflow!$C$2:$AE$2='Annualised Cashflow'!D$2)*(Cashflow!$C$10:$AE$15))</f>
        <v>22.816666666666666</v>
      </c>
      <c r="E7" s="223">
        <f>SUMPRODUCT((Cashflow!$C$2:$AE$2='Annualised Cashflow'!E$2)*(Cashflow!$C$10:$AE$15))</f>
        <v>22.816666666666666</v>
      </c>
      <c r="F7" s="223">
        <f>SUMPRODUCT((Cashflow!$C$2:$AE$2='Annualised Cashflow'!F$2)*(Cashflow!$C$10:$AE$15))</f>
        <v>22.816666666666666</v>
      </c>
      <c r="G7" s="223">
        <f>SUMPRODUCT((Cashflow!$C$2:$AE$2='Annualised Cashflow'!G$2)*(Cashflow!$C$10:$AE$15))</f>
        <v>22.816666666666666</v>
      </c>
      <c r="H7" s="223">
        <f>SUMPRODUCT((Cashflow!$C$2:$AE$2='Annualised Cashflow'!H$2)*(Cashflow!$C$10:$AE$15))</f>
        <v>24.212500000000002</v>
      </c>
      <c r="I7" s="223">
        <f>SUMPRODUCT((Cashflow!$C$2:$AE$2='Annualised Cashflow'!I$2)*(Cashflow!$C$10:$AE$15))</f>
        <v>0</v>
      </c>
    </row>
    <row r="8" spans="1:9" s="225" customFormat="1" ht="15.6">
      <c r="A8" s="224" t="s">
        <v>182</v>
      </c>
      <c r="B8" s="223">
        <f>SUMPRODUCT((Cashflow!$C$2:$AE$2='Annualised Cashflow'!B$2)*(Cashflow!$C$16:$AE$17))</f>
        <v>0.41084413793103453</v>
      </c>
      <c r="C8" s="223">
        <f>SUMPRODUCT((Cashflow!$C$2:$AE$2='Annualised Cashflow'!C$2)*(Cashflow!$C$16:$AE$17))</f>
        <v>1.6433765517241379</v>
      </c>
      <c r="D8" s="223">
        <f>SUMPRODUCT((Cashflow!$C$2:$AE$2='Annualised Cashflow'!D$2)*(Cashflow!$C$16:$AE$17))</f>
        <v>1.6433765517241379</v>
      </c>
      <c r="E8" s="223">
        <f>SUMPRODUCT((Cashflow!$C$2:$AE$2='Annualised Cashflow'!E$2)*(Cashflow!$C$16:$AE$17))</f>
        <v>1.6433765517241379</v>
      </c>
      <c r="F8" s="223">
        <f>SUMPRODUCT((Cashflow!$C$2:$AE$2='Annualised Cashflow'!F$2)*(Cashflow!$C$16:$AE$17))</f>
        <v>1.6433765517241379</v>
      </c>
      <c r="G8" s="223">
        <f>SUMPRODUCT((Cashflow!$C$2:$AE$2='Annualised Cashflow'!G$2)*(Cashflow!$C$16:$AE$17))</f>
        <v>1.6433765517241379</v>
      </c>
      <c r="H8" s="223">
        <f>SUMPRODUCT((Cashflow!$C$2:$AE$2='Annualised Cashflow'!H$2)*(Cashflow!$C$16:$AE$17))</f>
        <v>1.3433765517241381</v>
      </c>
      <c r="I8" s="223">
        <f>SUMPRODUCT((Cashflow!$C$2:$AE$2='Annualised Cashflow'!I$2)*(Cashflow!$C$16:$AE$17))</f>
        <v>1.2288965517241348</v>
      </c>
    </row>
    <row r="9" spans="1:9" s="225" customFormat="1" ht="15.6">
      <c r="A9" s="224" t="s">
        <v>115</v>
      </c>
      <c r="B9" s="223">
        <f>SUMIFS(Cashflow!$C$19:$AE$19,Cashflow!$C$2:$AE$2,'Annualised Cashflow'!B$2)</f>
        <v>0.17325000000000002</v>
      </c>
      <c r="C9" s="223">
        <f>SUMIFS(Cashflow!$C$19:$AE$19,Cashflow!$C$2:$AE$2,'Annualised Cashflow'!C$2)</f>
        <v>2.1872812499999998</v>
      </c>
      <c r="D9" s="223">
        <f>SUMIFS(Cashflow!$C$19:$AE$19,Cashflow!$C$2:$AE$2,'Annualised Cashflow'!D$2)</f>
        <v>3.4866562500000002</v>
      </c>
      <c r="E9" s="223">
        <f>SUMIFS(Cashflow!$C$19:$AE$19,Cashflow!$C$2:$AE$2,'Annualised Cashflow'!E$2)</f>
        <v>4.3456875000000004</v>
      </c>
      <c r="F9" s="223">
        <f>SUMIFS(Cashflow!$C$19:$AE$19,Cashflow!$C$2:$AE$2,'Annualised Cashflow'!F$2)</f>
        <v>4.9809374999999996</v>
      </c>
      <c r="G9" s="223">
        <f>SUMIFS(Cashflow!$C$19:$AE$19,Cashflow!$C$2:$AE$2,'Annualised Cashflow'!G$2)</f>
        <v>5.2263750000000009</v>
      </c>
      <c r="H9" s="223">
        <f>SUMIFS(Cashflow!$C$19:$AE$19,Cashflow!$C$2:$AE$2,'Annualised Cashflow'!H$2)</f>
        <v>5.2408125000000005</v>
      </c>
      <c r="I9" s="223">
        <f>SUMIFS(Cashflow!$C$19:$AE$19,Cashflow!$C$2:$AE$2,'Annualised Cashflow'!I$2)</f>
        <v>1.0828125000000002</v>
      </c>
    </row>
    <row r="10" spans="1:9" s="225" customFormat="1" ht="15.6">
      <c r="A10" s="224" t="s">
        <v>220</v>
      </c>
      <c r="B10" s="223">
        <f>SUMIFS(Cashflow!$C$18:$AE$18,Cashflow!$C$2:$AE$2,'Annualised Cashflow'!B$2)</f>
        <v>0</v>
      </c>
      <c r="C10" s="223">
        <f>SUMIFS(Cashflow!$C$18:$AE$18,Cashflow!$C$2:$AE$2,'Annualised Cashflow'!C$2)</f>
        <v>0.22542857142857148</v>
      </c>
      <c r="D10" s="223">
        <f>SUMIFS(Cashflow!$C$18:$AE$18,Cashflow!$C$2:$AE$2,'Annualised Cashflow'!D$2)</f>
        <v>0.45085714285714296</v>
      </c>
      <c r="E10" s="223">
        <f>SUMIFS(Cashflow!$C$18:$AE$18,Cashflow!$C$2:$AE$2,'Annualised Cashflow'!E$2)</f>
        <v>0.45085714285714296</v>
      </c>
      <c r="F10" s="223">
        <f>SUMIFS(Cashflow!$C$18:$AE$18,Cashflow!$C$2:$AE$2,'Annualised Cashflow'!F$2)</f>
        <v>0.45085714285714296</v>
      </c>
      <c r="G10" s="223">
        <f>SUMIFS(Cashflow!$C$18:$AE$18,Cashflow!$C$2:$AE$2,'Annualised Cashflow'!G$2)</f>
        <v>0.45085714285714296</v>
      </c>
      <c r="H10" s="223">
        <f>SUMIFS(Cashflow!$C$18:$AE$18,Cashflow!$C$2:$AE$2,'Annualised Cashflow'!H$2)</f>
        <v>0.33814285714285719</v>
      </c>
      <c r="I10" s="223">
        <f>SUMIFS(Cashflow!$C$18:$AE$18,Cashflow!$C$2:$AE$2,'Annualised Cashflow'!I$2)</f>
        <v>0</v>
      </c>
    </row>
    <row r="11" spans="1:9" s="225" customFormat="1" ht="15.6">
      <c r="A11" s="224" t="s">
        <v>45</v>
      </c>
      <c r="B11" s="223">
        <f>SUMIFS(Cashflow!$C$20:$AE$20,Cashflow!$C$2:$AE$2,'Annualised Cashflow'!B$2)</f>
        <v>0</v>
      </c>
      <c r="C11" s="223">
        <f>SUMIFS(Cashflow!$C$20:$AE$20,Cashflow!$C$2:$AE$2,'Annualised Cashflow'!C$2)</f>
        <v>0</v>
      </c>
      <c r="D11" s="223">
        <f>SUMIFS(Cashflow!$C$20:$AE$20,Cashflow!$C$2:$AE$2,'Annualised Cashflow'!D$2)</f>
        <v>0</v>
      </c>
      <c r="E11" s="223">
        <f>SUMIFS(Cashflow!$C$20:$AE$20,Cashflow!$C$2:$AE$2,'Annualised Cashflow'!E$2)</f>
        <v>0</v>
      </c>
      <c r="F11" s="223">
        <f>SUMIFS(Cashflow!$C$20:$AE$20,Cashflow!$C$2:$AE$2,'Annualised Cashflow'!F$2)</f>
        <v>1</v>
      </c>
      <c r="G11" s="223">
        <f>SUMIFS(Cashflow!$C$20:$AE$20,Cashflow!$C$2:$AE$2,'Annualised Cashflow'!G$2)</f>
        <v>1.25</v>
      </c>
      <c r="H11" s="223">
        <f>SUMIFS(Cashflow!$C$20:$AE$20,Cashflow!$C$2:$AE$2,'Annualised Cashflow'!H$2)</f>
        <v>11.75</v>
      </c>
      <c r="I11" s="223">
        <f>SUMIFS(Cashflow!$C$20:$AE$20,Cashflow!$C$2:$AE$2,'Annualised Cashflow'!I$2)</f>
        <v>-14</v>
      </c>
    </row>
    <row r="12" spans="1:9" s="225" customFormat="1" ht="15.6">
      <c r="A12" s="224"/>
      <c r="B12" s="223"/>
      <c r="C12" s="223"/>
      <c r="D12" s="223"/>
      <c r="E12" s="223"/>
      <c r="F12" s="223"/>
      <c r="G12" s="203"/>
      <c r="H12" s="203"/>
      <c r="I12" s="203"/>
    </row>
    <row r="13" spans="1:9">
      <c r="A13" s="224" t="s">
        <v>183</v>
      </c>
      <c r="B13" s="226">
        <f>SUMIFS('Inflow Calculation'!$J$3:$J$31,'Inflow Calculation'!$C$3:$C$31,'Annualised Cashflow'!B2)</f>
        <v>577.80341880341882</v>
      </c>
      <c r="C13" s="226">
        <f>SUMIFS('Inflow Calculation'!$J$3:$J$31,'Inflow Calculation'!$C$3:$C$31,'Annualised Cashflow'!C2)</f>
        <v>7523.2196763047823</v>
      </c>
      <c r="D13" s="226">
        <f>SUMIFS('Inflow Calculation'!$J$3:$J$31,'Inflow Calculation'!$C$3:$C$31,'Annualised Cashflow'!D2)</f>
        <v>15241.657210401891</v>
      </c>
      <c r="E13" s="226">
        <f>SUMIFS('Inflow Calculation'!$J$3:$J$31,'Inflow Calculation'!$C$3:$C$31,'Annualised Cashflow'!E2)</f>
        <v>10997.890343698855</v>
      </c>
      <c r="F13" s="226">
        <f>SUMIFS('Inflow Calculation'!$J$3:$J$31,'Inflow Calculation'!$C$3:$C$31,'Annualised Cashflow'!F2)</f>
        <v>13313.029096199309</v>
      </c>
      <c r="G13" s="226">
        <f>SUMIFS('Inflow Calculation'!$J$3:$J$31,'Inflow Calculation'!$C$3:$C$31,'Annualised Cashflow'!G2)</f>
        <v>10047.826513911621</v>
      </c>
      <c r="H13" s="226">
        <f>SUMIFS('Inflow Calculation'!$J$3:$J$31,'Inflow Calculation'!$C$3:$C$31,'Annualised Cashflow'!H2)</f>
        <v>15662.043462447718</v>
      </c>
      <c r="I13" s="226">
        <f>SUMIFS('Inflow Calculation'!$J$3:$J$31,'Inflow Calculation'!$C$3:$C$31,'Annualised Cashflow'!I2)</f>
        <v>57083.532824149836</v>
      </c>
    </row>
    <row r="14" spans="1:9">
      <c r="A14" s="224" t="s">
        <v>184</v>
      </c>
      <c r="B14" s="227">
        <f>B13/SUM($B$13:$I$13)</f>
        <v>4.4294112361840717E-3</v>
      </c>
      <c r="C14" s="227">
        <f t="shared" ref="C14:I14" si="0">C13/SUM($B$13:$I$13)</f>
        <v>5.7672614391094223E-2</v>
      </c>
      <c r="D14" s="227">
        <f t="shared" si="0"/>
        <v>0.11684175882107233</v>
      </c>
      <c r="E14" s="227">
        <f t="shared" si="0"/>
        <v>8.430926068866619E-2</v>
      </c>
      <c r="F14" s="227">
        <f t="shared" si="0"/>
        <v>0.10205699507363625</v>
      </c>
      <c r="G14" s="227">
        <f t="shared" si="0"/>
        <v>7.7026120323269068E-2</v>
      </c>
      <c r="H14" s="227">
        <f t="shared" si="0"/>
        <v>0.12006441816809604</v>
      </c>
      <c r="I14" s="227">
        <f t="shared" si="0"/>
        <v>0.43759942129798191</v>
      </c>
    </row>
    <row r="15" spans="1:9">
      <c r="A15" s="224" t="s">
        <v>185</v>
      </c>
      <c r="B15" s="228">
        <f>SUM($B$7:B7)/SUM($B$7:$I$7)</f>
        <v>5.5210458787155997E-2</v>
      </c>
      <c r="C15" s="228">
        <f>SUM($B$7:C7)/SUM($B$7:$I$7)</f>
        <v>0.21674965945637367</v>
      </c>
      <c r="D15" s="228">
        <f>SUM($B$7:D7)/SUM($B$7:$I$7)</f>
        <v>0.37150624848097757</v>
      </c>
      <c r="E15" s="228">
        <f>SUM($B$7:E7)/SUM($B$7:$I$7)</f>
        <v>0.52626283750558156</v>
      </c>
      <c r="F15" s="228">
        <f>SUM($B$7:F7)/SUM($B$7:$I$7)</f>
        <v>0.68101942653018543</v>
      </c>
      <c r="G15" s="228">
        <f>SUM($B$7:G7)/SUM($B$7:$I$7)</f>
        <v>0.83577601555478931</v>
      </c>
      <c r="H15" s="228">
        <f>SUM($B$7:H7)/SUM($B$7:$I$7)</f>
        <v>1</v>
      </c>
      <c r="I15" s="228">
        <f>SUM($B$7:I7)/SUM($B$7:$I$7)</f>
        <v>1</v>
      </c>
    </row>
    <row r="17" spans="1:9">
      <c r="A17" s="203" t="s">
        <v>92</v>
      </c>
      <c r="B17" s="223">
        <f>SUMIFS('Inflow Calculation'!$L$3:$L$31,'Inflow Calculation'!$C$3:$C$31,'Annualised Cashflow'!B$2)</f>
        <v>0.57780341880341879</v>
      </c>
      <c r="C17" s="223">
        <f>SUMIFS('Inflow Calculation'!$L$3:$L$31,'Inflow Calculation'!$C$3:$C$31,'Annualised Cashflow'!C$2)</f>
        <v>7.5232196763047821</v>
      </c>
      <c r="D17" s="223">
        <f>SUMIFS('Inflow Calculation'!$L$3:$L$31,'Inflow Calculation'!$C$3:$C$31,'Annualised Cashflow'!D$2)</f>
        <v>15.241657210401891</v>
      </c>
      <c r="E17" s="223">
        <f>SUMIFS('Inflow Calculation'!$L$3:$L$31,'Inflow Calculation'!$C$3:$C$31,'Annualised Cashflow'!E$2)</f>
        <v>10.997890343698854</v>
      </c>
      <c r="F17" s="223">
        <f>SUMIFS('Inflow Calculation'!$L$3:$L$31,'Inflow Calculation'!$C$3:$C$31,'Annualised Cashflow'!F$2)</f>
        <v>13.313029096199308</v>
      </c>
      <c r="G17" s="223">
        <f>SUMIFS('Inflow Calculation'!$L$3:$L$31,'Inflow Calculation'!$C$3:$C$31,'Annualised Cashflow'!G$2)</f>
        <v>10.732326513911621</v>
      </c>
      <c r="H17" s="223">
        <f>SUMIFS('Inflow Calculation'!$L$3:$L$31,'Inflow Calculation'!$C$3:$C$31,'Annualised Cashflow'!H$2)</f>
        <v>16.34654346244772</v>
      </c>
      <c r="I17" s="223">
        <f>SUMIFS('Inflow Calculation'!$L$3:$L$31,'Inflow Calculation'!$C$3:$C$31,'Annualised Cashflow'!I$2)</f>
        <v>60.506032824149841</v>
      </c>
    </row>
    <row r="18" spans="1:9">
      <c r="A18" s="203" t="s">
        <v>186</v>
      </c>
      <c r="B18" s="223">
        <f>SUM($B$6:$B$10:B6:B10)</f>
        <v>12.794094137931035</v>
      </c>
      <c r="C18" s="223">
        <f>SUM($B$6:$B$10:C6:C10)</f>
        <v>40.666847177750419</v>
      </c>
      <c r="D18" s="223">
        <f>SUM($B$6:$B$10:D6:D10)</f>
        <v>69.064403788998362</v>
      </c>
      <c r="E18" s="223">
        <f>SUM($B$6:$B$10:E6:E10)</f>
        <v>98.32099165024627</v>
      </c>
      <c r="F18" s="223">
        <f>SUM($B$6:$B$10:F6:F10)</f>
        <v>128.21282951149419</v>
      </c>
      <c r="G18" s="223">
        <f>SUM($B$6:$B$10:G6:G10)</f>
        <v>158.35010487274221</v>
      </c>
      <c r="H18" s="223">
        <f>SUM($B$6:$B$10:H6:H10)</f>
        <v>189.98493678160921</v>
      </c>
      <c r="I18" s="223">
        <f>SUM($B$6:$B$10:I6:I10)</f>
        <v>195.38664583333335</v>
      </c>
    </row>
    <row r="19" spans="1:9">
      <c r="B19" s="223"/>
      <c r="C19" s="223"/>
      <c r="D19" s="223"/>
      <c r="E19" s="223"/>
      <c r="F19" s="223"/>
    </row>
    <row r="20" spans="1:9">
      <c r="A20" s="203" t="s">
        <v>187</v>
      </c>
      <c r="B20" s="223">
        <f>Cashflow!C27+SUMIFS(Cashflow!$C$26:$AE$26,Cashflow!$C$2:$AE$2,'Annualised Cashflow'!B$2)</f>
        <v>11.49</v>
      </c>
      <c r="C20" s="223">
        <f>B20+SUMIFS(Cashflow!$C$26:$AE$26,Cashflow!$C$2:$AE$2,'Annualised Cashflow'!C$2)</f>
        <v>15.79</v>
      </c>
      <c r="D20" s="223">
        <f>C20+SUMIFS(Cashflow!$C$26:$AE$26,Cashflow!$C$2:$AE$2,'Annualised Cashflow'!D$2)</f>
        <v>20.939999999999998</v>
      </c>
      <c r="E20" s="223">
        <f>D20+SUMIFS(Cashflow!$C$26:$AE$26,Cashflow!$C$2:$AE$2,'Annualised Cashflow'!E$2)</f>
        <v>25.689999999999998</v>
      </c>
      <c r="F20" s="223">
        <f>E20+SUMIFS(Cashflow!$C$26:$AE$26,Cashflow!$C$2:$AE$2,'Annualised Cashflow'!F$2)</f>
        <v>28.439999999999998</v>
      </c>
      <c r="G20" s="223">
        <f>F20+SUMIFS(Cashflow!$C$26:$AE$26,Cashflow!$C$2:$AE$2,'Annualised Cashflow'!G$2)</f>
        <v>30.04</v>
      </c>
      <c r="H20" s="223">
        <f>G20+SUMIFS(Cashflow!$C$26:$AE$26,Cashflow!$C$2:$AE$2,'Annualised Cashflow'!H$2)</f>
        <v>30.5</v>
      </c>
      <c r="I20" s="223">
        <f>H20+SUMIFS(Cashflow!$C$26:$AE$26,Cashflow!$C$2:$AE$2,'Annualised Cashflow'!I$2)</f>
        <v>30.5</v>
      </c>
    </row>
    <row r="21" spans="1:9">
      <c r="A21" s="203" t="s">
        <v>188</v>
      </c>
      <c r="B21" s="223">
        <f>SUMIFS(Cashflow!$C$28:$AE$28,Cashflow!$C$2:$AE$2,'Annualised Cashflow'!B$2)</f>
        <v>6</v>
      </c>
      <c r="C21" s="223">
        <f>SUMIFS(Cashflow!$C$28:$AE$28,Cashflow!$C$2:$AE$2,'Annualised Cashflow'!C$2)</f>
        <v>19.25</v>
      </c>
      <c r="D21" s="223">
        <f>SUMIFS(Cashflow!$C$28:$AE$28,Cashflow!$C$2:$AE$2,'Annualised Cashflow'!D$2)</f>
        <v>7.5</v>
      </c>
      <c r="E21" s="223">
        <f>SUMIFS(Cashflow!$C$28:$AE$28,Cashflow!$C$2:$AE$2,'Annualised Cashflow'!E$2)</f>
        <v>7.75</v>
      </c>
      <c r="F21" s="223">
        <f>SUMIFS(Cashflow!$C$28:$AE$28,Cashflow!$C$2:$AE$2,'Annualised Cashflow'!F$2)</f>
        <v>3.5</v>
      </c>
      <c r="G21" s="223">
        <f>SUMIFS(Cashflow!$C$28:$AE$28,Cashflow!$C$2:$AE$2,'Annualised Cashflow'!G$2)</f>
        <v>2</v>
      </c>
      <c r="H21" s="223">
        <f>SUMIFS(Cashflow!$C$28:$AE$28,Cashflow!$C$2:$AE$2,'Annualised Cashflow'!H$2)</f>
        <v>3</v>
      </c>
      <c r="I21" s="223">
        <f>SUMIFS(Cashflow!$C$28:$AE$28,Cashflow!$C$2:$AE$2,'Annualised Cashflow'!I$2)</f>
        <v>0</v>
      </c>
    </row>
    <row r="22" spans="1:9">
      <c r="A22" s="203" t="s">
        <v>189</v>
      </c>
      <c r="B22" s="223">
        <f>SUM($B$21:B21)</f>
        <v>6</v>
      </c>
      <c r="C22" s="223">
        <f>SUM($B$21:C21)</f>
        <v>25.25</v>
      </c>
      <c r="D22" s="223">
        <f>SUM($B$21:D21)</f>
        <v>32.75</v>
      </c>
      <c r="E22" s="223">
        <f>SUM($B$21:E21)</f>
        <v>40.5</v>
      </c>
      <c r="F22" s="223">
        <f>SUM($B$21:F21)</f>
        <v>44</v>
      </c>
      <c r="G22" s="223">
        <f>SUM($B$21:G21)</f>
        <v>46</v>
      </c>
      <c r="H22" s="223">
        <f>SUM($B$21:H21)</f>
        <v>49</v>
      </c>
      <c r="I22" s="223">
        <f>SUM($B$21:I21)</f>
        <v>49</v>
      </c>
    </row>
    <row r="23" spans="1:9">
      <c r="A23" s="203" t="s">
        <v>190</v>
      </c>
      <c r="B23" s="223">
        <f>SUMIFS(Cashflow!$C$29:$AE$29,Cashflow!$C$2:$AE$2,'Annualised Cashflow'!B$2)</f>
        <v>0</v>
      </c>
      <c r="C23" s="223">
        <f>SUMIFS(Cashflow!$C$29:$AE$29,Cashflow!$C$2:$AE$2,'Annualised Cashflow'!C$2)</f>
        <v>0</v>
      </c>
      <c r="D23" s="223">
        <f>SUMIFS(Cashflow!$C$29:$AE$29,Cashflow!$C$2:$AE$2,'Annualised Cashflow'!D$2)</f>
        <v>0</v>
      </c>
      <c r="E23" s="223">
        <f>SUMIFS(Cashflow!$C$29:$AE$29,Cashflow!$C$2:$AE$2,'Annualised Cashflow'!E$2)</f>
        <v>0</v>
      </c>
      <c r="F23" s="223">
        <f>SUMIFS(Cashflow!$C$29:$AE$29,Cashflow!$C$2:$AE$2,'Annualised Cashflow'!F$2)</f>
        <v>0</v>
      </c>
      <c r="G23" s="223">
        <f>SUMIFS(Cashflow!$C$29:$AE$29,Cashflow!$C$2:$AE$2,'Annualised Cashflow'!G$2)</f>
        <v>0</v>
      </c>
      <c r="H23" s="223">
        <f>SUMIFS(Cashflow!$C$29:$AE$29,Cashflow!$C$2:$AE$2,'Annualised Cashflow'!H$2)</f>
        <v>-11.5</v>
      </c>
      <c r="I23" s="223">
        <f>SUMIFS(Cashflow!$C$29:$AE$29,Cashflow!$C$2:$AE$2,'Annualised Cashflow'!I$2)</f>
        <v>-37.5</v>
      </c>
    </row>
    <row r="24" spans="1:9">
      <c r="A24" s="203" t="s">
        <v>191</v>
      </c>
      <c r="B24" s="229">
        <f>SUM($B$23:B23)</f>
        <v>0</v>
      </c>
      <c r="C24" s="229">
        <f>SUM($B$23:C23)</f>
        <v>0</v>
      </c>
      <c r="D24" s="229">
        <f>SUM($B$23:D23)</f>
        <v>0</v>
      </c>
      <c r="E24" s="229">
        <f>SUM($B$23:E23)</f>
        <v>0</v>
      </c>
      <c r="F24" s="229">
        <f>SUM($B$23:F23)</f>
        <v>0</v>
      </c>
      <c r="G24" s="229">
        <f>SUM($B$23:G23)</f>
        <v>0</v>
      </c>
      <c r="H24" s="229">
        <f>SUM($B$23:H23)</f>
        <v>-11.5</v>
      </c>
      <c r="I24" s="229">
        <f>SUM($B$23:I23)</f>
        <v>-49</v>
      </c>
    </row>
    <row r="25" spans="1:9">
      <c r="A25" s="203" t="s">
        <v>166</v>
      </c>
      <c r="B25" s="229">
        <f>B22+B24</f>
        <v>6</v>
      </c>
      <c r="C25" s="229">
        <f>C22+C24</f>
        <v>25.25</v>
      </c>
      <c r="D25" s="229">
        <f>D22+D24</f>
        <v>32.75</v>
      </c>
      <c r="E25" s="229">
        <f>E22+E24</f>
        <v>40.5</v>
      </c>
      <c r="F25" s="229">
        <f>F22+F24</f>
        <v>44</v>
      </c>
      <c r="G25" s="229">
        <f t="shared" ref="G25:I25" si="1">G22+G24</f>
        <v>46</v>
      </c>
      <c r="H25" s="229">
        <f t="shared" si="1"/>
        <v>37.5</v>
      </c>
      <c r="I25" s="229">
        <f t="shared" si="1"/>
        <v>0</v>
      </c>
    </row>
    <row r="27" spans="1:9">
      <c r="B27" s="229"/>
      <c r="C27" s="229"/>
      <c r="D27" s="229"/>
      <c r="E27" s="229"/>
      <c r="F27" s="2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C30" sqref="C30"/>
    </sheetView>
  </sheetViews>
  <sheetFormatPr defaultColWidth="10.77734375" defaultRowHeight="13.8"/>
  <cols>
    <col min="1" max="1" width="29.6640625" style="62" customWidth="1"/>
    <col min="2" max="16384" width="10.77734375" style="62"/>
  </cols>
  <sheetData>
    <row r="1" spans="1:9">
      <c r="A1" s="363" t="s">
        <v>192</v>
      </c>
      <c r="B1" s="363"/>
      <c r="C1" s="363"/>
      <c r="D1" s="363"/>
      <c r="E1" s="363"/>
      <c r="F1" s="363"/>
      <c r="G1" s="363"/>
      <c r="H1" s="363"/>
      <c r="I1" s="363"/>
    </row>
    <row r="2" spans="1:9">
      <c r="A2" s="230" t="s">
        <v>0</v>
      </c>
      <c r="B2" s="231" t="str">
        <f>'Annualised Cashflow'!B2</f>
        <v>2022-2023</v>
      </c>
      <c r="C2" s="231" t="str">
        <f>'Annualised Cashflow'!C2</f>
        <v>2023-2024</v>
      </c>
      <c r="D2" s="231" t="str">
        <f>'Annualised Cashflow'!D2</f>
        <v>2024-2025</v>
      </c>
      <c r="E2" s="231" t="str">
        <f>'Annualised Cashflow'!E2</f>
        <v>2025-2026</v>
      </c>
      <c r="F2" s="231" t="str">
        <f>'Annualised Cashflow'!F2</f>
        <v>2026-2027</v>
      </c>
      <c r="G2" s="231" t="str">
        <f>'Annualised Cashflow'!G2</f>
        <v>2027-2028</v>
      </c>
      <c r="H2" s="231" t="str">
        <f>'Annualised Cashflow'!H2</f>
        <v>2028-2029</v>
      </c>
      <c r="I2" s="231" t="str">
        <f>'Annualised Cashflow'!I2</f>
        <v>2029-2030</v>
      </c>
    </row>
    <row r="3" spans="1:9">
      <c r="A3" s="232" t="s">
        <v>193</v>
      </c>
      <c r="B3" s="233">
        <f>IF('Annualised Cashflow'!B15&lt;100%,0,SUM('Annualised Cashflow'!$B$17:B17))</f>
        <v>0</v>
      </c>
      <c r="C3" s="233">
        <f>IF(B3=0,IF('Annualised Cashflow'!C15&lt;100%,0,SUM('Annualised Cashflow'!$B$17:C17)),'Annualised Cashflow'!C17)</f>
        <v>0</v>
      </c>
      <c r="D3" s="233">
        <f>IF(C3=0,IF('Annualised Cashflow'!D15&lt;100%,0,SUM('Annualised Cashflow'!$B$17:D17)),'Annualised Cashflow'!D17)</f>
        <v>0</v>
      </c>
      <c r="E3" s="233">
        <f>IF(D3=0,IF('Annualised Cashflow'!E15&lt;100%,0,SUM('Annualised Cashflow'!$B$17:E17)),'Annualised Cashflow'!E17)</f>
        <v>0</v>
      </c>
      <c r="F3" s="233">
        <f>IF(E3=0,IF('Annualised Cashflow'!F15&lt;100%,0,SUM('Annualised Cashflow'!$B$17:F17)),'Annualised Cashflow'!F17)</f>
        <v>0</v>
      </c>
      <c r="G3" s="233">
        <f>IF(F3=0,IF('Annualised Cashflow'!G15&lt;100%,0,SUM('Annualised Cashflow'!$B$17:G17)),'Annualised Cashflow'!G17)</f>
        <v>0</v>
      </c>
      <c r="H3" s="233">
        <f>IF(G3=0,IF('Annualised Cashflow'!H15&lt;100%,0,SUM('Annualised Cashflow'!$B$17:H17)),'Annualised Cashflow'!H17)</f>
        <v>74.7324697217676</v>
      </c>
      <c r="I3" s="233">
        <f>IF(H3=0,IF('Annualised Cashflow'!I15&lt;100%,0,SUM('Annualised Cashflow'!$B$17:I17)),'Annualised Cashflow'!I17)</f>
        <v>60.506032824149841</v>
      </c>
    </row>
    <row r="4" spans="1:9">
      <c r="A4" s="234" t="s">
        <v>194</v>
      </c>
      <c r="B4" s="235"/>
      <c r="C4" s="235"/>
      <c r="D4" s="235"/>
      <c r="E4" s="235"/>
      <c r="F4" s="235"/>
      <c r="G4" s="235"/>
      <c r="H4" s="235"/>
      <c r="I4" s="235"/>
    </row>
    <row r="5" spans="1:9">
      <c r="A5" s="237" t="s">
        <v>135</v>
      </c>
      <c r="B5" s="235">
        <f>HLOOKUP(B2,'Annualised Cashflow'!$B$2:$I$10,5,FALSE)</f>
        <v>4.07</v>
      </c>
      <c r="C5" s="235">
        <f>HLOOKUP(C2,'Annualised Cashflow'!$B$2:$I$10,5,FALSE)</f>
        <v>0</v>
      </c>
      <c r="D5" s="235">
        <f>HLOOKUP(D2,'Annualised Cashflow'!$B$2:$I$10,5,FALSE)</f>
        <v>0</v>
      </c>
      <c r="E5" s="235">
        <f>HLOOKUP(E2,'Annualised Cashflow'!$B$2:$I$10,5,FALSE)</f>
        <v>0</v>
      </c>
      <c r="F5" s="235">
        <f>HLOOKUP(F2,'Annualised Cashflow'!$B$2:$I$10,5,FALSE)</f>
        <v>0</v>
      </c>
      <c r="G5" s="235">
        <f>HLOOKUP(G2,'Annualised Cashflow'!$B$2:$I$10,5,FALSE)</f>
        <v>0</v>
      </c>
      <c r="H5" s="235">
        <f>HLOOKUP(H2,'Annualised Cashflow'!$B$2:$I$10,5,FALSE)</f>
        <v>0.5</v>
      </c>
      <c r="I5" s="235">
        <f>HLOOKUP(I2,'Annualised Cashflow'!$B$2:$I$10,5,FALSE)</f>
        <v>3.09</v>
      </c>
    </row>
    <row r="6" spans="1:9">
      <c r="A6" s="236" t="str">
        <f>'Annualised Cashflow'!A7</f>
        <v>Construction Expenses - Outflow</v>
      </c>
      <c r="B6" s="235">
        <f>HLOOKUP(B$2,'Annualised Cashflow'!$B$2:$I$10,6,FALSE)+HLOOKUP(B$2,'Annualised Cashflow'!$B$2:$I$10,9,FALSE)</f>
        <v>8.14</v>
      </c>
      <c r="C6" s="235">
        <f>HLOOKUP(C$2,'Annualised Cashflow'!$B$2:$I$10,6,FALSE)+HLOOKUP(C$2,'Annualised Cashflow'!$B$2:$I$10,9,FALSE)</f>
        <v>24.042095238095239</v>
      </c>
      <c r="D6" s="235">
        <f>HLOOKUP(D$2,'Annualised Cashflow'!$B$2:$I$10,6,FALSE)+HLOOKUP(D$2,'Annualised Cashflow'!$B$2:$I$10,9,FALSE)</f>
        <v>23.267523809523809</v>
      </c>
      <c r="E6" s="235">
        <f>HLOOKUP(E$2,'Annualised Cashflow'!$B$2:$I$10,6,FALSE)+HLOOKUP(E$2,'Annualised Cashflow'!$B$2:$I$10,9,FALSE)</f>
        <v>23.267523809523809</v>
      </c>
      <c r="F6" s="235">
        <f>HLOOKUP(F$2,'Annualised Cashflow'!$B$2:$I$10,6,FALSE)+HLOOKUP(F$2,'Annualised Cashflow'!$B$2:$I$10,9,FALSE)</f>
        <v>23.267523809523809</v>
      </c>
      <c r="G6" s="235">
        <f>HLOOKUP(G$2,'Annualised Cashflow'!$B$2:$I$10,6,FALSE)+HLOOKUP(G$2,'Annualised Cashflow'!$B$2:$I$10,9,FALSE)</f>
        <v>23.267523809523809</v>
      </c>
      <c r="H6" s="235">
        <f>HLOOKUP(H$2,'Annualised Cashflow'!$B$2:$I$10,6,FALSE)+HLOOKUP(H$2,'Annualised Cashflow'!$B$2:$I$10,9,FALSE)</f>
        <v>24.550642857142858</v>
      </c>
      <c r="I6" s="235">
        <f>HLOOKUP(I$2,'Annualised Cashflow'!$B$2:$I$10,6,FALSE)+HLOOKUP(I$2,'Annualised Cashflow'!$B$2:$I$10,9,FALSE)</f>
        <v>0</v>
      </c>
    </row>
    <row r="7" spans="1:9">
      <c r="A7" s="236" t="str">
        <f>'Annualised Cashflow'!A8</f>
        <v>Selling and Administration Cost</v>
      </c>
      <c r="B7" s="235">
        <f>HLOOKUP(B$2,'Annualised Cashflow'!$B$2:$I$10,7,FALSE)</f>
        <v>0.41084413793103453</v>
      </c>
      <c r="C7" s="235">
        <f>HLOOKUP(C$2,'Annualised Cashflow'!$B$2:$I$10,7,FALSE)</f>
        <v>1.6433765517241379</v>
      </c>
      <c r="D7" s="235">
        <f>HLOOKUP(D$2,'Annualised Cashflow'!$B$2:$I$10,7,FALSE)</f>
        <v>1.6433765517241379</v>
      </c>
      <c r="E7" s="235">
        <f>HLOOKUP(E$2,'Annualised Cashflow'!$B$2:$I$10,7,FALSE)</f>
        <v>1.6433765517241379</v>
      </c>
      <c r="F7" s="235">
        <f>HLOOKUP(F$2,'Annualised Cashflow'!$B$2:$I$10,7,FALSE)</f>
        <v>1.6433765517241379</v>
      </c>
      <c r="G7" s="235">
        <f>HLOOKUP(G$2,'Annualised Cashflow'!$B$2:$I$10,7,FALSE)</f>
        <v>1.6433765517241379</v>
      </c>
      <c r="H7" s="235">
        <f>HLOOKUP(H$2,'Annualised Cashflow'!$B$2:$I$10,7,FALSE)</f>
        <v>1.3433765517241381</v>
      </c>
      <c r="I7" s="235">
        <f>HLOOKUP(I$2,'Annualised Cashflow'!$B$2:$I$10,7,FALSE)</f>
        <v>1.2288965517241348</v>
      </c>
    </row>
    <row r="8" spans="1:9">
      <c r="A8" s="236" t="str">
        <f>'Annualised Cashflow'!A9</f>
        <v>Finance Cost</v>
      </c>
      <c r="B8" s="235">
        <f>HLOOKUP(B$2,'Annualised Cashflow'!$B$2:$I$10,8,FALSE)</f>
        <v>0.17325000000000002</v>
      </c>
      <c r="C8" s="235">
        <f>HLOOKUP(C$2,'Annualised Cashflow'!$B$2:$I$10,8,FALSE)</f>
        <v>2.1872812499999998</v>
      </c>
      <c r="D8" s="235">
        <f>HLOOKUP(D$2,'Annualised Cashflow'!$B$2:$I$10,8,FALSE)</f>
        <v>3.4866562500000002</v>
      </c>
      <c r="E8" s="235">
        <f>HLOOKUP(E$2,'Annualised Cashflow'!$B$2:$I$10,8,FALSE)</f>
        <v>4.3456875000000004</v>
      </c>
      <c r="F8" s="235">
        <f>HLOOKUP(F$2,'Annualised Cashflow'!$B$2:$I$10,8,FALSE)</f>
        <v>4.9809374999999996</v>
      </c>
      <c r="G8" s="235">
        <f>HLOOKUP(G$2,'Annualised Cashflow'!$B$2:$I$10,8,FALSE)</f>
        <v>5.2263750000000009</v>
      </c>
      <c r="H8" s="235">
        <f>HLOOKUP(H$2,'Annualised Cashflow'!$B$2:$I$10,8,FALSE)</f>
        <v>5.2408125000000005</v>
      </c>
      <c r="I8" s="235">
        <f>HLOOKUP(I$2,'Annualised Cashflow'!$B$2:$I$10,8,FALSE)</f>
        <v>1.0828125000000002</v>
      </c>
    </row>
    <row r="9" spans="1:9">
      <c r="A9" s="238" t="s">
        <v>195</v>
      </c>
      <c r="B9" s="238"/>
      <c r="C9" s="239">
        <f>B10</f>
        <v>12.794094137931035</v>
      </c>
      <c r="D9" s="239">
        <f>C10</f>
        <v>40.666847177750419</v>
      </c>
      <c r="E9" s="239">
        <f>D10</f>
        <v>69.064403788998362</v>
      </c>
      <c r="F9" s="239">
        <f>E10</f>
        <v>98.32099165024627</v>
      </c>
      <c r="G9" s="239">
        <f t="shared" ref="G9:I9" si="0">F10</f>
        <v>128.21282951149419</v>
      </c>
      <c r="H9" s="239">
        <f t="shared" si="0"/>
        <v>158.35010487274221</v>
      </c>
      <c r="I9" s="239">
        <f t="shared" si="0"/>
        <v>83.137298390965867</v>
      </c>
    </row>
    <row r="10" spans="1:9">
      <c r="A10" s="238" t="s">
        <v>196</v>
      </c>
      <c r="B10" s="240">
        <f>IF(B3=0,'Annualised Cashflow'!B18,('Annualised Cashflow'!B18-('Annualised Cashflow'!B18*SUM('Annualised Cashflow'!$B$14:'Annualised Cashflow'!B14))))</f>
        <v>12.794094137931035</v>
      </c>
      <c r="C10" s="240">
        <f>IF(C3=0,'Annualised Cashflow'!C18,('Annualised Cashflow'!C18-('Annualised Cashflow'!C18*SUM('Annualised Cashflow'!$B$14:'Annualised Cashflow'!C14))))</f>
        <v>40.666847177750419</v>
      </c>
      <c r="D10" s="240">
        <f>IF(D3=0,'Annualised Cashflow'!D18,('Annualised Cashflow'!D18-('Annualised Cashflow'!D18*SUM('Annualised Cashflow'!$B$14:'Annualised Cashflow'!D14))))</f>
        <v>69.064403788998362</v>
      </c>
      <c r="E10" s="240">
        <f>IF(E3=0,'Annualised Cashflow'!E18,('Annualised Cashflow'!E18-('Annualised Cashflow'!E18*SUM('Annualised Cashflow'!$B$14:'Annualised Cashflow'!E14))))</f>
        <v>98.32099165024627</v>
      </c>
      <c r="F10" s="240">
        <f>IF(F3=0,'Annualised Cashflow'!F18,('Annualised Cashflow'!F18-('Annualised Cashflow'!F18*SUM('Annualised Cashflow'!$B$14:'Annualised Cashflow'!F14))))</f>
        <v>128.21282951149419</v>
      </c>
      <c r="G10" s="240">
        <f>IF(G3=0,'Annualised Cashflow'!G18,('Annualised Cashflow'!G18-('Annualised Cashflow'!G18*SUM('Annualised Cashflow'!$B$14:'Annualised Cashflow'!G14))))</f>
        <v>158.35010487274221</v>
      </c>
      <c r="H10" s="240">
        <f>IF(H3=0,'Annualised Cashflow'!H18,('Annualised Cashflow'!H18-('Annualised Cashflow'!H18*SUM('Annualised Cashflow'!$B$14:'Annualised Cashflow'!H14))))</f>
        <v>83.137298390965867</v>
      </c>
      <c r="I10" s="240">
        <f>IF(I3=0,'Annualised Cashflow'!I18,('Annualised Cashflow'!I18-('Annualised Cashflow'!I18*SUM('Annualised Cashflow'!$B$14:'Annualised Cashflow'!I14))))</f>
        <v>0</v>
      </c>
    </row>
    <row r="11" spans="1:9">
      <c r="A11" s="241" t="s">
        <v>197</v>
      </c>
      <c r="B11" s="242">
        <f>B3-SUM(B5:B8)-B9+B10</f>
        <v>0</v>
      </c>
      <c r="C11" s="242">
        <f t="shared" ref="C11:I11" si="1">C3-SUM(C5:C8)-C9+C10</f>
        <v>0</v>
      </c>
      <c r="D11" s="242">
        <f t="shared" si="1"/>
        <v>0</v>
      </c>
      <c r="E11" s="242">
        <f t="shared" si="1"/>
        <v>0</v>
      </c>
      <c r="F11" s="242">
        <f t="shared" si="1"/>
        <v>0</v>
      </c>
      <c r="G11" s="242">
        <f t="shared" si="1"/>
        <v>0</v>
      </c>
      <c r="H11" s="242">
        <f t="shared" si="1"/>
        <v>-32.115168668875739</v>
      </c>
      <c r="I11" s="242">
        <f t="shared" si="1"/>
        <v>-28.032974618540159</v>
      </c>
    </row>
    <row r="12" spans="1:9" s="245" customFormat="1" ht="14.4">
      <c r="A12" s="243" t="s">
        <v>198</v>
      </c>
      <c r="B12" s="244">
        <f t="shared" ref="B12:I12" si="2">B11*30%</f>
        <v>0</v>
      </c>
      <c r="C12" s="244">
        <f t="shared" si="2"/>
        <v>0</v>
      </c>
      <c r="D12" s="244">
        <f t="shared" si="2"/>
        <v>0</v>
      </c>
      <c r="E12" s="244">
        <f t="shared" si="2"/>
        <v>0</v>
      </c>
      <c r="F12" s="244">
        <f t="shared" si="2"/>
        <v>0</v>
      </c>
      <c r="G12" s="244">
        <f t="shared" si="2"/>
        <v>0</v>
      </c>
      <c r="H12" s="244">
        <f t="shared" si="2"/>
        <v>-9.6345506006627222</v>
      </c>
      <c r="I12" s="244">
        <f t="shared" si="2"/>
        <v>-8.4098923855620473</v>
      </c>
    </row>
    <row r="13" spans="1:9">
      <c r="A13" s="241" t="s">
        <v>199</v>
      </c>
      <c r="B13" s="242">
        <f t="shared" ref="B13:I13" si="3">B11-B12</f>
        <v>0</v>
      </c>
      <c r="C13" s="242">
        <f t="shared" si="3"/>
        <v>0</v>
      </c>
      <c r="D13" s="242">
        <f t="shared" si="3"/>
        <v>0</v>
      </c>
      <c r="E13" s="242">
        <f t="shared" si="3"/>
        <v>0</v>
      </c>
      <c r="F13" s="242">
        <f t="shared" si="3"/>
        <v>0</v>
      </c>
      <c r="G13" s="242">
        <f t="shared" si="3"/>
        <v>0</v>
      </c>
      <c r="H13" s="242">
        <f t="shared" si="3"/>
        <v>-22.480618068213019</v>
      </c>
      <c r="I13" s="242">
        <f t="shared" si="3"/>
        <v>-19.623082232978113</v>
      </c>
    </row>
    <row r="15" spans="1:9">
      <c r="A15" s="364" t="s">
        <v>200</v>
      </c>
      <c r="B15" s="364"/>
      <c r="C15" s="364"/>
      <c r="D15" s="364"/>
      <c r="E15" s="364"/>
      <c r="F15" s="364"/>
      <c r="G15" s="364"/>
      <c r="H15" s="364"/>
      <c r="I15" s="364"/>
    </row>
    <row r="16" spans="1:9">
      <c r="A16" s="365" t="s">
        <v>201</v>
      </c>
      <c r="B16" s="365"/>
      <c r="C16" s="365"/>
      <c r="D16" s="365"/>
      <c r="E16" s="365"/>
      <c r="F16" s="365"/>
      <c r="G16" s="365"/>
      <c r="H16" s="365"/>
      <c r="I16" s="365"/>
    </row>
    <row r="17" spans="1:9">
      <c r="A17" s="246" t="s">
        <v>202</v>
      </c>
      <c r="B17" s="246"/>
      <c r="C17" s="246"/>
      <c r="D17" s="246"/>
      <c r="E17" s="246"/>
      <c r="F17" s="246"/>
      <c r="G17" s="246"/>
      <c r="H17" s="246"/>
      <c r="I17" s="246"/>
    </row>
    <row r="18" spans="1:9">
      <c r="A18" s="246" t="s">
        <v>203</v>
      </c>
      <c r="B18" s="247">
        <f>IF(B3=0,SUM('Annualised Cashflow'!$B$4:'Annualised Cashflow'!B4),0)</f>
        <v>8.6670512820512829E-2</v>
      </c>
      <c r="C18" s="247">
        <f>IF(C3=0,SUM('Annualised Cashflow'!$B$4:'Annualised Cashflow'!C4),0)</f>
        <v>2.2277813511547557</v>
      </c>
      <c r="D18" s="247">
        <f>IF(D3=0,SUM('Annualised Cashflow'!$B$4:'Annualised Cashflow'!D4),0)</f>
        <v>8.7535051145662859</v>
      </c>
      <c r="E18" s="247">
        <f>IF(E3=0,SUM('Annualised Cashflow'!$B$4:'Annualised Cashflow'!E4),0)</f>
        <v>16.311771058374255</v>
      </c>
      <c r="F18" s="247">
        <f>IF(F3=0,SUM('Annualised Cashflow'!$B$4:'Annualised Cashflow'!F4),0)</f>
        <v>27.400819853609754</v>
      </c>
      <c r="G18" s="247">
        <f>IF(G3=0,SUM('Annualised Cashflow'!$B$4:'Annualised Cashflow'!G4),0)</f>
        <v>40.870148381523926</v>
      </c>
      <c r="H18" s="247">
        <f>IF(H3=0,SUM('Annualised Cashflow'!$B$4:'Annualised Cashflow'!H4),0)</f>
        <v>0</v>
      </c>
      <c r="I18" s="247">
        <f>IF(I3=0,SUM('Annualised Cashflow'!$B$4:'Annualised Cashflow'!I4),0)</f>
        <v>0</v>
      </c>
    </row>
    <row r="19" spans="1:9">
      <c r="A19" s="246" t="s">
        <v>204</v>
      </c>
      <c r="B19" s="247">
        <f>SUM($B$12:B12)</f>
        <v>0</v>
      </c>
      <c r="C19" s="247">
        <f>SUM($B$12:C12)</f>
        <v>0</v>
      </c>
      <c r="D19" s="247">
        <f>SUM($B$12:D12)</f>
        <v>0</v>
      </c>
      <c r="E19" s="247">
        <f>SUM($B$12:E12)</f>
        <v>0</v>
      </c>
      <c r="F19" s="247">
        <f>SUM($B$12:F12)</f>
        <v>0</v>
      </c>
      <c r="G19" s="246"/>
      <c r="H19" s="246"/>
      <c r="I19" s="246"/>
    </row>
    <row r="20" spans="1:9">
      <c r="A20" s="246" t="s">
        <v>205</v>
      </c>
      <c r="B20" s="247">
        <f>SUMIFS(Cashflow!$C$29:$AE$29,Cashflow!$C$2:$AE$2,CMA!C2)*-1</f>
        <v>0</v>
      </c>
      <c r="C20" s="247">
        <f>SUMIFS(Cashflow!$C$29:$AE$29,Cashflow!$C$2:$AE$2,CMA!D2)*-1</f>
        <v>0</v>
      </c>
      <c r="D20" s="247">
        <f>SUMIFS(Cashflow!$C$29:$AE$29,Cashflow!$C$2:$AE$2,CMA!E2)*-1</f>
        <v>0</v>
      </c>
      <c r="E20" s="247">
        <f>SUMIFS(Cashflow!$C$29:$AE$29,Cashflow!$C$2:$AE$2,CMA!F2)*-1</f>
        <v>0</v>
      </c>
      <c r="F20" s="247">
        <f>SUMIFS(Cashflow!$C$29:$AE$29,Cashflow!$C$2:$AE$2,CMA!G2)*-1</f>
        <v>0</v>
      </c>
      <c r="G20" s="247">
        <f>SUMIFS(Cashflow!$C$29:$AE$29,Cashflow!$C$2:$AE$2,CMA!H2)*-1</f>
        <v>11.5</v>
      </c>
      <c r="H20" s="247">
        <f>SUMIFS(Cashflow!$C$29:$AE$29,Cashflow!$C$2:$AE$2,CMA!I2)*-1</f>
        <v>37.5</v>
      </c>
      <c r="I20" s="247">
        <f>SUMIFS(Cashflow!$C$29:$AE$29,Cashflow!$C$2:$AE$2,CMA!J2)*-1</f>
        <v>0</v>
      </c>
    </row>
    <row r="21" spans="1:9">
      <c r="A21" s="366" t="s">
        <v>206</v>
      </c>
      <c r="B21" s="366"/>
      <c r="C21" s="366"/>
      <c r="D21" s="366"/>
      <c r="E21" s="366"/>
      <c r="F21" s="366"/>
      <c r="G21" s="366"/>
      <c r="H21" s="366"/>
      <c r="I21" s="366"/>
    </row>
    <row r="22" spans="1:9">
      <c r="A22" s="248" t="s">
        <v>207</v>
      </c>
      <c r="B22" s="249">
        <f>'Annualised Cashflow'!B25-CMA!B20</f>
        <v>6</v>
      </c>
      <c r="C22" s="249">
        <f>'Annualised Cashflow'!C25-CMA!C20</f>
        <v>25.25</v>
      </c>
      <c r="D22" s="249">
        <f>'Annualised Cashflow'!D25-CMA!D20</f>
        <v>32.75</v>
      </c>
      <c r="E22" s="249">
        <f>'Annualised Cashflow'!E25-CMA!E20</f>
        <v>40.5</v>
      </c>
      <c r="F22" s="249">
        <f>'Annualised Cashflow'!F25-CMA!F20</f>
        <v>44</v>
      </c>
      <c r="G22" s="249">
        <f>'Annualised Cashflow'!G25-CMA!G20</f>
        <v>34.5</v>
      </c>
      <c r="H22" s="249">
        <f>'Annualised Cashflow'!H25-CMA!H20</f>
        <v>0</v>
      </c>
      <c r="I22" s="249">
        <f>'Annualised Cashflow'!I25-CMA!I20</f>
        <v>0</v>
      </c>
    </row>
    <row r="23" spans="1:9">
      <c r="A23" s="248" t="s">
        <v>208</v>
      </c>
      <c r="B23" s="248"/>
      <c r="C23" s="248"/>
      <c r="D23" s="248"/>
      <c r="E23" s="248"/>
      <c r="F23" s="248"/>
      <c r="G23" s="248"/>
      <c r="H23" s="248"/>
      <c r="I23" s="248"/>
    </row>
    <row r="24" spans="1:9">
      <c r="A24" s="367" t="s">
        <v>209</v>
      </c>
      <c r="B24" s="367"/>
      <c r="C24" s="367"/>
      <c r="D24" s="367"/>
      <c r="E24" s="367"/>
      <c r="F24" s="367"/>
      <c r="G24" s="367"/>
      <c r="H24" s="367"/>
      <c r="I24" s="367"/>
    </row>
    <row r="25" spans="1:9">
      <c r="A25" s="250" t="s">
        <v>210</v>
      </c>
      <c r="B25" s="251">
        <f>'Annualised Cashflow'!B20</f>
        <v>11.49</v>
      </c>
      <c r="C25" s="251">
        <f>'Annualised Cashflow'!C20</f>
        <v>15.79</v>
      </c>
      <c r="D25" s="251">
        <f>'Annualised Cashflow'!D20</f>
        <v>20.939999999999998</v>
      </c>
      <c r="E25" s="251">
        <f>'Annualised Cashflow'!E20</f>
        <v>25.689999999999998</v>
      </c>
      <c r="F25" s="251">
        <f>'Annualised Cashflow'!F20</f>
        <v>28.439999999999998</v>
      </c>
      <c r="G25" s="251">
        <f>'Annualised Cashflow'!G20</f>
        <v>30.04</v>
      </c>
      <c r="H25" s="251">
        <f>'Annualised Cashflow'!H20</f>
        <v>30.5</v>
      </c>
      <c r="I25" s="251">
        <f>'Annualised Cashflow'!I20</f>
        <v>30.5</v>
      </c>
    </row>
    <row r="26" spans="1:9">
      <c r="A26" s="250" t="s">
        <v>211</v>
      </c>
      <c r="B26" s="251">
        <f>SUM($B$13:B13)</f>
        <v>0</v>
      </c>
      <c r="C26" s="251">
        <f>SUM($B$13:C13)</f>
        <v>0</v>
      </c>
      <c r="D26" s="251">
        <f>SUM($B$13:D13)</f>
        <v>0</v>
      </c>
      <c r="E26" s="251">
        <f>SUM($B$13:E13)</f>
        <v>0</v>
      </c>
      <c r="F26" s="251">
        <f>SUM($B$13:F13)</f>
        <v>0</v>
      </c>
      <c r="G26" s="251">
        <f>SUM($B$13:G13)</f>
        <v>0</v>
      </c>
      <c r="H26" s="251">
        <f>SUM($B$13:H13)</f>
        <v>-22.480618068213019</v>
      </c>
      <c r="I26" s="251">
        <f>SUM($B$13:I13)</f>
        <v>-42.103700301191132</v>
      </c>
    </row>
    <row r="27" spans="1:9">
      <c r="A27" s="252" t="s">
        <v>212</v>
      </c>
      <c r="B27" s="253">
        <f t="shared" ref="B27:I27" si="4">B18+B19+B20+B22+B23+B25+B26</f>
        <v>17.576670512820513</v>
      </c>
      <c r="C27" s="253">
        <f t="shared" si="4"/>
        <v>43.267781351154753</v>
      </c>
      <c r="D27" s="253">
        <f t="shared" si="4"/>
        <v>62.443505114566285</v>
      </c>
      <c r="E27" s="253">
        <f t="shared" si="4"/>
        <v>82.50177105837426</v>
      </c>
      <c r="F27" s="253">
        <f t="shared" si="4"/>
        <v>99.840819853609759</v>
      </c>
      <c r="G27" s="253">
        <f t="shared" si="4"/>
        <v>116.91014838152392</v>
      </c>
      <c r="H27" s="253">
        <f t="shared" si="4"/>
        <v>45.519381931786981</v>
      </c>
      <c r="I27" s="253">
        <f t="shared" si="4"/>
        <v>-11.603700301191132</v>
      </c>
    </row>
    <row r="28" spans="1:9">
      <c r="A28" s="368" t="s">
        <v>213</v>
      </c>
      <c r="B28" s="368"/>
      <c r="C28" s="368"/>
      <c r="D28" s="368"/>
      <c r="E28" s="368"/>
      <c r="F28" s="368"/>
      <c r="G28" s="368"/>
      <c r="H28" s="368"/>
      <c r="I28" s="368"/>
    </row>
    <row r="29" spans="1:9">
      <c r="A29" s="254" t="s">
        <v>214</v>
      </c>
      <c r="B29" s="255">
        <f>'Annualised Cashflow'!B4-SUM('Annualised Cashflow'!B6:B10)+'Annualised Cashflow'!B20+('Annualised Cashflow'!B21+'Annualised Cashflow'!B23)-'Annualised Cashflow'!B11</f>
        <v>4.7825763748894783</v>
      </c>
      <c r="C29" s="255">
        <f>+B29+'Annualised Cashflow'!C4-SUM('Annualised Cashflow'!C6:C10)+('Annualised Cashflow'!C20-'Annualised Cashflow'!B20)+('Annualised Cashflow'!C21+'Annualised Cashflow'!C23)-'Annualised Cashflow'!C11</f>
        <v>2.6009341734043403</v>
      </c>
      <c r="D29" s="255">
        <f>+C29+'Annualised Cashflow'!D4-SUM('Annualised Cashflow'!D6:D10)+('Annualised Cashflow'!D20-'Annualised Cashflow'!C20)+('Annualised Cashflow'!D21+'Annualised Cashflow'!D23)-'Annualised Cashflow'!D11</f>
        <v>-6.6208986744320768</v>
      </c>
      <c r="E29" s="255">
        <f>+D29+'Annualised Cashflow'!E4-SUM('Annualised Cashflow'!E6:E10)+('Annualised Cashflow'!E20-'Annualised Cashflow'!D20)+('Annualised Cashflow'!E21+'Annualised Cashflow'!E23)-'Annualised Cashflow'!E11</f>
        <v>-15.819220591872057</v>
      </c>
      <c r="F29" s="255">
        <f>+E29+'Annualised Cashflow'!F4-SUM('Annualised Cashflow'!F6:F10)+('Annualised Cashflow'!F20-'Annualised Cashflow'!E20)+('Annualised Cashflow'!F21+'Annualised Cashflow'!F23)-'Annualised Cashflow'!F11</f>
        <v>-29.372009657884504</v>
      </c>
      <c r="G29" s="255">
        <f>+F29+'Annualised Cashflow'!G4-SUM('Annualised Cashflow'!G6:G10)+('Annualised Cashflow'!G20-'Annualised Cashflow'!F20)+('Annualised Cashflow'!G21+'Annualised Cashflow'!G23)-'Annualised Cashflow'!G11</f>
        <v>-43.689956491218283</v>
      </c>
      <c r="H29" s="255">
        <f>+G29+'Annualised Cashflow'!H4-SUM('Annualised Cashflow'!H6:H10)+('Annualised Cashflow'!H20-'Annualised Cashflow'!G20)+('Annualised Cashflow'!H21+'Annualised Cashflow'!H23)-'Annualised Cashflow'!H11</f>
        <v>-68.725714032018345</v>
      </c>
      <c r="I29" s="255">
        <f>+H29+'Annualised Cashflow'!I4-SUM('Annualised Cashflow'!I6:I10)+('Annualised Cashflow'!I20-'Annualised Cashflow'!H20)+('Annualised Cashflow'!I21+'Annualised Cashflow'!I23)-'Annualised Cashflow'!I11</f>
        <v>-29.648143287415841</v>
      </c>
    </row>
    <row r="30" spans="1:9">
      <c r="A30" s="254" t="s">
        <v>45</v>
      </c>
      <c r="B30" s="255">
        <f>IF(SUMIFS(Cashflow!$C$20:$AE$20,Cashflow!$C$2:$AE$2,CMA!B$2)&lt;0,0,(SUMIFS(Cashflow!$C$20:$AE$20,Cashflow!$C$2:$AE$2,CMA!B$2)))</f>
        <v>0</v>
      </c>
      <c r="C30" s="255">
        <f>IF(SUMIFS(Cashflow!$C$20:$AE$20,Cashflow!$C$2:$AE$2,CMA!C$2)&lt;0,0,(SUMIFS(Cashflow!$C$20:$AE$20,Cashflow!$C$2:$AE$2,CMA!C$2)))</f>
        <v>0</v>
      </c>
      <c r="D30" s="255">
        <f>IF(SUMIFS(Cashflow!$C$20:$AE$20,Cashflow!$C$2:$AE$2,CMA!D$2)&lt;0,0,(SUMIFS(Cashflow!$C$20:$AE$20,Cashflow!$C$2:$AE$2,CMA!D$2)))</f>
        <v>0</v>
      </c>
      <c r="E30" s="255">
        <f>IF(SUMIFS(Cashflow!$C$20:$AE$20,Cashflow!$C$2:$AE$2,CMA!E$2)&lt;0,0,(SUMIFS(Cashflow!$C$20:$AE$20,Cashflow!$C$2:$AE$2,CMA!E$2)))</f>
        <v>0</v>
      </c>
      <c r="F30" s="255">
        <f>IF(SUMIFS(Cashflow!$C$20:$AE$20,Cashflow!$C$2:$AE$2,CMA!F$2)&lt;0,0,(SUMIFS(Cashflow!$C$20:$AE$20,Cashflow!$C$2:$AE$2,CMA!F$2)))</f>
        <v>1</v>
      </c>
      <c r="G30" s="255">
        <f>IF(SUMIFS(Cashflow!$C$20:$AE$20,Cashflow!$C$2:$AE$2,CMA!G$2)&lt;0,0,(SUMIFS(Cashflow!$C$20:$AE$20,Cashflow!$C$2:$AE$2,CMA!G$2)))</f>
        <v>1.25</v>
      </c>
      <c r="H30" s="255">
        <f>IF(SUMIFS(Cashflow!$C$20:$AE$20,Cashflow!$C$2:$AE$2,CMA!H$2)&lt;0,0,(SUMIFS(Cashflow!$C$20:$AE$20,Cashflow!$C$2:$AE$2,CMA!H$2)))</f>
        <v>11.75</v>
      </c>
      <c r="I30" s="255">
        <f>IF(SUMIFS(Cashflow!$C$20:$AE$20,Cashflow!$C$2:$AE$2,CMA!I$2)&lt;0,0,(SUMIFS(Cashflow!$C$20:$AE$20,Cashflow!$C$2:$AE$2,CMA!I$2)))</f>
        <v>0</v>
      </c>
    </row>
    <row r="31" spans="1:9">
      <c r="A31" s="254" t="s">
        <v>215</v>
      </c>
      <c r="B31" s="255">
        <f>IF(B3=0,0,SUM('Annualised Cashflow'!$B$17:B17)-SUM('Annualised Cashflow'!$B$4:'Annualised Cashflow'!B4))</f>
        <v>0</v>
      </c>
      <c r="C31" s="255">
        <f>IF(C3=0,0,SUM('Annualised Cashflow'!$B$17:C17)-SUM('Annualised Cashflow'!$B$4:'Annualised Cashflow'!C4))</f>
        <v>0</v>
      </c>
      <c r="D31" s="255">
        <f>IF(D3=0,0,SUM('Annualised Cashflow'!$B$17:D17)-SUM('Annualised Cashflow'!$B$4:'Annualised Cashflow'!D4))</f>
        <v>0</v>
      </c>
      <c r="E31" s="255">
        <f>IF(E3=0,0,SUM('Annualised Cashflow'!$B$17:E17)-SUM('Annualised Cashflow'!$B$4:'Annualised Cashflow'!E4))</f>
        <v>0</v>
      </c>
      <c r="F31" s="255">
        <f>IF(F3=0,0,SUM('Annualised Cashflow'!$B$17:F17)-SUM('Annualised Cashflow'!$B$4:'Annualised Cashflow'!F4))</f>
        <v>0</v>
      </c>
      <c r="G31" s="254"/>
      <c r="H31" s="254"/>
      <c r="I31" s="254"/>
    </row>
    <row r="32" spans="1:9">
      <c r="A32" s="254" t="s">
        <v>216</v>
      </c>
      <c r="B32" s="255">
        <f t="shared" ref="B32:I32" si="5">B10</f>
        <v>12.794094137931035</v>
      </c>
      <c r="C32" s="255">
        <f t="shared" si="5"/>
        <v>40.666847177750419</v>
      </c>
      <c r="D32" s="255">
        <f t="shared" si="5"/>
        <v>69.064403788998362</v>
      </c>
      <c r="E32" s="255">
        <f t="shared" si="5"/>
        <v>98.32099165024627</v>
      </c>
      <c r="F32" s="255">
        <f t="shared" si="5"/>
        <v>128.21282951149419</v>
      </c>
      <c r="G32" s="255">
        <f t="shared" si="5"/>
        <v>158.35010487274221</v>
      </c>
      <c r="H32" s="255">
        <f t="shared" si="5"/>
        <v>83.137298390965867</v>
      </c>
      <c r="I32" s="255">
        <f t="shared" si="5"/>
        <v>0</v>
      </c>
    </row>
    <row r="33" spans="1:9">
      <c r="A33" s="254" t="s">
        <v>217</v>
      </c>
      <c r="B33" s="255"/>
      <c r="C33" s="255"/>
      <c r="D33" s="255"/>
      <c r="E33" s="255"/>
      <c r="F33" s="255"/>
      <c r="G33" s="254"/>
      <c r="H33" s="254"/>
      <c r="I33" s="254"/>
    </row>
    <row r="34" spans="1:9">
      <c r="A34" s="252" t="s">
        <v>218</v>
      </c>
      <c r="B34" s="256">
        <f t="shared" ref="B34:I34" si="6">SUM(B29:B33)</f>
        <v>17.576670512820513</v>
      </c>
      <c r="C34" s="256">
        <f t="shared" si="6"/>
        <v>43.26778135115476</v>
      </c>
      <c r="D34" s="256">
        <f t="shared" si="6"/>
        <v>62.443505114566285</v>
      </c>
      <c r="E34" s="256">
        <f t="shared" si="6"/>
        <v>82.501771058374217</v>
      </c>
      <c r="F34" s="256">
        <f t="shared" si="6"/>
        <v>99.840819853609688</v>
      </c>
      <c r="G34" s="256">
        <f t="shared" si="6"/>
        <v>115.91014838152392</v>
      </c>
      <c r="H34" s="256">
        <f t="shared" si="6"/>
        <v>26.161584358947522</v>
      </c>
      <c r="I34" s="256">
        <f t="shared" si="6"/>
        <v>-29.648143287415841</v>
      </c>
    </row>
    <row r="35" spans="1:9">
      <c r="A35" s="62" t="s">
        <v>219</v>
      </c>
      <c r="B35" s="257">
        <f>B34-B27</f>
        <v>0</v>
      </c>
      <c r="C35" s="257">
        <f t="shared" ref="C35:F35" si="7">C34-C27</f>
        <v>0</v>
      </c>
      <c r="D35" s="257">
        <f t="shared" si="7"/>
        <v>0</v>
      </c>
      <c r="E35" s="257">
        <f t="shared" si="7"/>
        <v>0</v>
      </c>
      <c r="F35" s="257">
        <f t="shared" si="7"/>
        <v>0</v>
      </c>
    </row>
  </sheetData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D26" sqref="D26:E26"/>
    </sheetView>
  </sheetViews>
  <sheetFormatPr defaultColWidth="9.77734375" defaultRowHeight="14.4"/>
  <cols>
    <col min="1" max="1" width="37.6640625" style="1" bestFit="1" customWidth="1"/>
    <col min="2" max="2" width="9.6640625" style="7" bestFit="1" customWidth="1"/>
    <col min="3" max="3" width="8.6640625" style="1" customWidth="1"/>
    <col min="4" max="20" width="8.44140625" style="1" customWidth="1"/>
    <col min="21" max="21" width="9.77734375" style="1" customWidth="1"/>
    <col min="22" max="16384" width="9.77734375" style="1"/>
  </cols>
  <sheetData>
    <row r="1" spans="1:20">
      <c r="B1" s="1"/>
    </row>
    <row r="2" spans="1:20">
      <c r="A2" s="369" t="str">
        <f>'Project Brief'!B1</f>
        <v>Kasturi Van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</row>
    <row r="3" spans="1:20" ht="28.8">
      <c r="A3" s="2" t="s">
        <v>11</v>
      </c>
      <c r="B3" s="3" t="s">
        <v>32</v>
      </c>
      <c r="C3" s="13" t="s">
        <v>3</v>
      </c>
      <c r="D3" s="14">
        <v>43891</v>
      </c>
      <c r="E3" s="14">
        <v>43983</v>
      </c>
      <c r="F3" s="14">
        <v>44075</v>
      </c>
      <c r="G3" s="14">
        <v>44166</v>
      </c>
      <c r="H3" s="14">
        <v>44256</v>
      </c>
      <c r="I3" s="14">
        <v>44348</v>
      </c>
      <c r="J3" s="14">
        <v>44440</v>
      </c>
      <c r="K3" s="14">
        <v>44531</v>
      </c>
      <c r="L3" s="14">
        <v>44621</v>
      </c>
      <c r="M3" s="14">
        <v>44713</v>
      </c>
      <c r="N3" s="14">
        <v>44805</v>
      </c>
      <c r="O3" s="14">
        <v>44896</v>
      </c>
      <c r="P3" s="14">
        <v>44986</v>
      </c>
      <c r="Q3" s="14">
        <v>45078</v>
      </c>
      <c r="R3" s="14">
        <v>45170</v>
      </c>
      <c r="S3" s="14">
        <v>45261</v>
      </c>
      <c r="T3" s="15" t="s">
        <v>2</v>
      </c>
    </row>
    <row r="4" spans="1:20">
      <c r="A4" s="25" t="s">
        <v>41</v>
      </c>
      <c r="B4" s="16"/>
      <c r="C4" s="16"/>
      <c r="D4" s="12">
        <v>1</v>
      </c>
      <c r="E4" s="12"/>
      <c r="F4" s="1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4"/>
      <c r="T4" s="26">
        <f t="shared" ref="T4:T24" si="0">SUM(D4:S4)</f>
        <v>1</v>
      </c>
    </row>
    <row r="5" spans="1:20">
      <c r="A5" s="25" t="s">
        <v>10</v>
      </c>
      <c r="B5" s="4">
        <v>0.25611650485436893</v>
      </c>
      <c r="C5" s="8" t="e">
        <f>+$C$26*B5</f>
        <v>#REF!</v>
      </c>
      <c r="D5" s="9" t="e">
        <f>+$C5*D4</f>
        <v>#REF!</v>
      </c>
      <c r="E5" s="8" t="e">
        <f t="shared" ref="E5:R5" si="1">+$C5*E4</f>
        <v>#REF!</v>
      </c>
      <c r="F5" s="8" t="e">
        <f t="shared" si="1"/>
        <v>#REF!</v>
      </c>
      <c r="G5" s="8" t="e">
        <f t="shared" si="1"/>
        <v>#REF!</v>
      </c>
      <c r="H5" s="8" t="e">
        <f t="shared" si="1"/>
        <v>#REF!</v>
      </c>
      <c r="I5" s="8" t="e">
        <f t="shared" si="1"/>
        <v>#REF!</v>
      </c>
      <c r="J5" s="8" t="e">
        <f t="shared" si="1"/>
        <v>#REF!</v>
      </c>
      <c r="K5" s="8" t="e">
        <f t="shared" si="1"/>
        <v>#REF!</v>
      </c>
      <c r="L5" s="8" t="e">
        <f t="shared" si="1"/>
        <v>#REF!</v>
      </c>
      <c r="M5" s="8" t="e">
        <f t="shared" si="1"/>
        <v>#REF!</v>
      </c>
      <c r="N5" s="8" t="e">
        <f t="shared" si="1"/>
        <v>#REF!</v>
      </c>
      <c r="O5" s="8" t="e">
        <f t="shared" si="1"/>
        <v>#REF!</v>
      </c>
      <c r="P5" s="8" t="e">
        <f t="shared" si="1"/>
        <v>#REF!</v>
      </c>
      <c r="Q5" s="8" t="e">
        <f t="shared" si="1"/>
        <v>#REF!</v>
      </c>
      <c r="R5" s="8" t="e">
        <f t="shared" si="1"/>
        <v>#REF!</v>
      </c>
      <c r="S5" s="35"/>
      <c r="T5" s="27" t="e">
        <f t="shared" si="0"/>
        <v>#REF!</v>
      </c>
    </row>
    <row r="6" spans="1:20">
      <c r="A6" s="28" t="s">
        <v>41</v>
      </c>
      <c r="B6" s="5"/>
      <c r="C6" s="20"/>
      <c r="D6" s="12">
        <v>0.16400000000000001</v>
      </c>
      <c r="E6" s="12">
        <v>4.8500000000000001E-2</v>
      </c>
      <c r="F6" s="12">
        <v>0.15</v>
      </c>
      <c r="G6" s="12">
        <v>0.15</v>
      </c>
      <c r="H6" s="12">
        <v>0.15</v>
      </c>
      <c r="I6" s="12">
        <v>0.15</v>
      </c>
      <c r="J6" s="12">
        <v>0.1</v>
      </c>
      <c r="K6" s="12">
        <v>0.05</v>
      </c>
      <c r="L6" s="12">
        <v>3.7499999999999999E-2</v>
      </c>
      <c r="M6" s="12"/>
      <c r="N6" s="12"/>
      <c r="O6" s="12"/>
      <c r="P6" s="12"/>
      <c r="Q6" s="12"/>
      <c r="R6" s="12"/>
      <c r="S6" s="34"/>
      <c r="T6" s="26">
        <f t="shared" si="0"/>
        <v>1.0000000000000002</v>
      </c>
    </row>
    <row r="7" spans="1:20">
      <c r="A7" s="28" t="s">
        <v>33</v>
      </c>
      <c r="B7" s="4">
        <v>0.25</v>
      </c>
      <c r="C7" s="8" t="e">
        <f>+$C$26*B7</f>
        <v>#REF!</v>
      </c>
      <c r="D7" s="9" t="e">
        <f t="shared" ref="D7:R7" si="2">+$C7*D6</f>
        <v>#REF!</v>
      </c>
      <c r="E7" s="9" t="e">
        <f t="shared" si="2"/>
        <v>#REF!</v>
      </c>
      <c r="F7" s="9" t="e">
        <f t="shared" si="2"/>
        <v>#REF!</v>
      </c>
      <c r="G7" s="9" t="e">
        <f t="shared" si="2"/>
        <v>#REF!</v>
      </c>
      <c r="H7" s="9" t="e">
        <f t="shared" si="2"/>
        <v>#REF!</v>
      </c>
      <c r="I7" s="9" t="e">
        <f t="shared" si="2"/>
        <v>#REF!</v>
      </c>
      <c r="J7" s="9" t="e">
        <f t="shared" si="2"/>
        <v>#REF!</v>
      </c>
      <c r="K7" s="9" t="e">
        <f t="shared" si="2"/>
        <v>#REF!</v>
      </c>
      <c r="L7" s="9" t="e">
        <f t="shared" si="2"/>
        <v>#REF!</v>
      </c>
      <c r="M7" s="9" t="e">
        <f t="shared" si="2"/>
        <v>#REF!</v>
      </c>
      <c r="N7" s="9" t="e">
        <f t="shared" si="2"/>
        <v>#REF!</v>
      </c>
      <c r="O7" s="9" t="e">
        <f t="shared" si="2"/>
        <v>#REF!</v>
      </c>
      <c r="P7" s="9" t="e">
        <f t="shared" si="2"/>
        <v>#REF!</v>
      </c>
      <c r="Q7" s="9" t="e">
        <f t="shared" si="2"/>
        <v>#REF!</v>
      </c>
      <c r="R7" s="9" t="e">
        <f t="shared" si="2"/>
        <v>#REF!</v>
      </c>
      <c r="S7" s="36"/>
      <c r="T7" s="27" t="e">
        <f t="shared" si="0"/>
        <v>#REF!</v>
      </c>
    </row>
    <row r="8" spans="1:20">
      <c r="A8" s="25" t="s">
        <v>41</v>
      </c>
      <c r="B8" s="6"/>
      <c r="C8" s="18"/>
      <c r="D8" s="12"/>
      <c r="E8" s="12">
        <v>0</v>
      </c>
      <c r="F8" s="12">
        <v>0.2</v>
      </c>
      <c r="G8" s="12">
        <v>0.15</v>
      </c>
      <c r="H8" s="12">
        <v>0.2</v>
      </c>
      <c r="I8" s="12">
        <v>0.15</v>
      </c>
      <c r="J8" s="12">
        <v>0.1</v>
      </c>
      <c r="K8" s="12">
        <v>0.1</v>
      </c>
      <c r="L8" s="12">
        <v>2.5000000000000001E-2</v>
      </c>
      <c r="M8" s="12">
        <v>0.05</v>
      </c>
      <c r="N8" s="12">
        <v>2.5000000000000001E-2</v>
      </c>
      <c r="O8" s="12"/>
      <c r="P8" s="12"/>
      <c r="Q8" s="12"/>
      <c r="R8" s="12"/>
      <c r="S8" s="34"/>
      <c r="T8" s="26">
        <f t="shared" si="0"/>
        <v>1</v>
      </c>
    </row>
    <row r="9" spans="1:20">
      <c r="A9" s="25" t="s">
        <v>44</v>
      </c>
      <c r="B9" s="4">
        <v>0.2</v>
      </c>
      <c r="C9" s="8" t="e">
        <f>+$C$26*B9</f>
        <v>#REF!</v>
      </c>
      <c r="D9" s="8" t="e">
        <f t="shared" ref="D9:R9" si="3">+$C9*D8</f>
        <v>#REF!</v>
      </c>
      <c r="E9" s="8" t="e">
        <f t="shared" si="3"/>
        <v>#REF!</v>
      </c>
      <c r="F9" s="8" t="e">
        <f t="shared" si="3"/>
        <v>#REF!</v>
      </c>
      <c r="G9" s="8" t="e">
        <f t="shared" si="3"/>
        <v>#REF!</v>
      </c>
      <c r="H9" s="8" t="e">
        <f t="shared" si="3"/>
        <v>#REF!</v>
      </c>
      <c r="I9" s="8" t="e">
        <f t="shared" si="3"/>
        <v>#REF!</v>
      </c>
      <c r="J9" s="8" t="e">
        <f t="shared" si="3"/>
        <v>#REF!</v>
      </c>
      <c r="K9" s="8" t="e">
        <f t="shared" si="3"/>
        <v>#REF!</v>
      </c>
      <c r="L9" s="8" t="e">
        <f t="shared" si="3"/>
        <v>#REF!</v>
      </c>
      <c r="M9" s="8" t="e">
        <f t="shared" si="3"/>
        <v>#REF!</v>
      </c>
      <c r="N9" s="8" t="e">
        <f t="shared" si="3"/>
        <v>#REF!</v>
      </c>
      <c r="O9" s="8" t="e">
        <f t="shared" si="3"/>
        <v>#REF!</v>
      </c>
      <c r="P9" s="8" t="e">
        <f t="shared" si="3"/>
        <v>#REF!</v>
      </c>
      <c r="Q9" s="8" t="e">
        <f t="shared" si="3"/>
        <v>#REF!</v>
      </c>
      <c r="R9" s="8" t="e">
        <f t="shared" si="3"/>
        <v>#REF!</v>
      </c>
      <c r="S9" s="35"/>
      <c r="T9" s="27" t="e">
        <f t="shared" si="0"/>
        <v>#REF!</v>
      </c>
    </row>
    <row r="10" spans="1:20">
      <c r="A10" s="28" t="s">
        <v>41</v>
      </c>
      <c r="B10" s="5"/>
      <c r="C10" s="20"/>
      <c r="D10" s="12"/>
      <c r="E10" s="12">
        <v>0</v>
      </c>
      <c r="F10" s="12">
        <v>0.15</v>
      </c>
      <c r="G10" s="12">
        <v>0.15</v>
      </c>
      <c r="H10" s="12">
        <v>0.1</v>
      </c>
      <c r="I10" s="12">
        <v>0.1</v>
      </c>
      <c r="J10" s="12">
        <v>0.1</v>
      </c>
      <c r="K10" s="12">
        <v>0.1</v>
      </c>
      <c r="L10" s="12">
        <v>0.1</v>
      </c>
      <c r="M10" s="12">
        <v>0.05</v>
      </c>
      <c r="N10" s="12">
        <v>0.05</v>
      </c>
      <c r="O10" s="12">
        <v>0.05</v>
      </c>
      <c r="P10" s="12">
        <v>0.05</v>
      </c>
      <c r="Q10" s="12"/>
      <c r="R10" s="12"/>
      <c r="S10" s="34"/>
      <c r="T10" s="26">
        <f t="shared" si="0"/>
        <v>1</v>
      </c>
    </row>
    <row r="11" spans="1:20">
      <c r="A11" s="28" t="s">
        <v>34</v>
      </c>
      <c r="B11" s="4">
        <v>0.05</v>
      </c>
      <c r="C11" s="8" t="e">
        <f>+$C$26*B11</f>
        <v>#REF!</v>
      </c>
      <c r="D11" s="9" t="e">
        <f t="shared" ref="D11:R11" si="4">+$C11*D10</f>
        <v>#REF!</v>
      </c>
      <c r="E11" s="9" t="e">
        <f t="shared" si="4"/>
        <v>#REF!</v>
      </c>
      <c r="F11" s="9" t="e">
        <f t="shared" si="4"/>
        <v>#REF!</v>
      </c>
      <c r="G11" s="9" t="e">
        <f t="shared" si="4"/>
        <v>#REF!</v>
      </c>
      <c r="H11" s="9" t="e">
        <f t="shared" si="4"/>
        <v>#REF!</v>
      </c>
      <c r="I11" s="9" t="e">
        <f t="shared" si="4"/>
        <v>#REF!</v>
      </c>
      <c r="J11" s="9" t="e">
        <f t="shared" si="4"/>
        <v>#REF!</v>
      </c>
      <c r="K11" s="9" t="e">
        <f t="shared" si="4"/>
        <v>#REF!</v>
      </c>
      <c r="L11" s="9" t="e">
        <f t="shared" si="4"/>
        <v>#REF!</v>
      </c>
      <c r="M11" s="9" t="e">
        <f t="shared" si="4"/>
        <v>#REF!</v>
      </c>
      <c r="N11" s="9" t="e">
        <f t="shared" si="4"/>
        <v>#REF!</v>
      </c>
      <c r="O11" s="9" t="e">
        <f t="shared" si="4"/>
        <v>#REF!</v>
      </c>
      <c r="P11" s="9" t="e">
        <f t="shared" si="4"/>
        <v>#REF!</v>
      </c>
      <c r="Q11" s="9" t="e">
        <f t="shared" si="4"/>
        <v>#REF!</v>
      </c>
      <c r="R11" s="9" t="e">
        <f t="shared" si="4"/>
        <v>#REF!</v>
      </c>
      <c r="S11" s="36"/>
      <c r="T11" s="27" t="e">
        <f t="shared" si="0"/>
        <v>#REF!</v>
      </c>
    </row>
    <row r="12" spans="1:20">
      <c r="A12" s="25" t="s">
        <v>41</v>
      </c>
      <c r="B12" s="6"/>
      <c r="C12" s="18"/>
      <c r="D12" s="12"/>
      <c r="E12" s="12">
        <v>0</v>
      </c>
      <c r="F12" s="12">
        <v>0.15</v>
      </c>
      <c r="G12" s="12">
        <v>0.15</v>
      </c>
      <c r="H12" s="12">
        <v>0.2</v>
      </c>
      <c r="I12" s="12">
        <v>0.15</v>
      </c>
      <c r="J12" s="12">
        <v>0.1</v>
      </c>
      <c r="K12" s="12">
        <v>0.05</v>
      </c>
      <c r="L12" s="12">
        <v>0.05</v>
      </c>
      <c r="M12" s="12">
        <v>0.05</v>
      </c>
      <c r="N12" s="12">
        <v>0.05</v>
      </c>
      <c r="O12" s="12">
        <v>0.05</v>
      </c>
      <c r="P12" s="12"/>
      <c r="Q12" s="12"/>
      <c r="R12" s="12"/>
      <c r="S12" s="34"/>
      <c r="T12" s="26">
        <f t="shared" si="0"/>
        <v>1.0000000000000002</v>
      </c>
    </row>
    <row r="13" spans="1:20">
      <c r="A13" s="25" t="s">
        <v>4</v>
      </c>
      <c r="B13" s="4">
        <v>5.2200000000000003E-2</v>
      </c>
      <c r="C13" s="8" t="e">
        <f>+$C$26*B13</f>
        <v>#REF!</v>
      </c>
      <c r="D13" s="8" t="e">
        <f t="shared" ref="D13:R13" si="5">+$C13*D12</f>
        <v>#REF!</v>
      </c>
      <c r="E13" s="8" t="e">
        <f t="shared" si="5"/>
        <v>#REF!</v>
      </c>
      <c r="F13" s="8" t="e">
        <f t="shared" si="5"/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35"/>
      <c r="T13" s="27" t="e">
        <f t="shared" si="0"/>
        <v>#REF!</v>
      </c>
    </row>
    <row r="14" spans="1:20">
      <c r="A14" s="28" t="s">
        <v>41</v>
      </c>
      <c r="B14" s="5"/>
      <c r="C14" s="20"/>
      <c r="D14" s="12"/>
      <c r="E14" s="12">
        <v>0</v>
      </c>
      <c r="F14" s="12">
        <v>0.15</v>
      </c>
      <c r="G14" s="12">
        <v>0.15</v>
      </c>
      <c r="H14" s="12">
        <v>0.2</v>
      </c>
      <c r="I14" s="12">
        <v>0.15</v>
      </c>
      <c r="J14" s="12">
        <v>0.2</v>
      </c>
      <c r="K14" s="12">
        <v>0.05</v>
      </c>
      <c r="L14" s="12"/>
      <c r="M14" s="12">
        <v>0.05</v>
      </c>
      <c r="N14" s="12">
        <v>0.05</v>
      </c>
      <c r="O14" s="12"/>
      <c r="P14" s="12"/>
      <c r="Q14" s="12"/>
      <c r="R14" s="12"/>
      <c r="S14" s="34"/>
      <c r="T14" s="26">
        <f t="shared" si="0"/>
        <v>1.0000000000000002</v>
      </c>
    </row>
    <row r="15" spans="1:20">
      <c r="A15" s="28" t="s">
        <v>5</v>
      </c>
      <c r="B15" s="4">
        <v>0.05</v>
      </c>
      <c r="C15" s="8" t="e">
        <f>+$C$26*B15</f>
        <v>#REF!</v>
      </c>
      <c r="D15" s="9" t="e">
        <f t="shared" ref="D15:R15" si="6">+$C15*D14</f>
        <v>#REF!</v>
      </c>
      <c r="E15" s="9" t="e">
        <f t="shared" si="6"/>
        <v>#REF!</v>
      </c>
      <c r="F15" s="9" t="e">
        <f t="shared" si="6"/>
        <v>#REF!</v>
      </c>
      <c r="G15" s="9" t="e">
        <f t="shared" si="6"/>
        <v>#REF!</v>
      </c>
      <c r="H15" s="9" t="e">
        <f t="shared" si="6"/>
        <v>#REF!</v>
      </c>
      <c r="I15" s="9" t="e">
        <f t="shared" si="6"/>
        <v>#REF!</v>
      </c>
      <c r="J15" s="9" t="e">
        <f>+$C15*J14</f>
        <v>#REF!</v>
      </c>
      <c r="K15" s="9" t="e">
        <f t="shared" si="6"/>
        <v>#REF!</v>
      </c>
      <c r="L15" s="9" t="e">
        <f t="shared" si="6"/>
        <v>#REF!</v>
      </c>
      <c r="M15" s="9" t="e">
        <f t="shared" si="6"/>
        <v>#REF!</v>
      </c>
      <c r="N15" s="9" t="e">
        <f t="shared" si="6"/>
        <v>#REF!</v>
      </c>
      <c r="O15" s="9" t="e">
        <f t="shared" si="6"/>
        <v>#REF!</v>
      </c>
      <c r="P15" s="9" t="e">
        <f t="shared" si="6"/>
        <v>#REF!</v>
      </c>
      <c r="Q15" s="9"/>
      <c r="R15" s="9" t="e">
        <f t="shared" si="6"/>
        <v>#REF!</v>
      </c>
      <c r="S15" s="36"/>
      <c r="T15" s="27" t="e">
        <f t="shared" si="0"/>
        <v>#REF!</v>
      </c>
    </row>
    <row r="16" spans="1:20">
      <c r="A16" s="25" t="s">
        <v>41</v>
      </c>
      <c r="B16" s="6"/>
      <c r="C16" s="18"/>
      <c r="D16" s="12"/>
      <c r="E16" s="12">
        <v>0</v>
      </c>
      <c r="F16" s="12">
        <v>0.1</v>
      </c>
      <c r="G16" s="12">
        <v>0.1</v>
      </c>
      <c r="H16" s="12">
        <v>0.2</v>
      </c>
      <c r="I16" s="12">
        <v>0.2</v>
      </c>
      <c r="J16" s="12">
        <v>0.2</v>
      </c>
      <c r="K16" s="12">
        <v>0.15</v>
      </c>
      <c r="L16" s="12">
        <v>0.05</v>
      </c>
      <c r="M16" s="12"/>
      <c r="N16" s="12"/>
      <c r="O16" s="12"/>
      <c r="P16" s="12"/>
      <c r="Q16" s="12"/>
      <c r="R16" s="12"/>
      <c r="S16" s="34"/>
      <c r="T16" s="26">
        <f t="shared" si="0"/>
        <v>1</v>
      </c>
    </row>
    <row r="17" spans="1:21">
      <c r="A17" s="25" t="s">
        <v>35</v>
      </c>
      <c r="B17" s="4">
        <v>0.03</v>
      </c>
      <c r="C17" s="8" t="e">
        <f>+$C$26*B17</f>
        <v>#REF!</v>
      </c>
      <c r="D17" s="8" t="e">
        <f t="shared" ref="D17:R17" si="7">+$C17*D16</f>
        <v>#REF!</v>
      </c>
      <c r="E17" s="8" t="e">
        <f t="shared" si="7"/>
        <v>#REF!</v>
      </c>
      <c r="F17" s="8" t="e">
        <f t="shared" si="7"/>
        <v>#REF!</v>
      </c>
      <c r="G17" s="8" t="e">
        <f t="shared" si="7"/>
        <v>#REF!</v>
      </c>
      <c r="H17" s="8" t="e">
        <f t="shared" si="7"/>
        <v>#REF!</v>
      </c>
      <c r="I17" s="8" t="e">
        <f t="shared" si="7"/>
        <v>#REF!</v>
      </c>
      <c r="J17" s="8" t="e">
        <f t="shared" si="7"/>
        <v>#REF!</v>
      </c>
      <c r="K17" s="8" t="e">
        <f t="shared" si="7"/>
        <v>#REF!</v>
      </c>
      <c r="L17" s="8" t="e">
        <f t="shared" si="7"/>
        <v>#REF!</v>
      </c>
      <c r="M17" s="8" t="e">
        <f t="shared" si="7"/>
        <v>#REF!</v>
      </c>
      <c r="N17" s="8" t="e">
        <f t="shared" si="7"/>
        <v>#REF!</v>
      </c>
      <c r="O17" s="8" t="e">
        <f t="shared" si="7"/>
        <v>#REF!</v>
      </c>
      <c r="P17" s="8" t="e">
        <f t="shared" si="7"/>
        <v>#REF!</v>
      </c>
      <c r="Q17" s="8"/>
      <c r="R17" s="8" t="e">
        <f t="shared" si="7"/>
        <v>#REF!</v>
      </c>
      <c r="S17" s="35"/>
      <c r="T17" s="27" t="e">
        <f t="shared" si="0"/>
        <v>#REF!</v>
      </c>
    </row>
    <row r="18" spans="1:21">
      <c r="A18" s="28" t="s">
        <v>41</v>
      </c>
      <c r="B18" s="5"/>
      <c r="C18" s="20"/>
      <c r="D18" s="12"/>
      <c r="E18" s="12"/>
      <c r="F18" s="12"/>
      <c r="G18" s="12"/>
      <c r="H18" s="12"/>
      <c r="I18" s="12"/>
      <c r="J18" s="12">
        <v>0.25</v>
      </c>
      <c r="K18" s="12">
        <v>0.25</v>
      </c>
      <c r="L18" s="12">
        <v>0.1</v>
      </c>
      <c r="M18" s="12"/>
      <c r="N18" s="12"/>
      <c r="O18" s="12">
        <v>0.1</v>
      </c>
      <c r="P18" s="12">
        <v>0.15</v>
      </c>
      <c r="Q18" s="12">
        <v>0.15</v>
      </c>
      <c r="R18" s="12"/>
      <c r="S18" s="34"/>
      <c r="T18" s="26">
        <f t="shared" si="0"/>
        <v>1</v>
      </c>
    </row>
    <row r="19" spans="1:21">
      <c r="A19" s="28" t="s">
        <v>6</v>
      </c>
      <c r="B19" s="4">
        <v>0.05</v>
      </c>
      <c r="C19" s="8" t="e">
        <f>+$C$26*B19</f>
        <v>#REF!</v>
      </c>
      <c r="D19" s="9" t="e">
        <f t="shared" ref="D19:R19" si="8">+$C19*D18</f>
        <v>#REF!</v>
      </c>
      <c r="E19" s="9" t="e">
        <f t="shared" si="8"/>
        <v>#REF!</v>
      </c>
      <c r="F19" s="9" t="e">
        <f t="shared" si="8"/>
        <v>#REF!</v>
      </c>
      <c r="G19" s="9" t="e">
        <f t="shared" si="8"/>
        <v>#REF!</v>
      </c>
      <c r="H19" s="9" t="e">
        <f t="shared" si="8"/>
        <v>#REF!</v>
      </c>
      <c r="I19" s="9" t="e">
        <f t="shared" si="8"/>
        <v>#REF!</v>
      </c>
      <c r="J19" s="9" t="e">
        <f t="shared" si="8"/>
        <v>#REF!</v>
      </c>
      <c r="K19" s="9" t="e">
        <f t="shared" si="8"/>
        <v>#REF!</v>
      </c>
      <c r="L19" s="9" t="e">
        <f t="shared" si="8"/>
        <v>#REF!</v>
      </c>
      <c r="M19" s="9" t="e">
        <f t="shared" si="8"/>
        <v>#REF!</v>
      </c>
      <c r="N19" s="9" t="e">
        <f t="shared" si="8"/>
        <v>#REF!</v>
      </c>
      <c r="O19" s="9" t="e">
        <f t="shared" si="8"/>
        <v>#REF!</v>
      </c>
      <c r="P19" s="9" t="e">
        <f t="shared" si="8"/>
        <v>#REF!</v>
      </c>
      <c r="Q19" s="9" t="e">
        <f t="shared" si="8"/>
        <v>#REF!</v>
      </c>
      <c r="R19" s="9" t="e">
        <f t="shared" si="8"/>
        <v>#REF!</v>
      </c>
      <c r="S19" s="36"/>
      <c r="T19" s="27" t="e">
        <f t="shared" si="0"/>
        <v>#REF!</v>
      </c>
    </row>
    <row r="20" spans="1:21">
      <c r="A20" s="25" t="s">
        <v>41</v>
      </c>
      <c r="B20" s="6"/>
      <c r="C20" s="8"/>
      <c r="D20" s="12"/>
      <c r="E20" s="12"/>
      <c r="F20" s="12"/>
      <c r="G20" s="12"/>
      <c r="H20" s="12"/>
      <c r="I20" s="12"/>
      <c r="J20" s="12"/>
      <c r="K20" s="12">
        <v>0.25</v>
      </c>
      <c r="L20" s="12"/>
      <c r="M20" s="12"/>
      <c r="N20" s="12">
        <v>0</v>
      </c>
      <c r="O20" s="12">
        <v>0.15</v>
      </c>
      <c r="P20" s="12">
        <v>0.2</v>
      </c>
      <c r="Q20" s="12">
        <v>0.2</v>
      </c>
      <c r="R20" s="12">
        <v>0.1</v>
      </c>
      <c r="S20" s="34">
        <v>0.1</v>
      </c>
      <c r="T20" s="26">
        <f t="shared" si="0"/>
        <v>1</v>
      </c>
    </row>
    <row r="21" spans="1:21">
      <c r="A21" s="25" t="s">
        <v>36</v>
      </c>
      <c r="B21" s="4">
        <f>100%-B5-B7-B9-B11-B13-B15-B17-B19</f>
        <v>6.1683495145630998E-2</v>
      </c>
      <c r="C21" s="8" t="e">
        <f>+$C$26*B21</f>
        <v>#REF!</v>
      </c>
      <c r="D21" s="8" t="e">
        <f t="shared" ref="D21:S21" si="9">+$C21*D20</f>
        <v>#REF!</v>
      </c>
      <c r="E21" s="8" t="e">
        <f t="shared" si="9"/>
        <v>#REF!</v>
      </c>
      <c r="F21" s="8" t="e">
        <f t="shared" si="9"/>
        <v>#REF!</v>
      </c>
      <c r="G21" s="8" t="e">
        <f t="shared" si="9"/>
        <v>#REF!</v>
      </c>
      <c r="H21" s="8" t="e">
        <f t="shared" si="9"/>
        <v>#REF!</v>
      </c>
      <c r="I21" s="8" t="e">
        <f t="shared" si="9"/>
        <v>#REF!</v>
      </c>
      <c r="J21" s="8" t="e">
        <f t="shared" si="9"/>
        <v>#REF!</v>
      </c>
      <c r="K21" s="8" t="e">
        <f t="shared" si="9"/>
        <v>#REF!</v>
      </c>
      <c r="L21" s="8" t="e">
        <f t="shared" si="9"/>
        <v>#REF!</v>
      </c>
      <c r="M21" s="8" t="e">
        <f t="shared" si="9"/>
        <v>#REF!</v>
      </c>
      <c r="N21" s="8" t="e">
        <f t="shared" si="9"/>
        <v>#REF!</v>
      </c>
      <c r="O21" s="8" t="e">
        <f t="shared" si="9"/>
        <v>#REF!</v>
      </c>
      <c r="P21" s="8" t="e">
        <f t="shared" si="9"/>
        <v>#REF!</v>
      </c>
      <c r="Q21" s="8" t="e">
        <f t="shared" si="9"/>
        <v>#REF!</v>
      </c>
      <c r="R21" s="8" t="e">
        <f t="shared" si="9"/>
        <v>#REF!</v>
      </c>
      <c r="S21" s="8" t="e">
        <f t="shared" si="9"/>
        <v>#REF!</v>
      </c>
      <c r="T21" s="27" t="e">
        <f t="shared" si="0"/>
        <v>#REF!</v>
      </c>
    </row>
    <row r="22" spans="1:21">
      <c r="A22" s="28" t="s">
        <v>41</v>
      </c>
      <c r="B22" s="5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0.4</v>
      </c>
      <c r="P22" s="12">
        <v>0.25</v>
      </c>
      <c r="Q22" s="12">
        <v>0.25</v>
      </c>
      <c r="R22" s="12">
        <v>0.05</v>
      </c>
      <c r="S22" s="34">
        <v>0.05</v>
      </c>
      <c r="T22" s="26">
        <f t="shared" si="0"/>
        <v>1</v>
      </c>
    </row>
    <row r="23" spans="1:21">
      <c r="A23" s="28" t="s">
        <v>7</v>
      </c>
      <c r="B23" s="4">
        <v>0</v>
      </c>
      <c r="C23" s="8" t="e">
        <f>+$C$26*B23</f>
        <v>#REF!</v>
      </c>
      <c r="D23" s="9" t="e">
        <f t="shared" ref="D23:R23" si="10">+$C23*D22</f>
        <v>#REF!</v>
      </c>
      <c r="E23" s="9" t="e">
        <f t="shared" si="10"/>
        <v>#REF!</v>
      </c>
      <c r="F23" s="9" t="e">
        <f t="shared" si="10"/>
        <v>#REF!</v>
      </c>
      <c r="G23" s="9" t="e">
        <f t="shared" si="10"/>
        <v>#REF!</v>
      </c>
      <c r="H23" s="9" t="e">
        <f t="shared" si="10"/>
        <v>#REF!</v>
      </c>
      <c r="I23" s="9" t="e">
        <f t="shared" si="10"/>
        <v>#REF!</v>
      </c>
      <c r="J23" s="9" t="e">
        <f t="shared" si="10"/>
        <v>#REF!</v>
      </c>
      <c r="K23" s="9" t="e">
        <f t="shared" si="10"/>
        <v>#REF!</v>
      </c>
      <c r="L23" s="9" t="e">
        <f t="shared" si="10"/>
        <v>#REF!</v>
      </c>
      <c r="M23" s="9" t="e">
        <f t="shared" si="10"/>
        <v>#REF!</v>
      </c>
      <c r="N23" s="9" t="e">
        <f t="shared" si="10"/>
        <v>#REF!</v>
      </c>
      <c r="O23" s="9" t="e">
        <f t="shared" si="10"/>
        <v>#REF!</v>
      </c>
      <c r="P23" s="9" t="e">
        <f t="shared" si="10"/>
        <v>#REF!</v>
      </c>
      <c r="Q23" s="9" t="e">
        <f t="shared" si="10"/>
        <v>#REF!</v>
      </c>
      <c r="R23" s="9" t="e">
        <f t="shared" si="10"/>
        <v>#REF!</v>
      </c>
      <c r="S23" s="36"/>
      <c r="T23" s="27" t="e">
        <f t="shared" si="0"/>
        <v>#REF!</v>
      </c>
    </row>
    <row r="24" spans="1:21">
      <c r="A24" s="25" t="s">
        <v>41</v>
      </c>
      <c r="B24" s="6"/>
      <c r="C24" s="16"/>
      <c r="D24" s="22"/>
      <c r="E24" s="22"/>
      <c r="F24" s="22"/>
      <c r="G24" s="22"/>
      <c r="H24" s="22"/>
      <c r="I24" s="22"/>
      <c r="J24" s="22"/>
      <c r="K24" s="23"/>
      <c r="L24" s="23"/>
      <c r="M24" s="23"/>
      <c r="N24" s="24"/>
      <c r="O24" s="24"/>
      <c r="P24" s="24">
        <v>0.5</v>
      </c>
      <c r="Q24" s="24">
        <v>0.5</v>
      </c>
      <c r="R24" s="24"/>
      <c r="S24" s="37"/>
      <c r="T24" s="26">
        <f t="shared" si="0"/>
        <v>1</v>
      </c>
    </row>
    <row r="25" spans="1:21">
      <c r="A25" s="29" t="s">
        <v>8</v>
      </c>
      <c r="B25" s="10">
        <v>0</v>
      </c>
      <c r="C25" s="8" t="e">
        <f>+$C$26*B25</f>
        <v>#REF!</v>
      </c>
      <c r="D25" s="11" t="e">
        <f t="shared" ref="D25:R25" si="11">+$C25*D24</f>
        <v>#REF!</v>
      </c>
      <c r="E25" s="11" t="e">
        <f t="shared" si="11"/>
        <v>#REF!</v>
      </c>
      <c r="F25" s="11" t="e">
        <f t="shared" si="11"/>
        <v>#REF!</v>
      </c>
      <c r="G25" s="11" t="e">
        <f t="shared" si="11"/>
        <v>#REF!</v>
      </c>
      <c r="H25" s="11" t="e">
        <f t="shared" si="11"/>
        <v>#REF!</v>
      </c>
      <c r="I25" s="11" t="e">
        <f t="shared" si="11"/>
        <v>#REF!</v>
      </c>
      <c r="J25" s="11" t="e">
        <f t="shared" si="11"/>
        <v>#REF!</v>
      </c>
      <c r="K25" s="11" t="e">
        <f t="shared" si="11"/>
        <v>#REF!</v>
      </c>
      <c r="L25" s="11" t="e">
        <f t="shared" si="11"/>
        <v>#REF!</v>
      </c>
      <c r="M25" s="11" t="e">
        <f t="shared" si="11"/>
        <v>#REF!</v>
      </c>
      <c r="N25" s="11" t="e">
        <f t="shared" si="11"/>
        <v>#REF!</v>
      </c>
      <c r="O25" s="11" t="e">
        <f t="shared" si="11"/>
        <v>#REF!</v>
      </c>
      <c r="P25" s="11" t="e">
        <f t="shared" si="11"/>
        <v>#REF!</v>
      </c>
      <c r="Q25" s="11" t="e">
        <f t="shared" si="11"/>
        <v>#REF!</v>
      </c>
      <c r="R25" s="11" t="e">
        <f t="shared" si="11"/>
        <v>#REF!</v>
      </c>
      <c r="S25" s="38"/>
      <c r="T25" s="27" t="e">
        <f>SUM(D25:R25)</f>
        <v>#REF!</v>
      </c>
    </row>
    <row r="26" spans="1:21">
      <c r="A26" s="30" t="s">
        <v>9</v>
      </c>
      <c r="B26" s="31">
        <f>+SUM(B5:B25)</f>
        <v>1.0000000000000002</v>
      </c>
      <c r="C26" s="32" t="e">
        <f>Cashflow!#REF!</f>
        <v>#REF!</v>
      </c>
      <c r="D26" s="32" t="e">
        <f t="shared" ref="D26:S26" si="12">+D5+D7+D9+D11+D13+D15+D17+D19+D21+D23+D25</f>
        <v>#REF!</v>
      </c>
      <c r="E26" s="32" t="e">
        <f t="shared" si="12"/>
        <v>#REF!</v>
      </c>
      <c r="F26" s="32" t="e">
        <f t="shared" si="12"/>
        <v>#REF!</v>
      </c>
      <c r="G26" s="32" t="e">
        <f t="shared" si="12"/>
        <v>#REF!</v>
      </c>
      <c r="H26" s="32" t="e">
        <f t="shared" si="12"/>
        <v>#REF!</v>
      </c>
      <c r="I26" s="32" t="e">
        <f t="shared" si="12"/>
        <v>#REF!</v>
      </c>
      <c r="J26" s="32" t="e">
        <f t="shared" si="12"/>
        <v>#REF!</v>
      </c>
      <c r="K26" s="32" t="e">
        <f t="shared" si="12"/>
        <v>#REF!</v>
      </c>
      <c r="L26" s="32" t="e">
        <f t="shared" si="12"/>
        <v>#REF!</v>
      </c>
      <c r="M26" s="32" t="e">
        <f t="shared" si="12"/>
        <v>#REF!</v>
      </c>
      <c r="N26" s="32" t="e">
        <f t="shared" si="12"/>
        <v>#REF!</v>
      </c>
      <c r="O26" s="32" t="e">
        <f t="shared" si="12"/>
        <v>#REF!</v>
      </c>
      <c r="P26" s="32" t="e">
        <f t="shared" si="12"/>
        <v>#REF!</v>
      </c>
      <c r="Q26" s="32" t="e">
        <f t="shared" si="12"/>
        <v>#REF!</v>
      </c>
      <c r="R26" s="32" t="e">
        <f t="shared" si="12"/>
        <v>#REF!</v>
      </c>
      <c r="S26" s="32" t="e">
        <f t="shared" si="12"/>
        <v>#REF!</v>
      </c>
      <c r="T26" s="33" t="e">
        <f>+T5+T7+T9+T11+T13+T15+T17+T19+T21+T23+T25</f>
        <v>#REF!</v>
      </c>
      <c r="U26" s="19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Project Brief</vt:lpstr>
      <vt:lpstr>UNIT LIST BUILDING NO 1</vt:lpstr>
      <vt:lpstr>Implementation and Revenue</vt:lpstr>
      <vt:lpstr>Inflow Calculation</vt:lpstr>
      <vt:lpstr>Cashflow</vt:lpstr>
      <vt:lpstr>Loan - SBI</vt:lpstr>
      <vt:lpstr>FACR</vt:lpstr>
      <vt:lpstr>Annualised Cashflow</vt:lpstr>
      <vt:lpstr>CMA</vt:lpstr>
      <vt:lpstr>Bar Chart Construction - Sale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2016-01-22T09:38:15Z</dcterms:created>
  <dcterms:modified xsi:type="dcterms:W3CDTF">2023-01-21T10:58:37Z</dcterms:modified>
</cp:coreProperties>
</file>