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735" activeTab="3"/>
  </bookViews>
  <sheets>
    <sheet name="Sheet1" sheetId="1" r:id="rId1"/>
    <sheet name="Sheet2" sheetId="2" r:id="rId2"/>
    <sheet name="Sheet3" sheetId="3" r:id="rId3"/>
    <sheet name="Sheet4" sheetId="4" r:id="rId4"/>
    <sheet name="Sanction Palan" sheetId="5" r:id="rId5"/>
    <sheet name="Sanction Palan (2)" sheetId="6" r:id="rId6"/>
  </sheets>
  <externalReferences>
    <externalReference r:id="rId7"/>
  </externalReferences>
  <calcPr calcId="152511"/>
</workbook>
</file>

<file path=xl/calcChain.xml><?xml version="1.0" encoding="utf-8"?>
<calcChain xmlns="http://schemas.openxmlformats.org/spreadsheetml/2006/main">
  <c r="N19" i="4" l="1"/>
  <c r="D19" i="4"/>
  <c r="N18" i="4"/>
  <c r="D18" i="4"/>
  <c r="N17" i="4"/>
  <c r="D17" i="4"/>
  <c r="N16" i="4"/>
  <c r="D16" i="4"/>
  <c r="L15" i="4"/>
  <c r="D15" i="4"/>
  <c r="M15" i="4"/>
  <c r="J15" i="4"/>
  <c r="K15" i="4"/>
  <c r="N15" i="4"/>
  <c r="L14" i="4"/>
  <c r="D14" i="4"/>
  <c r="M14" i="4"/>
  <c r="J14" i="4"/>
  <c r="K14" i="4"/>
  <c r="N14" i="4"/>
  <c r="L13" i="4"/>
  <c r="D13" i="4"/>
  <c r="M13" i="4"/>
  <c r="J13" i="4"/>
  <c r="K13" i="4"/>
  <c r="N13" i="4"/>
  <c r="F12" i="4"/>
  <c r="L12" i="4"/>
  <c r="D12" i="4"/>
  <c r="M12" i="4"/>
  <c r="J12" i="4"/>
  <c r="K12" i="4"/>
  <c r="N12" i="4"/>
  <c r="F11" i="4"/>
  <c r="L11" i="4"/>
  <c r="D11" i="4"/>
  <c r="M11" i="4"/>
  <c r="J11" i="4"/>
  <c r="K11" i="4"/>
  <c r="N11" i="4"/>
  <c r="D10" i="4"/>
  <c r="F10" i="4"/>
  <c r="L10" i="4"/>
  <c r="M10" i="4"/>
  <c r="J10" i="4"/>
  <c r="K10" i="4"/>
  <c r="N10" i="4"/>
  <c r="L21" i="1"/>
  <c r="E5" i="6"/>
  <c r="E26" i="6"/>
  <c r="E25" i="6"/>
  <c r="F26" i="6"/>
  <c r="G26" i="6"/>
  <c r="D13" i="6"/>
  <c r="D11" i="6"/>
  <c r="D10" i="6"/>
  <c r="D9" i="6"/>
  <c r="D8" i="6"/>
  <c r="D25" i="6"/>
  <c r="D26" i="6"/>
  <c r="F25" i="6"/>
  <c r="D18" i="6"/>
  <c r="D20" i="6"/>
  <c r="C17" i="6"/>
  <c r="C18" i="6"/>
  <c r="C20" i="6"/>
  <c r="F8" i="6"/>
  <c r="F9" i="6"/>
  <c r="F10" i="6"/>
  <c r="F11" i="6"/>
  <c r="D12" i="6"/>
  <c r="F12" i="6"/>
  <c r="F13" i="6"/>
  <c r="F16" i="6"/>
  <c r="D14" i="6"/>
  <c r="G16" i="6"/>
  <c r="G17" i="6"/>
  <c r="G18" i="6"/>
  <c r="F17" i="6"/>
  <c r="G8" i="6"/>
  <c r="G9" i="6"/>
  <c r="G10" i="6"/>
  <c r="G11" i="6"/>
  <c r="G12" i="6"/>
  <c r="G13" i="6"/>
  <c r="G15" i="6"/>
  <c r="D15" i="6"/>
  <c r="L8" i="6"/>
  <c r="N8" i="6"/>
  <c r="L9" i="6"/>
  <c r="M9" i="6"/>
  <c r="N9" i="6"/>
  <c r="N14" i="6"/>
  <c r="C14" i="6"/>
  <c r="L13" i="6"/>
  <c r="M13" i="6"/>
  <c r="N13" i="6"/>
  <c r="O13" i="6"/>
  <c r="H13" i="6"/>
  <c r="I13" i="6"/>
  <c r="L11" i="6"/>
  <c r="M11" i="6"/>
  <c r="N11" i="6"/>
  <c r="O11" i="6"/>
  <c r="H11" i="6"/>
  <c r="I11" i="6"/>
  <c r="L10" i="6"/>
  <c r="M10" i="6"/>
  <c r="N10" i="6"/>
  <c r="O10" i="6"/>
  <c r="H10" i="6"/>
  <c r="I10" i="6"/>
  <c r="O9" i="6"/>
  <c r="H9" i="6"/>
  <c r="I9" i="6"/>
  <c r="O22" i="1"/>
  <c r="J24" i="1"/>
  <c r="K20" i="1"/>
  <c r="I12" i="1"/>
  <c r="J12" i="1"/>
  <c r="K12" i="1"/>
  <c r="I13" i="1"/>
  <c r="J13" i="1"/>
  <c r="K13" i="1"/>
  <c r="I14" i="1"/>
  <c r="J14" i="1"/>
  <c r="K14" i="1"/>
  <c r="I15" i="1"/>
  <c r="J15" i="1"/>
  <c r="K15" i="1"/>
  <c r="I16" i="1"/>
  <c r="J16" i="1"/>
  <c r="K16" i="1"/>
  <c r="I17" i="1"/>
  <c r="J17" i="1"/>
  <c r="K17" i="1"/>
  <c r="I18" i="1"/>
  <c r="J18" i="1"/>
  <c r="K18" i="1"/>
  <c r="K19" i="1"/>
  <c r="K21" i="1"/>
  <c r="K23" i="1"/>
  <c r="M23" i="1"/>
  <c r="M22" i="1"/>
  <c r="L23" i="1"/>
  <c r="D8" i="5"/>
  <c r="F8" i="5"/>
  <c r="D9" i="5"/>
  <c r="F9" i="5"/>
  <c r="D10" i="5"/>
  <c r="F10" i="5"/>
  <c r="D11" i="5"/>
  <c r="F11" i="5"/>
  <c r="D12" i="5"/>
  <c r="F12" i="5"/>
  <c r="D13" i="5"/>
  <c r="F13" i="5"/>
  <c r="F16" i="5"/>
  <c r="D14" i="5"/>
  <c r="D15" i="5"/>
  <c r="G13" i="5"/>
  <c r="G12" i="5"/>
  <c r="G11" i="5"/>
  <c r="G10" i="5"/>
  <c r="G9" i="5"/>
  <c r="G8" i="5"/>
  <c r="L8" i="5"/>
  <c r="N8" i="5"/>
  <c r="L13" i="5"/>
  <c r="L11" i="5"/>
  <c r="L10" i="5"/>
  <c r="L9" i="5"/>
  <c r="H13" i="5"/>
  <c r="I13" i="5"/>
  <c r="H11" i="5"/>
  <c r="I11" i="5"/>
  <c r="H10" i="5"/>
  <c r="I10" i="5"/>
  <c r="H9" i="5"/>
  <c r="I9" i="5"/>
  <c r="E5" i="5"/>
  <c r="E26" i="5"/>
  <c r="E25" i="5"/>
  <c r="F26" i="5"/>
  <c r="G26" i="5"/>
  <c r="D25" i="5"/>
  <c r="F25" i="5"/>
  <c r="D26" i="5"/>
  <c r="I20" i="4"/>
  <c r="I21" i="4"/>
  <c r="I22" i="4"/>
  <c r="F20" i="4"/>
  <c r="F21" i="4"/>
  <c r="F22" i="4"/>
  <c r="C14" i="5"/>
  <c r="G16" i="5"/>
  <c r="G17" i="5"/>
  <c r="G18" i="5"/>
  <c r="I13" i="4"/>
  <c r="F17" i="5"/>
  <c r="G15" i="5"/>
  <c r="D18" i="5"/>
  <c r="D20" i="5"/>
  <c r="C17" i="5"/>
  <c r="C18" i="5"/>
  <c r="C20" i="5"/>
  <c r="I12" i="4"/>
  <c r="I14" i="4"/>
  <c r="I15" i="4"/>
  <c r="D7" i="4"/>
  <c r="I7" i="4"/>
  <c r="D23" i="4"/>
  <c r="I23" i="4"/>
  <c r="I11" i="4"/>
  <c r="E10" i="4"/>
  <c r="D6" i="4"/>
  <c r="I6" i="4"/>
  <c r="D5" i="4"/>
  <c r="I5" i="4"/>
  <c r="D4" i="4"/>
  <c r="D8" i="3"/>
  <c r="D14" i="3"/>
  <c r="J5" i="1"/>
  <c r="K5" i="1"/>
  <c r="L5" i="1"/>
  <c r="I10" i="4"/>
  <c r="D6" i="3"/>
  <c r="J6" i="3"/>
  <c r="I6" i="3"/>
  <c r="K6" i="3"/>
  <c r="L6" i="3"/>
  <c r="G6" i="3"/>
  <c r="M6" i="3"/>
  <c r="D4" i="3"/>
  <c r="J4" i="3"/>
  <c r="I4" i="3"/>
  <c r="K4" i="3"/>
  <c r="L4" i="3"/>
  <c r="M4" i="3"/>
  <c r="D5" i="3"/>
  <c r="J5" i="3"/>
  <c r="I5" i="3"/>
  <c r="K5" i="3"/>
  <c r="L5" i="3"/>
  <c r="G5" i="3"/>
  <c r="M5" i="3"/>
  <c r="D9" i="3"/>
  <c r="J9" i="3"/>
  <c r="K9" i="3"/>
  <c r="L9" i="3"/>
  <c r="M9" i="3"/>
  <c r="D7" i="3"/>
  <c r="J7" i="3"/>
  <c r="J8" i="3"/>
  <c r="I8" i="3"/>
  <c r="K8" i="3"/>
  <c r="L8" i="3"/>
  <c r="G8" i="3"/>
  <c r="M8" i="3"/>
  <c r="I7" i="3"/>
  <c r="K7" i="3"/>
  <c r="L7" i="3"/>
  <c r="G7" i="3"/>
  <c r="M7" i="3"/>
  <c r="M10" i="3"/>
  <c r="C28" i="1"/>
  <c r="C29" i="1"/>
  <c r="C14" i="1"/>
  <c r="C13" i="1"/>
  <c r="C10" i="1"/>
  <c r="E19" i="1"/>
  <c r="G9" i="2"/>
  <c r="I9" i="2"/>
  <c r="D9" i="2"/>
  <c r="E9" i="2"/>
  <c r="J9" i="2"/>
  <c r="H9" i="2"/>
  <c r="J10" i="2"/>
  <c r="D10" i="2"/>
  <c r="G10" i="2"/>
  <c r="H6" i="2"/>
  <c r="D6" i="2"/>
  <c r="I6" i="2"/>
  <c r="J6" i="2"/>
  <c r="H5" i="2"/>
  <c r="D5" i="2"/>
  <c r="C8" i="1"/>
  <c r="H4" i="2"/>
  <c r="D4" i="2"/>
  <c r="I4" i="2"/>
  <c r="J4" i="2"/>
  <c r="D3" i="2"/>
  <c r="H3" i="2"/>
  <c r="I3" i="2"/>
  <c r="J3" i="2"/>
  <c r="I5" i="2"/>
  <c r="J5" i="2"/>
  <c r="M9" i="5"/>
  <c r="N9" i="5"/>
  <c r="M11" i="5"/>
  <c r="N11" i="5"/>
  <c r="O11" i="5"/>
  <c r="M10" i="5"/>
  <c r="N10" i="5"/>
  <c r="O10" i="5"/>
  <c r="M13" i="5"/>
  <c r="N13" i="5"/>
  <c r="O13" i="5"/>
  <c r="L22" i="1"/>
  <c r="L24" i="1"/>
  <c r="N14" i="5"/>
  <c r="O9" i="5"/>
  <c r="C9" i="1"/>
  <c r="C11" i="1"/>
</calcChain>
</file>

<file path=xl/sharedStrings.xml><?xml version="1.0" encoding="utf-8"?>
<sst xmlns="http://schemas.openxmlformats.org/spreadsheetml/2006/main" count="132" uniqueCount="78">
  <si>
    <t>Area</t>
  </si>
  <si>
    <t>sqm</t>
  </si>
  <si>
    <t>sqyd</t>
  </si>
  <si>
    <t>Covered Area</t>
  </si>
  <si>
    <t>Seller</t>
  </si>
  <si>
    <t>Batra Hospital &amp; Medical Research Centre</t>
  </si>
  <si>
    <t>Buyer</t>
  </si>
  <si>
    <t>Rahul &amp; Vishal Sawhney</t>
  </si>
  <si>
    <t>Sale Considerration'</t>
  </si>
  <si>
    <t>Residential</t>
  </si>
  <si>
    <t>Basement</t>
  </si>
  <si>
    <t>Stilt</t>
  </si>
  <si>
    <t>Ground</t>
  </si>
  <si>
    <t>RCC</t>
  </si>
  <si>
    <t>Tin Shed</t>
  </si>
  <si>
    <t>sqft</t>
  </si>
  <si>
    <t>land</t>
  </si>
  <si>
    <t>building</t>
  </si>
  <si>
    <t>https://www.99acres.com/commercial-institutional-land-for-sale-in-rajouri-garden-west-delhi-556-sq-yard-r1-spid-E56163984</t>
  </si>
  <si>
    <t>https://www.99acres.com/showroom-for-sale-in-rajouri-garden-west-delhi-2700-sq-ft-spid-N66753198</t>
  </si>
  <si>
    <t>https://www.99acres.com/showroom-for-sale-in-rajouri-garden-west-delhi-3000-sq-ft-spid-N68004844</t>
  </si>
  <si>
    <t>https://www.99acres.com/showroom-for-sale-in-rajouri-garden-west-delhi-1301-sq-ft-spid-P67634610</t>
  </si>
  <si>
    <t>https://www.nobroker.in/property/commercial/buy/showroom-in-rajouri-garden-delhi/8a9fb782839b5e8c01839bc32bf50ec7/detail?nbFr=list-commercial_buy</t>
  </si>
  <si>
    <t>Type of land</t>
  </si>
  <si>
    <t>Floor</t>
  </si>
  <si>
    <t>Shed</t>
  </si>
  <si>
    <t>YoC</t>
  </si>
  <si>
    <t>CoC</t>
  </si>
  <si>
    <t>GCRC</t>
  </si>
  <si>
    <t>Dep.</t>
  </si>
  <si>
    <t>DRC</t>
  </si>
  <si>
    <t>Wall</t>
  </si>
  <si>
    <t>Land</t>
  </si>
  <si>
    <t>Building</t>
  </si>
  <si>
    <t>Asking Price</t>
  </si>
  <si>
    <t>Total Floors</t>
  </si>
  <si>
    <t>BUA 1 Floor</t>
  </si>
  <si>
    <t>Total BUA</t>
  </si>
  <si>
    <t>Land Cost</t>
  </si>
  <si>
    <t>Land Rate</t>
  </si>
  <si>
    <t>https://housing.com/commercial/buy/resale/100014038-showroom-for-sale-in-rajouri-garden-new-delhi-for-rs-300000000</t>
  </si>
  <si>
    <t>https://housing.com/commercial/buy/resale/100088079-commercial-property-for-sale-in-rajouri-garden-new-delhi-for-rs-63500000</t>
  </si>
  <si>
    <t>https://housing.com/commercial/buy/resale/100031063-showroom-for-sale-in-rajouri-garden-new-delhi-for-rs-112500000</t>
  </si>
  <si>
    <t>Total Sale</t>
  </si>
  <si>
    <t>https://housing.com/commercial/buy/resale/100036412-showroom-for-sale-in-rajouri-garden-new-delhi-for-rs-150000000</t>
  </si>
  <si>
    <t>https://www.99acres.com/showroom-for-sale-in-rajouri-garden-extension-west-delhi-7000-sq-ft-spid-Q67954382</t>
  </si>
  <si>
    <t>Carpet Area</t>
  </si>
  <si>
    <t>Sqft</t>
  </si>
  <si>
    <t>https://www.nobroker.in/property/commercial/buy/shop-in-rajouri-garden-delhi/8a9fee8285f221430185f23fb5f712b2/detail?nbFr=list-commercial_buy</t>
  </si>
  <si>
    <t>Shop</t>
  </si>
  <si>
    <t>BUA</t>
  </si>
  <si>
    <t>G. Floor</t>
  </si>
  <si>
    <t>Rate /sqft on BUA</t>
  </si>
  <si>
    <t>Showroom</t>
  </si>
  <si>
    <t>4th Floor</t>
  </si>
  <si>
    <t>https://www.nobroker.in/property/commercial/buy/showroom-in-rajouri-garden-delhi/8a9fbc8280ec82f20180eca794180ce0/detail?nbFr=list-commercial_buy</t>
  </si>
  <si>
    <t>All</t>
  </si>
  <si>
    <t>https://www.99acres.com/shop-for-sale-in-rajouri-garden-west-delhi-887-sq-ft-spid-J66487970</t>
  </si>
  <si>
    <t>Only Land</t>
  </si>
  <si>
    <t>https://www.99acres.com/showroom-for-sale-in-naraina-west-delhi-4050-sq-ft-spid-U67792766</t>
  </si>
  <si>
    <t>https://housing.com/commercial/buy/commercial-property-for-sale-in-rajouri-garden-new-delhi-P5ai8bf2ltc8fq8iq</t>
  </si>
  <si>
    <t>https://www.nanubhaiproperty.com/property-details/1055-sq-ft-commercial-showroom-for-sale-rajouri-garden-in-new-delhi?pid=DN3DxiVR5Kv/mYBmvf9CmA==</t>
  </si>
  <si>
    <t>https://www.clickindia.com/detail.php?id=149842999</t>
  </si>
  <si>
    <t>Plot Area</t>
  </si>
  <si>
    <t>Perm. Covd Area</t>
  </si>
  <si>
    <t>Perm. FAR</t>
  </si>
  <si>
    <t>Total Cvd Area on Gfloor</t>
  </si>
  <si>
    <t>first floor</t>
  </si>
  <si>
    <t>second floor</t>
  </si>
  <si>
    <t>third floor</t>
  </si>
  <si>
    <t>stilt floor</t>
  </si>
  <si>
    <t>basement</t>
  </si>
  <si>
    <t>Rs./sqft</t>
  </si>
  <si>
    <t>Sqm</t>
  </si>
  <si>
    <t>balance</t>
  </si>
  <si>
    <t xml:space="preserve">reference of ambout 8 lakh </t>
  </si>
  <si>
    <t xml:space="preserve">futher we chcked from rental income </t>
  </si>
  <si>
    <t>rental income may change in futhre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</si>
</sst>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43" fontId="0" fillId="0" borderId="0" xfId="0" applyNumberFormat="1"/>
    <xf numFmtId="164" fontId="0" fillId="0" borderId="0" xfId="1" applyNumberFormat="1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164" fontId="0" fillId="0" borderId="1" xfId="1" applyNumberFormat="1" applyFont="1" applyBorder="1"/>
    <xf numFmtId="0" fontId="0" fillId="0" borderId="1" xfId="0" applyBorder="1"/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/>
    <xf numFmtId="164" fontId="3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3" fontId="0" fillId="0" borderId="0" xfId="1" applyFont="1" applyAlignment="1">
      <alignment horizontal="right" vertical="center"/>
    </xf>
    <xf numFmtId="9" fontId="0" fillId="0" borderId="0" xfId="0" applyNumberFormat="1"/>
    <xf numFmtId="0" fontId="4" fillId="0" borderId="0" xfId="2"/>
    <xf numFmtId="0" fontId="0" fillId="0" borderId="0" xfId="0" applyAlignment="1">
      <alignment horizontal="center" vertical="center"/>
    </xf>
    <xf numFmtId="3" fontId="0" fillId="0" borderId="0" xfId="0" applyNumberFormat="1"/>
    <xf numFmtId="9" fontId="0" fillId="0" borderId="0" xfId="3" applyFont="1"/>
    <xf numFmtId="164" fontId="0" fillId="3" borderId="0" xfId="0" applyNumberFormat="1" applyFill="1"/>
    <xf numFmtId="164" fontId="0" fillId="3" borderId="0" xfId="1" applyNumberFormat="1" applyFont="1" applyFill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0</xdr:row>
      <xdr:rowOff>0</xdr:rowOff>
    </xdr:from>
    <xdr:to>
      <xdr:col>22</xdr:col>
      <xdr:colOff>114300</xdr:colOff>
      <xdr:row>15</xdr:row>
      <xdr:rowOff>66676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272" t="16228" r="15995" b="11570"/>
        <a:stretch/>
      </xdr:blipFill>
      <xdr:spPr>
        <a:xfrm>
          <a:off x="9705975" y="0"/>
          <a:ext cx="4876800" cy="2924176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133351</xdr:colOff>
      <xdr:row>16</xdr:row>
      <xdr:rowOff>114300</xdr:rowOff>
    </xdr:from>
    <xdr:to>
      <xdr:col>21</xdr:col>
      <xdr:colOff>433159</xdr:colOff>
      <xdr:row>30</xdr:row>
      <xdr:rowOff>123825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346" t="18345" r="23932" b="18390"/>
        <a:stretch/>
      </xdr:blipFill>
      <xdr:spPr>
        <a:xfrm>
          <a:off x="9725026" y="3162300"/>
          <a:ext cx="4567008" cy="2676525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31</xdr:row>
      <xdr:rowOff>19050</xdr:rowOff>
    </xdr:from>
    <xdr:to>
      <xdr:col>21</xdr:col>
      <xdr:colOff>409575</xdr:colOff>
      <xdr:row>44</xdr:row>
      <xdr:rowOff>76200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13" t="18345" r="20228" b="19096"/>
        <a:stretch/>
      </xdr:blipFill>
      <xdr:spPr>
        <a:xfrm>
          <a:off x="9620250" y="5924550"/>
          <a:ext cx="4648200" cy="2533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/Rent/Val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obroker.in/property/commercial/buy/shop-in-rajouri-garden-delhi/8a9fee8285f221430185f23fb5f712b2/detail?nbFr=list-commercial_bu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29"/>
  <sheetViews>
    <sheetView topLeftCell="A5" workbookViewId="0">
      <selection activeCell="M23" sqref="M23"/>
    </sheetView>
  </sheetViews>
  <sheetFormatPr defaultRowHeight="15" x14ac:dyDescent="0.25"/>
  <cols>
    <col min="3" max="3" width="15.28515625" bestFit="1" customWidth="1"/>
    <col min="4" max="4" width="13.140625" bestFit="1" customWidth="1"/>
    <col min="5" max="5" width="9.85546875" customWidth="1"/>
    <col min="7" max="7" width="15.28515625" style="2" bestFit="1" customWidth="1"/>
    <col min="8" max="8" width="12.28515625" bestFit="1" customWidth="1"/>
    <col min="9" max="9" width="11.5703125" bestFit="1" customWidth="1"/>
    <col min="10" max="10" width="14.42578125" bestFit="1" customWidth="1"/>
    <col min="11" max="11" width="14.28515625" bestFit="1" customWidth="1"/>
    <col min="12" max="12" width="15.28515625" bestFit="1" customWidth="1"/>
    <col min="13" max="13" width="15.28515625" style="2" bestFit="1" customWidth="1"/>
    <col min="15" max="15" width="11.7109375" bestFit="1" customWidth="1"/>
  </cols>
  <sheetData>
    <row r="3" spans="2:12" x14ac:dyDescent="0.25">
      <c r="B3" s="24" t="s">
        <v>0</v>
      </c>
      <c r="C3" s="24"/>
      <c r="D3" t="s">
        <v>3</v>
      </c>
      <c r="E3" t="s">
        <v>4</v>
      </c>
      <c r="F3" t="s">
        <v>6</v>
      </c>
      <c r="G3" s="2" t="s">
        <v>8</v>
      </c>
      <c r="H3" t="s">
        <v>23</v>
      </c>
    </row>
    <row r="4" spans="2:12" x14ac:dyDescent="0.25">
      <c r="B4" t="s">
        <v>1</v>
      </c>
      <c r="C4" t="s">
        <v>2</v>
      </c>
      <c r="D4" t="s">
        <v>1</v>
      </c>
    </row>
    <row r="5" spans="2:12" x14ac:dyDescent="0.25">
      <c r="B5">
        <v>1259.2</v>
      </c>
      <c r="C5">
        <v>1506</v>
      </c>
      <c r="D5">
        <v>1530</v>
      </c>
      <c r="E5" t="s">
        <v>5</v>
      </c>
      <c r="F5" t="s">
        <v>7</v>
      </c>
      <c r="G5" s="2">
        <v>402500000</v>
      </c>
      <c r="H5" t="s">
        <v>9</v>
      </c>
      <c r="J5" s="2">
        <f>1.28*10^5</f>
        <v>128000</v>
      </c>
      <c r="K5" s="2">
        <f>J5*3</f>
        <v>384000</v>
      </c>
      <c r="L5" s="2">
        <f>K5*B5</f>
        <v>483532800</v>
      </c>
    </row>
    <row r="7" spans="2:12" x14ac:dyDescent="0.25">
      <c r="C7" s="5">
        <v>500000</v>
      </c>
    </row>
    <row r="8" spans="2:12" x14ac:dyDescent="0.25">
      <c r="B8" t="s">
        <v>32</v>
      </c>
      <c r="C8" s="5">
        <f>C7*C5</f>
        <v>753000000</v>
      </c>
    </row>
    <row r="9" spans="2:12" x14ac:dyDescent="0.25">
      <c r="B9" t="s">
        <v>33</v>
      </c>
      <c r="C9" s="5">
        <f>K19</f>
        <v>53763312</v>
      </c>
    </row>
    <row r="10" spans="2:12" x14ac:dyDescent="0.25">
      <c r="B10" t="s">
        <v>31</v>
      </c>
      <c r="C10" s="5">
        <f>K20</f>
        <v>750000</v>
      </c>
      <c r="E10" t="s">
        <v>15</v>
      </c>
      <c r="H10" s="4"/>
      <c r="J10">
        <v>2023</v>
      </c>
    </row>
    <row r="11" spans="2:12" x14ac:dyDescent="0.25">
      <c r="C11" s="5">
        <f>C10+C9+C8</f>
        <v>807513312</v>
      </c>
      <c r="D11" s="6" t="s">
        <v>24</v>
      </c>
      <c r="E11" s="6" t="s">
        <v>13</v>
      </c>
      <c r="F11" s="6" t="s">
        <v>14</v>
      </c>
      <c r="G11" s="7" t="s">
        <v>26</v>
      </c>
      <c r="H11" s="6" t="s">
        <v>27</v>
      </c>
      <c r="I11" s="6" t="s">
        <v>28</v>
      </c>
      <c r="J11" s="6" t="s">
        <v>29</v>
      </c>
      <c r="K11" s="12" t="s">
        <v>30</v>
      </c>
    </row>
    <row r="12" spans="2:12" x14ac:dyDescent="0.25">
      <c r="C12" s="2">
        <v>810000000</v>
      </c>
      <c r="D12" s="8" t="s">
        <v>10</v>
      </c>
      <c r="E12" s="9">
        <v>6707</v>
      </c>
      <c r="F12" s="10" t="s">
        <v>13</v>
      </c>
      <c r="G12" s="10">
        <v>2012</v>
      </c>
      <c r="H12" s="10">
        <v>1200</v>
      </c>
      <c r="I12" s="10">
        <f>H12*E12</f>
        <v>8048400</v>
      </c>
      <c r="J12" s="13">
        <f>I12*($J$10-G12)*1.5%</f>
        <v>1327986</v>
      </c>
      <c r="K12" s="13">
        <f>I12-J12</f>
        <v>6720414</v>
      </c>
    </row>
    <row r="13" spans="2:12" x14ac:dyDescent="0.25">
      <c r="C13" s="2">
        <f>C12*0.85</f>
        <v>688500000</v>
      </c>
      <c r="D13" s="8" t="s">
        <v>12</v>
      </c>
      <c r="E13" s="9">
        <v>6707</v>
      </c>
      <c r="F13" s="10" t="s">
        <v>13</v>
      </c>
      <c r="G13" s="10">
        <v>2012</v>
      </c>
      <c r="H13" s="10">
        <v>1800</v>
      </c>
      <c r="I13" s="10">
        <f t="shared" ref="I13:I18" si="0">H13*E13</f>
        <v>12072600</v>
      </c>
      <c r="J13" s="13">
        <f t="shared" ref="J13:J17" si="1">I13*($J$10-G13)*1.5%</f>
        <v>1991979</v>
      </c>
      <c r="K13" s="13">
        <f t="shared" ref="K13:K18" si="2">I13-J13</f>
        <v>10080621</v>
      </c>
    </row>
    <row r="14" spans="2:12" x14ac:dyDescent="0.25">
      <c r="C14" s="3">
        <f>C12*0.75</f>
        <v>607500000</v>
      </c>
      <c r="D14" s="8" t="s">
        <v>11</v>
      </c>
      <c r="E14" s="9">
        <v>6707</v>
      </c>
      <c r="F14" s="10" t="s">
        <v>13</v>
      </c>
      <c r="G14" s="10">
        <v>2012</v>
      </c>
      <c r="H14" s="10">
        <v>1200</v>
      </c>
      <c r="I14" s="10">
        <f t="shared" si="0"/>
        <v>8048400</v>
      </c>
      <c r="J14" s="13">
        <f t="shared" si="1"/>
        <v>1327986</v>
      </c>
      <c r="K14" s="13">
        <f t="shared" si="2"/>
        <v>6720414</v>
      </c>
    </row>
    <row r="15" spans="2:12" x14ac:dyDescent="0.25">
      <c r="D15" s="8">
        <v>1</v>
      </c>
      <c r="E15" s="9">
        <v>6707</v>
      </c>
      <c r="F15" s="10" t="s">
        <v>13</v>
      </c>
      <c r="G15" s="10">
        <v>2012</v>
      </c>
      <c r="H15" s="10">
        <v>1800</v>
      </c>
      <c r="I15" s="10">
        <f t="shared" si="0"/>
        <v>12072600</v>
      </c>
      <c r="J15" s="13">
        <f t="shared" si="1"/>
        <v>1991979</v>
      </c>
      <c r="K15" s="13">
        <f t="shared" si="2"/>
        <v>10080621</v>
      </c>
    </row>
    <row r="16" spans="2:12" x14ac:dyDescent="0.25">
      <c r="D16" s="8">
        <v>2</v>
      </c>
      <c r="E16" s="9">
        <v>6707</v>
      </c>
      <c r="F16" s="10" t="s">
        <v>13</v>
      </c>
      <c r="G16" s="10">
        <v>2012</v>
      </c>
      <c r="H16" s="10">
        <v>1800</v>
      </c>
      <c r="I16" s="10">
        <f t="shared" si="0"/>
        <v>12072600</v>
      </c>
      <c r="J16" s="13">
        <f t="shared" si="1"/>
        <v>1991979</v>
      </c>
      <c r="K16" s="13">
        <f t="shared" si="2"/>
        <v>10080621</v>
      </c>
    </row>
    <row r="17" spans="3:15" x14ac:dyDescent="0.25">
      <c r="D17" s="8">
        <v>3</v>
      </c>
      <c r="E17" s="9">
        <v>6707</v>
      </c>
      <c r="F17" s="10" t="s">
        <v>13</v>
      </c>
      <c r="G17" s="10">
        <v>2012</v>
      </c>
      <c r="H17" s="10">
        <v>1800</v>
      </c>
      <c r="I17" s="10">
        <f t="shared" si="0"/>
        <v>12072600</v>
      </c>
      <c r="J17" s="13">
        <f t="shared" si="1"/>
        <v>1991979</v>
      </c>
      <c r="K17" s="13">
        <f t="shared" si="2"/>
        <v>10080621</v>
      </c>
    </row>
    <row r="18" spans="3:15" x14ac:dyDescent="0.25">
      <c r="D18" s="11" t="s">
        <v>11</v>
      </c>
      <c r="E18" s="10">
        <v>0</v>
      </c>
      <c r="F18" s="10" t="s">
        <v>25</v>
      </c>
      <c r="G18" s="10">
        <v>2012</v>
      </c>
      <c r="H18" s="11">
        <v>1000</v>
      </c>
      <c r="I18" s="10">
        <f t="shared" si="0"/>
        <v>0</v>
      </c>
      <c r="J18" s="13">
        <f>I18*($J$10-G18)*2%</f>
        <v>0</v>
      </c>
      <c r="K18" s="13">
        <f t="shared" si="2"/>
        <v>0</v>
      </c>
    </row>
    <row r="19" spans="3:15" x14ac:dyDescent="0.25">
      <c r="E19" s="3">
        <f>SUM(E12:E18)</f>
        <v>40242</v>
      </c>
      <c r="G19" s="10"/>
      <c r="K19" s="13">
        <f>SUM(K12:K18)</f>
        <v>53763312</v>
      </c>
    </row>
    <row r="20" spans="3:15" x14ac:dyDescent="0.25">
      <c r="K20" s="3">
        <f>J24</f>
        <v>750000</v>
      </c>
    </row>
    <row r="21" spans="3:15" x14ac:dyDescent="0.25">
      <c r="K21" s="3">
        <f>K20+K19</f>
        <v>54513312</v>
      </c>
      <c r="L21" s="2">
        <f>'Sanction Palan (2)'!F16</f>
        <v>915556185.17999983</v>
      </c>
      <c r="M21" s="2">
        <v>915000000</v>
      </c>
      <c r="O21" s="20">
        <v>482323968</v>
      </c>
    </row>
    <row r="22" spans="3:15" x14ac:dyDescent="0.25">
      <c r="E22" s="3"/>
      <c r="L22" s="3">
        <f>L21-K21</f>
        <v>861042873.17999983</v>
      </c>
      <c r="M22" s="2">
        <f>M21*0.85</f>
        <v>777750000</v>
      </c>
      <c r="O22" s="21">
        <f>O21/M21</f>
        <v>0.52713001967213113</v>
      </c>
    </row>
    <row r="23" spans="3:15" x14ac:dyDescent="0.25">
      <c r="E23" s="2"/>
      <c r="K23" s="3">
        <f>K21*0.75</f>
        <v>40884984</v>
      </c>
      <c r="L23" s="1">
        <f>C5</f>
        <v>1506</v>
      </c>
      <c r="M23" s="2">
        <f>M21*0.75</f>
        <v>686250000</v>
      </c>
    </row>
    <row r="24" spans="3:15" x14ac:dyDescent="0.25">
      <c r="G24" s="2" t="s">
        <v>31</v>
      </c>
      <c r="H24">
        <v>150</v>
      </c>
      <c r="I24">
        <v>5000</v>
      </c>
      <c r="J24" s="2">
        <f>I24*H24</f>
        <v>750000</v>
      </c>
      <c r="L24" s="3">
        <f>L22/L23</f>
        <v>571741.61565737042</v>
      </c>
    </row>
    <row r="27" spans="3:15" x14ac:dyDescent="0.25">
      <c r="C27">
        <v>482323968</v>
      </c>
    </row>
    <row r="28" spans="3:15" x14ac:dyDescent="0.25">
      <c r="C28" s="1">
        <f>C27/10^7</f>
        <v>48.232396799999997</v>
      </c>
    </row>
    <row r="29" spans="3:15" x14ac:dyDescent="0.25">
      <c r="C29" s="4">
        <f>C28*3</f>
        <v>144.69719039999998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10"/>
  <sheetViews>
    <sheetView topLeftCell="E34" workbookViewId="0">
      <selection activeCell="H16" sqref="H16"/>
    </sheetView>
  </sheetViews>
  <sheetFormatPr defaultRowHeight="15" x14ac:dyDescent="0.25"/>
  <cols>
    <col min="3" max="3" width="9.42578125" style="1" bestFit="1" customWidth="1"/>
    <col min="4" max="4" width="15.42578125" style="2" bestFit="1" customWidth="1"/>
    <col min="5" max="5" width="14.28515625" style="2" bestFit="1" customWidth="1"/>
    <col min="6" max="6" width="11.5703125" style="2" bestFit="1" customWidth="1"/>
    <col min="7" max="7" width="9" style="2" bestFit="1" customWidth="1"/>
    <col min="8" max="8" width="11.5703125" style="2" bestFit="1" customWidth="1"/>
    <col min="9" max="9" width="12.5703125" bestFit="1" customWidth="1"/>
    <col min="10" max="10" width="14.28515625" style="2" bestFit="1" customWidth="1"/>
  </cols>
  <sheetData>
    <row r="1" spans="3:12" x14ac:dyDescent="0.25">
      <c r="E1" s="2" t="s">
        <v>16</v>
      </c>
      <c r="F1" s="2" t="s">
        <v>17</v>
      </c>
    </row>
    <row r="2" spans="3:12" x14ac:dyDescent="0.25">
      <c r="E2" s="2" t="s">
        <v>2</v>
      </c>
      <c r="F2" s="2" t="s">
        <v>15</v>
      </c>
    </row>
    <row r="3" spans="3:12" x14ac:dyDescent="0.25">
      <c r="C3" s="1">
        <v>16</v>
      </c>
      <c r="D3" s="2">
        <f>C3*10^7</f>
        <v>160000000</v>
      </c>
      <c r="E3" s="2">
        <v>300</v>
      </c>
      <c r="F3" s="2">
        <v>45000</v>
      </c>
      <c r="G3" s="2">
        <v>1000</v>
      </c>
      <c r="H3" s="2">
        <f>G3*F3</f>
        <v>45000000</v>
      </c>
      <c r="I3" s="3">
        <f>D3-H3</f>
        <v>115000000</v>
      </c>
      <c r="J3" s="2">
        <f>I3/E3</f>
        <v>383333.33333333331</v>
      </c>
      <c r="L3" t="s">
        <v>19</v>
      </c>
    </row>
    <row r="4" spans="3:12" x14ac:dyDescent="0.25">
      <c r="C4" s="1">
        <v>10</v>
      </c>
      <c r="D4" s="2">
        <f>C4*10^7</f>
        <v>100000000</v>
      </c>
      <c r="E4" s="2">
        <v>144.5</v>
      </c>
      <c r="F4" s="2">
        <v>150</v>
      </c>
      <c r="G4" s="2">
        <v>1500</v>
      </c>
      <c r="H4" s="2">
        <f>G4*F4</f>
        <v>225000</v>
      </c>
      <c r="I4" s="3">
        <f>D4-H4</f>
        <v>99775000</v>
      </c>
      <c r="J4" s="2">
        <f>I4/E4</f>
        <v>690484.42906574393</v>
      </c>
      <c r="L4" t="s">
        <v>21</v>
      </c>
    </row>
    <row r="5" spans="3:12" x14ac:dyDescent="0.25">
      <c r="C5" s="1">
        <v>9</v>
      </c>
      <c r="D5" s="2">
        <f>C5*10^7</f>
        <v>90000000</v>
      </c>
      <c r="E5" s="2">
        <v>133.33000000000001</v>
      </c>
      <c r="F5" s="2">
        <v>21600</v>
      </c>
      <c r="G5" s="2">
        <v>1400</v>
      </c>
      <c r="H5" s="2">
        <f>G5*F5</f>
        <v>30240000</v>
      </c>
      <c r="I5" s="3">
        <f>D5-H5</f>
        <v>59760000</v>
      </c>
      <c r="J5" s="2">
        <f>I5/E5</f>
        <v>448211.20528013195</v>
      </c>
      <c r="L5" t="s">
        <v>20</v>
      </c>
    </row>
    <row r="6" spans="3:12" x14ac:dyDescent="0.25">
      <c r="C6" s="1">
        <v>20</v>
      </c>
      <c r="D6" s="2">
        <f>C6*10^7</f>
        <v>200000000</v>
      </c>
      <c r="E6" s="2">
        <v>555.55999999999995</v>
      </c>
      <c r="F6" s="2">
        <v>0</v>
      </c>
      <c r="G6" s="2">
        <v>1400</v>
      </c>
      <c r="H6" s="2">
        <f>G6*F6</f>
        <v>0</v>
      </c>
      <c r="I6" s="3">
        <f>D6-H6</f>
        <v>200000000</v>
      </c>
      <c r="J6" s="2">
        <f>I6/E6</f>
        <v>359997.12002303987</v>
      </c>
      <c r="L6" t="s">
        <v>18</v>
      </c>
    </row>
    <row r="7" spans="3:12" x14ac:dyDescent="0.25">
      <c r="I7" s="3"/>
    </row>
    <row r="9" spans="3:12" x14ac:dyDescent="0.25">
      <c r="C9" s="1">
        <v>22</v>
      </c>
      <c r="D9" s="2">
        <f>C9*10^7</f>
        <v>220000000</v>
      </c>
      <c r="E9" s="2">
        <f>D9*5</f>
        <v>1100000000</v>
      </c>
      <c r="F9" s="2">
        <v>1575</v>
      </c>
      <c r="G9" s="2">
        <f>F9*5</f>
        <v>7875</v>
      </c>
      <c r="H9" s="2">
        <f>F9</f>
        <v>1575</v>
      </c>
      <c r="I9" s="3">
        <f>G9*2000</f>
        <v>15750000</v>
      </c>
      <c r="J9" s="2">
        <f>E9-I9</f>
        <v>1084250000</v>
      </c>
      <c r="L9" t="s">
        <v>22</v>
      </c>
    </row>
    <row r="10" spans="3:12" x14ac:dyDescent="0.25">
      <c r="C10" s="1">
        <v>4</v>
      </c>
      <c r="D10" s="2">
        <f>C10*10^7</f>
        <v>40000000</v>
      </c>
      <c r="F10" s="2">
        <v>1000</v>
      </c>
      <c r="G10" s="2">
        <f>D10/F10</f>
        <v>40000</v>
      </c>
      <c r="J10" s="2">
        <f>J9/H9</f>
        <v>688412.69841269846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N14"/>
  <sheetViews>
    <sheetView workbookViewId="0">
      <selection activeCell="H20" sqref="H20"/>
    </sheetView>
  </sheetViews>
  <sheetFormatPr defaultRowHeight="15" x14ac:dyDescent="0.25"/>
  <cols>
    <col min="3" max="3" width="6.5703125" style="1" customWidth="1"/>
    <col min="4" max="4" width="12.5703125" style="2" bestFit="1" customWidth="1"/>
    <col min="5" max="5" width="12" style="2" bestFit="1" customWidth="1"/>
    <col min="6" max="7" width="12" style="2" customWidth="1"/>
    <col min="8" max="8" width="12.140625" style="2" bestFit="1" customWidth="1"/>
    <col min="9" max="9" width="10.42578125" style="2" bestFit="1" customWidth="1"/>
    <col min="10" max="10" width="12.5703125" style="2" bestFit="1" customWidth="1"/>
    <col min="11" max="12" width="14.28515625" style="2" bestFit="1" customWidth="1"/>
    <col min="13" max="13" width="10.42578125" style="2" bestFit="1" customWidth="1"/>
  </cols>
  <sheetData>
    <row r="2" spans="3:14" x14ac:dyDescent="0.25">
      <c r="E2" s="2" t="s">
        <v>15</v>
      </c>
      <c r="F2" s="2" t="s">
        <v>15</v>
      </c>
      <c r="G2" s="2" t="s">
        <v>2</v>
      </c>
    </row>
    <row r="3" spans="3:14" x14ac:dyDescent="0.25">
      <c r="C3" s="25" t="s">
        <v>34</v>
      </c>
      <c r="D3" s="25"/>
      <c r="E3" s="2" t="s">
        <v>36</v>
      </c>
      <c r="G3" s="2" t="s">
        <v>32</v>
      </c>
      <c r="H3" s="2" t="s">
        <v>35</v>
      </c>
      <c r="I3" s="2" t="s">
        <v>37</v>
      </c>
      <c r="J3" s="2" t="s">
        <v>43</v>
      </c>
      <c r="K3" s="2" t="s">
        <v>27</v>
      </c>
      <c r="L3" s="2" t="s">
        <v>38</v>
      </c>
      <c r="M3" s="2" t="s">
        <v>39</v>
      </c>
    </row>
    <row r="4" spans="3:14" x14ac:dyDescent="0.25">
      <c r="C4" s="1">
        <v>16</v>
      </c>
      <c r="D4" s="2">
        <f t="shared" ref="D4:D9" si="0">C4*10^7</f>
        <v>160000000</v>
      </c>
      <c r="E4" s="2">
        <v>45000</v>
      </c>
      <c r="G4" s="2">
        <v>300</v>
      </c>
      <c r="H4" s="2">
        <v>1</v>
      </c>
      <c r="I4" s="2">
        <f>E4</f>
        <v>45000</v>
      </c>
      <c r="J4" s="2">
        <f>H4*D4</f>
        <v>160000000</v>
      </c>
      <c r="K4" s="2">
        <f t="shared" ref="K4:K9" si="1">I4*2000</f>
        <v>90000000</v>
      </c>
      <c r="L4" s="2">
        <f>J4-K4</f>
        <v>70000000</v>
      </c>
      <c r="M4" s="2">
        <f t="shared" ref="M4:M9" si="2">L4/G4</f>
        <v>233333.33333333334</v>
      </c>
    </row>
    <row r="5" spans="3:14" x14ac:dyDescent="0.25">
      <c r="C5" s="1">
        <v>30</v>
      </c>
      <c r="D5" s="2">
        <f t="shared" si="0"/>
        <v>300000000</v>
      </c>
      <c r="E5" s="2">
        <v>3060</v>
      </c>
      <c r="G5" s="2">
        <f>E5*0.111111</f>
        <v>339.99966000000001</v>
      </c>
      <c r="I5" s="2">
        <f>E5</f>
        <v>3060</v>
      </c>
      <c r="J5" s="2">
        <f>D5</f>
        <v>300000000</v>
      </c>
      <c r="K5" s="2">
        <f t="shared" si="1"/>
        <v>6120000</v>
      </c>
      <c r="L5" s="2">
        <f t="shared" ref="L5:L9" si="3">J5-K5</f>
        <v>293880000</v>
      </c>
      <c r="M5" s="2">
        <f t="shared" si="2"/>
        <v>864353.80553027615</v>
      </c>
      <c r="N5" t="s">
        <v>40</v>
      </c>
    </row>
    <row r="6" spans="3:14" x14ac:dyDescent="0.25">
      <c r="C6" s="1">
        <v>6.35</v>
      </c>
      <c r="D6" s="2">
        <f t="shared" si="0"/>
        <v>63500000</v>
      </c>
      <c r="E6" s="2">
        <v>1900</v>
      </c>
      <c r="G6" s="2">
        <f>E6*0.111111</f>
        <v>211.11090000000002</v>
      </c>
      <c r="H6" s="2">
        <v>4</v>
      </c>
      <c r="I6" s="2">
        <f>H6*E6</f>
        <v>7600</v>
      </c>
      <c r="J6" s="2">
        <f t="shared" ref="J6:J8" si="4">H6*D6</f>
        <v>254000000</v>
      </c>
      <c r="K6" s="2">
        <f t="shared" si="1"/>
        <v>15200000</v>
      </c>
      <c r="L6" s="2">
        <f t="shared" si="3"/>
        <v>238800000</v>
      </c>
      <c r="M6" s="2">
        <f t="shared" si="2"/>
        <v>1131159.025895868</v>
      </c>
      <c r="N6" t="s">
        <v>41</v>
      </c>
    </row>
    <row r="7" spans="3:14" x14ac:dyDescent="0.25">
      <c r="C7" s="1">
        <v>11.25</v>
      </c>
      <c r="D7" s="2">
        <f t="shared" si="0"/>
        <v>112500000</v>
      </c>
      <c r="E7" s="2">
        <v>1440</v>
      </c>
      <c r="G7" s="2">
        <f>E7*0.111111</f>
        <v>159.99984000000001</v>
      </c>
      <c r="H7" s="2">
        <v>5</v>
      </c>
      <c r="I7" s="2">
        <f>H7*E7</f>
        <v>7200</v>
      </c>
      <c r="J7" s="2">
        <f>D7</f>
        <v>112500000</v>
      </c>
      <c r="K7" s="2">
        <f t="shared" si="1"/>
        <v>14400000</v>
      </c>
      <c r="L7" s="2">
        <f t="shared" si="3"/>
        <v>98100000</v>
      </c>
      <c r="M7" s="2">
        <f t="shared" si="2"/>
        <v>613125.61312561308</v>
      </c>
      <c r="N7" t="s">
        <v>42</v>
      </c>
    </row>
    <row r="8" spans="3:14" x14ac:dyDescent="0.25">
      <c r="C8" s="1">
        <v>15</v>
      </c>
      <c r="D8" s="2">
        <f t="shared" si="0"/>
        <v>150000000</v>
      </c>
      <c r="E8" s="2">
        <v>7000</v>
      </c>
      <c r="G8" s="2">
        <f>E8*0.111111</f>
        <v>777.77700000000004</v>
      </c>
      <c r="H8" s="2">
        <v>4</v>
      </c>
      <c r="I8" s="2">
        <f>H8*E8</f>
        <v>28000</v>
      </c>
      <c r="J8" s="2">
        <f t="shared" si="4"/>
        <v>600000000</v>
      </c>
      <c r="K8" s="2">
        <f t="shared" si="1"/>
        <v>56000000</v>
      </c>
      <c r="L8" s="2">
        <f t="shared" si="3"/>
        <v>544000000</v>
      </c>
      <c r="M8" s="2">
        <f t="shared" si="2"/>
        <v>699429.27085784229</v>
      </c>
      <c r="N8" t="s">
        <v>44</v>
      </c>
    </row>
    <row r="9" spans="3:14" x14ac:dyDescent="0.25">
      <c r="C9" s="1">
        <v>20</v>
      </c>
      <c r="D9" s="2">
        <f t="shared" si="0"/>
        <v>200000000</v>
      </c>
      <c r="G9" s="2">
        <v>400</v>
      </c>
      <c r="I9" s="2">
        <v>5000</v>
      </c>
      <c r="J9" s="2">
        <f>D9</f>
        <v>200000000</v>
      </c>
      <c r="K9" s="2">
        <f t="shared" si="1"/>
        <v>10000000</v>
      </c>
      <c r="L9" s="2">
        <f t="shared" si="3"/>
        <v>190000000</v>
      </c>
      <c r="M9" s="2">
        <f t="shared" si="2"/>
        <v>475000</v>
      </c>
      <c r="N9" t="s">
        <v>18</v>
      </c>
    </row>
    <row r="10" spans="3:14" x14ac:dyDescent="0.25">
      <c r="M10" s="2">
        <f>AVERAGE(M4:M9)</f>
        <v>669400.17479048879</v>
      </c>
    </row>
    <row r="14" spans="3:14" x14ac:dyDescent="0.25">
      <c r="D14" s="2">
        <f>D8/E8</f>
        <v>21428.571428571428</v>
      </c>
    </row>
  </sheetData>
  <mergeCells count="1">
    <mergeCell ref="C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8"/>
  <sheetViews>
    <sheetView tabSelected="1" workbookViewId="0">
      <selection activeCell="K19" sqref="K19"/>
    </sheetView>
  </sheetViews>
  <sheetFormatPr defaultRowHeight="15" x14ac:dyDescent="0.25"/>
  <cols>
    <col min="2" max="2" width="10.5703125" bestFit="1" customWidth="1"/>
    <col min="3" max="3" width="9.140625" style="16"/>
    <col min="4" max="4" width="12.5703125" style="2" bestFit="1" customWidth="1"/>
    <col min="5" max="5" width="11.42578125" style="2" bestFit="1" customWidth="1"/>
    <col min="6" max="6" width="12.5703125" bestFit="1" customWidth="1"/>
    <col min="8" max="8" width="11.28515625" bestFit="1" customWidth="1"/>
    <col min="9" max="9" width="16.7109375" bestFit="1" customWidth="1"/>
    <col min="12" max="12" width="11.5703125" bestFit="1" customWidth="1"/>
    <col min="13" max="13" width="12.5703125" bestFit="1" customWidth="1"/>
    <col min="14" max="14" width="10" bestFit="1" customWidth="1"/>
  </cols>
  <sheetData>
    <row r="2" spans="2:16" x14ac:dyDescent="0.25">
      <c r="E2" s="14" t="s">
        <v>46</v>
      </c>
      <c r="F2" s="15" t="s">
        <v>50</v>
      </c>
    </row>
    <row r="3" spans="2:16" x14ac:dyDescent="0.25">
      <c r="E3" s="14" t="s">
        <v>47</v>
      </c>
      <c r="F3" s="15" t="s">
        <v>15</v>
      </c>
      <c r="G3" s="15" t="s">
        <v>24</v>
      </c>
      <c r="H3" s="15" t="s">
        <v>35</v>
      </c>
      <c r="I3" s="15" t="s">
        <v>52</v>
      </c>
    </row>
    <row r="4" spans="2:16" x14ac:dyDescent="0.25">
      <c r="C4" s="16">
        <v>15</v>
      </c>
      <c r="D4" s="2">
        <f>C4*10^7</f>
        <v>150000000</v>
      </c>
      <c r="E4" s="2">
        <v>7000</v>
      </c>
      <c r="I4" s="2"/>
      <c r="P4" t="s">
        <v>45</v>
      </c>
    </row>
    <row r="5" spans="2:16" x14ac:dyDescent="0.25">
      <c r="B5" t="s">
        <v>49</v>
      </c>
      <c r="C5" s="16">
        <v>3.75</v>
      </c>
      <c r="D5" s="2">
        <f>C5*10^7</f>
        <v>37500000</v>
      </c>
      <c r="F5" s="2">
        <v>1125</v>
      </c>
      <c r="G5" t="s">
        <v>51</v>
      </c>
      <c r="H5">
        <v>2</v>
      </c>
      <c r="I5" s="2">
        <f>D5/F5</f>
        <v>33333.333333333336</v>
      </c>
      <c r="P5" s="18" t="s">
        <v>48</v>
      </c>
    </row>
    <row r="6" spans="2:16" x14ac:dyDescent="0.25">
      <c r="B6" t="s">
        <v>53</v>
      </c>
      <c r="C6" s="16">
        <v>9</v>
      </c>
      <c r="D6" s="2">
        <f>C6*10^7</f>
        <v>90000000</v>
      </c>
      <c r="E6" s="2">
        <v>2400</v>
      </c>
      <c r="F6" s="2">
        <v>3000</v>
      </c>
      <c r="G6" t="s">
        <v>54</v>
      </c>
      <c r="H6">
        <v>4</v>
      </c>
      <c r="I6" s="2">
        <f>D6/F6</f>
        <v>30000</v>
      </c>
      <c r="P6" t="s">
        <v>55</v>
      </c>
    </row>
    <row r="7" spans="2:16" x14ac:dyDescent="0.25">
      <c r="C7" s="16">
        <v>6.35</v>
      </c>
      <c r="D7" s="2">
        <f>C7*10^7</f>
        <v>63500000</v>
      </c>
      <c r="E7" s="2">
        <v>1790</v>
      </c>
      <c r="F7" s="2"/>
      <c r="G7" t="s">
        <v>51</v>
      </c>
      <c r="H7">
        <v>4</v>
      </c>
      <c r="I7" s="2">
        <f>D7/E7</f>
        <v>35474.860335195532</v>
      </c>
      <c r="P7" t="s">
        <v>41</v>
      </c>
    </row>
    <row r="8" spans="2:16" x14ac:dyDescent="0.25">
      <c r="I8" s="2"/>
    </row>
    <row r="9" spans="2:16" x14ac:dyDescent="0.25">
      <c r="I9" s="2"/>
    </row>
    <row r="10" spans="2:16" x14ac:dyDescent="0.25">
      <c r="B10" t="s">
        <v>53</v>
      </c>
      <c r="C10" s="16">
        <v>22</v>
      </c>
      <c r="D10" s="2">
        <f t="shared" ref="D10:D19" si="0">C10*10^7</f>
        <v>220000000</v>
      </c>
      <c r="E10" s="2">
        <f>1280*5</f>
        <v>6400</v>
      </c>
      <c r="F10" s="2">
        <f>1575*5</f>
        <v>7875</v>
      </c>
      <c r="G10" t="s">
        <v>56</v>
      </c>
      <c r="H10">
        <v>5</v>
      </c>
      <c r="I10" s="2">
        <f>D10/F10</f>
        <v>27936.507936507936</v>
      </c>
      <c r="J10" s="3">
        <f>F10/H10</f>
        <v>1575</v>
      </c>
      <c r="K10" s="3">
        <f>J10/9</f>
        <v>175</v>
      </c>
      <c r="L10" s="3">
        <f t="shared" ref="L10:L15" si="1">F10*1500</f>
        <v>11812500</v>
      </c>
      <c r="M10" s="3">
        <f t="shared" ref="M10:M15" si="2">D10-L10</f>
        <v>208187500</v>
      </c>
      <c r="N10" s="3">
        <f t="shared" ref="N10:N15" si="3">M10/K10</f>
        <v>1189642.857142857</v>
      </c>
      <c r="O10" s="3"/>
      <c r="P10" t="s">
        <v>22</v>
      </c>
    </row>
    <row r="11" spans="2:16" x14ac:dyDescent="0.25">
      <c r="B11" t="s">
        <v>53</v>
      </c>
      <c r="C11" s="16">
        <v>16</v>
      </c>
      <c r="D11" s="2">
        <f t="shared" si="0"/>
        <v>160000000</v>
      </c>
      <c r="E11" s="2">
        <v>5000</v>
      </c>
      <c r="F11" s="2">
        <f>E11*1.2</f>
        <v>6000</v>
      </c>
      <c r="G11" t="s">
        <v>56</v>
      </c>
      <c r="H11">
        <v>1</v>
      </c>
      <c r="I11" s="2">
        <f>D11/E11</f>
        <v>32000</v>
      </c>
      <c r="J11" s="3">
        <f t="shared" ref="J11:J15" si="4">F11/H11</f>
        <v>6000</v>
      </c>
      <c r="K11" s="3">
        <f t="shared" ref="K11:K15" si="5">J11/9</f>
        <v>666.66666666666663</v>
      </c>
      <c r="L11" s="3">
        <f t="shared" si="1"/>
        <v>9000000</v>
      </c>
      <c r="M11" s="3">
        <f t="shared" si="2"/>
        <v>151000000</v>
      </c>
      <c r="N11" s="3">
        <f t="shared" si="3"/>
        <v>226500</v>
      </c>
      <c r="O11" s="3"/>
      <c r="P11" t="s">
        <v>19</v>
      </c>
    </row>
    <row r="12" spans="2:16" x14ac:dyDescent="0.25">
      <c r="C12" s="16">
        <v>4</v>
      </c>
      <c r="D12" s="2">
        <f t="shared" si="0"/>
        <v>40000000</v>
      </c>
      <c r="E12" s="2">
        <v>887</v>
      </c>
      <c r="F12" s="2">
        <f>E12*1.2</f>
        <v>1064.3999999999999</v>
      </c>
      <c r="G12" t="s">
        <v>56</v>
      </c>
      <c r="H12">
        <v>1</v>
      </c>
      <c r="I12" s="2">
        <f>D12/E12</f>
        <v>45095.828635851183</v>
      </c>
      <c r="J12" s="3">
        <f t="shared" si="4"/>
        <v>1064.3999999999999</v>
      </c>
      <c r="K12" s="3">
        <f t="shared" si="5"/>
        <v>118.26666666666665</v>
      </c>
      <c r="L12" s="3">
        <f t="shared" si="1"/>
        <v>1596599.9999999998</v>
      </c>
      <c r="M12" s="3">
        <f t="shared" si="2"/>
        <v>38403400</v>
      </c>
      <c r="N12" s="3">
        <f t="shared" si="3"/>
        <v>324718.71476888395</v>
      </c>
      <c r="O12" s="3"/>
      <c r="P12" t="s">
        <v>57</v>
      </c>
    </row>
    <row r="13" spans="2:16" x14ac:dyDescent="0.25">
      <c r="C13" s="16">
        <v>30</v>
      </c>
      <c r="D13" s="2">
        <f t="shared" si="0"/>
        <v>300000000</v>
      </c>
      <c r="F13" s="2">
        <v>3060</v>
      </c>
      <c r="G13" t="s">
        <v>56</v>
      </c>
      <c r="H13">
        <v>1</v>
      </c>
      <c r="I13" s="2">
        <f>D13/F13</f>
        <v>98039.215686274503</v>
      </c>
      <c r="J13" s="3">
        <f t="shared" si="4"/>
        <v>3060</v>
      </c>
      <c r="K13" s="3">
        <f t="shared" si="5"/>
        <v>340</v>
      </c>
      <c r="L13" s="3">
        <f t="shared" si="1"/>
        <v>4590000</v>
      </c>
      <c r="M13" s="3">
        <f t="shared" si="2"/>
        <v>295410000</v>
      </c>
      <c r="N13" s="22">
        <f t="shared" si="3"/>
        <v>868852.9411764706</v>
      </c>
      <c r="O13" s="3"/>
      <c r="P13" t="s">
        <v>60</v>
      </c>
    </row>
    <row r="14" spans="2:16" x14ac:dyDescent="0.25">
      <c r="C14" s="16">
        <v>5</v>
      </c>
      <c r="D14" s="2">
        <f t="shared" si="0"/>
        <v>50000000</v>
      </c>
      <c r="F14" s="2">
        <v>1055</v>
      </c>
      <c r="G14" t="s">
        <v>56</v>
      </c>
      <c r="I14" s="2">
        <f>D14/F14</f>
        <v>47393.364928909956</v>
      </c>
      <c r="J14" s="3">
        <f>F14</f>
        <v>1055</v>
      </c>
      <c r="K14" s="3">
        <f t="shared" si="5"/>
        <v>117.22222222222223</v>
      </c>
      <c r="L14" s="3">
        <f t="shared" si="1"/>
        <v>1582500</v>
      </c>
      <c r="M14" s="3">
        <f t="shared" si="2"/>
        <v>48417500</v>
      </c>
      <c r="N14" s="22">
        <f t="shared" si="3"/>
        <v>413040.28436018957</v>
      </c>
      <c r="O14" s="3"/>
      <c r="P14" t="s">
        <v>61</v>
      </c>
    </row>
    <row r="15" spans="2:16" x14ac:dyDescent="0.25">
      <c r="C15" s="16">
        <v>33</v>
      </c>
      <c r="D15" s="2">
        <f t="shared" si="0"/>
        <v>330000000</v>
      </c>
      <c r="F15" s="2">
        <v>9900</v>
      </c>
      <c r="G15" t="s">
        <v>56</v>
      </c>
      <c r="H15">
        <v>3</v>
      </c>
      <c r="I15" s="2">
        <f>D15/F15</f>
        <v>33333.333333333336</v>
      </c>
      <c r="J15" s="3">
        <f t="shared" si="4"/>
        <v>3300</v>
      </c>
      <c r="K15" s="3">
        <f t="shared" si="5"/>
        <v>366.66666666666669</v>
      </c>
      <c r="L15" s="3">
        <f t="shared" si="1"/>
        <v>14850000</v>
      </c>
      <c r="M15" s="3">
        <f t="shared" si="2"/>
        <v>315150000</v>
      </c>
      <c r="N15" s="22">
        <f t="shared" si="3"/>
        <v>859500</v>
      </c>
      <c r="O15" s="3"/>
      <c r="P15" t="s">
        <v>62</v>
      </c>
    </row>
    <row r="16" spans="2:16" x14ac:dyDescent="0.25">
      <c r="C16" s="16">
        <v>68</v>
      </c>
      <c r="D16" s="2">
        <f t="shared" si="0"/>
        <v>680000000</v>
      </c>
      <c r="E16"/>
      <c r="K16">
        <v>2772</v>
      </c>
      <c r="N16" s="2">
        <f>D16/K16</f>
        <v>245310.24531024531</v>
      </c>
    </row>
    <row r="17" spans="2:16" x14ac:dyDescent="0.25">
      <c r="C17" s="16">
        <v>6.5</v>
      </c>
      <c r="D17" s="2">
        <f t="shared" si="0"/>
        <v>65000000</v>
      </c>
      <c r="E17"/>
      <c r="K17">
        <v>17</v>
      </c>
      <c r="N17" s="2">
        <f>D17/K17</f>
        <v>3823529.411764706</v>
      </c>
    </row>
    <row r="18" spans="2:16" x14ac:dyDescent="0.25">
      <c r="C18" s="16">
        <v>4</v>
      </c>
      <c r="D18" s="2">
        <f t="shared" si="0"/>
        <v>40000000</v>
      </c>
      <c r="E18"/>
      <c r="K18">
        <v>98</v>
      </c>
      <c r="N18" s="23">
        <f>D18/K18</f>
        <v>408163.26530612243</v>
      </c>
    </row>
    <row r="19" spans="2:16" x14ac:dyDescent="0.25">
      <c r="C19" s="16">
        <v>20</v>
      </c>
      <c r="D19" s="2">
        <f t="shared" si="0"/>
        <v>200000000</v>
      </c>
      <c r="E19"/>
      <c r="K19">
        <v>555</v>
      </c>
      <c r="N19" s="2">
        <f>D19/K19</f>
        <v>360360.36036036036</v>
      </c>
    </row>
    <row r="20" spans="2:16" x14ac:dyDescent="0.25">
      <c r="F20" s="3">
        <f>F11*1500</f>
        <v>9000000</v>
      </c>
      <c r="I20" s="1">
        <f>F15*1500</f>
        <v>14850000</v>
      </c>
    </row>
    <row r="21" spans="2:16" x14ac:dyDescent="0.25">
      <c r="F21" s="3">
        <f>D11-F20</f>
        <v>151000000</v>
      </c>
      <c r="I21" s="1">
        <f>D15-I20</f>
        <v>315150000</v>
      </c>
    </row>
    <row r="22" spans="2:16" x14ac:dyDescent="0.25">
      <c r="F22" s="2">
        <f>F21/K11</f>
        <v>226500</v>
      </c>
      <c r="I22" s="2">
        <f>I21/K15</f>
        <v>859500</v>
      </c>
    </row>
    <row r="23" spans="2:16" x14ac:dyDescent="0.25">
      <c r="B23" t="s">
        <v>58</v>
      </c>
      <c r="C23" s="16">
        <v>18</v>
      </c>
      <c r="D23" s="2">
        <f>C23*10^7</f>
        <v>180000000</v>
      </c>
      <c r="E23" s="2">
        <v>450</v>
      </c>
      <c r="I23" s="2">
        <f>D23/E23</f>
        <v>400000</v>
      </c>
      <c r="P23" t="s">
        <v>59</v>
      </c>
    </row>
    <row r="26" spans="2:16" x14ac:dyDescent="0.25">
      <c r="I26" s="2"/>
    </row>
    <row r="27" spans="2:16" x14ac:dyDescent="0.25">
      <c r="I27" s="2"/>
    </row>
    <row r="28" spans="2:16" x14ac:dyDescent="0.25">
      <c r="I28" s="2"/>
    </row>
  </sheetData>
  <hyperlinks>
    <hyperlink ref="P5" r:id="rId1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26"/>
  <sheetViews>
    <sheetView workbookViewId="0">
      <selection activeCell="F14" sqref="F14"/>
    </sheetView>
  </sheetViews>
  <sheetFormatPr defaultRowHeight="15" x14ac:dyDescent="0.25"/>
  <cols>
    <col min="2" max="2" width="22.85546875" bestFit="1" customWidth="1"/>
    <col min="3" max="3" width="12.5703125" bestFit="1" customWidth="1"/>
    <col min="4" max="4" width="12.7109375" bestFit="1" customWidth="1"/>
    <col min="5" max="5" width="12.5703125" customWidth="1"/>
    <col min="6" max="6" width="15.28515625" bestFit="1" customWidth="1"/>
    <col min="7" max="7" width="12.5703125" style="2" bestFit="1" customWidth="1"/>
    <col min="15" max="15" width="9.140625" style="1"/>
  </cols>
  <sheetData>
    <row r="3" spans="2:15" x14ac:dyDescent="0.25">
      <c r="B3" t="s">
        <v>63</v>
      </c>
      <c r="C3" s="2">
        <v>1506</v>
      </c>
      <c r="D3" t="s">
        <v>2</v>
      </c>
    </row>
    <row r="4" spans="2:15" x14ac:dyDescent="0.25">
      <c r="B4" t="s">
        <v>64</v>
      </c>
      <c r="C4" s="2">
        <v>629.59799999999996</v>
      </c>
      <c r="D4" t="s">
        <v>1</v>
      </c>
      <c r="F4" s="17">
        <v>0.5</v>
      </c>
    </row>
    <row r="5" spans="2:15" x14ac:dyDescent="0.25">
      <c r="B5" t="s">
        <v>65</v>
      </c>
      <c r="C5" s="2">
        <v>2518.3939999999998</v>
      </c>
      <c r="D5" t="s">
        <v>1</v>
      </c>
      <c r="E5" s="2">
        <f>C5*10.764</f>
        <v>27107.993015999997</v>
      </c>
      <c r="F5" s="17">
        <v>2</v>
      </c>
    </row>
    <row r="7" spans="2:15" x14ac:dyDescent="0.25">
      <c r="C7" s="19" t="s">
        <v>73</v>
      </c>
      <c r="D7" s="19" t="s">
        <v>15</v>
      </c>
      <c r="E7" s="19" t="s">
        <v>72</v>
      </c>
      <c r="N7" t="s">
        <v>74</v>
      </c>
    </row>
    <row r="8" spans="2:15" x14ac:dyDescent="0.25">
      <c r="B8" t="s">
        <v>66</v>
      </c>
      <c r="C8">
        <v>623.13</v>
      </c>
      <c r="D8" s="2">
        <f t="shared" ref="D8:D13" si="0">C8*10.764</f>
        <v>6707.3713199999993</v>
      </c>
      <c r="E8" s="2">
        <v>33000</v>
      </c>
      <c r="F8" s="2">
        <f>D8*E8</f>
        <v>221343253.55999997</v>
      </c>
      <c r="G8" s="1">
        <f>F8/10^7</f>
        <v>22.134325355999998</v>
      </c>
      <c r="L8" s="3">
        <f>D8*0.8</f>
        <v>5365.8970559999998</v>
      </c>
      <c r="N8" s="2">
        <f>L8</f>
        <v>5365.8970559999998</v>
      </c>
    </row>
    <row r="9" spans="2:15" x14ac:dyDescent="0.25">
      <c r="B9" t="s">
        <v>67</v>
      </c>
      <c r="C9">
        <v>623.13</v>
      </c>
      <c r="D9" s="2">
        <f t="shared" si="0"/>
        <v>6707.3713199999993</v>
      </c>
      <c r="E9" s="2">
        <v>30000</v>
      </c>
      <c r="F9" s="2">
        <f t="shared" ref="F9:F13" si="1">D9*E9</f>
        <v>201221139.59999996</v>
      </c>
      <c r="G9" s="1">
        <f t="shared" ref="G9:G11" si="2">F9/10^7</f>
        <v>20.122113959999997</v>
      </c>
      <c r="H9">
        <f>[1]Sheet1!$H$4</f>
        <v>0</v>
      </c>
      <c r="I9" s="3">
        <f>D9-H9</f>
        <v>6707.3713199999993</v>
      </c>
      <c r="L9" s="3">
        <f t="shared" ref="L9:L13" si="3">D9*0.8</f>
        <v>5365.8970559999998</v>
      </c>
      <c r="M9" t="e">
        <f>#REF!</f>
        <v>#REF!</v>
      </c>
      <c r="N9" s="3" t="e">
        <f>L9-M9</f>
        <v>#REF!</v>
      </c>
      <c r="O9" s="1" t="e">
        <f>N9/L9</f>
        <v>#REF!</v>
      </c>
    </row>
    <row r="10" spans="2:15" x14ac:dyDescent="0.25">
      <c r="B10" t="s">
        <v>68</v>
      </c>
      <c r="C10">
        <v>623.13</v>
      </c>
      <c r="D10" s="2">
        <f t="shared" si="0"/>
        <v>6707.3713199999993</v>
      </c>
      <c r="E10" s="2">
        <v>27000</v>
      </c>
      <c r="F10" s="2">
        <f t="shared" si="1"/>
        <v>181099025.63999999</v>
      </c>
      <c r="G10" s="1">
        <f t="shared" si="2"/>
        <v>18.109902563999999</v>
      </c>
      <c r="H10">
        <f>[1]Sheet1!$H$5</f>
        <v>0</v>
      </c>
      <c r="I10" s="3">
        <f t="shared" ref="I10:I11" si="4">D10-H10</f>
        <v>6707.3713199999993</v>
      </c>
      <c r="L10" s="3">
        <f t="shared" si="3"/>
        <v>5365.8970559999998</v>
      </c>
      <c r="M10" t="e">
        <f>#REF!</f>
        <v>#REF!</v>
      </c>
      <c r="N10" s="3" t="e">
        <f t="shared" ref="N10:N11" si="5">L10-M10</f>
        <v>#REF!</v>
      </c>
      <c r="O10" s="1" t="e">
        <f t="shared" ref="O10:O11" si="6">N10/L10</f>
        <v>#REF!</v>
      </c>
    </row>
    <row r="11" spans="2:15" x14ac:dyDescent="0.25">
      <c r="B11" t="s">
        <v>69</v>
      </c>
      <c r="C11">
        <v>623.13</v>
      </c>
      <c r="D11" s="2">
        <f t="shared" si="0"/>
        <v>6707.3713199999993</v>
      </c>
      <c r="E11" s="2">
        <v>24000</v>
      </c>
      <c r="F11" s="2">
        <f t="shared" si="1"/>
        <v>160976911.67999998</v>
      </c>
      <c r="G11" s="1">
        <f t="shared" si="2"/>
        <v>16.097691167999997</v>
      </c>
      <c r="H11">
        <f>[1]Sheet1!$H$6+[1]Sheet1!$H$7</f>
        <v>0</v>
      </c>
      <c r="I11" s="3">
        <f t="shared" si="4"/>
        <v>6707.3713199999993</v>
      </c>
      <c r="L11" s="3">
        <f t="shared" si="3"/>
        <v>5365.8970559999998</v>
      </c>
      <c r="M11" t="e">
        <f>#REF!</f>
        <v>#REF!</v>
      </c>
      <c r="N11" s="3" t="e">
        <f t="shared" si="5"/>
        <v>#REF!</v>
      </c>
      <c r="O11" s="1" t="e">
        <f t="shared" si="6"/>
        <v>#REF!</v>
      </c>
    </row>
    <row r="12" spans="2:15" x14ac:dyDescent="0.25">
      <c r="B12" t="s">
        <v>70</v>
      </c>
      <c r="C12">
        <v>623.13</v>
      </c>
      <c r="D12" s="2">
        <f t="shared" si="0"/>
        <v>6707.3713199999993</v>
      </c>
      <c r="E12" s="2"/>
      <c r="F12" s="2">
        <f t="shared" si="1"/>
        <v>0</v>
      </c>
      <c r="G12" s="1">
        <f>F12/10^7</f>
        <v>0</v>
      </c>
      <c r="L12" s="3"/>
    </row>
    <row r="13" spans="2:15" x14ac:dyDescent="0.25">
      <c r="B13" t="s">
        <v>71</v>
      </c>
      <c r="C13">
        <v>623.13</v>
      </c>
      <c r="D13" s="2">
        <f t="shared" si="0"/>
        <v>6707.3713199999993</v>
      </c>
      <c r="E13" s="2">
        <v>11000</v>
      </c>
      <c r="F13" s="2">
        <f t="shared" si="1"/>
        <v>73781084.519999996</v>
      </c>
      <c r="G13" s="1">
        <f>F13/10^7</f>
        <v>7.3781084519999993</v>
      </c>
      <c r="H13">
        <f>[1]Sheet1!$H$8</f>
        <v>0</v>
      </c>
      <c r="I13" s="3">
        <f>D13-H13</f>
        <v>6707.3713199999993</v>
      </c>
      <c r="L13" s="3">
        <f t="shared" si="3"/>
        <v>5365.8970559999998</v>
      </c>
      <c r="M13" t="e">
        <f>#REF!</f>
        <v>#REF!</v>
      </c>
      <c r="N13" s="3" t="e">
        <f>L13-M13</f>
        <v>#REF!</v>
      </c>
      <c r="O13" s="1" t="e">
        <f>N13/L13</f>
        <v>#REF!</v>
      </c>
    </row>
    <row r="14" spans="2:15" x14ac:dyDescent="0.25">
      <c r="C14" s="3">
        <f>SUM(C8:C13)</f>
        <v>3738.78</v>
      </c>
      <c r="D14" s="3">
        <f>SUM(D8:D13)</f>
        <v>40244.227919999998</v>
      </c>
      <c r="N14" s="3" t="e">
        <f>SUM(N8:N13)</f>
        <v>#REF!</v>
      </c>
    </row>
    <row r="15" spans="2:15" x14ac:dyDescent="0.25">
      <c r="D15" s="3">
        <f>D14-D12</f>
        <v>33536.856599999999</v>
      </c>
      <c r="G15" s="1">
        <f>SUM(G8:G14)</f>
        <v>83.842141499999997</v>
      </c>
    </row>
    <row r="16" spans="2:15" x14ac:dyDescent="0.25">
      <c r="F16" s="2">
        <f>SUM(F8:F15)</f>
        <v>838421414.99999988</v>
      </c>
      <c r="G16" s="2">
        <f>D14*1800</f>
        <v>72439610.255999997</v>
      </c>
    </row>
    <row r="17" spans="3:13" x14ac:dyDescent="0.25">
      <c r="C17" s="2">
        <f>SUM(C8:C11)</f>
        <v>2492.52</v>
      </c>
      <c r="D17">
        <v>628.13</v>
      </c>
      <c r="F17" s="2">
        <f>F16/5</f>
        <v>167684282.99999997</v>
      </c>
      <c r="G17" s="2">
        <f>F16-G16</f>
        <v>765981804.74399984</v>
      </c>
    </row>
    <row r="18" spans="3:13" x14ac:dyDescent="0.25">
      <c r="C18" s="3">
        <f>C17*10.764</f>
        <v>26829.485279999997</v>
      </c>
      <c r="D18" s="3">
        <f>D17*10.764</f>
        <v>6761.1913199999999</v>
      </c>
      <c r="E18" s="3"/>
      <c r="G18" s="2">
        <f>G17/C3</f>
        <v>508620.05627091625</v>
      </c>
    </row>
    <row r="19" spans="3:13" x14ac:dyDescent="0.25">
      <c r="C19" s="2">
        <v>30000</v>
      </c>
      <c r="D19" s="2">
        <v>30000</v>
      </c>
      <c r="E19" s="2"/>
    </row>
    <row r="20" spans="3:13" x14ac:dyDescent="0.25">
      <c r="C20" s="2">
        <f>C19*C18</f>
        <v>804884558.39999986</v>
      </c>
      <c r="D20" s="2">
        <f>D19*D18</f>
        <v>202835739.59999999</v>
      </c>
      <c r="E20" s="2"/>
      <c r="M20" t="s">
        <v>75</v>
      </c>
    </row>
    <row r="21" spans="3:13" x14ac:dyDescent="0.25">
      <c r="M21" t="s">
        <v>76</v>
      </c>
    </row>
    <row r="22" spans="3:13" x14ac:dyDescent="0.25">
      <c r="M22" t="s">
        <v>77</v>
      </c>
    </row>
    <row r="25" spans="3:13" x14ac:dyDescent="0.25">
      <c r="D25" s="2">
        <f>D13+D11+D10+D9+D8</f>
        <v>33536.856599999999</v>
      </c>
      <c r="E25" s="2">
        <f>[1]Sheet1!$H$9</f>
        <v>0</v>
      </c>
      <c r="F25" s="2">
        <f>D25-E25</f>
        <v>33536.856599999999</v>
      </c>
    </row>
    <row r="26" spans="3:13" x14ac:dyDescent="0.25">
      <c r="D26" s="3">
        <f>D25-E5</f>
        <v>6428.8635840000024</v>
      </c>
      <c r="E26" s="3">
        <f>E5</f>
        <v>27107.993015999997</v>
      </c>
      <c r="F26" s="3">
        <f>E26-E25</f>
        <v>27107.993015999997</v>
      </c>
      <c r="G26" s="1">
        <f>F26*150</f>
        <v>4066198.9523999994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26"/>
  <sheetViews>
    <sheetView workbookViewId="0">
      <selection activeCell="G15" sqref="G15"/>
    </sheetView>
  </sheetViews>
  <sheetFormatPr defaultRowHeight="15" x14ac:dyDescent="0.25"/>
  <cols>
    <col min="2" max="2" width="22.85546875" bestFit="1" customWidth="1"/>
    <col min="3" max="3" width="12.5703125" bestFit="1" customWidth="1"/>
    <col min="4" max="4" width="12.7109375" bestFit="1" customWidth="1"/>
    <col min="5" max="5" width="12.5703125" customWidth="1"/>
    <col min="6" max="6" width="15.28515625" bestFit="1" customWidth="1"/>
    <col min="7" max="7" width="12.5703125" style="2" bestFit="1" customWidth="1"/>
    <col min="15" max="15" width="9.140625" style="1"/>
  </cols>
  <sheetData>
    <row r="3" spans="2:15" x14ac:dyDescent="0.25">
      <c r="B3" t="s">
        <v>63</v>
      </c>
      <c r="C3" s="2">
        <v>1506</v>
      </c>
      <c r="D3" t="s">
        <v>2</v>
      </c>
    </row>
    <row r="4" spans="2:15" x14ac:dyDescent="0.25">
      <c r="B4" t="s">
        <v>64</v>
      </c>
      <c r="C4" s="2">
        <v>629.59799999999996</v>
      </c>
      <c r="D4" t="s">
        <v>1</v>
      </c>
      <c r="F4" s="17">
        <v>0.5</v>
      </c>
    </row>
    <row r="5" spans="2:15" x14ac:dyDescent="0.25">
      <c r="B5" t="s">
        <v>65</v>
      </c>
      <c r="C5" s="2">
        <v>2518.3939999999998</v>
      </c>
      <c r="D5" t="s">
        <v>1</v>
      </c>
      <c r="E5" s="2">
        <f>C5*10.764</f>
        <v>27107.993015999997</v>
      </c>
      <c r="F5" s="17">
        <v>2</v>
      </c>
    </row>
    <row r="7" spans="2:15" x14ac:dyDescent="0.25">
      <c r="C7" s="19" t="s">
        <v>73</v>
      </c>
      <c r="D7" s="19" t="s">
        <v>15</v>
      </c>
      <c r="E7" s="19" t="s">
        <v>72</v>
      </c>
      <c r="N7" t="s">
        <v>74</v>
      </c>
    </row>
    <row r="8" spans="2:15" x14ac:dyDescent="0.25">
      <c r="B8" t="s">
        <v>66</v>
      </c>
      <c r="C8">
        <v>623.13</v>
      </c>
      <c r="D8" s="2">
        <f t="shared" ref="D8:D13" si="0">C8*10.764</f>
        <v>6707.3713199999993</v>
      </c>
      <c r="E8" s="2">
        <v>35000</v>
      </c>
      <c r="F8" s="2">
        <f>D8*E8</f>
        <v>234757996.19999999</v>
      </c>
      <c r="G8" s="1">
        <f>F8/10^7</f>
        <v>23.47579962</v>
      </c>
      <c r="L8" s="3">
        <f>D8*0.8</f>
        <v>5365.8970559999998</v>
      </c>
      <c r="N8" s="2">
        <f>L8</f>
        <v>5365.8970559999998</v>
      </c>
    </row>
    <row r="9" spans="2:15" x14ac:dyDescent="0.25">
      <c r="B9" t="s">
        <v>67</v>
      </c>
      <c r="C9">
        <v>623.13</v>
      </c>
      <c r="D9" s="2">
        <f t="shared" si="0"/>
        <v>6707.3713199999993</v>
      </c>
      <c r="E9" s="2">
        <v>33000</v>
      </c>
      <c r="F9" s="2">
        <f t="shared" ref="F9:F13" si="1">D9*E9</f>
        <v>221343253.55999997</v>
      </c>
      <c r="G9" s="1">
        <f t="shared" ref="G9:G11" si="2">F9/10^7</f>
        <v>22.134325355999998</v>
      </c>
      <c r="H9">
        <f>[1]Sheet1!$H$4</f>
        <v>0</v>
      </c>
      <c r="I9" s="3">
        <f>D9-H9</f>
        <v>6707.3713199999993</v>
      </c>
      <c r="L9" s="3">
        <f t="shared" ref="L9:L13" si="3">D9*0.8</f>
        <v>5365.8970559999998</v>
      </c>
      <c r="M9" t="e">
        <f>#REF!</f>
        <v>#REF!</v>
      </c>
      <c r="N9" s="3" t="e">
        <f>L9-M9</f>
        <v>#REF!</v>
      </c>
      <c r="O9" s="1" t="e">
        <f>N9/L9</f>
        <v>#REF!</v>
      </c>
    </row>
    <row r="10" spans="2:15" x14ac:dyDescent="0.25">
      <c r="B10" t="s">
        <v>68</v>
      </c>
      <c r="C10">
        <v>623.13</v>
      </c>
      <c r="D10" s="2">
        <f t="shared" si="0"/>
        <v>6707.3713199999993</v>
      </c>
      <c r="E10" s="2">
        <v>30000</v>
      </c>
      <c r="F10" s="2">
        <f t="shared" si="1"/>
        <v>201221139.59999996</v>
      </c>
      <c r="G10" s="1">
        <f t="shared" si="2"/>
        <v>20.122113959999997</v>
      </c>
      <c r="H10">
        <f>[1]Sheet1!$H$5</f>
        <v>0</v>
      </c>
      <c r="I10" s="3">
        <f t="shared" ref="I10:I11" si="4">D10-H10</f>
        <v>6707.3713199999993</v>
      </c>
      <c r="L10" s="3">
        <f t="shared" si="3"/>
        <v>5365.8970559999998</v>
      </c>
      <c r="M10" t="e">
        <f>#REF!</f>
        <v>#REF!</v>
      </c>
      <c r="N10" s="3" t="e">
        <f t="shared" ref="N10:N11" si="5">L10-M10</f>
        <v>#REF!</v>
      </c>
      <c r="O10" s="1" t="e">
        <f t="shared" ref="O10:O11" si="6">N10/L10</f>
        <v>#REF!</v>
      </c>
    </row>
    <row r="11" spans="2:15" x14ac:dyDescent="0.25">
      <c r="B11" t="s">
        <v>69</v>
      </c>
      <c r="C11">
        <v>623.13</v>
      </c>
      <c r="D11" s="2">
        <f t="shared" si="0"/>
        <v>6707.3713199999993</v>
      </c>
      <c r="E11" s="2">
        <v>27000</v>
      </c>
      <c r="F11" s="2">
        <f t="shared" si="1"/>
        <v>181099025.63999999</v>
      </c>
      <c r="G11" s="1">
        <f t="shared" si="2"/>
        <v>18.109902563999999</v>
      </c>
      <c r="H11">
        <f>[1]Sheet1!$H$6+[1]Sheet1!$H$7</f>
        <v>0</v>
      </c>
      <c r="I11" s="3">
        <f t="shared" si="4"/>
        <v>6707.3713199999993</v>
      </c>
      <c r="L11" s="3">
        <f t="shared" si="3"/>
        <v>5365.8970559999998</v>
      </c>
      <c r="M11" t="e">
        <f>#REF!</f>
        <v>#REF!</v>
      </c>
      <c r="N11" s="3" t="e">
        <f t="shared" si="5"/>
        <v>#REF!</v>
      </c>
      <c r="O11" s="1" t="e">
        <f t="shared" si="6"/>
        <v>#REF!</v>
      </c>
    </row>
    <row r="12" spans="2:15" x14ac:dyDescent="0.25">
      <c r="B12" t="s">
        <v>70</v>
      </c>
      <c r="C12">
        <v>623.13</v>
      </c>
      <c r="D12" s="2">
        <f t="shared" si="0"/>
        <v>6707.3713199999993</v>
      </c>
      <c r="E12" s="2"/>
      <c r="F12" s="2">
        <f t="shared" si="1"/>
        <v>0</v>
      </c>
      <c r="G12" s="1">
        <f>F12/10^7</f>
        <v>0</v>
      </c>
      <c r="L12" s="3"/>
    </row>
    <row r="13" spans="2:15" x14ac:dyDescent="0.25">
      <c r="B13" t="s">
        <v>71</v>
      </c>
      <c r="C13">
        <v>623.13</v>
      </c>
      <c r="D13" s="2">
        <f t="shared" si="0"/>
        <v>6707.3713199999993</v>
      </c>
      <c r="E13" s="2">
        <v>11500</v>
      </c>
      <c r="F13" s="2">
        <f t="shared" si="1"/>
        <v>77134770.179999992</v>
      </c>
      <c r="G13" s="1">
        <f>F13/10^7</f>
        <v>7.713477017999999</v>
      </c>
      <c r="H13">
        <f>[1]Sheet1!$H$8</f>
        <v>0</v>
      </c>
      <c r="I13" s="3">
        <f>D13-H13</f>
        <v>6707.3713199999993</v>
      </c>
      <c r="L13" s="3">
        <f t="shared" si="3"/>
        <v>5365.8970559999998</v>
      </c>
      <c r="M13" t="e">
        <f>#REF!</f>
        <v>#REF!</v>
      </c>
      <c r="N13" s="3" t="e">
        <f>L13-M13</f>
        <v>#REF!</v>
      </c>
      <c r="O13" s="1" t="e">
        <f>N13/L13</f>
        <v>#REF!</v>
      </c>
    </row>
    <row r="14" spans="2:15" x14ac:dyDescent="0.25">
      <c r="C14" s="3">
        <f>SUM(C8:C13)</f>
        <v>3738.78</v>
      </c>
      <c r="D14" s="3">
        <f>SUM(D8:D13)</f>
        <v>40244.227919999998</v>
      </c>
      <c r="N14" s="3" t="e">
        <f>SUM(N8:N13)</f>
        <v>#REF!</v>
      </c>
    </row>
    <row r="15" spans="2:15" x14ac:dyDescent="0.25">
      <c r="D15" s="3">
        <f>D14-D12</f>
        <v>33536.856599999999</v>
      </c>
      <c r="G15" s="1">
        <f>SUM(G8:G14)</f>
        <v>91.555618517999989</v>
      </c>
    </row>
    <row r="16" spans="2:15" x14ac:dyDescent="0.25">
      <c r="F16" s="2">
        <f>SUM(F8:F15)</f>
        <v>915556185.17999983</v>
      </c>
      <c r="G16" s="2">
        <f>D14*1800</f>
        <v>72439610.255999997</v>
      </c>
    </row>
    <row r="17" spans="3:13" x14ac:dyDescent="0.25">
      <c r="C17" s="2">
        <f>SUM(C8:C11)</f>
        <v>2492.52</v>
      </c>
      <c r="D17">
        <v>628.13</v>
      </c>
      <c r="F17" s="2">
        <f>F16/5</f>
        <v>183111237.03599995</v>
      </c>
      <c r="G17" s="2">
        <f>F16-G16</f>
        <v>843116574.92399979</v>
      </c>
    </row>
    <row r="18" spans="3:13" x14ac:dyDescent="0.25">
      <c r="C18" s="3">
        <f>C17*10.764</f>
        <v>26829.485279999997</v>
      </c>
      <c r="D18" s="3">
        <f>D17*10.764</f>
        <v>6761.1913199999999</v>
      </c>
      <c r="E18" s="3"/>
      <c r="G18" s="2">
        <f>G17/C3</f>
        <v>559838.36316334642</v>
      </c>
    </row>
    <row r="19" spans="3:13" x14ac:dyDescent="0.25">
      <c r="C19" s="2">
        <v>30000</v>
      </c>
      <c r="D19" s="2">
        <v>30000</v>
      </c>
      <c r="E19" s="2"/>
    </row>
    <row r="20" spans="3:13" x14ac:dyDescent="0.25">
      <c r="C20" s="2">
        <f>C19*C18</f>
        <v>804884558.39999986</v>
      </c>
      <c r="D20" s="2">
        <f>D19*D18</f>
        <v>202835739.59999999</v>
      </c>
      <c r="E20" s="2"/>
      <c r="M20" t="s">
        <v>75</v>
      </c>
    </row>
    <row r="21" spans="3:13" x14ac:dyDescent="0.25">
      <c r="M21" t="s">
        <v>76</v>
      </c>
    </row>
    <row r="22" spans="3:13" x14ac:dyDescent="0.25">
      <c r="M22" t="s">
        <v>77</v>
      </c>
    </row>
    <row r="25" spans="3:13" x14ac:dyDescent="0.25">
      <c r="D25" s="2">
        <f>D13+D11+D10+D9+D8</f>
        <v>33536.856599999999</v>
      </c>
      <c r="E25" s="2">
        <f>[1]Sheet1!$H$9</f>
        <v>0</v>
      </c>
      <c r="F25" s="2">
        <f>D25-E25</f>
        <v>33536.856599999999</v>
      </c>
    </row>
    <row r="26" spans="3:13" x14ac:dyDescent="0.25">
      <c r="D26" s="3">
        <f>D25-E5</f>
        <v>6428.8635840000024</v>
      </c>
      <c r="E26" s="3">
        <f>E5</f>
        <v>27107.993015999997</v>
      </c>
      <c r="F26" s="3">
        <f>E26-E25</f>
        <v>27107.993015999997</v>
      </c>
      <c r="G26" s="1">
        <f>F26*150</f>
        <v>4066198.9523999994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Sanction Palan</vt:lpstr>
      <vt:lpstr>Sanction Palan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2023-03-25T10:58:02Z</dcterms:modified>
</cp:coreProperties>
</file>