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alanalyst3\Desktop\ARAMCO PAPER MILL TEV STUDY\R K Workings\Final Workings Report and model\"/>
    </mc:Choice>
  </mc:AlternateContent>
  <bookViews>
    <workbookView xWindow="0" yWindow="0" windowWidth="18345" windowHeight="7680" tabRatio="722" activeTab="6"/>
  </bookViews>
  <sheets>
    <sheet name="BASICS" sheetId="4" r:id="rId1"/>
    <sheet name="PROJECT RK" sheetId="2" r:id="rId2"/>
    <sheet name="Building" sheetId="10" state="hidden" r:id="rId3"/>
    <sheet name="Sheet3" sheetId="17" state="hidden" r:id="rId4"/>
    <sheet name="CMA" sheetId="3" r:id="rId5"/>
    <sheet name="Ratio Analysis" sheetId="18" r:id="rId6"/>
    <sheet name="NPV&amp;IRR" sheetId="19" r:id="rId7"/>
    <sheet name="SISTER-CONCERNS" sheetId="8" state="hidden" r:id="rId8"/>
  </sheets>
  <externalReferences>
    <externalReference r:id="rId9"/>
  </externalReferences>
  <definedNames>
    <definedName name="_xlnm.Print_Area" localSheetId="0">BASICS!$A$1:$M$491</definedName>
    <definedName name="_xlnm.Print_Area" localSheetId="2">Building!$A$1:$M$111</definedName>
    <definedName name="_xlnm.Print_Area" localSheetId="4">CMA!$A$1:$U$594</definedName>
    <definedName name="_xlnm.Print_Area" localSheetId="1">'PROJECT RK'!$A$1:$M$1098</definedName>
    <definedName name="_xlnm.Print_Area" localSheetId="7">'SISTER-CONCERNS'!$A$1:$I$308</definedName>
    <definedName name="Print_Area_MI" localSheetId="6">#REF!</definedName>
    <definedName name="Print_Area_MI">#REF!</definedName>
  </definedNames>
  <calcPr calcId="152511" iterate="1"/>
  <customWorkbookViews>
    <customWorkbookView name="200" guid="{1E6FE90F-EDEA-471D-82F7-F8C40D1B6B17}" maximized="1" windowWidth="1020" windowHeight="564" activeSheetId="2"/>
  </customWorkbookViews>
</workbook>
</file>

<file path=xl/calcChain.xml><?xml version="1.0" encoding="utf-8"?>
<calcChain xmlns="http://schemas.openxmlformats.org/spreadsheetml/2006/main">
  <c r="D16" i="19" l="1"/>
  <c r="C16" i="19"/>
  <c r="E15" i="19"/>
  <c r="F15" i="19" s="1"/>
  <c r="D15" i="19"/>
  <c r="C11" i="19"/>
  <c r="C17" i="19" s="1"/>
  <c r="C20" i="19" s="1"/>
  <c r="C9" i="19"/>
  <c r="L8" i="19"/>
  <c r="K8" i="19"/>
  <c r="J8" i="19"/>
  <c r="I8" i="19"/>
  <c r="H8" i="19"/>
  <c r="G8" i="19"/>
  <c r="F8" i="19"/>
  <c r="E8" i="19"/>
  <c r="D8" i="19"/>
  <c r="D5" i="19"/>
  <c r="E5" i="19" s="1"/>
  <c r="F5" i="19" s="1"/>
  <c r="G5" i="19" s="1"/>
  <c r="H5" i="19" s="1"/>
  <c r="I5" i="19" s="1"/>
  <c r="J5" i="19" s="1"/>
  <c r="K5" i="19" s="1"/>
  <c r="L5" i="19" s="1"/>
  <c r="F16" i="19" l="1"/>
  <c r="G15" i="19"/>
  <c r="E16" i="19"/>
  <c r="G16" i="19" l="1"/>
  <c r="H15" i="19"/>
  <c r="H16" i="19" l="1"/>
  <c r="I15" i="19"/>
  <c r="J15" i="19" l="1"/>
  <c r="I16" i="19"/>
  <c r="J16" i="19" l="1"/>
  <c r="K15" i="19"/>
  <c r="K16" i="19" l="1"/>
  <c r="L15" i="19"/>
  <c r="L16" i="19" s="1"/>
  <c r="D99" i="18" l="1"/>
  <c r="E97" i="18"/>
  <c r="F97" i="18"/>
  <c r="G97" i="18"/>
  <c r="H97" i="18"/>
  <c r="I97" i="18"/>
  <c r="J97" i="18"/>
  <c r="K97" i="18"/>
  <c r="L97" i="18"/>
  <c r="D97" i="18"/>
  <c r="L96" i="18"/>
  <c r="K96" i="18"/>
  <c r="J96" i="18"/>
  <c r="I96" i="18"/>
  <c r="H96" i="18"/>
  <c r="G96" i="18"/>
  <c r="F96" i="18"/>
  <c r="E96" i="18"/>
  <c r="D96" i="18"/>
  <c r="E90" i="18"/>
  <c r="F90" i="18"/>
  <c r="G90" i="18"/>
  <c r="H90" i="18"/>
  <c r="I90" i="18"/>
  <c r="J90" i="18"/>
  <c r="K90" i="18"/>
  <c r="L90" i="18"/>
  <c r="D90" i="18"/>
  <c r="E93" i="18"/>
  <c r="F93" i="18"/>
  <c r="G93" i="18"/>
  <c r="H93" i="18"/>
  <c r="I93" i="18"/>
  <c r="J93" i="18"/>
  <c r="K93" i="18"/>
  <c r="L93" i="18"/>
  <c r="D93" i="18"/>
  <c r="L91" i="18"/>
  <c r="L92" i="18"/>
  <c r="L94" i="18"/>
  <c r="L95" i="18"/>
  <c r="E91" i="18"/>
  <c r="F91" i="18"/>
  <c r="G91" i="18"/>
  <c r="H91" i="18"/>
  <c r="I91" i="18"/>
  <c r="J91" i="18"/>
  <c r="K91" i="18"/>
  <c r="E92" i="18"/>
  <c r="F92" i="18"/>
  <c r="G92" i="18"/>
  <c r="H92" i="18"/>
  <c r="I92" i="18"/>
  <c r="J92" i="18"/>
  <c r="K92" i="18"/>
  <c r="E94" i="18"/>
  <c r="F94" i="18"/>
  <c r="G94" i="18"/>
  <c r="H94" i="18"/>
  <c r="I94" i="18"/>
  <c r="J94" i="18"/>
  <c r="K94" i="18"/>
  <c r="E95" i="18"/>
  <c r="F95" i="18"/>
  <c r="G95" i="18"/>
  <c r="H95" i="18"/>
  <c r="I95" i="18"/>
  <c r="J95" i="18"/>
  <c r="K95" i="18"/>
  <c r="D98" i="18"/>
  <c r="D95" i="18"/>
  <c r="D94" i="18"/>
  <c r="D92" i="18"/>
  <c r="D91" i="18"/>
  <c r="B98" i="18"/>
  <c r="B97" i="18"/>
  <c r="B96" i="18"/>
  <c r="B95" i="18"/>
  <c r="B94" i="18"/>
  <c r="B93" i="18"/>
  <c r="B92" i="18"/>
  <c r="B91" i="18"/>
  <c r="L212" i="4"/>
  <c r="E19" i="18"/>
  <c r="I445" i="3" l="1"/>
  <c r="J445" i="3"/>
  <c r="K445" i="3"/>
  <c r="L445" i="3"/>
  <c r="L449" i="3" s="1"/>
  <c r="M445" i="3"/>
  <c r="N445" i="3"/>
  <c r="O445" i="3"/>
  <c r="P445" i="3"/>
  <c r="P449" i="3" s="1"/>
  <c r="H445" i="3"/>
  <c r="I478" i="3"/>
  <c r="J478" i="3"/>
  <c r="K478" i="3"/>
  <c r="L478" i="3"/>
  <c r="M478" i="3"/>
  <c r="N478" i="3"/>
  <c r="O478" i="3"/>
  <c r="P478" i="3"/>
  <c r="H478" i="3"/>
  <c r="I451" i="3"/>
  <c r="J451" i="3"/>
  <c r="K451" i="3"/>
  <c r="L451" i="3"/>
  <c r="M451" i="3"/>
  <c r="N451" i="3"/>
  <c r="O451" i="3"/>
  <c r="P451" i="3"/>
  <c r="H451" i="3"/>
  <c r="I449" i="3"/>
  <c r="J449" i="3"/>
  <c r="K449" i="3"/>
  <c r="M449" i="3"/>
  <c r="N449" i="3"/>
  <c r="O449" i="3"/>
  <c r="H449" i="3"/>
  <c r="I442" i="3"/>
  <c r="J442" i="3"/>
  <c r="K442" i="3"/>
  <c r="L442" i="3"/>
  <c r="M442" i="3"/>
  <c r="N442" i="3"/>
  <c r="O442" i="3"/>
  <c r="P442" i="3"/>
  <c r="H442" i="3"/>
  <c r="I423" i="3"/>
  <c r="J423" i="3"/>
  <c r="K423" i="3"/>
  <c r="L423" i="3"/>
  <c r="M423" i="3"/>
  <c r="N423" i="3"/>
  <c r="O423" i="3"/>
  <c r="P423" i="3"/>
  <c r="H423" i="3"/>
  <c r="I569" i="3"/>
  <c r="J569" i="3"/>
  <c r="K569" i="3"/>
  <c r="L569" i="3"/>
  <c r="M569" i="3"/>
  <c r="N569" i="3"/>
  <c r="O569" i="3"/>
  <c r="P569" i="3"/>
  <c r="H569" i="3"/>
  <c r="I557" i="3"/>
  <c r="J557" i="3"/>
  <c r="K557" i="3"/>
  <c r="L557" i="3"/>
  <c r="M557" i="3"/>
  <c r="N557" i="3"/>
  <c r="O557" i="3"/>
  <c r="P557" i="3"/>
  <c r="I553" i="3"/>
  <c r="J553" i="3"/>
  <c r="K553" i="3"/>
  <c r="L553" i="3"/>
  <c r="M553" i="3"/>
  <c r="N553" i="3"/>
  <c r="O553" i="3"/>
  <c r="P553" i="3"/>
  <c r="H553" i="3"/>
  <c r="I537" i="3"/>
  <c r="J537" i="3"/>
  <c r="K537" i="3"/>
  <c r="L537" i="3"/>
  <c r="M537" i="3"/>
  <c r="N537" i="3"/>
  <c r="O537" i="3"/>
  <c r="P537" i="3"/>
  <c r="H537" i="3"/>
  <c r="I512" i="3"/>
  <c r="J512" i="3"/>
  <c r="K512" i="3"/>
  <c r="L512" i="3"/>
  <c r="M515" i="3" s="1"/>
  <c r="M512" i="3"/>
  <c r="N512" i="3"/>
  <c r="O512" i="3"/>
  <c r="P512" i="3"/>
  <c r="H512" i="3"/>
  <c r="J515" i="3"/>
  <c r="K515" i="3"/>
  <c r="L515" i="3"/>
  <c r="N515" i="3"/>
  <c r="O515" i="3"/>
  <c r="P515" i="3"/>
  <c r="I515" i="3"/>
  <c r="I355" i="3"/>
  <c r="J355" i="3"/>
  <c r="K355" i="3"/>
  <c r="L355" i="3"/>
  <c r="M355" i="3"/>
  <c r="N355" i="3"/>
  <c r="O355" i="3"/>
  <c r="P355" i="3"/>
  <c r="I351" i="3"/>
  <c r="J351" i="3"/>
  <c r="K351" i="3"/>
  <c r="L351" i="3"/>
  <c r="M351" i="3"/>
  <c r="N351" i="3"/>
  <c r="O351" i="3"/>
  <c r="P351" i="3"/>
  <c r="H351" i="3"/>
  <c r="H355" i="3"/>
  <c r="I350" i="3"/>
  <c r="J350" i="3"/>
  <c r="K350" i="3"/>
  <c r="L350" i="3"/>
  <c r="M350" i="3"/>
  <c r="N350" i="3"/>
  <c r="O350" i="3"/>
  <c r="P350" i="3"/>
  <c r="H350" i="3"/>
  <c r="I341" i="3"/>
  <c r="J341" i="3"/>
  <c r="K341" i="3"/>
  <c r="L341" i="3"/>
  <c r="M341" i="3"/>
  <c r="N341" i="3"/>
  <c r="O341" i="3"/>
  <c r="P341" i="3"/>
  <c r="I343" i="3"/>
  <c r="J343" i="3"/>
  <c r="K343" i="3"/>
  <c r="L343" i="3"/>
  <c r="M343" i="3"/>
  <c r="N343" i="3"/>
  <c r="O343" i="3"/>
  <c r="P343" i="3"/>
  <c r="H343" i="3"/>
  <c r="I334" i="3"/>
  <c r="J334" i="3"/>
  <c r="K334" i="3"/>
  <c r="L334" i="3"/>
  <c r="M334" i="3"/>
  <c r="N334" i="3"/>
  <c r="O334" i="3"/>
  <c r="P334" i="3"/>
  <c r="I335" i="3"/>
  <c r="J335" i="3"/>
  <c r="K335" i="3"/>
  <c r="L335" i="3"/>
  <c r="M335" i="3"/>
  <c r="N335" i="3"/>
  <c r="O335" i="3"/>
  <c r="P335" i="3"/>
  <c r="I337" i="3"/>
  <c r="J337" i="3"/>
  <c r="K337" i="3"/>
  <c r="L337" i="3"/>
  <c r="M337" i="3"/>
  <c r="N337" i="3"/>
  <c r="O337" i="3"/>
  <c r="P337" i="3"/>
  <c r="I338" i="3"/>
  <c r="J338" i="3"/>
  <c r="K338" i="3"/>
  <c r="L338" i="3"/>
  <c r="M338" i="3"/>
  <c r="N338" i="3"/>
  <c r="O338" i="3"/>
  <c r="P338" i="3"/>
  <c r="H338" i="3"/>
  <c r="H337" i="3"/>
  <c r="H335" i="3"/>
  <c r="H334" i="3"/>
  <c r="I359" i="3"/>
  <c r="J359" i="3"/>
  <c r="K359" i="3"/>
  <c r="L359" i="3"/>
  <c r="M359" i="3"/>
  <c r="N359" i="3"/>
  <c r="O359" i="3"/>
  <c r="P359" i="3"/>
  <c r="H359" i="3"/>
  <c r="I299" i="3"/>
  <c r="J299" i="3"/>
  <c r="K299" i="3"/>
  <c r="L299" i="3"/>
  <c r="M299" i="3"/>
  <c r="N299" i="3"/>
  <c r="O299" i="3"/>
  <c r="P299" i="3"/>
  <c r="H299" i="3"/>
  <c r="I297" i="3"/>
  <c r="J297" i="3"/>
  <c r="K297" i="3"/>
  <c r="L297" i="3"/>
  <c r="M297" i="3"/>
  <c r="N297" i="3"/>
  <c r="O297" i="3"/>
  <c r="P297" i="3"/>
  <c r="H297" i="3"/>
  <c r="I293" i="3"/>
  <c r="J293" i="3"/>
  <c r="K293" i="3"/>
  <c r="L293" i="3"/>
  <c r="M293" i="3"/>
  <c r="N293" i="3"/>
  <c r="O293" i="3"/>
  <c r="P293" i="3"/>
  <c r="H293" i="3"/>
  <c r="I287" i="3"/>
  <c r="J287" i="3"/>
  <c r="K287" i="3"/>
  <c r="L287" i="3"/>
  <c r="M287" i="3"/>
  <c r="N287" i="3"/>
  <c r="O287" i="3"/>
  <c r="P287" i="3"/>
  <c r="H287" i="3"/>
  <c r="I282" i="3"/>
  <c r="J282" i="3"/>
  <c r="K282" i="3"/>
  <c r="L282" i="3"/>
  <c r="M282" i="3"/>
  <c r="N282" i="3"/>
  <c r="O282" i="3"/>
  <c r="P282" i="3"/>
  <c r="I283" i="3"/>
  <c r="J283" i="3"/>
  <c r="K283" i="3"/>
  <c r="L283" i="3"/>
  <c r="L284" i="3" s="1"/>
  <c r="M283" i="3"/>
  <c r="N283" i="3"/>
  <c r="O283" i="3"/>
  <c r="P283" i="3"/>
  <c r="I284" i="3"/>
  <c r="J284" i="3"/>
  <c r="K284" i="3"/>
  <c r="M284" i="3"/>
  <c r="N284" i="3"/>
  <c r="O284" i="3"/>
  <c r="P284" i="3"/>
  <c r="H284" i="3"/>
  <c r="H283" i="3"/>
  <c r="H282" i="3"/>
  <c r="I263" i="3"/>
  <c r="J263" i="3"/>
  <c r="K263" i="3"/>
  <c r="L263" i="3"/>
  <c r="M263" i="3"/>
  <c r="N263" i="3"/>
  <c r="O263" i="3"/>
  <c r="P263" i="3"/>
  <c r="H249" i="3"/>
  <c r="H251" i="3"/>
  <c r="I242" i="3"/>
  <c r="J242" i="3"/>
  <c r="K242" i="3"/>
  <c r="L242" i="3"/>
  <c r="M242" i="3"/>
  <c r="N242" i="3"/>
  <c r="O242" i="3"/>
  <c r="P242" i="3"/>
  <c r="I192" i="3"/>
  <c r="J192" i="3"/>
  <c r="K192" i="3"/>
  <c r="L192" i="3"/>
  <c r="L200" i="3" s="1"/>
  <c r="M192" i="3"/>
  <c r="N192" i="3"/>
  <c r="O192" i="3"/>
  <c r="P192" i="3"/>
  <c r="P200" i="3" s="1"/>
  <c r="I194" i="3"/>
  <c r="J194" i="3"/>
  <c r="K194" i="3"/>
  <c r="L194" i="3"/>
  <c r="M194" i="3"/>
  <c r="N194" i="3"/>
  <c r="O194" i="3"/>
  <c r="P194" i="3"/>
  <c r="H194" i="3"/>
  <c r="H192" i="3"/>
  <c r="I200" i="3"/>
  <c r="J200" i="3"/>
  <c r="K200" i="3"/>
  <c r="M200" i="3"/>
  <c r="N200" i="3"/>
  <c r="O200" i="3"/>
  <c r="I176" i="3"/>
  <c r="J176" i="3"/>
  <c r="K176" i="3"/>
  <c r="L176" i="3"/>
  <c r="M176" i="3"/>
  <c r="N176" i="3"/>
  <c r="O176" i="3"/>
  <c r="P176" i="3"/>
  <c r="H176" i="3"/>
  <c r="I174" i="3"/>
  <c r="J174" i="3"/>
  <c r="K174" i="3"/>
  <c r="L174" i="3"/>
  <c r="M174" i="3"/>
  <c r="N174" i="3"/>
  <c r="O174" i="3"/>
  <c r="P174" i="3"/>
  <c r="H174" i="3"/>
  <c r="I172" i="3"/>
  <c r="J172" i="3"/>
  <c r="K172" i="3"/>
  <c r="L172" i="3"/>
  <c r="M172" i="3"/>
  <c r="N172" i="3"/>
  <c r="O172" i="3"/>
  <c r="P172" i="3"/>
  <c r="H172" i="3"/>
  <c r="I163" i="3"/>
  <c r="J163" i="3"/>
  <c r="K163" i="3"/>
  <c r="L163" i="3"/>
  <c r="M163" i="3"/>
  <c r="N163" i="3"/>
  <c r="O163" i="3"/>
  <c r="P163" i="3"/>
  <c r="H163" i="3"/>
  <c r="J155" i="3"/>
  <c r="K155" i="3"/>
  <c r="L155" i="3"/>
  <c r="M155" i="3"/>
  <c r="N155" i="3"/>
  <c r="O155" i="3"/>
  <c r="P155" i="3"/>
  <c r="I152" i="3"/>
  <c r="J152" i="3"/>
  <c r="K152" i="3"/>
  <c r="L152" i="3"/>
  <c r="M152" i="3"/>
  <c r="N152" i="3"/>
  <c r="O152" i="3"/>
  <c r="P152" i="3"/>
  <c r="H152" i="3"/>
  <c r="I99" i="3"/>
  <c r="J99" i="3"/>
  <c r="K99" i="3"/>
  <c r="L99" i="3"/>
  <c r="M99" i="3"/>
  <c r="N99" i="3"/>
  <c r="O99" i="3"/>
  <c r="P99" i="3"/>
  <c r="H99" i="3"/>
  <c r="J73" i="3"/>
  <c r="K73" i="3" s="1"/>
  <c r="L73" i="3" s="1"/>
  <c r="M73" i="3" s="1"/>
  <c r="N73" i="3" s="1"/>
  <c r="O73" i="3" s="1"/>
  <c r="P73" i="3" s="1"/>
  <c r="I75" i="3"/>
  <c r="J75" i="3"/>
  <c r="K75" i="3"/>
  <c r="L75" i="3"/>
  <c r="M75" i="3"/>
  <c r="N75" i="3"/>
  <c r="O75" i="3"/>
  <c r="P75" i="3"/>
  <c r="H75" i="3"/>
  <c r="I86" i="3"/>
  <c r="J86" i="3"/>
  <c r="K86" i="3"/>
  <c r="L86" i="3"/>
  <c r="M86" i="3"/>
  <c r="N86" i="3"/>
  <c r="O86" i="3"/>
  <c r="P86" i="3"/>
  <c r="H86" i="3"/>
  <c r="I87" i="3"/>
  <c r="J87" i="3"/>
  <c r="K87" i="3"/>
  <c r="L87" i="3"/>
  <c r="M87" i="3"/>
  <c r="N87" i="3"/>
  <c r="O87" i="3"/>
  <c r="P87" i="3"/>
  <c r="H87" i="3"/>
  <c r="I31" i="3"/>
  <c r="J31" i="3"/>
  <c r="L31" i="3"/>
  <c r="H31" i="3"/>
  <c r="I29" i="3"/>
  <c r="J29" i="3"/>
  <c r="L29" i="3"/>
  <c r="H29" i="3"/>
  <c r="I22" i="3"/>
  <c r="J22" i="3"/>
  <c r="L22" i="3"/>
  <c r="H22" i="3"/>
  <c r="N31" i="3"/>
  <c r="N29" i="3"/>
  <c r="N22" i="3"/>
  <c r="E881" i="2"/>
  <c r="F881" i="2"/>
  <c r="G881" i="2"/>
  <c r="H881" i="2"/>
  <c r="I881" i="2"/>
  <c r="J881" i="2"/>
  <c r="K881" i="2"/>
  <c r="L881" i="2"/>
  <c r="D881" i="2"/>
  <c r="E879" i="2"/>
  <c r="F879" i="2"/>
  <c r="G879" i="2"/>
  <c r="H879" i="2"/>
  <c r="I879" i="2"/>
  <c r="J879" i="2"/>
  <c r="K879" i="2"/>
  <c r="L879" i="2"/>
  <c r="D879" i="2"/>
  <c r="E868" i="2"/>
  <c r="F868" i="2"/>
  <c r="G868" i="2"/>
  <c r="H868" i="2"/>
  <c r="I868" i="2"/>
  <c r="J868" i="2"/>
  <c r="K868" i="2"/>
  <c r="L868" i="2"/>
  <c r="E869" i="2"/>
  <c r="F869" i="2"/>
  <c r="G869" i="2"/>
  <c r="H869" i="2"/>
  <c r="I869" i="2"/>
  <c r="J869" i="2"/>
  <c r="K869" i="2"/>
  <c r="L869" i="2"/>
  <c r="D869" i="2"/>
  <c r="D868" i="2"/>
  <c r="D858" i="2"/>
  <c r="E858" i="2"/>
  <c r="F858" i="2"/>
  <c r="G858" i="2"/>
  <c r="G860" i="2" s="1"/>
  <c r="H858" i="2"/>
  <c r="I858" i="2"/>
  <c r="J858" i="2"/>
  <c r="K858" i="2"/>
  <c r="L858" i="2"/>
  <c r="D859" i="2"/>
  <c r="E859" i="2"/>
  <c r="F859" i="2"/>
  <c r="G859" i="2"/>
  <c r="H859" i="2"/>
  <c r="I859" i="2"/>
  <c r="J859" i="2"/>
  <c r="J860" i="2" s="1"/>
  <c r="K859" i="2"/>
  <c r="L859" i="2"/>
  <c r="E857" i="2"/>
  <c r="F857" i="2"/>
  <c r="G857" i="2"/>
  <c r="H857" i="2"/>
  <c r="I857" i="2"/>
  <c r="J857" i="2"/>
  <c r="K857" i="2"/>
  <c r="L857" i="2"/>
  <c r="L860" i="2" s="1"/>
  <c r="F860" i="2"/>
  <c r="H860" i="2"/>
  <c r="D857" i="2"/>
  <c r="H856" i="2"/>
  <c r="I856" i="2"/>
  <c r="J856" i="2"/>
  <c r="K856" i="2"/>
  <c r="L856" i="2"/>
  <c r="E856" i="2"/>
  <c r="F856" i="2"/>
  <c r="G856" i="2"/>
  <c r="D856" i="2"/>
  <c r="F710" i="2"/>
  <c r="E911" i="2"/>
  <c r="E914" i="2" s="1"/>
  <c r="F911" i="2"/>
  <c r="G911" i="2"/>
  <c r="H911" i="2"/>
  <c r="I911" i="2"/>
  <c r="J911" i="2"/>
  <c r="J914" i="2" s="1"/>
  <c r="K911" i="2"/>
  <c r="L911" i="2"/>
  <c r="D911" i="2"/>
  <c r="E913" i="2"/>
  <c r="F913" i="2"/>
  <c r="G913" i="2"/>
  <c r="G914" i="2" s="1"/>
  <c r="H913" i="2"/>
  <c r="I913" i="2"/>
  <c r="J913" i="2"/>
  <c r="K913" i="2"/>
  <c r="L913" i="2"/>
  <c r="D913" i="2"/>
  <c r="E912" i="2"/>
  <c r="F912" i="2"/>
  <c r="G912" i="2"/>
  <c r="H912" i="2"/>
  <c r="I912" i="2"/>
  <c r="J912" i="2"/>
  <c r="K912" i="2"/>
  <c r="L912" i="2"/>
  <c r="D912" i="2"/>
  <c r="F914" i="2"/>
  <c r="I914" i="2"/>
  <c r="K914" i="2"/>
  <c r="E922" i="2"/>
  <c r="F922" i="2"/>
  <c r="G922" i="2"/>
  <c r="H922" i="2"/>
  <c r="I922" i="2"/>
  <c r="J922" i="2"/>
  <c r="K922" i="2"/>
  <c r="L922" i="2"/>
  <c r="E923" i="2"/>
  <c r="F923" i="2"/>
  <c r="G923" i="2"/>
  <c r="H923" i="2"/>
  <c r="I923" i="2"/>
  <c r="J923" i="2"/>
  <c r="K923" i="2"/>
  <c r="L923" i="2"/>
  <c r="D923" i="2"/>
  <c r="D922" i="2"/>
  <c r="E933" i="2"/>
  <c r="F933" i="2"/>
  <c r="G933" i="2"/>
  <c r="H933" i="2"/>
  <c r="I933" i="2"/>
  <c r="J933" i="2"/>
  <c r="K933" i="2"/>
  <c r="L933" i="2"/>
  <c r="E935" i="2"/>
  <c r="F935" i="2"/>
  <c r="G935" i="2"/>
  <c r="H935" i="2"/>
  <c r="I935" i="2"/>
  <c r="J935" i="2"/>
  <c r="K935" i="2"/>
  <c r="L935" i="2"/>
  <c r="D935" i="2"/>
  <c r="D933" i="2"/>
  <c r="E1010" i="2"/>
  <c r="F1010" i="2"/>
  <c r="G1010" i="2"/>
  <c r="H1010" i="2"/>
  <c r="I1010" i="2"/>
  <c r="J1010" i="2"/>
  <c r="K1010" i="2"/>
  <c r="L1010" i="2"/>
  <c r="D1010" i="2"/>
  <c r="E1009" i="2"/>
  <c r="F1009" i="2"/>
  <c r="G1009" i="2"/>
  <c r="H1009" i="2"/>
  <c r="I1009" i="2"/>
  <c r="J1009" i="2"/>
  <c r="K1009" i="2"/>
  <c r="L1009" i="2"/>
  <c r="D1009" i="2"/>
  <c r="E1008" i="2"/>
  <c r="F1008" i="2"/>
  <c r="G1008" i="2"/>
  <c r="H1008" i="2"/>
  <c r="I1008" i="2"/>
  <c r="J1008" i="2"/>
  <c r="K1008" i="2"/>
  <c r="L1008" i="2"/>
  <c r="D1008" i="2"/>
  <c r="E1006" i="2"/>
  <c r="F1006" i="2"/>
  <c r="G1006" i="2"/>
  <c r="H1006" i="2"/>
  <c r="I1006" i="2"/>
  <c r="J1006" i="2"/>
  <c r="K1006" i="2"/>
  <c r="L1006" i="2"/>
  <c r="D1006" i="2"/>
  <c r="E860" i="2"/>
  <c r="I860" i="2"/>
  <c r="L975" i="2"/>
  <c r="J975" i="2"/>
  <c r="E975" i="2"/>
  <c r="L974" i="2"/>
  <c r="L972" i="2"/>
  <c r="L970" i="2"/>
  <c r="L968" i="2"/>
  <c r="L966" i="2"/>
  <c r="L964" i="2"/>
  <c r="L962" i="2"/>
  <c r="J974" i="2"/>
  <c r="J972" i="2"/>
  <c r="J970" i="2"/>
  <c r="J968" i="2"/>
  <c r="J966" i="2"/>
  <c r="J964" i="2"/>
  <c r="J962" i="2"/>
  <c r="L960" i="2"/>
  <c r="J960" i="2"/>
  <c r="L958" i="2"/>
  <c r="J958" i="2"/>
  <c r="E765" i="2"/>
  <c r="F765" i="2"/>
  <c r="G765" i="2"/>
  <c r="H765" i="2"/>
  <c r="I765" i="2"/>
  <c r="J765" i="2"/>
  <c r="K765" i="2"/>
  <c r="L765" i="2"/>
  <c r="E766" i="2"/>
  <c r="F766" i="2"/>
  <c r="G766" i="2"/>
  <c r="H766" i="2"/>
  <c r="I766" i="2"/>
  <c r="J766" i="2"/>
  <c r="K766" i="2"/>
  <c r="L766" i="2"/>
  <c r="E767" i="2"/>
  <c r="F767" i="2"/>
  <c r="G767" i="2"/>
  <c r="H767" i="2"/>
  <c r="I767" i="2"/>
  <c r="J767" i="2"/>
  <c r="K767" i="2"/>
  <c r="L767" i="2"/>
  <c r="E768" i="2"/>
  <c r="F768" i="2"/>
  <c r="G768" i="2"/>
  <c r="H768" i="2"/>
  <c r="I768" i="2"/>
  <c r="J768" i="2"/>
  <c r="K768" i="2"/>
  <c r="L768" i="2"/>
  <c r="D768" i="2"/>
  <c r="D767" i="2"/>
  <c r="D766" i="2"/>
  <c r="D765" i="2"/>
  <c r="E762" i="2"/>
  <c r="F762" i="2"/>
  <c r="G762" i="2"/>
  <c r="H762" i="2"/>
  <c r="H770" i="2" s="1"/>
  <c r="I762" i="2"/>
  <c r="J762" i="2"/>
  <c r="K762" i="2"/>
  <c r="L762" i="2"/>
  <c r="L770" i="2" s="1"/>
  <c r="E763" i="2"/>
  <c r="F763" i="2"/>
  <c r="G763" i="2"/>
  <c r="H763" i="2"/>
  <c r="I763" i="2"/>
  <c r="J763" i="2"/>
  <c r="K763" i="2"/>
  <c r="L763" i="2"/>
  <c r="E764" i="2"/>
  <c r="F764" i="2"/>
  <c r="G764" i="2"/>
  <c r="H764" i="2"/>
  <c r="I764" i="2"/>
  <c r="J764" i="2"/>
  <c r="K764" i="2"/>
  <c r="L764" i="2"/>
  <c r="E770" i="2"/>
  <c r="D764" i="2"/>
  <c r="D763" i="2"/>
  <c r="D762" i="2"/>
  <c r="F770" i="2"/>
  <c r="G770" i="2"/>
  <c r="I770" i="2"/>
  <c r="J770" i="2"/>
  <c r="K770" i="2"/>
  <c r="H200" i="3" l="1"/>
  <c r="K860" i="2"/>
  <c r="D860" i="2"/>
  <c r="L914" i="2"/>
  <c r="H914" i="2"/>
  <c r="D914" i="2"/>
  <c r="D770" i="2"/>
  <c r="E757" i="2" l="1"/>
  <c r="F757" i="2"/>
  <c r="G757" i="2"/>
  <c r="H757" i="2"/>
  <c r="I757" i="2"/>
  <c r="J757" i="2"/>
  <c r="K757" i="2"/>
  <c r="L757" i="2"/>
  <c r="D757" i="2"/>
  <c r="E749" i="2"/>
  <c r="F749" i="2"/>
  <c r="G749" i="2"/>
  <c r="H749" i="2"/>
  <c r="I749" i="2"/>
  <c r="J749" i="2"/>
  <c r="K749" i="2"/>
  <c r="L749" i="2"/>
  <c r="E750" i="2"/>
  <c r="F750" i="2"/>
  <c r="G750" i="2"/>
  <c r="H750" i="2"/>
  <c r="I750" i="2"/>
  <c r="J750" i="2"/>
  <c r="K750" i="2"/>
  <c r="L750" i="2"/>
  <c r="E751" i="2"/>
  <c r="F751" i="2"/>
  <c r="G751" i="2"/>
  <c r="H751" i="2"/>
  <c r="I751" i="2"/>
  <c r="J751" i="2"/>
  <c r="K751" i="2"/>
  <c r="L751" i="2"/>
  <c r="E753" i="2"/>
  <c r="F753" i="2"/>
  <c r="G753" i="2"/>
  <c r="H753" i="2"/>
  <c r="I753" i="2"/>
  <c r="J753" i="2"/>
  <c r="K753" i="2"/>
  <c r="L753" i="2"/>
  <c r="E754" i="2"/>
  <c r="F754" i="2"/>
  <c r="G754" i="2"/>
  <c r="H754" i="2"/>
  <c r="I754" i="2"/>
  <c r="J754" i="2"/>
  <c r="K754" i="2"/>
  <c r="L754" i="2"/>
  <c r="E755" i="2"/>
  <c r="F755" i="2"/>
  <c r="G755" i="2"/>
  <c r="H755" i="2"/>
  <c r="I755" i="2"/>
  <c r="J755" i="2"/>
  <c r="K755" i="2"/>
  <c r="L755" i="2"/>
  <c r="E756" i="2"/>
  <c r="F756" i="2"/>
  <c r="G756" i="2"/>
  <c r="H756" i="2"/>
  <c r="I756" i="2"/>
  <c r="J756" i="2"/>
  <c r="K756" i="2"/>
  <c r="L756" i="2"/>
  <c r="D756" i="2"/>
  <c r="D755" i="2"/>
  <c r="D754" i="2"/>
  <c r="D753" i="2"/>
  <c r="D751" i="2"/>
  <c r="D750" i="2"/>
  <c r="D749" i="2"/>
  <c r="E708" i="2"/>
  <c r="F708" i="2"/>
  <c r="G708" i="2"/>
  <c r="H708" i="2"/>
  <c r="I708" i="2"/>
  <c r="J708" i="2"/>
  <c r="K708" i="2"/>
  <c r="L708" i="2"/>
  <c r="D708" i="2"/>
  <c r="E702" i="2"/>
  <c r="F702" i="2"/>
  <c r="G702" i="2"/>
  <c r="H702" i="2"/>
  <c r="I702" i="2"/>
  <c r="J702" i="2"/>
  <c r="K702" i="2"/>
  <c r="L702" i="2"/>
  <c r="D702" i="2"/>
  <c r="E704" i="2"/>
  <c r="F704" i="2"/>
  <c r="G704" i="2"/>
  <c r="H704" i="2"/>
  <c r="I704" i="2"/>
  <c r="J704" i="2"/>
  <c r="K704" i="2"/>
  <c r="L704" i="2"/>
  <c r="D704" i="2"/>
  <c r="E698" i="2"/>
  <c r="F698" i="2"/>
  <c r="G698" i="2"/>
  <c r="H698" i="2"/>
  <c r="I698" i="2"/>
  <c r="J698" i="2"/>
  <c r="K698" i="2"/>
  <c r="L698" i="2"/>
  <c r="D698" i="2"/>
  <c r="E696" i="2"/>
  <c r="F696" i="2"/>
  <c r="G696" i="2"/>
  <c r="H696" i="2"/>
  <c r="I696" i="2"/>
  <c r="J696" i="2"/>
  <c r="K696" i="2"/>
  <c r="L696" i="2"/>
  <c r="D696" i="2"/>
  <c r="E700" i="2"/>
  <c r="F700" i="2"/>
  <c r="G700" i="2"/>
  <c r="I700" i="2"/>
  <c r="J700" i="2"/>
  <c r="K700" i="2"/>
  <c r="E821" i="2"/>
  <c r="E818" i="2"/>
  <c r="I817" i="2"/>
  <c r="I815" i="2"/>
  <c r="I813" i="2"/>
  <c r="I811" i="2"/>
  <c r="I809" i="2"/>
  <c r="I807" i="2"/>
  <c r="I805" i="2"/>
  <c r="F656" i="2"/>
  <c r="G656" i="2"/>
  <c r="H656" i="2"/>
  <c r="I656" i="2"/>
  <c r="J656" i="2"/>
  <c r="K656" i="2"/>
  <c r="L656" i="2"/>
  <c r="E658" i="2"/>
  <c r="F658" i="2"/>
  <c r="G658" i="2"/>
  <c r="H658" i="2"/>
  <c r="I658" i="2"/>
  <c r="J658" i="2"/>
  <c r="K658" i="2"/>
  <c r="L658" i="2"/>
  <c r="D658" i="2"/>
  <c r="E655" i="2"/>
  <c r="F655" i="2"/>
  <c r="G655" i="2"/>
  <c r="H655" i="2"/>
  <c r="I655" i="2"/>
  <c r="J655" i="2"/>
  <c r="K655" i="2"/>
  <c r="L655" i="2"/>
  <c r="D655" i="2"/>
  <c r="E654" i="2"/>
  <c r="F654" i="2"/>
  <c r="G654" i="2"/>
  <c r="H654" i="2"/>
  <c r="I654" i="2"/>
  <c r="J654" i="2"/>
  <c r="K654" i="2"/>
  <c r="L654" i="2"/>
  <c r="D654" i="2"/>
  <c r="G652" i="2"/>
  <c r="H652" i="2"/>
  <c r="I652" i="2"/>
  <c r="J652" i="2"/>
  <c r="K652" i="2"/>
  <c r="L652" i="2"/>
  <c r="D652" i="2"/>
  <c r="E652" i="2"/>
  <c r="F652" i="2"/>
  <c r="D651" i="2"/>
  <c r="D645" i="2"/>
  <c r="D644" i="2"/>
  <c r="D642" i="2"/>
  <c r="D641" i="2"/>
  <c r="E643" i="2"/>
  <c r="F643" i="2"/>
  <c r="G643" i="2"/>
  <c r="H643" i="2"/>
  <c r="H647" i="2" s="1"/>
  <c r="I643" i="2"/>
  <c r="J643" i="2"/>
  <c r="K643" i="2"/>
  <c r="L643" i="2"/>
  <c r="L647" i="2" s="1"/>
  <c r="D643" i="2"/>
  <c r="F560" i="2"/>
  <c r="G560" i="2" s="1"/>
  <c r="H560" i="2" s="1"/>
  <c r="I560" i="2" s="1"/>
  <c r="J560" i="2" s="1"/>
  <c r="K560" i="2" s="1"/>
  <c r="L560" i="2" s="1"/>
  <c r="E560" i="2"/>
  <c r="F610" i="2"/>
  <c r="G610" i="2" s="1"/>
  <c r="H610" i="2" s="1"/>
  <c r="I610" i="2" s="1"/>
  <c r="J610" i="2" s="1"/>
  <c r="K610" i="2" s="1"/>
  <c r="L610" i="2" s="1"/>
  <c r="E610" i="2"/>
  <c r="D610" i="2"/>
  <c r="F587" i="2"/>
  <c r="G587" i="2"/>
  <c r="H587" i="2"/>
  <c r="I587" i="2"/>
  <c r="J587" i="2"/>
  <c r="K587" i="2"/>
  <c r="L587" i="2"/>
  <c r="F39" i="4"/>
  <c r="G39" i="4"/>
  <c r="H39" i="4"/>
  <c r="I39" i="4"/>
  <c r="J39" i="4"/>
  <c r="K39" i="4"/>
  <c r="L39" i="4"/>
  <c r="M39" i="4"/>
  <c r="E39" i="4"/>
  <c r="F38" i="4"/>
  <c r="G38" i="4"/>
  <c r="H38" i="4"/>
  <c r="I38" i="4"/>
  <c r="J38" i="4"/>
  <c r="K38" i="4"/>
  <c r="L38" i="4"/>
  <c r="M38" i="4"/>
  <c r="E38" i="4"/>
  <c r="E555" i="2"/>
  <c r="F555" i="2"/>
  <c r="G555" i="2"/>
  <c r="H555" i="2"/>
  <c r="I555" i="2"/>
  <c r="J555" i="2"/>
  <c r="K555" i="2"/>
  <c r="L555" i="2"/>
  <c r="D555" i="2"/>
  <c r="E562" i="2"/>
  <c r="F562" i="2"/>
  <c r="G562" i="2"/>
  <c r="H562" i="2"/>
  <c r="H566" i="2" s="1"/>
  <c r="H568" i="2" s="1"/>
  <c r="D562" i="2"/>
  <c r="L492" i="2"/>
  <c r="L490" i="2"/>
  <c r="L508" i="2"/>
  <c r="L482" i="2"/>
  <c r="L480" i="2"/>
  <c r="L484" i="2"/>
  <c r="I568" i="2"/>
  <c r="J568" i="2"/>
  <c r="K568" i="2"/>
  <c r="L568" i="2"/>
  <c r="D568" i="2"/>
  <c r="E567" i="2"/>
  <c r="F567" i="2"/>
  <c r="G567" i="2"/>
  <c r="H567" i="2"/>
  <c r="I567" i="2"/>
  <c r="J567" i="2"/>
  <c r="K567" i="2"/>
  <c r="L567" i="2"/>
  <c r="D567" i="2"/>
  <c r="E566" i="2"/>
  <c r="E568" i="2" s="1"/>
  <c r="F566" i="2"/>
  <c r="F568" i="2" s="1"/>
  <c r="G566" i="2"/>
  <c r="G568" i="2" s="1"/>
  <c r="I566" i="2"/>
  <c r="J566" i="2"/>
  <c r="K566" i="2"/>
  <c r="L566" i="2"/>
  <c r="D566" i="2"/>
  <c r="E559" i="2"/>
  <c r="F559" i="2"/>
  <c r="G559" i="2"/>
  <c r="H559" i="2"/>
  <c r="I559" i="2"/>
  <c r="J559" i="2"/>
  <c r="K559" i="2"/>
  <c r="L559" i="2"/>
  <c r="D559" i="2"/>
  <c r="E558" i="2"/>
  <c r="F558" i="2"/>
  <c r="G558" i="2"/>
  <c r="H558" i="2"/>
  <c r="I558" i="2"/>
  <c r="J558" i="2"/>
  <c r="K558" i="2"/>
  <c r="L558" i="2"/>
  <c r="D558" i="2"/>
  <c r="E647" i="2"/>
  <c r="F647" i="2"/>
  <c r="G647" i="2"/>
  <c r="I647" i="2"/>
  <c r="J647" i="2"/>
  <c r="K647" i="2"/>
  <c r="F554" i="2"/>
  <c r="G554" i="2" s="1"/>
  <c r="H554" i="2" s="1"/>
  <c r="I554" i="2" s="1"/>
  <c r="J554" i="2" s="1"/>
  <c r="K554" i="2" s="1"/>
  <c r="L554" i="2" s="1"/>
  <c r="E554" i="2"/>
  <c r="F553" i="2"/>
  <c r="G553" i="2" s="1"/>
  <c r="H553" i="2" s="1"/>
  <c r="I553" i="2" s="1"/>
  <c r="J553" i="2" s="1"/>
  <c r="K553" i="2" s="1"/>
  <c r="L553" i="2" s="1"/>
  <c r="E553" i="2"/>
  <c r="D553" i="2"/>
  <c r="D607" i="2"/>
  <c r="E604" i="2"/>
  <c r="F604" i="2"/>
  <c r="G604" i="2"/>
  <c r="H604" i="2"/>
  <c r="I604" i="2"/>
  <c r="J604" i="2"/>
  <c r="K604" i="2"/>
  <c r="L604" i="2"/>
  <c r="D604" i="2"/>
  <c r="E600" i="2"/>
  <c r="F600" i="2"/>
  <c r="G600" i="2"/>
  <c r="H600" i="2"/>
  <c r="I600" i="2"/>
  <c r="J600" i="2"/>
  <c r="K600" i="2"/>
  <c r="L600" i="2"/>
  <c r="E601" i="2"/>
  <c r="F601" i="2"/>
  <c r="G601" i="2"/>
  <c r="H601" i="2"/>
  <c r="I601" i="2"/>
  <c r="J601" i="2"/>
  <c r="K601" i="2"/>
  <c r="L601" i="2"/>
  <c r="I69" i="3"/>
  <c r="J69" i="3"/>
  <c r="K69" i="3"/>
  <c r="L69" i="3"/>
  <c r="M69" i="3"/>
  <c r="N69" i="3"/>
  <c r="O69" i="3"/>
  <c r="P69" i="3"/>
  <c r="H69" i="3"/>
  <c r="D601" i="2"/>
  <c r="E599" i="2"/>
  <c r="F599" i="2"/>
  <c r="G599" i="2"/>
  <c r="H599" i="2"/>
  <c r="I599" i="2"/>
  <c r="J599" i="2"/>
  <c r="K599" i="2"/>
  <c r="L599" i="2"/>
  <c r="D599" i="2"/>
  <c r="L700" i="2" l="1"/>
  <c r="H700" i="2"/>
  <c r="D700" i="2"/>
  <c r="D647" i="2"/>
  <c r="E586" i="2"/>
  <c r="F586" i="2"/>
  <c r="G586" i="2"/>
  <c r="H586" i="2"/>
  <c r="I586" i="2"/>
  <c r="J586" i="2"/>
  <c r="K586" i="2"/>
  <c r="L586" i="2"/>
  <c r="D586" i="2"/>
  <c r="F582" i="2"/>
  <c r="G582" i="2" s="1"/>
  <c r="H582" i="2" s="1"/>
  <c r="I582" i="2" s="1"/>
  <c r="J582" i="2" s="1"/>
  <c r="K582" i="2" s="1"/>
  <c r="L582" i="2" s="1"/>
  <c r="E582" i="2"/>
  <c r="D582" i="2"/>
  <c r="E581" i="2"/>
  <c r="F581" i="2"/>
  <c r="G581" i="2"/>
  <c r="H581" i="2"/>
  <c r="I581" i="2"/>
  <c r="J581" i="2"/>
  <c r="K581" i="2"/>
  <c r="L581" i="2"/>
  <c r="D581" i="2"/>
  <c r="E584" i="2"/>
  <c r="F584" i="2"/>
  <c r="G584" i="2"/>
  <c r="H584" i="2"/>
  <c r="I584" i="2"/>
  <c r="J584" i="2"/>
  <c r="K584" i="2"/>
  <c r="L584" i="2"/>
  <c r="D584" i="2"/>
  <c r="E583" i="2"/>
  <c r="F583" i="2"/>
  <c r="G583" i="2"/>
  <c r="H583" i="2"/>
  <c r="I583" i="2"/>
  <c r="J583" i="2"/>
  <c r="K583" i="2"/>
  <c r="L583" i="2"/>
  <c r="D583" i="2"/>
  <c r="F541" i="2"/>
  <c r="G541" i="2" s="1"/>
  <c r="H541" i="2" s="1"/>
  <c r="I541" i="2" s="1"/>
  <c r="J541" i="2" s="1"/>
  <c r="K541" i="2" s="1"/>
  <c r="L541" i="2" s="1"/>
  <c r="E541" i="2"/>
  <c r="D541" i="2"/>
  <c r="F540" i="2"/>
  <c r="G540" i="2"/>
  <c r="H540" i="2"/>
  <c r="I540" i="2"/>
  <c r="J540" i="2"/>
  <c r="K540" i="2"/>
  <c r="L540" i="2"/>
  <c r="E540" i="2"/>
  <c r="D540" i="2"/>
  <c r="E595" i="2"/>
  <c r="F595" i="2"/>
  <c r="G595" i="2"/>
  <c r="H595" i="2"/>
  <c r="I595" i="2"/>
  <c r="J595" i="2"/>
  <c r="K595" i="2"/>
  <c r="L595" i="2"/>
  <c r="D595" i="2"/>
  <c r="F594" i="2"/>
  <c r="G594" i="2" s="1"/>
  <c r="H594" i="2" s="1"/>
  <c r="I594" i="2" s="1"/>
  <c r="J594" i="2" s="1"/>
  <c r="K594" i="2" s="1"/>
  <c r="L594" i="2" s="1"/>
  <c r="E594" i="2"/>
  <c r="D594" i="2"/>
  <c r="E542" i="2"/>
  <c r="F542" i="2"/>
  <c r="G542" i="2"/>
  <c r="H542" i="2"/>
  <c r="I542" i="2"/>
  <c r="J542" i="2"/>
  <c r="K542" i="2"/>
  <c r="L542" i="2"/>
  <c r="D542" i="2"/>
  <c r="F543" i="2"/>
  <c r="E538" i="2"/>
  <c r="F538" i="2"/>
  <c r="G538" i="2"/>
  <c r="H538" i="2"/>
  <c r="I538" i="2"/>
  <c r="J538" i="2"/>
  <c r="K538" i="2"/>
  <c r="L538" i="2"/>
  <c r="D538" i="2"/>
  <c r="E535" i="2"/>
  <c r="F535" i="2"/>
  <c r="G535" i="2"/>
  <c r="H535" i="2"/>
  <c r="I535" i="2"/>
  <c r="J535" i="2"/>
  <c r="K535" i="2"/>
  <c r="L535" i="2"/>
  <c r="D535" i="2"/>
  <c r="E537" i="2"/>
  <c r="F537" i="2"/>
  <c r="G537" i="2"/>
  <c r="H537" i="2"/>
  <c r="I537" i="2"/>
  <c r="J537" i="2"/>
  <c r="K537" i="2"/>
  <c r="L537" i="2"/>
  <c r="D537" i="2"/>
  <c r="E536" i="2"/>
  <c r="F536" i="2"/>
  <c r="G536" i="2"/>
  <c r="H536" i="2"/>
  <c r="I536" i="2"/>
  <c r="J536" i="2"/>
  <c r="K536" i="2"/>
  <c r="L536" i="2"/>
  <c r="D536" i="2"/>
  <c r="E534" i="2"/>
  <c r="F534" i="2"/>
  <c r="G534" i="2"/>
  <c r="H534" i="2"/>
  <c r="I534" i="2"/>
  <c r="J534" i="2"/>
  <c r="K534" i="2"/>
  <c r="L534" i="2"/>
  <c r="D534" i="2"/>
  <c r="E532" i="2"/>
  <c r="F532" i="2"/>
  <c r="G532" i="2"/>
  <c r="H532" i="2"/>
  <c r="I532" i="2"/>
  <c r="J532" i="2"/>
  <c r="K532" i="2"/>
  <c r="L532" i="2"/>
  <c r="D532" i="2"/>
  <c r="E531" i="2"/>
  <c r="F531" i="2"/>
  <c r="G531" i="2"/>
  <c r="H531" i="2"/>
  <c r="I531" i="2"/>
  <c r="J531" i="2"/>
  <c r="K531" i="2"/>
  <c r="L531" i="2"/>
  <c r="D531" i="2"/>
  <c r="E530" i="2"/>
  <c r="F530" i="2"/>
  <c r="G530" i="2"/>
  <c r="H530" i="2"/>
  <c r="I530" i="2"/>
  <c r="J530" i="2"/>
  <c r="K530" i="2"/>
  <c r="L530" i="2"/>
  <c r="D530" i="2"/>
  <c r="E528" i="2"/>
  <c r="F528" i="2"/>
  <c r="G528" i="2"/>
  <c r="H528" i="2"/>
  <c r="I528" i="2"/>
  <c r="J528" i="2"/>
  <c r="K528" i="2"/>
  <c r="L528" i="2"/>
  <c r="D528" i="2"/>
  <c r="E527" i="2"/>
  <c r="F527" i="2"/>
  <c r="G527" i="2"/>
  <c r="H527" i="2"/>
  <c r="I527" i="2"/>
  <c r="J527" i="2"/>
  <c r="K527" i="2"/>
  <c r="L527" i="2"/>
  <c r="D527" i="2"/>
  <c r="E526" i="2"/>
  <c r="F526" i="2"/>
  <c r="G526" i="2"/>
  <c r="H526" i="2"/>
  <c r="I526" i="2"/>
  <c r="J526" i="2"/>
  <c r="K526" i="2"/>
  <c r="L526" i="2"/>
  <c r="D526" i="2"/>
  <c r="E525" i="2"/>
  <c r="F525" i="2"/>
  <c r="G525" i="2"/>
  <c r="H525" i="2"/>
  <c r="I525" i="2"/>
  <c r="J525" i="2"/>
  <c r="K525" i="2"/>
  <c r="L525" i="2"/>
  <c r="D525" i="2"/>
  <c r="L373" i="2"/>
  <c r="L369" i="2"/>
  <c r="L367" i="2"/>
  <c r="L290" i="2"/>
  <c r="L291" i="2" s="1"/>
  <c r="L289" i="2"/>
  <c r="L239" i="2"/>
  <c r="L240" i="2" s="1"/>
  <c r="L237" i="2"/>
  <c r="L213" i="2"/>
  <c r="L204" i="2"/>
  <c r="L140" i="2"/>
  <c r="L119" i="2"/>
  <c r="L115" i="2"/>
  <c r="L43" i="2"/>
  <c r="L31" i="2"/>
  <c r="J443" i="4"/>
  <c r="E443" i="4"/>
  <c r="K442" i="4"/>
  <c r="F442" i="4"/>
  <c r="F428" i="4"/>
  <c r="K428" i="4"/>
  <c r="K403" i="4"/>
  <c r="F403" i="4"/>
  <c r="F443" i="4" s="1"/>
  <c r="K389" i="4"/>
  <c r="F389" i="4"/>
  <c r="F375" i="4"/>
  <c r="K375" i="4"/>
  <c r="K443" i="4" s="1"/>
  <c r="F352" i="4"/>
  <c r="K352" i="4"/>
  <c r="F338" i="4"/>
  <c r="K338" i="4"/>
  <c r="F324" i="4"/>
  <c r="K324" i="4"/>
  <c r="F303" i="4"/>
  <c r="K303" i="4"/>
  <c r="I278" i="4"/>
  <c r="L278" i="4" s="1"/>
  <c r="I279" i="4" s="1"/>
  <c r="L279" i="4" s="1"/>
  <c r="I280" i="4" s="1"/>
  <c r="L277" i="4"/>
  <c r="M277" i="4"/>
  <c r="H277" i="4"/>
  <c r="J477" i="4"/>
  <c r="E477" i="4"/>
  <c r="J478" i="4"/>
  <c r="J476" i="4"/>
  <c r="E476" i="4"/>
  <c r="J475" i="4"/>
  <c r="E475" i="4"/>
  <c r="J474" i="4"/>
  <c r="J473" i="4"/>
  <c r="J472" i="4"/>
  <c r="J471" i="4"/>
  <c r="J470" i="4"/>
  <c r="E474" i="4"/>
  <c r="E473" i="4"/>
  <c r="M486" i="4"/>
  <c r="L487" i="4" s="1"/>
  <c r="L486" i="4"/>
  <c r="K487" i="4" s="1"/>
  <c r="K486" i="4"/>
  <c r="J487" i="4" s="1"/>
  <c r="J486" i="4"/>
  <c r="I487" i="4" s="1"/>
  <c r="I486" i="4"/>
  <c r="H487" i="4" s="1"/>
  <c r="H486" i="4"/>
  <c r="G487" i="4" s="1"/>
  <c r="G486" i="4"/>
  <c r="F487" i="4" s="1"/>
  <c r="F486" i="4"/>
  <c r="E487" i="4" s="1"/>
  <c r="E486" i="4"/>
  <c r="D487" i="4" s="1"/>
  <c r="M487" i="4"/>
  <c r="E472" i="4"/>
  <c r="E471" i="4"/>
  <c r="E470" i="4"/>
  <c r="H470" i="4" s="1"/>
  <c r="H471" i="4" s="1"/>
  <c r="H472" i="4" s="1"/>
  <c r="H473" i="4" s="1"/>
  <c r="H474" i="4" s="1"/>
  <c r="H475" i="4" s="1"/>
  <c r="H476" i="4" s="1"/>
  <c r="H477" i="4" s="1"/>
  <c r="H478" i="4" s="1"/>
  <c r="E478" i="4"/>
  <c r="K479" i="4"/>
  <c r="F479" i="4"/>
  <c r="D473" i="4" s="1"/>
  <c r="D471" i="4"/>
  <c r="D472" i="4"/>
  <c r="D474" i="4"/>
  <c r="D475" i="4"/>
  <c r="D476" i="4"/>
  <c r="D477" i="4"/>
  <c r="D478" i="4"/>
  <c r="D470" i="4"/>
  <c r="E289" i="4"/>
  <c r="G278" i="4"/>
  <c r="D279" i="4" s="1"/>
  <c r="G277" i="4"/>
  <c r="D278" i="4" s="1"/>
  <c r="H278" i="4" s="1"/>
  <c r="E191" i="4"/>
  <c r="F191" i="4" s="1"/>
  <c r="E189" i="4"/>
  <c r="F189" i="4" s="1"/>
  <c r="E187" i="4"/>
  <c r="F187" i="4" s="1"/>
  <c r="E176" i="4"/>
  <c r="F176" i="4" s="1"/>
  <c r="E178" i="4"/>
  <c r="F178" i="4" s="1"/>
  <c r="E174" i="4"/>
  <c r="F174" i="4" s="1"/>
  <c r="D180" i="4"/>
  <c r="J85" i="4"/>
  <c r="J87" i="4" s="1"/>
  <c r="J76" i="4"/>
  <c r="F40" i="4"/>
  <c r="G40" i="4"/>
  <c r="H40" i="4"/>
  <c r="I40" i="4"/>
  <c r="J40" i="4"/>
  <c r="K40" i="4"/>
  <c r="L40" i="4"/>
  <c r="M40" i="4"/>
  <c r="E40" i="4"/>
  <c r="H17" i="4"/>
  <c r="J60" i="4" s="1"/>
  <c r="J62" i="4" s="1"/>
  <c r="J24" i="4"/>
  <c r="L24" i="4" s="1"/>
  <c r="I32" i="4" s="1"/>
  <c r="F119" i="4"/>
  <c r="J130" i="4"/>
  <c r="J131" i="4"/>
  <c r="J132" i="4"/>
  <c r="J133" i="4"/>
  <c r="J134" i="4"/>
  <c r="J135" i="4"/>
  <c r="J136" i="4"/>
  <c r="J137" i="4"/>
  <c r="F138" i="4"/>
  <c r="J129" i="4"/>
  <c r="J112" i="4"/>
  <c r="J113" i="4"/>
  <c r="J114" i="4"/>
  <c r="J115" i="4"/>
  <c r="J116" i="4"/>
  <c r="J117" i="4"/>
  <c r="J118" i="4"/>
  <c r="J111" i="4"/>
  <c r="B13" i="18"/>
  <c r="D4" i="18"/>
  <c r="E4" i="18" s="1"/>
  <c r="F4" i="18" s="1"/>
  <c r="G4" i="18" s="1"/>
  <c r="H4" i="18" s="1"/>
  <c r="I4" i="18" s="1"/>
  <c r="J4" i="18" s="1"/>
  <c r="K4" i="18" s="1"/>
  <c r="L4" i="18" s="1"/>
  <c r="L47" i="2"/>
  <c r="G543" i="2" l="1"/>
  <c r="H543" i="2"/>
  <c r="E543" i="2"/>
  <c r="D543" i="2"/>
  <c r="D545" i="2" s="1"/>
  <c r="G279" i="4"/>
  <c r="H279" i="4"/>
  <c r="M278" i="4"/>
  <c r="D479" i="4"/>
  <c r="D485" i="4"/>
  <c r="L280" i="4"/>
  <c r="I281" i="4" s="1"/>
  <c r="M280" i="4"/>
  <c r="M279" i="4"/>
  <c r="D488" i="4"/>
  <c r="E485" i="4" s="1"/>
  <c r="E488" i="4" s="1"/>
  <c r="F485" i="4" s="1"/>
  <c r="F488" i="4" s="1"/>
  <c r="G485" i="4" s="1"/>
  <c r="G488" i="4" s="1"/>
  <c r="J479" i="4"/>
  <c r="E479" i="4"/>
  <c r="I474" i="4"/>
  <c r="I475" i="4"/>
  <c r="I470" i="4"/>
  <c r="I472" i="4"/>
  <c r="I477" i="4"/>
  <c r="I473" i="4"/>
  <c r="I476" i="4"/>
  <c r="M470" i="4"/>
  <c r="M471" i="4" s="1"/>
  <c r="M472" i="4" s="1"/>
  <c r="M473" i="4" s="1"/>
  <c r="M474" i="4" s="1"/>
  <c r="M475" i="4" s="1"/>
  <c r="M476" i="4" s="1"/>
  <c r="M477" i="4" s="1"/>
  <c r="M478" i="4" s="1"/>
  <c r="I478" i="4"/>
  <c r="I471" i="4"/>
  <c r="D280" i="4"/>
  <c r="L32" i="4"/>
  <c r="H32" i="4"/>
  <c r="K32" i="4"/>
  <c r="G32" i="4"/>
  <c r="E32" i="4"/>
  <c r="J32" i="4"/>
  <c r="F32" i="4"/>
  <c r="M32" i="4"/>
  <c r="G191" i="4"/>
  <c r="E193" i="4"/>
  <c r="G189" i="4"/>
  <c r="G187" i="4"/>
  <c r="F193" i="4"/>
  <c r="G176" i="4"/>
  <c r="E180" i="4"/>
  <c r="E241" i="4" s="1"/>
  <c r="G178" i="4"/>
  <c r="H178" i="4" s="1"/>
  <c r="F180" i="4"/>
  <c r="F241" i="4" s="1"/>
  <c r="G174" i="4"/>
  <c r="J119" i="4"/>
  <c r="I121" i="4" s="1"/>
  <c r="I122" i="4" s="1"/>
  <c r="I123" i="4" s="1"/>
  <c r="J25" i="4"/>
  <c r="J45" i="4"/>
  <c r="J138" i="4"/>
  <c r="I141" i="4" s="1"/>
  <c r="D194" i="4"/>
  <c r="H73" i="3"/>
  <c r="I73" i="3" s="1"/>
  <c r="H76" i="3"/>
  <c r="I53" i="3"/>
  <c r="I70" i="3" s="1"/>
  <c r="J53" i="3"/>
  <c r="J71" i="3" s="1"/>
  <c r="J258" i="3" s="1"/>
  <c r="K53" i="3"/>
  <c r="K71" i="3" s="1"/>
  <c r="K258" i="3" s="1"/>
  <c r="L53" i="3"/>
  <c r="M53" i="3"/>
  <c r="M70" i="3" s="1"/>
  <c r="N53" i="3"/>
  <c r="O53" i="3"/>
  <c r="O71" i="3" s="1"/>
  <c r="O258" i="3" s="1"/>
  <c r="P53" i="3"/>
  <c r="H53" i="3"/>
  <c r="H70" i="3" s="1"/>
  <c r="J543" i="2" l="1"/>
  <c r="I543" i="2"/>
  <c r="G280" i="4"/>
  <c r="H280" i="4"/>
  <c r="I479" i="4"/>
  <c r="H259" i="3"/>
  <c r="L281" i="4"/>
  <c r="I282" i="4" s="1"/>
  <c r="M281" i="4"/>
  <c r="H485" i="4"/>
  <c r="H488" i="4" s="1"/>
  <c r="D281" i="4"/>
  <c r="I76" i="3"/>
  <c r="F239" i="4"/>
  <c r="E194" i="4"/>
  <c r="E239" i="4"/>
  <c r="H191" i="4"/>
  <c r="I191" i="4" s="1"/>
  <c r="H189" i="4"/>
  <c r="G193" i="4"/>
  <c r="H187" i="4"/>
  <c r="G180" i="4"/>
  <c r="G241" i="4" s="1"/>
  <c r="H176" i="4"/>
  <c r="I178" i="4"/>
  <c r="H174" i="4"/>
  <c r="I174" i="4" s="1"/>
  <c r="L25" i="4"/>
  <c r="J46" i="4"/>
  <c r="J48" i="4" s="1"/>
  <c r="H72" i="3" s="1"/>
  <c r="I142" i="4"/>
  <c r="I143" i="4" s="1"/>
  <c r="M71" i="3"/>
  <c r="M258" i="3" s="1"/>
  <c r="M259" i="3"/>
  <c r="I259" i="3"/>
  <c r="N259" i="3"/>
  <c r="J259" i="3"/>
  <c r="H71" i="3"/>
  <c r="H258" i="3" s="1"/>
  <c r="I71" i="3"/>
  <c r="I258" i="3" s="1"/>
  <c r="N71" i="3"/>
  <c r="N258" i="3" s="1"/>
  <c r="L70" i="3"/>
  <c r="K70" i="3"/>
  <c r="N70" i="3"/>
  <c r="J70" i="3"/>
  <c r="O259" i="3"/>
  <c r="K259" i="3"/>
  <c r="P71" i="3"/>
  <c r="P258" i="3" s="1"/>
  <c r="L71" i="3"/>
  <c r="L258" i="3" s="1"/>
  <c r="P70" i="3"/>
  <c r="O70" i="3"/>
  <c r="M221" i="4"/>
  <c r="L221" i="4"/>
  <c r="O54" i="3" s="1"/>
  <c r="K221" i="4"/>
  <c r="J221" i="4"/>
  <c r="M54" i="3" s="1"/>
  <c r="I221" i="4"/>
  <c r="H221" i="4"/>
  <c r="K54" i="3" s="1"/>
  <c r="G221" i="4"/>
  <c r="F221" i="4"/>
  <c r="I54" i="3" s="1"/>
  <c r="E221" i="4"/>
  <c r="L222" i="4"/>
  <c r="M220" i="4" s="1"/>
  <c r="L543" i="2" l="1"/>
  <c r="K543" i="2"/>
  <c r="G281" i="4"/>
  <c r="H281" i="4"/>
  <c r="M282" i="4"/>
  <c r="L282" i="4"/>
  <c r="I283" i="4" s="1"/>
  <c r="I485" i="4"/>
  <c r="I488" i="4" s="1"/>
  <c r="D282" i="4"/>
  <c r="L26" i="4"/>
  <c r="E33" i="4"/>
  <c r="I33" i="4"/>
  <c r="M33" i="4"/>
  <c r="H33" i="4"/>
  <c r="F33" i="4"/>
  <c r="J33" i="4"/>
  <c r="G33" i="4"/>
  <c r="K33" i="4"/>
  <c r="L33" i="4"/>
  <c r="J76" i="3"/>
  <c r="G239" i="4"/>
  <c r="F194" i="4"/>
  <c r="J191" i="4"/>
  <c r="I189" i="4"/>
  <c r="H193" i="4"/>
  <c r="H239" i="4" s="1"/>
  <c r="I187" i="4"/>
  <c r="J187" i="4" s="1"/>
  <c r="H180" i="4"/>
  <c r="H241" i="4" s="1"/>
  <c r="K178" i="4"/>
  <c r="J178" i="4"/>
  <c r="I176" i="4"/>
  <c r="I180" i="4" s="1"/>
  <c r="I241" i="4" s="1"/>
  <c r="J174" i="4"/>
  <c r="K174" i="4" s="1"/>
  <c r="N72" i="3"/>
  <c r="N251" i="3" s="1"/>
  <c r="F222" i="4"/>
  <c r="G220" i="4" s="1"/>
  <c r="M72" i="3"/>
  <c r="M251" i="3" s="1"/>
  <c r="O72" i="3"/>
  <c r="O251" i="3" s="1"/>
  <c r="P72" i="3"/>
  <c r="P251" i="3" s="1"/>
  <c r="I72" i="3"/>
  <c r="I251" i="3" s="1"/>
  <c r="H222" i="4"/>
  <c r="I220" i="4" s="1"/>
  <c r="K72" i="3"/>
  <c r="K251" i="3" s="1"/>
  <c r="L72" i="3"/>
  <c r="L251" i="3" s="1"/>
  <c r="J72" i="3"/>
  <c r="J251" i="3" s="1"/>
  <c r="E222" i="4"/>
  <c r="H54" i="3"/>
  <c r="M222" i="4"/>
  <c r="M224" i="4" s="1"/>
  <c r="P54" i="3"/>
  <c r="L259" i="3"/>
  <c r="J222" i="4"/>
  <c r="K220" i="4" s="1"/>
  <c r="G222" i="4"/>
  <c r="J54" i="3"/>
  <c r="K222" i="4"/>
  <c r="N54" i="3"/>
  <c r="I222" i="4"/>
  <c r="J220" i="4" s="1"/>
  <c r="L54" i="3"/>
  <c r="P259" i="3"/>
  <c r="F1" i="10"/>
  <c r="F2" i="10"/>
  <c r="C49" i="10"/>
  <c r="D49" i="10"/>
  <c r="E49" i="10"/>
  <c r="F49" i="10"/>
  <c r="G49" i="10"/>
  <c r="H49" i="10"/>
  <c r="I49" i="10"/>
  <c r="J49" i="10"/>
  <c r="K49" i="10"/>
  <c r="L49" i="10"/>
  <c r="M49" i="10"/>
  <c r="C54" i="10"/>
  <c r="C56" i="10" s="1"/>
  <c r="D54" i="10"/>
  <c r="D56" i="10" s="1"/>
  <c r="E54" i="10"/>
  <c r="F54" i="10"/>
  <c r="F56" i="10" s="1"/>
  <c r="G54" i="10"/>
  <c r="H54" i="10"/>
  <c r="I54" i="10"/>
  <c r="J54" i="10"/>
  <c r="K54" i="10"/>
  <c r="K56" i="10"/>
  <c r="L54" i="10"/>
  <c r="L56" i="10" s="1"/>
  <c r="M54" i="10"/>
  <c r="F75" i="10"/>
  <c r="F76" i="10"/>
  <c r="C98" i="10"/>
  <c r="D98" i="10"/>
  <c r="E98" i="10"/>
  <c r="F98" i="10"/>
  <c r="G98" i="10"/>
  <c r="H98" i="10"/>
  <c r="H100" i="10" s="1"/>
  <c r="I98" i="10"/>
  <c r="J98" i="10"/>
  <c r="K98" i="10"/>
  <c r="L98" i="10"/>
  <c r="M98" i="10"/>
  <c r="C99" i="10"/>
  <c r="D99" i="10"/>
  <c r="E99" i="10"/>
  <c r="F99" i="10"/>
  <c r="F100" i="10" s="1"/>
  <c r="G99" i="10"/>
  <c r="G100" i="10"/>
  <c r="H99" i="10"/>
  <c r="I99" i="10"/>
  <c r="I100" i="10" s="1"/>
  <c r="J99" i="10"/>
  <c r="J100" i="10" s="1"/>
  <c r="K99" i="10"/>
  <c r="L99" i="10"/>
  <c r="M99" i="10"/>
  <c r="H279" i="8"/>
  <c r="H285" i="8"/>
  <c r="H287" i="8" s="1"/>
  <c r="H291" i="8"/>
  <c r="M100" i="10"/>
  <c r="E100" i="10"/>
  <c r="G194" i="4" l="1"/>
  <c r="E224" i="4"/>
  <c r="E225" i="4" s="1"/>
  <c r="E229" i="4"/>
  <c r="G282" i="4"/>
  <c r="H282" i="4"/>
  <c r="M283" i="4"/>
  <c r="L283" i="4"/>
  <c r="I284" i="4" s="1"/>
  <c r="J485" i="4"/>
  <c r="J488" i="4" s="1"/>
  <c r="D283" i="4"/>
  <c r="L249" i="3"/>
  <c r="I34" i="4"/>
  <c r="L66" i="3" s="1"/>
  <c r="H194" i="4"/>
  <c r="O249" i="3"/>
  <c r="L34" i="4"/>
  <c r="O66" i="3" s="1"/>
  <c r="F34" i="4"/>
  <c r="I66" i="3" s="1"/>
  <c r="I249" i="3"/>
  <c r="E34" i="4"/>
  <c r="H66" i="3" s="1"/>
  <c r="H77" i="3" s="1"/>
  <c r="H79" i="3" s="1"/>
  <c r="K34" i="4"/>
  <c r="N66" i="3" s="1"/>
  <c r="N249" i="3"/>
  <c r="K249" i="3"/>
  <c r="H34" i="4"/>
  <c r="K66" i="3" s="1"/>
  <c r="M249" i="3"/>
  <c r="J34" i="4"/>
  <c r="M66" i="3" s="1"/>
  <c r="G34" i="4"/>
  <c r="J66" i="3" s="1"/>
  <c r="J249" i="3"/>
  <c r="P249" i="3"/>
  <c r="M34" i="4"/>
  <c r="P66" i="3" s="1"/>
  <c r="K191" i="4"/>
  <c r="J189" i="4"/>
  <c r="K189" i="4" s="1"/>
  <c r="K187" i="4"/>
  <c r="L187" i="4" s="1"/>
  <c r="I193" i="4"/>
  <c r="K76" i="3"/>
  <c r="J176" i="4"/>
  <c r="J180" i="4" s="1"/>
  <c r="J241" i="4" s="1"/>
  <c r="L178" i="4"/>
  <c r="M178" i="4" s="1"/>
  <c r="L174" i="4"/>
  <c r="M174" i="4" s="1"/>
  <c r="I77" i="3"/>
  <c r="K77" i="3"/>
  <c r="J224" i="4"/>
  <c r="J225" i="4" s="1"/>
  <c r="J77" i="3"/>
  <c r="H55" i="3"/>
  <c r="K100" i="10"/>
  <c r="D100" i="10"/>
  <c r="C100" i="10"/>
  <c r="M56" i="10"/>
  <c r="H220" i="4"/>
  <c r="H224" i="4" s="1"/>
  <c r="G224" i="4"/>
  <c r="H56" i="10"/>
  <c r="I224" i="4"/>
  <c r="J56" i="10"/>
  <c r="I56" i="10"/>
  <c r="E56" i="10"/>
  <c r="M58" i="10" s="1"/>
  <c r="M225" i="4"/>
  <c r="P55" i="3"/>
  <c r="F220" i="4"/>
  <c r="F224" i="4" s="1"/>
  <c r="L100" i="10"/>
  <c r="G56" i="10"/>
  <c r="L220" i="4"/>
  <c r="L224" i="4" s="1"/>
  <c r="K224" i="4"/>
  <c r="M102" i="10"/>
  <c r="G283" i="4" l="1"/>
  <c r="H283" i="4"/>
  <c r="K176" i="4"/>
  <c r="K180" i="4" s="1"/>
  <c r="K241" i="4" s="1"/>
  <c r="M284" i="4"/>
  <c r="L284" i="4"/>
  <c r="I285" i="4" s="1"/>
  <c r="K485" i="4"/>
  <c r="K488" i="4" s="1"/>
  <c r="D284" i="4"/>
  <c r="M55" i="3"/>
  <c r="J193" i="4"/>
  <c r="J239" i="4" s="1"/>
  <c r="I194" i="4"/>
  <c r="I239" i="4"/>
  <c r="L191" i="4"/>
  <c r="M191" i="4" s="1"/>
  <c r="K193" i="4"/>
  <c r="L189" i="4"/>
  <c r="M189" i="4" s="1"/>
  <c r="M76" i="3"/>
  <c r="M187" i="4"/>
  <c r="L76" i="3"/>
  <c r="J194" i="4"/>
  <c r="N55" i="3"/>
  <c r="K225" i="4"/>
  <c r="O55" i="3"/>
  <c r="L225" i="4"/>
  <c r="I225" i="4"/>
  <c r="L55" i="3"/>
  <c r="J55" i="3"/>
  <c r="G225" i="4"/>
  <c r="J226" i="4"/>
  <c r="M59" i="3" s="1"/>
  <c r="E226" i="4"/>
  <c r="H59" i="3" s="1"/>
  <c r="M226" i="4"/>
  <c r="P59" i="3" s="1"/>
  <c r="M227" i="4"/>
  <c r="P56" i="3" s="1"/>
  <c r="I55" i="3"/>
  <c r="F225" i="4"/>
  <c r="K55" i="3"/>
  <c r="H225" i="4"/>
  <c r="L176" i="4" l="1"/>
  <c r="L180" i="4" s="1"/>
  <c r="L241" i="4" s="1"/>
  <c r="G284" i="4"/>
  <c r="H284" i="4"/>
  <c r="M176" i="4"/>
  <c r="M180" i="4" s="1"/>
  <c r="M241" i="4" s="1"/>
  <c r="L285" i="4"/>
  <c r="I286" i="4" s="1"/>
  <c r="M285" i="4"/>
  <c r="L485" i="4"/>
  <c r="L488" i="4" s="1"/>
  <c r="D285" i="4"/>
  <c r="K239" i="4"/>
  <c r="M77" i="3"/>
  <c r="N76" i="3"/>
  <c r="M193" i="4"/>
  <c r="L193" i="4"/>
  <c r="L239" i="4" s="1"/>
  <c r="L77" i="3"/>
  <c r="H226" i="4"/>
  <c r="K59" i="3" s="1"/>
  <c r="J227" i="4"/>
  <c r="M56" i="3" s="1"/>
  <c r="F226" i="4"/>
  <c r="I59" i="3" s="1"/>
  <c r="G226" i="4"/>
  <c r="J59" i="3" s="1"/>
  <c r="P58" i="3"/>
  <c r="P60" i="3" s="1"/>
  <c r="K226" i="4"/>
  <c r="N59" i="3" s="1"/>
  <c r="I226" i="4"/>
  <c r="L59" i="3" s="1"/>
  <c r="L226" i="4"/>
  <c r="O59" i="3" s="1"/>
  <c r="E227" i="4"/>
  <c r="K194" i="4"/>
  <c r="N77" i="3"/>
  <c r="G285" i="4" l="1"/>
  <c r="H285" i="4"/>
  <c r="M286" i="4"/>
  <c r="L286" i="4"/>
  <c r="I287" i="4" s="1"/>
  <c r="M485" i="4"/>
  <c r="M488" i="4" s="1"/>
  <c r="D286" i="4"/>
  <c r="P76" i="3"/>
  <c r="M239" i="4"/>
  <c r="O76" i="3"/>
  <c r="F227" i="4"/>
  <c r="I56" i="3" s="1"/>
  <c r="I58" i="3" s="1"/>
  <c r="I60" i="3" s="1"/>
  <c r="H56" i="3"/>
  <c r="H58" i="3" s="1"/>
  <c r="H60" i="3" s="1"/>
  <c r="E230" i="4"/>
  <c r="K227" i="4"/>
  <c r="N56" i="3" s="1"/>
  <c r="N58" i="3" s="1"/>
  <c r="N60" i="3" s="1"/>
  <c r="L227" i="4"/>
  <c r="O56" i="3" s="1"/>
  <c r="G227" i="4"/>
  <c r="J56" i="3" s="1"/>
  <c r="M58" i="3"/>
  <c r="M60" i="3" s="1"/>
  <c r="L194" i="4"/>
  <c r="O77" i="3"/>
  <c r="I227" i="4"/>
  <c r="L56" i="3" s="1"/>
  <c r="L6" i="18"/>
  <c r="H227" i="4"/>
  <c r="K56" i="3" s="1"/>
  <c r="G286" i="4" l="1"/>
  <c r="H286" i="4"/>
  <c r="L287" i="4"/>
  <c r="I288" i="4" s="1"/>
  <c r="M287" i="4"/>
  <c r="D287" i="4"/>
  <c r="J58" i="3"/>
  <c r="J60" i="3" s="1"/>
  <c r="M194" i="4"/>
  <c r="P77" i="3"/>
  <c r="O58" i="3"/>
  <c r="O60" i="3" s="1"/>
  <c r="K58" i="3"/>
  <c r="K60" i="3" s="1"/>
  <c r="L13" i="18"/>
  <c r="J6" i="18"/>
  <c r="N61" i="3"/>
  <c r="L58" i="3"/>
  <c r="L60" i="3" s="1"/>
  <c r="I6" i="18"/>
  <c r="E6" i="18"/>
  <c r="I61" i="3"/>
  <c r="D6" i="18"/>
  <c r="G287" i="4" l="1"/>
  <c r="H287" i="4"/>
  <c r="M288" i="4"/>
  <c r="M289" i="4" s="1"/>
  <c r="L288" i="4"/>
  <c r="I291" i="4" s="1"/>
  <c r="D288" i="4"/>
  <c r="E13" i="18"/>
  <c r="D13" i="18"/>
  <c r="K61" i="3"/>
  <c r="G6" i="18"/>
  <c r="I13" i="18"/>
  <c r="H6" i="18"/>
  <c r="L61" i="3"/>
  <c r="M61" i="3"/>
  <c r="J13" i="18"/>
  <c r="O61" i="3"/>
  <c r="K6" i="18"/>
  <c r="P61" i="3"/>
  <c r="F6" i="18"/>
  <c r="J61" i="3"/>
  <c r="L291" i="4" l="1"/>
  <c r="I292" i="4" s="1"/>
  <c r="M291" i="4"/>
  <c r="G288" i="4"/>
  <c r="D291" i="4" s="1"/>
  <c r="H288" i="4"/>
  <c r="H289" i="4" s="1"/>
  <c r="D489" i="4" s="1"/>
  <c r="H13" i="18"/>
  <c r="I14" i="18"/>
  <c r="F13" i="18"/>
  <c r="F14" i="18" s="1"/>
  <c r="E14" i="18"/>
  <c r="J14" i="18"/>
  <c r="G13" i="18"/>
  <c r="G14" i="18" s="1"/>
  <c r="K13" i="18"/>
  <c r="G291" i="4" l="1"/>
  <c r="D292" i="4" s="1"/>
  <c r="H291" i="4"/>
  <c r="L292" i="4"/>
  <c r="I293" i="4" s="1"/>
  <c r="M292" i="4"/>
  <c r="K14" i="18"/>
  <c r="L14" i="18"/>
  <c r="H14" i="18"/>
  <c r="L293" i="4" l="1"/>
  <c r="I294" i="4" s="1"/>
  <c r="M293" i="4"/>
  <c r="G292" i="4"/>
  <c r="D293" i="4" s="1"/>
  <c r="H292" i="4"/>
  <c r="G293" i="4" l="1"/>
  <c r="D294" i="4" s="1"/>
  <c r="H293" i="4"/>
  <c r="L294" i="4"/>
  <c r="I295" i="4" s="1"/>
  <c r="M294" i="4"/>
  <c r="L295" i="4" l="1"/>
  <c r="I296" i="4" s="1"/>
  <c r="M295" i="4"/>
  <c r="G294" i="4"/>
  <c r="D295" i="4" s="1"/>
  <c r="H294" i="4"/>
  <c r="G295" i="4" l="1"/>
  <c r="D296" i="4" s="1"/>
  <c r="H295" i="4"/>
  <c r="L296" i="4"/>
  <c r="I297" i="4" s="1"/>
  <c r="M296" i="4"/>
  <c r="L297" i="4" l="1"/>
  <c r="I298" i="4" s="1"/>
  <c r="M297" i="4"/>
  <c r="G296" i="4"/>
  <c r="D297" i="4" s="1"/>
  <c r="H296" i="4"/>
  <c r="G297" i="4" l="1"/>
  <c r="D298" i="4" s="1"/>
  <c r="H297" i="4"/>
  <c r="L298" i="4"/>
  <c r="I299" i="4" s="1"/>
  <c r="M298" i="4"/>
  <c r="L299" i="4" l="1"/>
  <c r="I300" i="4" s="1"/>
  <c r="M299" i="4"/>
  <c r="G298" i="4"/>
  <c r="D299" i="4" s="1"/>
  <c r="H298" i="4"/>
  <c r="G299" i="4" l="1"/>
  <c r="D300" i="4" s="1"/>
  <c r="H299" i="4"/>
  <c r="L300" i="4"/>
  <c r="I301" i="4" s="1"/>
  <c r="M300" i="4"/>
  <c r="L301" i="4" l="1"/>
  <c r="I302" i="4" s="1"/>
  <c r="M301" i="4"/>
  <c r="G300" i="4"/>
  <c r="D301" i="4" s="1"/>
  <c r="H300" i="4"/>
  <c r="G301" i="4" l="1"/>
  <c r="D302" i="4" s="1"/>
  <c r="H301" i="4"/>
  <c r="L302" i="4"/>
  <c r="I312" i="4" s="1"/>
  <c r="M302" i="4"/>
  <c r="M303" i="4" s="1"/>
  <c r="M312" i="4" l="1"/>
  <c r="L312" i="4"/>
  <c r="I313" i="4" s="1"/>
  <c r="G302" i="4"/>
  <c r="D312" i="4" s="1"/>
  <c r="H302" i="4"/>
  <c r="H303" i="4" s="1"/>
  <c r="E489" i="4" s="1"/>
  <c r="M313" i="4" l="1"/>
  <c r="L313" i="4"/>
  <c r="I314" i="4" s="1"/>
  <c r="G312" i="4"/>
  <c r="D313" i="4" s="1"/>
  <c r="H312" i="4"/>
  <c r="G313" i="4" l="1"/>
  <c r="D314" i="4" s="1"/>
  <c r="H313" i="4"/>
  <c r="L314" i="4"/>
  <c r="I315" i="4" s="1"/>
  <c r="M314" i="4"/>
  <c r="L315" i="4" l="1"/>
  <c r="I316" i="4" s="1"/>
  <c r="M315" i="4"/>
  <c r="G314" i="4"/>
  <c r="D315" i="4" s="1"/>
  <c r="H314" i="4"/>
  <c r="L316" i="4" l="1"/>
  <c r="I317" i="4" s="1"/>
  <c r="M316" i="4"/>
  <c r="H315" i="4"/>
  <c r="G315" i="4"/>
  <c r="D316" i="4" s="1"/>
  <c r="L317" i="4" l="1"/>
  <c r="I318" i="4" s="1"/>
  <c r="M317" i="4"/>
  <c r="H316" i="4"/>
  <c r="G316" i="4"/>
  <c r="D317" i="4" s="1"/>
  <c r="G317" i="4" l="1"/>
  <c r="D318" i="4" s="1"/>
  <c r="H317" i="4"/>
  <c r="L318" i="4"/>
  <c r="I319" i="4" s="1"/>
  <c r="M318" i="4"/>
  <c r="L319" i="4" l="1"/>
  <c r="I320" i="4" s="1"/>
  <c r="M319" i="4"/>
  <c r="G318" i="4"/>
  <c r="D319" i="4" s="1"/>
  <c r="H318" i="4"/>
  <c r="G319" i="4" l="1"/>
  <c r="D320" i="4" s="1"/>
  <c r="H319" i="4"/>
  <c r="L320" i="4"/>
  <c r="I321" i="4" s="1"/>
  <c r="M320" i="4"/>
  <c r="L321" i="4" l="1"/>
  <c r="I322" i="4" s="1"/>
  <c r="M321" i="4"/>
  <c r="G320" i="4"/>
  <c r="D321" i="4" s="1"/>
  <c r="H320" i="4"/>
  <c r="G321" i="4" l="1"/>
  <c r="D322" i="4" s="1"/>
  <c r="H321" i="4"/>
  <c r="L322" i="4"/>
  <c r="I323" i="4" s="1"/>
  <c r="M322" i="4"/>
  <c r="L323" i="4" l="1"/>
  <c r="I326" i="4" s="1"/>
  <c r="M323" i="4"/>
  <c r="M324" i="4" s="1"/>
  <c r="H322" i="4"/>
  <c r="G322" i="4"/>
  <c r="D323" i="4" s="1"/>
  <c r="G323" i="4" l="1"/>
  <c r="D326" i="4" s="1"/>
  <c r="H323" i="4"/>
  <c r="H324" i="4" s="1"/>
  <c r="F489" i="4" s="1"/>
  <c r="M326" i="4"/>
  <c r="L326" i="4"/>
  <c r="I327" i="4" s="1"/>
  <c r="L327" i="4" l="1"/>
  <c r="I328" i="4" s="1"/>
  <c r="M327" i="4"/>
  <c r="G326" i="4"/>
  <c r="D327" i="4" s="1"/>
  <c r="H326" i="4"/>
  <c r="G327" i="4" l="1"/>
  <c r="D328" i="4" s="1"/>
  <c r="H327" i="4"/>
  <c r="L328" i="4"/>
  <c r="I329" i="4" s="1"/>
  <c r="M328" i="4"/>
  <c r="M329" i="4" l="1"/>
  <c r="L329" i="4"/>
  <c r="I330" i="4" s="1"/>
  <c r="G328" i="4"/>
  <c r="D329" i="4" s="1"/>
  <c r="H328" i="4"/>
  <c r="G329" i="4" l="1"/>
  <c r="D330" i="4" s="1"/>
  <c r="H329" i="4"/>
  <c r="M330" i="4"/>
  <c r="L330" i="4"/>
  <c r="I331" i="4" s="1"/>
  <c r="M331" i="4" l="1"/>
  <c r="L331" i="4"/>
  <c r="I332" i="4" s="1"/>
  <c r="G330" i="4"/>
  <c r="D331" i="4" s="1"/>
  <c r="H330" i="4"/>
  <c r="G331" i="4" l="1"/>
  <c r="D332" i="4" s="1"/>
  <c r="H331" i="4"/>
  <c r="M332" i="4"/>
  <c r="L332" i="4"/>
  <c r="I333" i="4" s="1"/>
  <c r="G332" i="4" l="1"/>
  <c r="D333" i="4" s="1"/>
  <c r="H332" i="4"/>
  <c r="M333" i="4"/>
  <c r="L333" i="4"/>
  <c r="I334" i="4" s="1"/>
  <c r="M334" i="4" l="1"/>
  <c r="L334" i="4"/>
  <c r="I335" i="4" s="1"/>
  <c r="G333" i="4"/>
  <c r="D334" i="4" s="1"/>
  <c r="H333" i="4"/>
  <c r="M335" i="4" l="1"/>
  <c r="L335" i="4"/>
  <c r="I336" i="4" s="1"/>
  <c r="G334" i="4"/>
  <c r="D335" i="4" s="1"/>
  <c r="H334" i="4"/>
  <c r="M336" i="4" l="1"/>
  <c r="L336" i="4"/>
  <c r="I337" i="4" s="1"/>
  <c r="G335" i="4"/>
  <c r="D336" i="4" s="1"/>
  <c r="H335" i="4"/>
  <c r="L337" i="4" l="1"/>
  <c r="I340" i="4" s="1"/>
  <c r="M337" i="4"/>
  <c r="M338" i="4" s="1"/>
  <c r="G336" i="4"/>
  <c r="D337" i="4" s="1"/>
  <c r="H336" i="4"/>
  <c r="G337" i="4" l="1"/>
  <c r="D340" i="4" s="1"/>
  <c r="H337" i="4"/>
  <c r="H338" i="4" s="1"/>
  <c r="G489" i="4" s="1"/>
  <c r="M340" i="4"/>
  <c r="L340" i="4"/>
  <c r="I341" i="4" s="1"/>
  <c r="M341" i="4" l="1"/>
  <c r="L341" i="4"/>
  <c r="I342" i="4" s="1"/>
  <c r="H340" i="4"/>
  <c r="G340" i="4"/>
  <c r="D341" i="4" s="1"/>
  <c r="L342" i="4" l="1"/>
  <c r="I343" i="4" s="1"/>
  <c r="M342" i="4"/>
  <c r="G341" i="4"/>
  <c r="D342" i="4" s="1"/>
  <c r="H341" i="4"/>
  <c r="G342" i="4" l="1"/>
  <c r="D343" i="4" s="1"/>
  <c r="H342" i="4"/>
  <c r="L343" i="4"/>
  <c r="I344" i="4" s="1"/>
  <c r="M343" i="4"/>
  <c r="L344" i="4" l="1"/>
  <c r="I345" i="4" s="1"/>
  <c r="M344" i="4"/>
  <c r="G343" i="4"/>
  <c r="D344" i="4" s="1"/>
  <c r="H343" i="4"/>
  <c r="G344" i="4" l="1"/>
  <c r="D345" i="4" s="1"/>
  <c r="H344" i="4"/>
  <c r="L345" i="4"/>
  <c r="I346" i="4" s="1"/>
  <c r="M345" i="4"/>
  <c r="L346" i="4" l="1"/>
  <c r="I347" i="4" s="1"/>
  <c r="M346" i="4"/>
  <c r="G345" i="4"/>
  <c r="D346" i="4" s="1"/>
  <c r="H345" i="4"/>
  <c r="G346" i="4" l="1"/>
  <c r="D347" i="4" s="1"/>
  <c r="H346" i="4"/>
  <c r="L347" i="4"/>
  <c r="I348" i="4" s="1"/>
  <c r="M347" i="4"/>
  <c r="L348" i="4" l="1"/>
  <c r="I349" i="4" s="1"/>
  <c r="M348" i="4"/>
  <c r="G347" i="4"/>
  <c r="D348" i="4" s="1"/>
  <c r="H347" i="4"/>
  <c r="G348" i="4" l="1"/>
  <c r="D349" i="4" s="1"/>
  <c r="H348" i="4"/>
  <c r="L349" i="4"/>
  <c r="I350" i="4" s="1"/>
  <c r="M349" i="4"/>
  <c r="L350" i="4" l="1"/>
  <c r="I351" i="4" s="1"/>
  <c r="M350" i="4"/>
  <c r="G349" i="4"/>
  <c r="D350" i="4" s="1"/>
  <c r="H349" i="4"/>
  <c r="G350" i="4" l="1"/>
  <c r="D351" i="4" s="1"/>
  <c r="H350" i="4"/>
  <c r="L351" i="4"/>
  <c r="I363" i="4" s="1"/>
  <c r="M351" i="4"/>
  <c r="M352" i="4" s="1"/>
  <c r="M363" i="4" l="1"/>
  <c r="L363" i="4"/>
  <c r="I364" i="4" s="1"/>
  <c r="G351" i="4"/>
  <c r="D363" i="4" s="1"/>
  <c r="H351" i="4"/>
  <c r="H352" i="4" s="1"/>
  <c r="H489" i="4" s="1"/>
  <c r="G363" i="4" l="1"/>
  <c r="D364" i="4" s="1"/>
  <c r="H363" i="4"/>
  <c r="M364" i="4"/>
  <c r="L364" i="4"/>
  <c r="I365" i="4" s="1"/>
  <c r="L365" i="4" l="1"/>
  <c r="I366" i="4" s="1"/>
  <c r="M365" i="4"/>
  <c r="H364" i="4"/>
  <c r="G364" i="4"/>
  <c r="D365" i="4" s="1"/>
  <c r="G365" i="4" l="1"/>
  <c r="D366" i="4" s="1"/>
  <c r="H365" i="4"/>
  <c r="L366" i="4"/>
  <c r="I367" i="4" s="1"/>
  <c r="M366" i="4"/>
  <c r="G366" i="4" l="1"/>
  <c r="D367" i="4" s="1"/>
  <c r="H366" i="4"/>
  <c r="L367" i="4"/>
  <c r="I368" i="4" s="1"/>
  <c r="M367" i="4"/>
  <c r="L368" i="4" l="1"/>
  <c r="I369" i="4" s="1"/>
  <c r="M368" i="4"/>
  <c r="G367" i="4"/>
  <c r="D368" i="4" s="1"/>
  <c r="H367" i="4"/>
  <c r="G368" i="4" l="1"/>
  <c r="D369" i="4" s="1"/>
  <c r="H368" i="4"/>
  <c r="L369" i="4"/>
  <c r="I370" i="4" s="1"/>
  <c r="M369" i="4"/>
  <c r="L370" i="4" l="1"/>
  <c r="I371" i="4" s="1"/>
  <c r="M370" i="4"/>
  <c r="G369" i="4"/>
  <c r="D370" i="4" s="1"/>
  <c r="H369" i="4"/>
  <c r="G370" i="4" l="1"/>
  <c r="D371" i="4" s="1"/>
  <c r="H370" i="4"/>
  <c r="L371" i="4"/>
  <c r="I372" i="4" s="1"/>
  <c r="M371" i="4"/>
  <c r="L372" i="4" l="1"/>
  <c r="I373" i="4" s="1"/>
  <c r="M372" i="4"/>
  <c r="G371" i="4"/>
  <c r="D372" i="4" s="1"/>
  <c r="H371" i="4"/>
  <c r="G372" i="4" l="1"/>
  <c r="D373" i="4" s="1"/>
  <c r="H372" i="4"/>
  <c r="L373" i="4"/>
  <c r="I374" i="4" s="1"/>
  <c r="M373" i="4"/>
  <c r="L374" i="4" l="1"/>
  <c r="I377" i="4" s="1"/>
  <c r="M374" i="4"/>
  <c r="M375" i="4" s="1"/>
  <c r="G373" i="4"/>
  <c r="D374" i="4" s="1"/>
  <c r="H373" i="4"/>
  <c r="G374" i="4" l="1"/>
  <c r="D377" i="4" s="1"/>
  <c r="H374" i="4"/>
  <c r="H375" i="4" s="1"/>
  <c r="I489" i="4" s="1"/>
  <c r="L377" i="4"/>
  <c r="I378" i="4" s="1"/>
  <c r="M377" i="4"/>
  <c r="L378" i="4" l="1"/>
  <c r="I379" i="4" s="1"/>
  <c r="M378" i="4"/>
  <c r="G377" i="4"/>
  <c r="D378" i="4" s="1"/>
  <c r="H377" i="4"/>
  <c r="H378" i="4" l="1"/>
  <c r="G378" i="4"/>
  <c r="D379" i="4" s="1"/>
  <c r="L379" i="4"/>
  <c r="I380" i="4" s="1"/>
  <c r="M379" i="4"/>
  <c r="H379" i="4" l="1"/>
  <c r="G379" i="4"/>
  <c r="D380" i="4" s="1"/>
  <c r="M380" i="4"/>
  <c r="L380" i="4"/>
  <c r="I381" i="4" s="1"/>
  <c r="H380" i="4" l="1"/>
  <c r="G380" i="4"/>
  <c r="D381" i="4" s="1"/>
  <c r="M381" i="4"/>
  <c r="L381" i="4"/>
  <c r="I382" i="4" s="1"/>
  <c r="G381" i="4" l="1"/>
  <c r="D382" i="4" s="1"/>
  <c r="H381" i="4"/>
  <c r="M382" i="4"/>
  <c r="L382" i="4"/>
  <c r="I383" i="4" s="1"/>
  <c r="L383" i="4" l="1"/>
  <c r="I384" i="4" s="1"/>
  <c r="M383" i="4"/>
  <c r="G382" i="4"/>
  <c r="D383" i="4" s="1"/>
  <c r="H382" i="4"/>
  <c r="H383" i="4" l="1"/>
  <c r="G383" i="4"/>
  <c r="D384" i="4" s="1"/>
  <c r="M384" i="4"/>
  <c r="L384" i="4"/>
  <c r="I385" i="4" s="1"/>
  <c r="M385" i="4" l="1"/>
  <c r="L385" i="4"/>
  <c r="I386" i="4" s="1"/>
  <c r="H384" i="4"/>
  <c r="G384" i="4"/>
  <c r="D385" i="4" s="1"/>
  <c r="M386" i="4" l="1"/>
  <c r="L386" i="4"/>
  <c r="I387" i="4" s="1"/>
  <c r="G385" i="4"/>
  <c r="D386" i="4" s="1"/>
  <c r="H385" i="4"/>
  <c r="G386" i="4" l="1"/>
  <c r="D387" i="4" s="1"/>
  <c r="H386" i="4"/>
  <c r="L387" i="4"/>
  <c r="I388" i="4" s="1"/>
  <c r="M387" i="4"/>
  <c r="M388" i="4" l="1"/>
  <c r="M389" i="4" s="1"/>
  <c r="L388" i="4"/>
  <c r="I391" i="4" s="1"/>
  <c r="H387" i="4"/>
  <c r="G387" i="4"/>
  <c r="D388" i="4" s="1"/>
  <c r="M391" i="4" l="1"/>
  <c r="L391" i="4"/>
  <c r="I392" i="4" s="1"/>
  <c r="H388" i="4"/>
  <c r="H389" i="4" s="1"/>
  <c r="J489" i="4" s="1"/>
  <c r="G388" i="4"/>
  <c r="D391" i="4" s="1"/>
  <c r="G391" i="4" l="1"/>
  <c r="D392" i="4" s="1"/>
  <c r="H391" i="4"/>
  <c r="L392" i="4"/>
  <c r="I393" i="4" s="1"/>
  <c r="M392" i="4"/>
  <c r="M393" i="4" l="1"/>
  <c r="L393" i="4"/>
  <c r="I394" i="4" s="1"/>
  <c r="H392" i="4"/>
  <c r="G392" i="4"/>
  <c r="D393" i="4" s="1"/>
  <c r="G393" i="4" l="1"/>
  <c r="D394" i="4" s="1"/>
  <c r="H393" i="4"/>
  <c r="L394" i="4"/>
  <c r="I395" i="4" s="1"/>
  <c r="M394" i="4"/>
  <c r="M395" i="4" l="1"/>
  <c r="L395" i="4"/>
  <c r="I396" i="4" s="1"/>
  <c r="H394" i="4"/>
  <c r="G394" i="4"/>
  <c r="D395" i="4" s="1"/>
  <c r="M396" i="4" l="1"/>
  <c r="L396" i="4"/>
  <c r="I397" i="4" s="1"/>
  <c r="H395" i="4"/>
  <c r="G395" i="4"/>
  <c r="D396" i="4" s="1"/>
  <c r="L397" i="4" l="1"/>
  <c r="I398" i="4" s="1"/>
  <c r="M397" i="4"/>
  <c r="H396" i="4"/>
  <c r="G396" i="4"/>
  <c r="D397" i="4" s="1"/>
  <c r="H397" i="4" l="1"/>
  <c r="G397" i="4"/>
  <c r="D398" i="4" s="1"/>
  <c r="M398" i="4"/>
  <c r="L398" i="4"/>
  <c r="I399" i="4" s="1"/>
  <c r="G398" i="4" l="1"/>
  <c r="D399" i="4" s="1"/>
  <c r="H398" i="4"/>
  <c r="L399" i="4"/>
  <c r="I400" i="4" s="1"/>
  <c r="M399" i="4"/>
  <c r="M400" i="4" l="1"/>
  <c r="L400" i="4"/>
  <c r="I401" i="4" s="1"/>
  <c r="H399" i="4"/>
  <c r="G399" i="4"/>
  <c r="D400" i="4" s="1"/>
  <c r="H400" i="4" l="1"/>
  <c r="G400" i="4"/>
  <c r="D401" i="4" s="1"/>
  <c r="L401" i="4"/>
  <c r="I402" i="4" s="1"/>
  <c r="M401" i="4"/>
  <c r="G401" i="4" l="1"/>
  <c r="D402" i="4" s="1"/>
  <c r="H401" i="4"/>
  <c r="M402" i="4"/>
  <c r="M403" i="4" s="1"/>
  <c r="L402" i="4"/>
  <c r="I416" i="4" s="1"/>
  <c r="M416" i="4" l="1"/>
  <c r="L416" i="4"/>
  <c r="I417" i="4" s="1"/>
  <c r="H402" i="4"/>
  <c r="H403" i="4" s="1"/>
  <c r="K489" i="4" s="1"/>
  <c r="G402" i="4"/>
  <c r="D416" i="4" s="1"/>
  <c r="H416" i="4" l="1"/>
  <c r="G416" i="4"/>
  <c r="D417" i="4" s="1"/>
  <c r="M417" i="4"/>
  <c r="L417" i="4"/>
  <c r="I418" i="4" s="1"/>
  <c r="M418" i="4" l="1"/>
  <c r="L418" i="4"/>
  <c r="I419" i="4" s="1"/>
  <c r="G417" i="4"/>
  <c r="D418" i="4" s="1"/>
  <c r="H417" i="4"/>
  <c r="L419" i="4" l="1"/>
  <c r="I420" i="4" s="1"/>
  <c r="M419" i="4"/>
  <c r="G418" i="4"/>
  <c r="D419" i="4" s="1"/>
  <c r="H418" i="4"/>
  <c r="G419" i="4" l="1"/>
  <c r="D420" i="4" s="1"/>
  <c r="H419" i="4"/>
  <c r="L420" i="4"/>
  <c r="I421" i="4" s="1"/>
  <c r="M420" i="4"/>
  <c r="M421" i="4" l="1"/>
  <c r="L421" i="4"/>
  <c r="I422" i="4" s="1"/>
  <c r="H420" i="4"/>
  <c r="G420" i="4"/>
  <c r="D421" i="4" s="1"/>
  <c r="M422" i="4" l="1"/>
  <c r="L422" i="4"/>
  <c r="I423" i="4" s="1"/>
  <c r="G421" i="4"/>
  <c r="D422" i="4" s="1"/>
  <c r="H421" i="4"/>
  <c r="L423" i="4" l="1"/>
  <c r="I424" i="4" s="1"/>
  <c r="M423" i="4"/>
  <c r="G422" i="4"/>
  <c r="D423" i="4" s="1"/>
  <c r="H422" i="4"/>
  <c r="H423" i="4" l="1"/>
  <c r="G423" i="4"/>
  <c r="D424" i="4" s="1"/>
  <c r="L424" i="4"/>
  <c r="I425" i="4" s="1"/>
  <c r="M424" i="4"/>
  <c r="H424" i="4" l="1"/>
  <c r="G424" i="4"/>
  <c r="D425" i="4" s="1"/>
  <c r="M425" i="4"/>
  <c r="L425" i="4"/>
  <c r="I426" i="4" s="1"/>
  <c r="M426" i="4" l="1"/>
  <c r="L426" i="4"/>
  <c r="I427" i="4" s="1"/>
  <c r="G425" i="4"/>
  <c r="D426" i="4" s="1"/>
  <c r="H425" i="4"/>
  <c r="L427" i="4" l="1"/>
  <c r="I430" i="4" s="1"/>
  <c r="M427" i="4"/>
  <c r="M428" i="4" s="1"/>
  <c r="G426" i="4"/>
  <c r="D427" i="4" s="1"/>
  <c r="H426" i="4"/>
  <c r="G427" i="4" l="1"/>
  <c r="D430" i="4" s="1"/>
  <c r="H427" i="4"/>
  <c r="H428" i="4" s="1"/>
  <c r="L489" i="4" s="1"/>
  <c r="M430" i="4"/>
  <c r="L430" i="4"/>
  <c r="I431" i="4" s="1"/>
  <c r="L431" i="4" l="1"/>
  <c r="I432" i="4" s="1"/>
  <c r="M431" i="4"/>
  <c r="G430" i="4"/>
  <c r="D431" i="4" s="1"/>
  <c r="H430" i="4"/>
  <c r="G431" i="4" l="1"/>
  <c r="D432" i="4" s="1"/>
  <c r="H431" i="4"/>
  <c r="L432" i="4"/>
  <c r="I433" i="4" s="1"/>
  <c r="M432" i="4"/>
  <c r="G432" i="4" l="1"/>
  <c r="D433" i="4" s="1"/>
  <c r="H432" i="4"/>
  <c r="L433" i="4"/>
  <c r="I434" i="4" s="1"/>
  <c r="M433" i="4"/>
  <c r="M434" i="4" l="1"/>
  <c r="L434" i="4"/>
  <c r="I435" i="4" s="1"/>
  <c r="G433" i="4"/>
  <c r="D434" i="4" s="1"/>
  <c r="H433" i="4"/>
  <c r="M435" i="4" l="1"/>
  <c r="L435" i="4"/>
  <c r="I436" i="4" s="1"/>
  <c r="H434" i="4"/>
  <c r="G434" i="4"/>
  <c r="D435" i="4" s="1"/>
  <c r="L436" i="4" l="1"/>
  <c r="I437" i="4" s="1"/>
  <c r="M436" i="4"/>
  <c r="H435" i="4"/>
  <c r="G435" i="4"/>
  <c r="D436" i="4" s="1"/>
  <c r="G436" i="4" l="1"/>
  <c r="D437" i="4" s="1"/>
  <c r="H436" i="4"/>
  <c r="L437" i="4"/>
  <c r="I438" i="4" s="1"/>
  <c r="M437" i="4"/>
  <c r="M438" i="4" l="1"/>
  <c r="L438" i="4"/>
  <c r="I439" i="4" s="1"/>
  <c r="H437" i="4"/>
  <c r="G437" i="4"/>
  <c r="D438" i="4" s="1"/>
  <c r="M439" i="4" l="1"/>
  <c r="L439" i="4"/>
  <c r="I440" i="4" s="1"/>
  <c r="G438" i="4"/>
  <c r="D439" i="4" s="1"/>
  <c r="H438" i="4"/>
  <c r="L440" i="4" l="1"/>
  <c r="I441" i="4" s="1"/>
  <c r="M440" i="4"/>
  <c r="H439" i="4"/>
  <c r="G439" i="4"/>
  <c r="D440" i="4" s="1"/>
  <c r="G440" i="4" l="1"/>
  <c r="D441" i="4" s="1"/>
  <c r="H440" i="4"/>
  <c r="M441" i="4"/>
  <c r="M442" i="4" s="1"/>
  <c r="M443" i="4" s="1"/>
  <c r="L441" i="4"/>
  <c r="H441" i="4" l="1"/>
  <c r="H442" i="4" s="1"/>
  <c r="G441" i="4"/>
  <c r="M489" i="4" l="1"/>
  <c r="H443" i="4"/>
  <c r="D600" i="2" l="1"/>
  <c r="E587" i="2" s="1"/>
  <c r="I155" i="3" l="1"/>
  <c r="D587" i="2"/>
  <c r="H155" i="3" l="1"/>
  <c r="D6" i="19"/>
  <c r="E6" i="19"/>
  <c r="E7" i="19" s="1"/>
  <c r="E11" i="19" s="1"/>
  <c r="F6" i="19"/>
  <c r="G6" i="19"/>
  <c r="G7" i="19" s="1"/>
  <c r="G11" i="19" s="1"/>
  <c r="G17" i="19" s="1"/>
  <c r="G20" i="19" s="1"/>
  <c r="H6" i="19"/>
  <c r="I6" i="19"/>
  <c r="I7" i="19" s="1"/>
  <c r="I11" i="19" s="1"/>
  <c r="I17" i="19" s="1"/>
  <c r="I20" i="19" s="1"/>
  <c r="J6" i="19"/>
  <c r="K6" i="19"/>
  <c r="K7" i="19" s="1"/>
  <c r="K11" i="19" s="1"/>
  <c r="K17" i="19" s="1"/>
  <c r="K20" i="19" s="1"/>
  <c r="L6" i="19"/>
  <c r="D7" i="19"/>
  <c r="F7" i="19"/>
  <c r="H7" i="19"/>
  <c r="J7" i="19"/>
  <c r="L7" i="19"/>
  <c r="D10" i="19"/>
  <c r="E10" i="19"/>
  <c r="F10" i="19"/>
  <c r="G10" i="19"/>
  <c r="H10" i="19"/>
  <c r="I10" i="19"/>
  <c r="J10" i="19"/>
  <c r="K10" i="19"/>
  <c r="L10" i="19"/>
  <c r="D11" i="19"/>
  <c r="F11" i="19"/>
  <c r="H11" i="19"/>
  <c r="J11" i="19"/>
  <c r="L11" i="19"/>
  <c r="L18" i="19" s="1"/>
  <c r="L19" i="19" s="1"/>
  <c r="L20" i="19" s="1"/>
  <c r="D17" i="19"/>
  <c r="F17" i="19"/>
  <c r="F20" i="19" s="1"/>
  <c r="H17" i="19"/>
  <c r="J17" i="19"/>
  <c r="J20" i="19" s="1"/>
  <c r="L17" i="19"/>
  <c r="D20" i="19"/>
  <c r="H20" i="19"/>
  <c r="C12" i="19" l="1"/>
  <c r="E17" i="19"/>
  <c r="E20" i="19" s="1"/>
  <c r="C21" i="19" s="1"/>
  <c r="E238" i="4"/>
  <c r="F238" i="4"/>
  <c r="G238" i="4"/>
  <c r="H238" i="4"/>
  <c r="I238" i="4"/>
  <c r="J238" i="4"/>
  <c r="K238" i="4"/>
  <c r="L238" i="4"/>
  <c r="M238" i="4"/>
  <c r="E240" i="4"/>
  <c r="F240" i="4"/>
  <c r="G240" i="4"/>
  <c r="H240" i="4"/>
  <c r="I240" i="4"/>
  <c r="J240" i="4"/>
  <c r="K240" i="4"/>
  <c r="L240" i="4"/>
  <c r="M240" i="4"/>
  <c r="E242" i="4"/>
  <c r="F242" i="4"/>
  <c r="G242" i="4"/>
  <c r="H242" i="4"/>
  <c r="I242" i="4"/>
  <c r="J242" i="4"/>
  <c r="K242" i="4"/>
  <c r="L242" i="4"/>
  <c r="M242" i="4"/>
  <c r="E244" i="4"/>
  <c r="F244" i="4"/>
  <c r="G244" i="4"/>
  <c r="H244" i="4"/>
  <c r="I244" i="4"/>
  <c r="J244" i="4"/>
  <c r="K244" i="4"/>
  <c r="L244" i="4"/>
  <c r="M244" i="4"/>
  <c r="E246" i="4"/>
  <c r="F246" i="4"/>
  <c r="G246" i="4"/>
  <c r="H246" i="4"/>
  <c r="I246" i="4"/>
  <c r="J246" i="4"/>
  <c r="K246" i="4"/>
  <c r="L246" i="4"/>
  <c r="M246" i="4"/>
  <c r="E247" i="4"/>
  <c r="F247" i="4"/>
  <c r="G247" i="4"/>
  <c r="H247" i="4"/>
  <c r="I247" i="4"/>
  <c r="J247" i="4"/>
  <c r="K247" i="4"/>
  <c r="L247" i="4"/>
  <c r="M247" i="4"/>
  <c r="E248" i="4"/>
  <c r="F248" i="4"/>
  <c r="G248" i="4"/>
  <c r="H248" i="4"/>
  <c r="I248" i="4"/>
  <c r="J248" i="4"/>
  <c r="K248" i="4"/>
  <c r="L248" i="4"/>
  <c r="M248" i="4"/>
  <c r="E249" i="4"/>
  <c r="F249" i="4"/>
  <c r="G249" i="4"/>
  <c r="H249" i="4"/>
  <c r="I249" i="4"/>
  <c r="J249" i="4"/>
  <c r="K249" i="4"/>
  <c r="L249" i="4"/>
  <c r="M249" i="4"/>
  <c r="I78" i="3"/>
  <c r="J78" i="3"/>
  <c r="K78" i="3"/>
  <c r="L78" i="3"/>
  <c r="M78" i="3"/>
  <c r="N78" i="3"/>
  <c r="O78" i="3"/>
  <c r="P78" i="3"/>
  <c r="I79" i="3"/>
  <c r="J79" i="3"/>
  <c r="K79" i="3"/>
  <c r="L79" i="3"/>
  <c r="M79" i="3"/>
  <c r="N79" i="3"/>
  <c r="O79" i="3"/>
  <c r="P79" i="3"/>
  <c r="H80" i="3"/>
  <c r="I80" i="3"/>
  <c r="J80" i="3"/>
  <c r="K80" i="3"/>
  <c r="L80" i="3"/>
  <c r="M80" i="3"/>
  <c r="N80" i="3"/>
  <c r="O80" i="3"/>
  <c r="P80" i="3"/>
  <c r="H81" i="3"/>
  <c r="I81" i="3"/>
  <c r="J81" i="3"/>
  <c r="K81" i="3"/>
  <c r="L81" i="3"/>
  <c r="M81" i="3"/>
  <c r="N81" i="3"/>
  <c r="O81" i="3"/>
  <c r="P81" i="3"/>
  <c r="I82" i="3"/>
  <c r="J82" i="3"/>
  <c r="K82" i="3"/>
  <c r="L82" i="3"/>
  <c r="M82" i="3"/>
  <c r="N82" i="3"/>
  <c r="O82" i="3"/>
  <c r="P82" i="3"/>
  <c r="H83" i="3"/>
  <c r="I83" i="3"/>
  <c r="J83" i="3"/>
  <c r="K83" i="3"/>
  <c r="L83" i="3"/>
  <c r="M83" i="3"/>
  <c r="N83" i="3"/>
  <c r="O83" i="3"/>
  <c r="P83" i="3"/>
  <c r="H84" i="3"/>
  <c r="I84" i="3"/>
  <c r="J84" i="3"/>
  <c r="K84" i="3"/>
  <c r="L84" i="3"/>
  <c r="M84" i="3"/>
  <c r="N84" i="3"/>
  <c r="O84" i="3"/>
  <c r="P84" i="3"/>
  <c r="H85" i="3"/>
  <c r="I85" i="3"/>
  <c r="J85" i="3"/>
  <c r="K85" i="3"/>
  <c r="L85" i="3"/>
  <c r="M85" i="3"/>
  <c r="N85" i="3"/>
  <c r="O85" i="3"/>
  <c r="P85" i="3"/>
  <c r="H88" i="3"/>
  <c r="I88" i="3"/>
  <c r="J88" i="3"/>
  <c r="K88" i="3"/>
  <c r="L88" i="3"/>
  <c r="M88" i="3"/>
  <c r="N88" i="3"/>
  <c r="O88" i="3"/>
  <c r="P88" i="3"/>
  <c r="H98" i="3"/>
  <c r="I98" i="3"/>
  <c r="J98" i="3"/>
  <c r="K98" i="3"/>
  <c r="L98" i="3"/>
  <c r="M98" i="3"/>
  <c r="N98" i="3"/>
  <c r="O98" i="3"/>
  <c r="P98" i="3"/>
  <c r="H100" i="3"/>
  <c r="I100" i="3"/>
  <c r="J100" i="3"/>
  <c r="K100" i="3"/>
  <c r="L100" i="3"/>
  <c r="M100" i="3"/>
  <c r="N100" i="3"/>
  <c r="O100" i="3"/>
  <c r="P100" i="3"/>
  <c r="H109" i="3"/>
  <c r="I109" i="3"/>
  <c r="J109" i="3"/>
  <c r="K109" i="3"/>
  <c r="L109" i="3"/>
  <c r="M109" i="3"/>
  <c r="N109" i="3"/>
  <c r="O109" i="3"/>
  <c r="P109" i="3"/>
  <c r="H110" i="3"/>
  <c r="I110" i="3"/>
  <c r="J110" i="3"/>
  <c r="K110" i="3"/>
  <c r="L110" i="3"/>
  <c r="M110" i="3"/>
  <c r="N110" i="3"/>
  <c r="O110" i="3"/>
  <c r="P110" i="3"/>
  <c r="H111" i="3"/>
  <c r="I111" i="3"/>
  <c r="J111" i="3"/>
  <c r="K111" i="3"/>
  <c r="L111" i="3"/>
  <c r="M111" i="3"/>
  <c r="N111" i="3"/>
  <c r="O111" i="3"/>
  <c r="P111" i="3"/>
  <c r="H113" i="3"/>
  <c r="I113" i="3"/>
  <c r="J113" i="3"/>
  <c r="K113" i="3"/>
  <c r="L113" i="3"/>
  <c r="M113" i="3"/>
  <c r="N113" i="3"/>
  <c r="O113" i="3"/>
  <c r="P113" i="3"/>
  <c r="H114" i="3"/>
  <c r="I114" i="3"/>
  <c r="J114" i="3"/>
  <c r="K114" i="3"/>
  <c r="L114" i="3"/>
  <c r="M114" i="3"/>
  <c r="N114" i="3"/>
  <c r="O114" i="3"/>
  <c r="P114" i="3"/>
  <c r="H115" i="3"/>
  <c r="I115" i="3"/>
  <c r="J115" i="3"/>
  <c r="K115" i="3"/>
  <c r="L115" i="3"/>
  <c r="M115" i="3"/>
  <c r="N115" i="3"/>
  <c r="O115" i="3"/>
  <c r="P115" i="3"/>
  <c r="H159" i="3"/>
  <c r="I159" i="3"/>
  <c r="J159" i="3"/>
  <c r="K159" i="3"/>
  <c r="L159" i="3"/>
  <c r="M159" i="3"/>
  <c r="N159" i="3"/>
  <c r="O159" i="3"/>
  <c r="P159" i="3"/>
  <c r="H165" i="3"/>
  <c r="I165" i="3"/>
  <c r="J165" i="3"/>
  <c r="K165" i="3"/>
  <c r="L165" i="3"/>
  <c r="M165" i="3"/>
  <c r="N165" i="3"/>
  <c r="O165" i="3"/>
  <c r="P165" i="3"/>
  <c r="H167" i="3"/>
  <c r="I167" i="3"/>
  <c r="J167" i="3"/>
  <c r="K167" i="3"/>
  <c r="L167" i="3"/>
  <c r="M167" i="3"/>
  <c r="N167" i="3"/>
  <c r="O167" i="3"/>
  <c r="P167" i="3"/>
  <c r="H168" i="3"/>
  <c r="I168" i="3"/>
  <c r="J168" i="3"/>
  <c r="K168" i="3"/>
  <c r="L168" i="3"/>
  <c r="M168" i="3"/>
  <c r="N168" i="3"/>
  <c r="O168" i="3"/>
  <c r="P168" i="3"/>
  <c r="H177" i="3"/>
  <c r="I177" i="3"/>
  <c r="J177" i="3"/>
  <c r="K177" i="3"/>
  <c r="L177" i="3"/>
  <c r="M177" i="3"/>
  <c r="N177" i="3"/>
  <c r="O177" i="3"/>
  <c r="P177" i="3"/>
  <c r="H201" i="3"/>
  <c r="I201" i="3"/>
  <c r="J201" i="3"/>
  <c r="K201" i="3"/>
  <c r="L201" i="3"/>
  <c r="M201" i="3"/>
  <c r="N201" i="3"/>
  <c r="O201" i="3"/>
  <c r="P201" i="3"/>
  <c r="H238" i="3"/>
  <c r="I238" i="3"/>
  <c r="J238" i="3"/>
  <c r="K238" i="3"/>
  <c r="L238" i="3"/>
  <c r="M238" i="3"/>
  <c r="N238" i="3"/>
  <c r="O238" i="3"/>
  <c r="P238" i="3"/>
  <c r="H242" i="3"/>
  <c r="H253" i="3"/>
  <c r="I253" i="3"/>
  <c r="J253" i="3"/>
  <c r="K253" i="3"/>
  <c r="L253" i="3"/>
  <c r="M253" i="3"/>
  <c r="N253" i="3"/>
  <c r="O253" i="3"/>
  <c r="P253" i="3"/>
  <c r="H255" i="3"/>
  <c r="I255" i="3"/>
  <c r="J255" i="3"/>
  <c r="K255" i="3"/>
  <c r="L255" i="3"/>
  <c r="M255" i="3"/>
  <c r="N255" i="3"/>
  <c r="O255" i="3"/>
  <c r="P255" i="3"/>
  <c r="H262" i="3"/>
  <c r="I262" i="3"/>
  <c r="J262" i="3"/>
  <c r="K262" i="3"/>
  <c r="L262" i="3"/>
  <c r="M262" i="3"/>
  <c r="N262" i="3"/>
  <c r="O262" i="3"/>
  <c r="P262" i="3"/>
  <c r="H263" i="3"/>
  <c r="H264" i="3"/>
  <c r="I264" i="3"/>
  <c r="J264" i="3"/>
  <c r="K264" i="3"/>
  <c r="L264" i="3"/>
  <c r="M264" i="3"/>
  <c r="N264" i="3"/>
  <c r="O264" i="3"/>
  <c r="P264" i="3"/>
  <c r="H303" i="3"/>
  <c r="I303" i="3"/>
  <c r="J303" i="3"/>
  <c r="K303" i="3"/>
  <c r="L303" i="3"/>
  <c r="M303" i="3"/>
  <c r="N303" i="3"/>
  <c r="O303" i="3"/>
  <c r="P303" i="3"/>
  <c r="H304" i="3"/>
  <c r="I304" i="3"/>
  <c r="J304" i="3"/>
  <c r="K304" i="3"/>
  <c r="L304" i="3"/>
  <c r="M304" i="3"/>
  <c r="N304" i="3"/>
  <c r="O304" i="3"/>
  <c r="P304" i="3"/>
  <c r="H306" i="3"/>
  <c r="I306" i="3"/>
  <c r="J306" i="3"/>
  <c r="K306" i="3"/>
  <c r="L306" i="3"/>
  <c r="M306" i="3"/>
  <c r="N306" i="3"/>
  <c r="O306" i="3"/>
  <c r="P306" i="3"/>
  <c r="H309" i="3"/>
  <c r="I309" i="3"/>
  <c r="J309" i="3"/>
  <c r="K309" i="3"/>
  <c r="L309" i="3"/>
  <c r="M309" i="3"/>
  <c r="N309" i="3"/>
  <c r="O309" i="3"/>
  <c r="P309" i="3"/>
  <c r="H311" i="3"/>
  <c r="I311" i="3"/>
  <c r="J311" i="3"/>
  <c r="K311" i="3"/>
  <c r="L311" i="3"/>
  <c r="M311" i="3"/>
  <c r="N311" i="3"/>
  <c r="O311" i="3"/>
  <c r="P311" i="3"/>
  <c r="H339" i="3"/>
  <c r="I339" i="3"/>
  <c r="J339" i="3"/>
  <c r="K339" i="3"/>
  <c r="L339" i="3"/>
  <c r="M339" i="3"/>
  <c r="N339" i="3"/>
  <c r="O339" i="3"/>
  <c r="P339" i="3"/>
  <c r="H340" i="3"/>
  <c r="I340" i="3"/>
  <c r="J340" i="3"/>
  <c r="K340" i="3"/>
  <c r="L340" i="3"/>
  <c r="M340" i="3"/>
  <c r="N340" i="3"/>
  <c r="O340" i="3"/>
  <c r="P340" i="3"/>
  <c r="H341" i="3"/>
  <c r="H344" i="3"/>
  <c r="I344" i="3"/>
  <c r="J344" i="3"/>
  <c r="K344" i="3"/>
  <c r="L344" i="3"/>
  <c r="M344" i="3"/>
  <c r="N344" i="3"/>
  <c r="O344" i="3"/>
  <c r="P344" i="3"/>
  <c r="H345" i="3"/>
  <c r="I345" i="3"/>
  <c r="J345" i="3"/>
  <c r="K345" i="3"/>
  <c r="L345" i="3"/>
  <c r="M345" i="3"/>
  <c r="N345" i="3"/>
  <c r="O345" i="3"/>
  <c r="P345" i="3"/>
  <c r="H346" i="3"/>
  <c r="I346" i="3"/>
  <c r="J346" i="3"/>
  <c r="K346" i="3"/>
  <c r="L346" i="3"/>
  <c r="M346" i="3"/>
  <c r="N346" i="3"/>
  <c r="O346" i="3"/>
  <c r="P346" i="3"/>
  <c r="H352" i="3"/>
  <c r="I352" i="3"/>
  <c r="J352" i="3"/>
  <c r="K352" i="3"/>
  <c r="L352" i="3"/>
  <c r="M352" i="3"/>
  <c r="N352" i="3"/>
  <c r="O352" i="3"/>
  <c r="P352" i="3"/>
  <c r="H353" i="3"/>
  <c r="I353" i="3"/>
  <c r="J353" i="3"/>
  <c r="K353" i="3"/>
  <c r="L353" i="3"/>
  <c r="M353" i="3"/>
  <c r="N353" i="3"/>
  <c r="O353" i="3"/>
  <c r="P353" i="3"/>
  <c r="H356" i="3"/>
  <c r="I356" i="3"/>
  <c r="J356" i="3"/>
  <c r="K356" i="3"/>
  <c r="L356" i="3"/>
  <c r="M356" i="3"/>
  <c r="N356" i="3"/>
  <c r="O356" i="3"/>
  <c r="P356" i="3"/>
  <c r="H358" i="3"/>
  <c r="I358" i="3"/>
  <c r="J358" i="3"/>
  <c r="K358" i="3"/>
  <c r="L358" i="3"/>
  <c r="M358" i="3"/>
  <c r="N358" i="3"/>
  <c r="O358" i="3"/>
  <c r="P358" i="3"/>
  <c r="H360" i="3"/>
  <c r="I360" i="3"/>
  <c r="J360" i="3"/>
  <c r="K360" i="3"/>
  <c r="L360" i="3"/>
  <c r="M360" i="3"/>
  <c r="N360" i="3"/>
  <c r="O360" i="3"/>
  <c r="P360" i="3"/>
  <c r="H361" i="3"/>
  <c r="I361" i="3"/>
  <c r="J361" i="3"/>
  <c r="K361" i="3"/>
  <c r="L361" i="3"/>
  <c r="M361" i="3"/>
  <c r="N361" i="3"/>
  <c r="O361" i="3"/>
  <c r="P361" i="3"/>
  <c r="H376" i="3"/>
  <c r="I376" i="3"/>
  <c r="J376" i="3"/>
  <c r="K376" i="3"/>
  <c r="L376" i="3"/>
  <c r="M376" i="3"/>
  <c r="N376" i="3"/>
  <c r="O376" i="3"/>
  <c r="P376" i="3"/>
  <c r="H378" i="3"/>
  <c r="I378" i="3"/>
  <c r="J378" i="3"/>
  <c r="K378" i="3"/>
  <c r="L378" i="3"/>
  <c r="M378" i="3"/>
  <c r="N378" i="3"/>
  <c r="O378" i="3"/>
  <c r="P378" i="3"/>
  <c r="H380" i="3"/>
  <c r="I380" i="3"/>
  <c r="J380" i="3"/>
  <c r="K380" i="3"/>
  <c r="L380" i="3"/>
  <c r="M380" i="3"/>
  <c r="N380" i="3"/>
  <c r="O380" i="3"/>
  <c r="P380" i="3"/>
  <c r="H382" i="3"/>
  <c r="I382" i="3"/>
  <c r="J382" i="3"/>
  <c r="K382" i="3"/>
  <c r="L382" i="3"/>
  <c r="M382" i="3"/>
  <c r="N382" i="3"/>
  <c r="O382" i="3"/>
  <c r="P382" i="3"/>
  <c r="H384" i="3"/>
  <c r="I384" i="3"/>
  <c r="J384" i="3"/>
  <c r="K384" i="3"/>
  <c r="L384" i="3"/>
  <c r="M384" i="3"/>
  <c r="N384" i="3"/>
  <c r="O384" i="3"/>
  <c r="P384" i="3"/>
  <c r="H386" i="3"/>
  <c r="I386" i="3"/>
  <c r="J386" i="3"/>
  <c r="K386" i="3"/>
  <c r="L386" i="3"/>
  <c r="M386" i="3"/>
  <c r="N386" i="3"/>
  <c r="O386" i="3"/>
  <c r="P386" i="3"/>
  <c r="H388" i="3"/>
  <c r="I388" i="3"/>
  <c r="J388" i="3"/>
  <c r="K388" i="3"/>
  <c r="L388" i="3"/>
  <c r="M388" i="3"/>
  <c r="N388" i="3"/>
  <c r="O388" i="3"/>
  <c r="P388" i="3"/>
  <c r="H393" i="3"/>
  <c r="I393" i="3"/>
  <c r="J393" i="3"/>
  <c r="K393" i="3"/>
  <c r="L393" i="3"/>
  <c r="M393" i="3"/>
  <c r="N393" i="3"/>
  <c r="O393" i="3"/>
  <c r="P393" i="3"/>
  <c r="H395" i="3"/>
  <c r="I395" i="3"/>
  <c r="J395" i="3"/>
  <c r="K395" i="3"/>
  <c r="L395" i="3"/>
  <c r="M395" i="3"/>
  <c r="N395" i="3"/>
  <c r="O395" i="3"/>
  <c r="P395" i="3"/>
  <c r="H397" i="3"/>
  <c r="I397" i="3"/>
  <c r="J397" i="3"/>
  <c r="K397" i="3"/>
  <c r="L397" i="3"/>
  <c r="M397" i="3"/>
  <c r="N397" i="3"/>
  <c r="O397" i="3"/>
  <c r="P397" i="3"/>
  <c r="H399" i="3"/>
  <c r="I399" i="3"/>
  <c r="J399" i="3"/>
  <c r="K399" i="3"/>
  <c r="L399" i="3"/>
  <c r="M399" i="3"/>
  <c r="N399" i="3"/>
  <c r="O399" i="3"/>
  <c r="P399" i="3"/>
  <c r="H401" i="3"/>
  <c r="I401" i="3"/>
  <c r="J401" i="3"/>
  <c r="K401" i="3"/>
  <c r="L401" i="3"/>
  <c r="M401" i="3"/>
  <c r="N401" i="3"/>
  <c r="O401" i="3"/>
  <c r="P401" i="3"/>
  <c r="H403" i="3"/>
  <c r="I403" i="3"/>
  <c r="J403" i="3"/>
  <c r="K403" i="3"/>
  <c r="L403" i="3"/>
  <c r="M403" i="3"/>
  <c r="N403" i="3"/>
  <c r="O403" i="3"/>
  <c r="P403" i="3"/>
  <c r="H406" i="3"/>
  <c r="I406" i="3"/>
  <c r="J406" i="3"/>
  <c r="K406" i="3"/>
  <c r="L406" i="3"/>
  <c r="M406" i="3"/>
  <c r="N406" i="3"/>
  <c r="O406" i="3"/>
  <c r="P406" i="3"/>
  <c r="H422" i="3"/>
  <c r="I422" i="3"/>
  <c r="J422" i="3"/>
  <c r="K422" i="3"/>
  <c r="L422" i="3"/>
  <c r="M422" i="3"/>
  <c r="N422" i="3"/>
  <c r="O422" i="3"/>
  <c r="P422" i="3"/>
  <c r="H431" i="3"/>
  <c r="I431" i="3"/>
  <c r="J431" i="3"/>
  <c r="K431" i="3"/>
  <c r="L431" i="3"/>
  <c r="M431" i="3"/>
  <c r="N431" i="3"/>
  <c r="O431" i="3"/>
  <c r="P431" i="3"/>
  <c r="H444" i="3"/>
  <c r="I444" i="3"/>
  <c r="J444" i="3"/>
  <c r="K444" i="3"/>
  <c r="L444" i="3"/>
  <c r="M444" i="3"/>
  <c r="N444" i="3"/>
  <c r="O444" i="3"/>
  <c r="P444" i="3"/>
  <c r="H450" i="3"/>
  <c r="I450" i="3"/>
  <c r="J450" i="3"/>
  <c r="K450" i="3"/>
  <c r="L450" i="3"/>
  <c r="M450" i="3"/>
  <c r="N450" i="3"/>
  <c r="O450" i="3"/>
  <c r="P450" i="3"/>
  <c r="H452" i="3"/>
  <c r="I452" i="3"/>
  <c r="J452" i="3"/>
  <c r="K452" i="3"/>
  <c r="L452" i="3"/>
  <c r="M452" i="3"/>
  <c r="N452" i="3"/>
  <c r="O452" i="3"/>
  <c r="P452" i="3"/>
  <c r="H516" i="3"/>
  <c r="I516" i="3"/>
  <c r="J516" i="3"/>
  <c r="K516" i="3"/>
  <c r="L516" i="3"/>
  <c r="M516" i="3"/>
  <c r="N516" i="3"/>
  <c r="O516" i="3"/>
  <c r="P516" i="3"/>
  <c r="H518" i="3"/>
  <c r="I518" i="3"/>
  <c r="J518" i="3"/>
  <c r="K518" i="3"/>
  <c r="L518" i="3"/>
  <c r="M518" i="3"/>
  <c r="N518" i="3"/>
  <c r="O518" i="3"/>
  <c r="P518" i="3"/>
  <c r="H526" i="3"/>
  <c r="I526" i="3"/>
  <c r="J526" i="3"/>
  <c r="K526" i="3"/>
  <c r="L526" i="3"/>
  <c r="M526" i="3"/>
  <c r="N526" i="3"/>
  <c r="O526" i="3"/>
  <c r="P526" i="3"/>
  <c r="H528" i="3"/>
  <c r="I528" i="3"/>
  <c r="J528" i="3"/>
  <c r="K528" i="3"/>
  <c r="L528" i="3"/>
  <c r="M528" i="3"/>
  <c r="N528" i="3"/>
  <c r="O528" i="3"/>
  <c r="P528" i="3"/>
  <c r="H541" i="3"/>
  <c r="I541" i="3"/>
  <c r="J541" i="3"/>
  <c r="K541" i="3"/>
  <c r="L541" i="3"/>
  <c r="M541" i="3"/>
  <c r="N541" i="3"/>
  <c r="O541" i="3"/>
  <c r="P541" i="3"/>
  <c r="H545" i="3"/>
  <c r="I545" i="3"/>
  <c r="J545" i="3"/>
  <c r="K545" i="3"/>
  <c r="L545" i="3"/>
  <c r="M545" i="3"/>
  <c r="N545" i="3"/>
  <c r="O545" i="3"/>
  <c r="P545" i="3"/>
  <c r="H557" i="3"/>
  <c r="H573" i="3"/>
  <c r="I573" i="3"/>
  <c r="J573" i="3"/>
  <c r="K573" i="3"/>
  <c r="L573" i="3"/>
  <c r="M573" i="3"/>
  <c r="N573" i="3"/>
  <c r="O573" i="3"/>
  <c r="P573" i="3"/>
  <c r="H575" i="3"/>
  <c r="I575" i="3"/>
  <c r="J575" i="3"/>
  <c r="K575" i="3"/>
  <c r="L575" i="3"/>
  <c r="M575" i="3"/>
  <c r="N575" i="3"/>
  <c r="O575" i="3"/>
  <c r="P575" i="3"/>
  <c r="H577" i="3"/>
  <c r="I577" i="3"/>
  <c r="J577" i="3"/>
  <c r="K577" i="3"/>
  <c r="L577" i="3"/>
  <c r="M577" i="3"/>
  <c r="N577" i="3"/>
  <c r="O577" i="3"/>
  <c r="P577" i="3"/>
  <c r="H579" i="3"/>
  <c r="I579" i="3"/>
  <c r="J579" i="3"/>
  <c r="K579" i="3"/>
  <c r="L579" i="3"/>
  <c r="M579" i="3"/>
  <c r="N579" i="3"/>
  <c r="O579" i="3"/>
  <c r="P579" i="3"/>
  <c r="H582" i="3"/>
  <c r="I582" i="3"/>
  <c r="J582" i="3"/>
  <c r="K582" i="3"/>
  <c r="L582" i="3"/>
  <c r="M582" i="3"/>
  <c r="N582" i="3"/>
  <c r="O582" i="3"/>
  <c r="P582" i="3"/>
  <c r="H585" i="3"/>
  <c r="I585" i="3"/>
  <c r="J585" i="3"/>
  <c r="K585" i="3"/>
  <c r="L585" i="3"/>
  <c r="M585" i="3"/>
  <c r="N585" i="3"/>
  <c r="O585" i="3"/>
  <c r="P585" i="3"/>
  <c r="H588" i="3"/>
  <c r="I588" i="3"/>
  <c r="J588" i="3"/>
  <c r="K588" i="3"/>
  <c r="L588" i="3"/>
  <c r="M588" i="3"/>
  <c r="N588" i="3"/>
  <c r="O588" i="3"/>
  <c r="P588" i="3"/>
  <c r="K486" i="2"/>
  <c r="L488" i="2"/>
  <c r="L493" i="2"/>
  <c r="L495" i="2"/>
  <c r="K497" i="2"/>
  <c r="L506" i="2"/>
  <c r="L510" i="2"/>
  <c r="D533" i="2"/>
  <c r="E533" i="2"/>
  <c r="F533" i="2"/>
  <c r="G533" i="2"/>
  <c r="H533" i="2"/>
  <c r="I533" i="2"/>
  <c r="J533" i="2"/>
  <c r="K533" i="2"/>
  <c r="L533" i="2"/>
  <c r="E544" i="2"/>
  <c r="F544" i="2"/>
  <c r="G544" i="2"/>
  <c r="H544" i="2"/>
  <c r="I544" i="2"/>
  <c r="J544" i="2"/>
  <c r="K544" i="2"/>
  <c r="L544" i="2"/>
  <c r="E545" i="2"/>
  <c r="F545" i="2"/>
  <c r="G545" i="2"/>
  <c r="H545" i="2"/>
  <c r="I545" i="2"/>
  <c r="J545" i="2"/>
  <c r="K545" i="2"/>
  <c r="L545" i="2"/>
  <c r="D546" i="2"/>
  <c r="E546" i="2"/>
  <c r="F546" i="2"/>
  <c r="G546" i="2"/>
  <c r="H546" i="2"/>
  <c r="I546" i="2"/>
  <c r="J546" i="2"/>
  <c r="K546" i="2"/>
  <c r="L546" i="2"/>
  <c r="D547" i="2"/>
  <c r="E547" i="2"/>
  <c r="F547" i="2"/>
  <c r="G547" i="2"/>
  <c r="H547" i="2"/>
  <c r="I547" i="2"/>
  <c r="J547" i="2"/>
  <c r="K547" i="2"/>
  <c r="L547" i="2"/>
  <c r="E548" i="2"/>
  <c r="F548" i="2"/>
  <c r="G548" i="2"/>
  <c r="H548" i="2"/>
  <c r="I548" i="2"/>
  <c r="J548" i="2"/>
  <c r="K548" i="2"/>
  <c r="L548" i="2"/>
  <c r="D549" i="2"/>
  <c r="E549" i="2"/>
  <c r="F549" i="2"/>
  <c r="G549" i="2"/>
  <c r="H549" i="2"/>
  <c r="I549" i="2"/>
  <c r="J549" i="2"/>
  <c r="K549" i="2"/>
  <c r="L549" i="2"/>
  <c r="D550" i="2"/>
  <c r="E550" i="2"/>
  <c r="F550" i="2"/>
  <c r="G550" i="2"/>
  <c r="H550" i="2"/>
  <c r="I550" i="2"/>
  <c r="J550" i="2"/>
  <c r="K550" i="2"/>
  <c r="L550" i="2"/>
  <c r="D551" i="2"/>
  <c r="E551" i="2"/>
  <c r="F551" i="2"/>
  <c r="G551" i="2"/>
  <c r="H551" i="2"/>
  <c r="I551" i="2"/>
  <c r="J551" i="2"/>
  <c r="K551" i="2"/>
  <c r="L551" i="2"/>
  <c r="D556" i="2"/>
  <c r="E556" i="2"/>
  <c r="F556" i="2"/>
  <c r="G556" i="2"/>
  <c r="H556" i="2"/>
  <c r="I556" i="2"/>
  <c r="J556" i="2"/>
  <c r="K556" i="2"/>
  <c r="L556" i="2"/>
  <c r="D557" i="2"/>
  <c r="E557" i="2"/>
  <c r="F557" i="2"/>
  <c r="G557" i="2"/>
  <c r="H557" i="2"/>
  <c r="I557" i="2"/>
  <c r="J557" i="2"/>
  <c r="K557" i="2"/>
  <c r="L557" i="2"/>
  <c r="D561" i="2"/>
  <c r="E561" i="2"/>
  <c r="F561" i="2"/>
  <c r="G561" i="2"/>
  <c r="H561" i="2"/>
  <c r="I561" i="2"/>
  <c r="J561" i="2"/>
  <c r="K561" i="2"/>
  <c r="L561" i="2"/>
  <c r="D563" i="2"/>
  <c r="E563" i="2"/>
  <c r="F563" i="2"/>
  <c r="G563" i="2"/>
  <c r="H563" i="2"/>
  <c r="I563" i="2"/>
  <c r="J563" i="2"/>
  <c r="K563" i="2"/>
  <c r="L563" i="2"/>
  <c r="D564" i="2"/>
  <c r="E564" i="2"/>
  <c r="F564" i="2"/>
  <c r="G564" i="2"/>
  <c r="H564" i="2"/>
  <c r="I564" i="2"/>
  <c r="J564" i="2"/>
  <c r="K564" i="2"/>
  <c r="L564" i="2"/>
  <c r="D588" i="2"/>
  <c r="E588" i="2"/>
  <c r="F588" i="2"/>
  <c r="G588" i="2"/>
  <c r="H588" i="2"/>
  <c r="I588" i="2"/>
  <c r="J588" i="2"/>
  <c r="K588" i="2"/>
  <c r="L588" i="2"/>
  <c r="D589" i="2"/>
  <c r="E589" i="2"/>
  <c r="F589" i="2"/>
  <c r="G589" i="2"/>
  <c r="H589" i="2"/>
  <c r="I589" i="2"/>
  <c r="J589" i="2"/>
  <c r="K589" i="2"/>
  <c r="L589" i="2"/>
  <c r="D590" i="2"/>
  <c r="E590" i="2"/>
  <c r="F590" i="2"/>
  <c r="G590" i="2"/>
  <c r="H590" i="2"/>
  <c r="I590" i="2"/>
  <c r="J590" i="2"/>
  <c r="K590" i="2"/>
  <c r="L590" i="2"/>
  <c r="D602" i="2"/>
  <c r="E602" i="2"/>
  <c r="F602" i="2"/>
  <c r="G602" i="2"/>
  <c r="H602" i="2"/>
  <c r="I602" i="2"/>
  <c r="J602" i="2"/>
  <c r="K602" i="2"/>
  <c r="L602" i="2"/>
  <c r="D603" i="2"/>
  <c r="E603" i="2"/>
  <c r="F603" i="2"/>
  <c r="G603" i="2"/>
  <c r="H603" i="2"/>
  <c r="I603" i="2"/>
  <c r="J603" i="2"/>
  <c r="K603" i="2"/>
  <c r="L603" i="2"/>
  <c r="D605" i="2"/>
  <c r="D606" i="2"/>
  <c r="E606" i="2"/>
  <c r="F606" i="2"/>
  <c r="G606" i="2"/>
  <c r="H606" i="2"/>
  <c r="I606" i="2"/>
  <c r="J606" i="2"/>
  <c r="K606" i="2"/>
  <c r="L606" i="2"/>
  <c r="D608" i="2"/>
  <c r="E608" i="2"/>
  <c r="F608" i="2"/>
  <c r="G608" i="2"/>
  <c r="H608" i="2"/>
  <c r="I608" i="2"/>
  <c r="J608" i="2"/>
  <c r="K608" i="2"/>
  <c r="L608" i="2"/>
  <c r="D609" i="2"/>
  <c r="D612" i="2"/>
  <c r="E612" i="2"/>
  <c r="F612" i="2"/>
  <c r="G612" i="2"/>
  <c r="H612" i="2"/>
  <c r="I612" i="2"/>
  <c r="J612" i="2"/>
  <c r="K612" i="2"/>
  <c r="L612" i="2"/>
  <c r="D613" i="2"/>
  <c r="E613" i="2"/>
  <c r="F613" i="2"/>
  <c r="G613" i="2"/>
  <c r="H613" i="2"/>
  <c r="I613" i="2"/>
  <c r="J613" i="2"/>
  <c r="K613" i="2"/>
  <c r="L613" i="2"/>
  <c r="D614" i="2"/>
  <c r="E614" i="2"/>
  <c r="F614" i="2"/>
  <c r="G614" i="2"/>
  <c r="H614" i="2"/>
  <c r="I614" i="2"/>
  <c r="J614" i="2"/>
  <c r="K614" i="2"/>
  <c r="L614" i="2"/>
  <c r="D615" i="2"/>
  <c r="E615" i="2"/>
  <c r="F615" i="2"/>
  <c r="G615" i="2"/>
  <c r="H615" i="2"/>
  <c r="I615" i="2"/>
  <c r="J615" i="2"/>
  <c r="K615" i="2"/>
  <c r="L615" i="2"/>
  <c r="E616" i="2"/>
  <c r="F616" i="2"/>
  <c r="G616" i="2"/>
  <c r="H616" i="2"/>
  <c r="I616" i="2"/>
  <c r="J616" i="2"/>
  <c r="K616" i="2"/>
  <c r="L616" i="2"/>
  <c r="D653" i="2"/>
  <c r="E653" i="2"/>
  <c r="F653" i="2"/>
  <c r="G653" i="2"/>
  <c r="H653" i="2"/>
  <c r="I653" i="2"/>
  <c r="J653" i="2"/>
  <c r="K653" i="2"/>
  <c r="L653" i="2"/>
  <c r="D656" i="2"/>
  <c r="E656" i="2"/>
  <c r="D659" i="2"/>
  <c r="E659" i="2"/>
  <c r="F659" i="2"/>
  <c r="G659" i="2"/>
  <c r="H659" i="2"/>
  <c r="I659" i="2"/>
  <c r="J659" i="2"/>
  <c r="K659" i="2"/>
  <c r="L659" i="2"/>
  <c r="D661" i="2"/>
  <c r="E661" i="2"/>
  <c r="F661" i="2"/>
  <c r="G661" i="2"/>
  <c r="H661" i="2"/>
  <c r="I661" i="2"/>
  <c r="J661" i="2"/>
  <c r="K661" i="2"/>
  <c r="L661" i="2"/>
  <c r="E663" i="2"/>
  <c r="F663" i="2"/>
  <c r="G663" i="2"/>
  <c r="H663" i="2"/>
  <c r="I663" i="2"/>
  <c r="J663" i="2"/>
  <c r="K663" i="2"/>
  <c r="L663" i="2"/>
  <c r="D665" i="2"/>
  <c r="E665" i="2"/>
  <c r="F665" i="2"/>
  <c r="G665" i="2"/>
  <c r="H665" i="2"/>
  <c r="I665" i="2"/>
  <c r="J665" i="2"/>
  <c r="K665" i="2"/>
  <c r="L665" i="2"/>
  <c r="D759" i="2"/>
  <c r="E759" i="2"/>
  <c r="F759" i="2"/>
  <c r="G759" i="2"/>
  <c r="H759" i="2"/>
  <c r="I759" i="2"/>
  <c r="J759" i="2"/>
  <c r="K759" i="2"/>
  <c r="L759" i="2"/>
  <c r="D772" i="2"/>
  <c r="E772" i="2"/>
  <c r="F772" i="2"/>
  <c r="G772" i="2"/>
  <c r="H772" i="2"/>
  <c r="I772" i="2"/>
  <c r="J772" i="2"/>
  <c r="K772" i="2"/>
  <c r="L772" i="2"/>
  <c r="D774" i="2"/>
  <c r="E774" i="2"/>
  <c r="F774" i="2"/>
  <c r="G774" i="2"/>
  <c r="H774" i="2"/>
  <c r="I774" i="2"/>
  <c r="J774" i="2"/>
  <c r="K774" i="2"/>
  <c r="L774" i="2"/>
  <c r="D776" i="2"/>
  <c r="E776" i="2"/>
  <c r="F776" i="2"/>
  <c r="G776" i="2"/>
  <c r="H776" i="2"/>
  <c r="I776" i="2"/>
  <c r="J776" i="2"/>
  <c r="K776" i="2"/>
  <c r="L776" i="2"/>
  <c r="D853" i="2"/>
  <c r="E853" i="2"/>
  <c r="F853" i="2"/>
  <c r="G853" i="2"/>
  <c r="H853" i="2"/>
  <c r="I853" i="2"/>
  <c r="J853" i="2"/>
  <c r="K853" i="2"/>
  <c r="L853" i="2"/>
  <c r="D864" i="2"/>
  <c r="E864" i="2"/>
  <c r="F864" i="2"/>
  <c r="G864" i="2"/>
  <c r="H864" i="2"/>
  <c r="I864" i="2"/>
  <c r="J864" i="2"/>
  <c r="K864" i="2"/>
  <c r="L864" i="2"/>
  <c r="D865" i="2"/>
  <c r="E865" i="2"/>
  <c r="F865" i="2"/>
  <c r="G865" i="2"/>
  <c r="H865" i="2"/>
  <c r="I865" i="2"/>
  <c r="J865" i="2"/>
  <c r="K865" i="2"/>
  <c r="L865" i="2"/>
  <c r="D866" i="2"/>
  <c r="E866" i="2"/>
  <c r="F866" i="2"/>
  <c r="G866" i="2"/>
  <c r="H866" i="2"/>
  <c r="I866" i="2"/>
  <c r="J866" i="2"/>
  <c r="K866" i="2"/>
  <c r="L866" i="2"/>
  <c r="D867" i="2"/>
  <c r="E867" i="2"/>
  <c r="F867" i="2"/>
  <c r="G867" i="2"/>
  <c r="H867" i="2"/>
  <c r="I867" i="2"/>
  <c r="J867" i="2"/>
  <c r="K867" i="2"/>
  <c r="L867" i="2"/>
  <c r="D870" i="2"/>
  <c r="E870" i="2"/>
  <c r="F870" i="2"/>
  <c r="G870" i="2"/>
  <c r="H870" i="2"/>
  <c r="I870" i="2"/>
  <c r="J870" i="2"/>
  <c r="K870" i="2"/>
  <c r="L870" i="2"/>
  <c r="D878" i="2"/>
  <c r="E878" i="2"/>
  <c r="F878" i="2"/>
  <c r="G878" i="2"/>
  <c r="H878" i="2"/>
  <c r="I878" i="2"/>
  <c r="J878" i="2"/>
  <c r="K878" i="2"/>
  <c r="L878" i="2"/>
  <c r="D880" i="2"/>
  <c r="E880" i="2"/>
  <c r="F880" i="2"/>
  <c r="G880" i="2"/>
  <c r="H880" i="2"/>
  <c r="I880" i="2"/>
  <c r="J880" i="2"/>
  <c r="K880" i="2"/>
  <c r="L880" i="2"/>
  <c r="D882" i="2"/>
  <c r="E882" i="2"/>
  <c r="F882" i="2"/>
  <c r="G882" i="2"/>
  <c r="H882" i="2"/>
  <c r="I882" i="2"/>
  <c r="J882" i="2"/>
  <c r="K882" i="2"/>
  <c r="L882" i="2"/>
  <c r="D883" i="2"/>
  <c r="E883" i="2"/>
  <c r="F883" i="2"/>
  <c r="G883" i="2"/>
  <c r="H883" i="2"/>
  <c r="I883" i="2"/>
  <c r="J883" i="2"/>
  <c r="K883" i="2"/>
  <c r="L883" i="2"/>
  <c r="D884" i="2"/>
  <c r="E884" i="2"/>
  <c r="F884" i="2"/>
  <c r="G884" i="2"/>
  <c r="H884" i="2"/>
  <c r="I884" i="2"/>
  <c r="J884" i="2"/>
  <c r="K884" i="2"/>
  <c r="L884" i="2"/>
  <c r="D885" i="2"/>
  <c r="E885" i="2"/>
  <c r="F885" i="2"/>
  <c r="G885" i="2"/>
  <c r="H885" i="2"/>
  <c r="I885" i="2"/>
  <c r="J885" i="2"/>
  <c r="K885" i="2"/>
  <c r="L885" i="2"/>
  <c r="D907" i="2"/>
  <c r="E907" i="2"/>
  <c r="F907" i="2"/>
  <c r="G907" i="2"/>
  <c r="H907" i="2"/>
  <c r="I907" i="2"/>
  <c r="J907" i="2"/>
  <c r="K907" i="2"/>
  <c r="L907" i="2"/>
  <c r="D918" i="2"/>
  <c r="E918" i="2"/>
  <c r="F918" i="2"/>
  <c r="G918" i="2"/>
  <c r="H918" i="2"/>
  <c r="I918" i="2"/>
  <c r="J918" i="2"/>
  <c r="K918" i="2"/>
  <c r="L918" i="2"/>
  <c r="D919" i="2"/>
  <c r="E919" i="2"/>
  <c r="F919" i="2"/>
  <c r="G919" i="2"/>
  <c r="H919" i="2"/>
  <c r="I919" i="2"/>
  <c r="J919" i="2"/>
  <c r="K919" i="2"/>
  <c r="L919" i="2"/>
  <c r="D920" i="2"/>
  <c r="E920" i="2"/>
  <c r="F920" i="2"/>
  <c r="G920" i="2"/>
  <c r="H920" i="2"/>
  <c r="I920" i="2"/>
  <c r="J920" i="2"/>
  <c r="K920" i="2"/>
  <c r="L920" i="2"/>
  <c r="D921" i="2"/>
  <c r="E921" i="2"/>
  <c r="F921" i="2"/>
  <c r="G921" i="2"/>
  <c r="H921" i="2"/>
  <c r="I921" i="2"/>
  <c r="J921" i="2"/>
  <c r="K921" i="2"/>
  <c r="L921" i="2"/>
  <c r="D924" i="2"/>
  <c r="E924" i="2"/>
  <c r="F924" i="2"/>
  <c r="G924" i="2"/>
  <c r="H924" i="2"/>
  <c r="I924" i="2"/>
  <c r="J924" i="2"/>
  <c r="K924" i="2"/>
  <c r="L924" i="2"/>
  <c r="D932" i="2"/>
  <c r="E932" i="2"/>
  <c r="F932" i="2"/>
  <c r="G932" i="2"/>
  <c r="H932" i="2"/>
  <c r="I932" i="2"/>
  <c r="J932" i="2"/>
  <c r="K932" i="2"/>
  <c r="L932" i="2"/>
  <c r="D934" i="2"/>
  <c r="E934" i="2"/>
  <c r="F934" i="2"/>
  <c r="G934" i="2"/>
  <c r="H934" i="2"/>
  <c r="I934" i="2"/>
  <c r="J934" i="2"/>
  <c r="K934" i="2"/>
  <c r="L934" i="2"/>
  <c r="D936" i="2"/>
  <c r="E936" i="2"/>
  <c r="F936" i="2"/>
  <c r="G936" i="2"/>
  <c r="H936" i="2"/>
  <c r="I936" i="2"/>
  <c r="J936" i="2"/>
  <c r="K936" i="2"/>
  <c r="L936" i="2"/>
  <c r="D937" i="2"/>
  <c r="E937" i="2"/>
  <c r="F937" i="2"/>
  <c r="G937" i="2"/>
  <c r="H937" i="2"/>
  <c r="I937" i="2"/>
  <c r="J937" i="2"/>
  <c r="K937" i="2"/>
  <c r="L937" i="2"/>
  <c r="D938" i="2"/>
  <c r="E938" i="2"/>
  <c r="F938" i="2"/>
  <c r="G938" i="2"/>
  <c r="H938" i="2"/>
  <c r="I938" i="2"/>
  <c r="J938" i="2"/>
  <c r="K938" i="2"/>
  <c r="L938" i="2"/>
  <c r="D939" i="2"/>
  <c r="E939" i="2"/>
  <c r="F939" i="2"/>
  <c r="G939" i="2"/>
  <c r="H939" i="2"/>
  <c r="I939" i="2"/>
  <c r="J939" i="2"/>
  <c r="K939" i="2"/>
  <c r="L939" i="2"/>
  <c r="D1007" i="2"/>
  <c r="E1007" i="2"/>
  <c r="F1007" i="2"/>
  <c r="G1007" i="2"/>
  <c r="H1007" i="2"/>
  <c r="I1007" i="2"/>
  <c r="J1007" i="2"/>
  <c r="K1007" i="2"/>
  <c r="L1007" i="2"/>
  <c r="D1011" i="2"/>
  <c r="E1011" i="2"/>
  <c r="F1011" i="2"/>
  <c r="G1011" i="2"/>
  <c r="H1011" i="2"/>
  <c r="I1011" i="2"/>
  <c r="J1011" i="2"/>
  <c r="K1011" i="2"/>
  <c r="L1011" i="2"/>
  <c r="D1012" i="2"/>
  <c r="E1012" i="2"/>
  <c r="F1012" i="2"/>
  <c r="G1012" i="2"/>
  <c r="H1012" i="2"/>
  <c r="I1012" i="2"/>
  <c r="J1012" i="2"/>
  <c r="K1012" i="2"/>
  <c r="L1012" i="2"/>
  <c r="D1013" i="2"/>
  <c r="E1013" i="2"/>
  <c r="F1013" i="2"/>
  <c r="G1013" i="2"/>
  <c r="H1013" i="2"/>
  <c r="I1013" i="2"/>
  <c r="J1013" i="2"/>
  <c r="K1013" i="2"/>
  <c r="L1013" i="2"/>
  <c r="D1015" i="2"/>
  <c r="E1015" i="2"/>
  <c r="F1015" i="2"/>
  <c r="G1015" i="2"/>
  <c r="H1015" i="2"/>
  <c r="I1015" i="2"/>
  <c r="J1015" i="2"/>
  <c r="K1015" i="2"/>
  <c r="L1015" i="2"/>
  <c r="D1017" i="2"/>
  <c r="E1017" i="2"/>
  <c r="F1017" i="2"/>
  <c r="G1017" i="2"/>
  <c r="H1017" i="2"/>
  <c r="I1017" i="2"/>
  <c r="J1017" i="2"/>
  <c r="K1017" i="2"/>
  <c r="L1017" i="2"/>
  <c r="D1022" i="2"/>
  <c r="E1022" i="2"/>
  <c r="F1022" i="2"/>
  <c r="G1022" i="2"/>
  <c r="H1022" i="2"/>
  <c r="I1022" i="2"/>
  <c r="J1022" i="2"/>
  <c r="K1022" i="2"/>
  <c r="L1022" i="2"/>
  <c r="D1023" i="2"/>
  <c r="E1023" i="2"/>
  <c r="F1023" i="2"/>
  <c r="G1023" i="2"/>
  <c r="H1023" i="2"/>
  <c r="I1023" i="2"/>
  <c r="J1023" i="2"/>
  <c r="K1023" i="2"/>
  <c r="L1023" i="2"/>
  <c r="D1024" i="2"/>
  <c r="E1024" i="2"/>
  <c r="F1024" i="2"/>
  <c r="G1024" i="2"/>
  <c r="H1024" i="2"/>
  <c r="I1024" i="2"/>
  <c r="J1024" i="2"/>
  <c r="K1024" i="2"/>
  <c r="L1024" i="2"/>
  <c r="D1025" i="2"/>
  <c r="E1025" i="2"/>
  <c r="F1025" i="2"/>
  <c r="G1025" i="2"/>
  <c r="H1025" i="2"/>
  <c r="I1025" i="2"/>
  <c r="J1025" i="2"/>
  <c r="K1025" i="2"/>
  <c r="L1025" i="2"/>
  <c r="D7" i="18"/>
  <c r="E7" i="18"/>
  <c r="F7" i="18"/>
  <c r="G7" i="18"/>
  <c r="H7" i="18"/>
  <c r="I7" i="18"/>
  <c r="J7" i="18"/>
  <c r="K7" i="18"/>
  <c r="L7" i="18"/>
  <c r="D8" i="18"/>
  <c r="E8" i="18"/>
  <c r="F8" i="18"/>
  <c r="G8" i="18"/>
  <c r="H8" i="18"/>
  <c r="I8" i="18"/>
  <c r="J8" i="18"/>
  <c r="K8" i="18"/>
  <c r="L8" i="18"/>
  <c r="D9" i="18"/>
  <c r="E9" i="18"/>
  <c r="F9" i="18"/>
  <c r="G9" i="18"/>
  <c r="H9" i="18"/>
  <c r="I9" i="18"/>
  <c r="J9" i="18"/>
  <c r="K9" i="18"/>
  <c r="L9" i="18"/>
  <c r="D10" i="18"/>
  <c r="E10" i="18"/>
  <c r="F10" i="18"/>
  <c r="G10" i="18"/>
  <c r="H10" i="18"/>
  <c r="I10" i="18"/>
  <c r="J10" i="18"/>
  <c r="K10" i="18"/>
  <c r="L10" i="18"/>
  <c r="D11" i="18"/>
  <c r="E11" i="18"/>
  <c r="F11" i="18"/>
  <c r="G11" i="18"/>
  <c r="H11" i="18"/>
  <c r="I11" i="18"/>
  <c r="J11" i="18"/>
  <c r="K11" i="18"/>
  <c r="L11" i="18"/>
  <c r="D12" i="18"/>
  <c r="E12" i="18"/>
  <c r="F12" i="18"/>
  <c r="G12" i="18"/>
  <c r="H12" i="18"/>
  <c r="I12" i="18"/>
  <c r="J12" i="18"/>
  <c r="K12" i="18"/>
  <c r="L12" i="18"/>
  <c r="E16" i="18"/>
  <c r="E17" i="18"/>
  <c r="E18" i="18"/>
</calcChain>
</file>

<file path=xl/comments1.xml><?xml version="1.0" encoding="utf-8"?>
<comments xmlns="http://schemas.openxmlformats.org/spreadsheetml/2006/main">
  <authors>
    <author>Rachit</author>
  </authors>
  <commentList>
    <comment ref="E234" authorId="0" shapeId="0">
      <text>
        <r>
          <rPr>
            <b/>
            <sz val="9"/>
            <color indexed="81"/>
            <rFont val="Tahoma"/>
            <family val="2"/>
          </rPr>
          <t>Rachit:</t>
        </r>
        <r>
          <rPr>
            <sz val="9"/>
            <color indexed="81"/>
            <rFont val="Tahoma"/>
            <family val="2"/>
          </rPr>
          <t xml:space="preserve">
22%+7%(Surcharge)+4%(Cess)
</t>
        </r>
      </text>
    </comment>
    <comment ref="H234" authorId="0" shapeId="0">
      <text>
        <r>
          <rPr>
            <b/>
            <sz val="9"/>
            <color indexed="81"/>
            <rFont val="Tahoma"/>
            <family val="2"/>
          </rPr>
          <t>Rachit:</t>
        </r>
        <r>
          <rPr>
            <sz val="9"/>
            <color indexed="81"/>
            <rFont val="Tahoma"/>
            <family val="2"/>
          </rPr>
          <t xml:space="preserve">
15%+7%(Surcharge)+4%(Cess)</t>
        </r>
      </text>
    </comment>
  </commentList>
</comments>
</file>

<file path=xl/comments2.xml><?xml version="1.0" encoding="utf-8"?>
<comments xmlns="http://schemas.openxmlformats.org/spreadsheetml/2006/main">
  <authors>
    <author>Rachit</author>
  </authors>
  <commentList>
    <comment ref="B611" authorId="0" shapeId="0">
      <text>
        <r>
          <rPr>
            <b/>
            <sz val="9"/>
            <color indexed="81"/>
            <rFont val="Tahoma"/>
            <family val="2"/>
          </rPr>
          <t>Rachit:</t>
        </r>
        <r>
          <rPr>
            <sz val="9"/>
            <color indexed="81"/>
            <rFont val="Tahoma"/>
            <family val="2"/>
          </rPr>
          <t xml:space="preserve">
For Electricity Deposit
</t>
        </r>
      </text>
    </comment>
  </commentList>
</comments>
</file>

<file path=xl/comments3.xml><?xml version="1.0" encoding="utf-8"?>
<comments xmlns="http://schemas.openxmlformats.org/spreadsheetml/2006/main">
  <authors>
    <author>Gaurav Kumar</author>
  </authors>
  <commentList>
    <comment ref="B74" authorId="0" shapeId="0">
      <text>
        <r>
          <rPr>
            <b/>
            <sz val="9"/>
            <color indexed="81"/>
            <rFont val="Tahoma"/>
            <family val="2"/>
          </rPr>
          <t>Gaurav Kumar:</t>
        </r>
        <r>
          <rPr>
            <sz val="9"/>
            <color indexed="81"/>
            <rFont val="Tahoma"/>
            <family val="2"/>
          </rPr>
          <t xml:space="preserve">
Change Assumption</t>
        </r>
      </text>
    </comment>
  </commentList>
</comments>
</file>

<file path=xl/sharedStrings.xml><?xml version="1.0" encoding="utf-8"?>
<sst xmlns="http://schemas.openxmlformats.org/spreadsheetml/2006/main" count="2126" uniqueCount="1231">
  <si>
    <t>Work in Progress ( % of Completion = 75 % )</t>
  </si>
  <si>
    <t>GR HOP-2 FOR IRON ORE</t>
  </si>
  <si>
    <t>CRUSHER HOUSE</t>
  </si>
  <si>
    <t>ABC BUILDING</t>
  </si>
  <si>
    <t>I.D.FAN FOUNDATION</t>
  </si>
  <si>
    <t>E.S.P.FOUNDATION</t>
  </si>
  <si>
    <t>CONCRET CHIMNEY</t>
  </si>
  <si>
    <t>K.M.PLT</t>
  </si>
  <si>
    <t>KILN FOUNDATION</t>
  </si>
  <si>
    <t>K.C.T.B.</t>
  </si>
  <si>
    <t>COLLER FOUNDATION</t>
  </si>
  <si>
    <t>C.D.BUILDING</t>
  </si>
  <si>
    <t>TR-1</t>
  </si>
  <si>
    <t>TR-2</t>
  </si>
  <si>
    <t>INTERMIDIATE BIN</t>
  </si>
  <si>
    <t>PS BUILDING</t>
  </si>
  <si>
    <t>PRODUCT STORAGE SILO</t>
  </si>
  <si>
    <t>(FOR DRI LUMPS), 2 NOS</t>
  </si>
  <si>
    <t>(FOR DRI FINES), 1 NO</t>
  </si>
  <si>
    <t>COAL SHED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</si>
  <si>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</si>
  <si>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</si>
  <si>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</si>
  <si>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</si>
  <si>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</si>
  <si>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</si>
  <si>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</si>
  <si>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</si>
  <si>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</si>
  <si>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</si>
  <si>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</si>
  <si>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</si>
  <si>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</si>
  <si>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</si>
  <si>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</si>
  <si>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</si>
  <si>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</si>
  <si>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</si>
  <si>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</si>
  <si>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CHAR STORAGE</t>
  </si>
  <si>
    <t>CONVEYOR GANTRY WITH</t>
  </si>
  <si>
    <t>TRUSSLE</t>
  </si>
  <si>
    <t>D.G.SHED/COMPRESSOR</t>
  </si>
  <si>
    <t>ROOM</t>
  </si>
  <si>
    <t>CONTROL ROOM</t>
  </si>
  <si>
    <t>WEIGH BRIDGE</t>
  </si>
  <si>
    <t>WATER POND &amp; PUMP HOUSE</t>
  </si>
  <si>
    <t>TOTAL -1</t>
  </si>
  <si>
    <t>NON-PLANT BUILDING</t>
  </si>
  <si>
    <t>ADMINISTRATIVE BUILDING</t>
  </si>
  <si>
    <t>TIME OFFICE</t>
  </si>
  <si>
    <t>STORE &amp; WORKSHOP</t>
  </si>
  <si>
    <t>TOTAL-2</t>
  </si>
  <si>
    <t>21</t>
  </si>
  <si>
    <t>22</t>
  </si>
  <si>
    <t>23</t>
  </si>
  <si>
    <t>24</t>
  </si>
  <si>
    <t>25</t>
  </si>
  <si>
    <t>26</t>
  </si>
  <si>
    <t>TOTAL-1</t>
  </si>
  <si>
    <t>TOTAL COST</t>
  </si>
  <si>
    <t xml:space="preserve">TOTAL COST FOR CIVIL AND STRUCTURAL WORK </t>
  </si>
  <si>
    <t>Break-up of (4) above</t>
  </si>
  <si>
    <t>Increase/decrease in raw material</t>
  </si>
  <si>
    <t>Increase/decrease in Stock-in-process</t>
  </si>
  <si>
    <t>Incresae/decrease in Finished Goods</t>
  </si>
  <si>
    <t>Incresae/decrease in Receivable</t>
  </si>
  <si>
    <t>a) Domestic</t>
  </si>
  <si>
    <t>b) Export</t>
  </si>
  <si>
    <t>Incresae/decrease in Stores &amp; Spares</t>
  </si>
  <si>
    <t>Incresae/decrease in Other</t>
  </si>
  <si>
    <t>Current Assets</t>
  </si>
  <si>
    <t>Other Changes</t>
  </si>
  <si>
    <t>Net Change</t>
  </si>
  <si>
    <t>Raw Materials</t>
  </si>
  <si>
    <t>INSTALLED CAPACITY OF PLANT</t>
  </si>
  <si>
    <t>General Manager</t>
  </si>
  <si>
    <t>Power Expenses</t>
  </si>
  <si>
    <t>Consumables &amp; Stores</t>
  </si>
  <si>
    <t>Interest has been worked out @</t>
  </si>
  <si>
    <t>for calculation purpose.</t>
  </si>
  <si>
    <t>Capacity Utilisation %</t>
  </si>
  <si>
    <t>Export Sales</t>
  </si>
  <si>
    <t>(5)</t>
  </si>
  <si>
    <t>(6)</t>
  </si>
  <si>
    <t>(7)</t>
  </si>
  <si>
    <t>SUB TOTAL(i TO v)(Cost of Production)</t>
  </si>
  <si>
    <t>Less: Dep as per WDV</t>
  </si>
  <si>
    <t>Add: Dep.as per SLM</t>
  </si>
  <si>
    <t>Non Operating income/Loss</t>
  </si>
  <si>
    <t>(</t>
  </si>
  <si>
    <t>Days Consumption)</t>
  </si>
  <si>
    <t>Day's Sales)</t>
  </si>
  <si>
    <t>(i) Receivables (other than export receivalve)</t>
  </si>
  <si>
    <t>(ii) Export Receivables</t>
  </si>
  <si>
    <t>Day's purchase)</t>
  </si>
  <si>
    <t>Days cost of sales)</t>
  </si>
  <si>
    <t xml:space="preserve">Limits from all banks and financial instituions as on a date near to the date of the application          </t>
  </si>
  <si>
    <t>Sl.</t>
  </si>
  <si>
    <t>Name of Bank/Financial</t>
  </si>
  <si>
    <t>Nature of</t>
  </si>
  <si>
    <t>Existing</t>
  </si>
  <si>
    <t>Extent to which limits</t>
  </si>
  <si>
    <t>Balance</t>
  </si>
  <si>
    <t>No.</t>
  </si>
  <si>
    <t>institution</t>
  </si>
  <si>
    <t>facility</t>
  </si>
  <si>
    <t>limits</t>
  </si>
  <si>
    <t>were utilised during the</t>
  </si>
  <si>
    <t>outstanding</t>
  </si>
  <si>
    <t>last 12 months</t>
  </si>
  <si>
    <t>as on</t>
  </si>
  <si>
    <t>Maximum</t>
  </si>
  <si>
    <t>Minimum</t>
  </si>
  <si>
    <t>PROPOSED</t>
  </si>
  <si>
    <t>(A)</t>
  </si>
  <si>
    <t>Working Capital limits</t>
  </si>
  <si>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</si>
  <si>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</si>
  <si>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</si>
  <si>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</si>
  <si>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</si>
  <si>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</si>
  <si>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>(B)</t>
  </si>
  <si>
    <t>GRAND TOTAL</t>
  </si>
  <si>
    <t>C-  WORKING CAPITAL GAP (A-B)</t>
  </si>
  <si>
    <t>PRE-OPERATIVE EXP</t>
  </si>
  <si>
    <t>D- ACTUAL/PROJECTED BANK BORROWINGS</t>
  </si>
  <si>
    <t>E- TOTAL CURRENT LIABILITIES (B+D)</t>
  </si>
  <si>
    <t>F- NET WORKING CAPITAL (A-E)</t>
  </si>
  <si>
    <t>Excess borrowing (representing short fall</t>
  </si>
  <si>
    <t>in net working capital (2-3)</t>
  </si>
  <si>
    <t>FORM III - ANALYSIS OF BALANCE SHEET</t>
  </si>
  <si>
    <t>Net sales (item 3 in form II-A)</t>
  </si>
  <si>
    <t xml:space="preserve">% rise/(fall) in net sales during the </t>
  </si>
  <si>
    <t>year as compared to previous year</t>
  </si>
  <si>
    <t>Profit/ (Loss) before tax</t>
  </si>
  <si>
    <t>(item 12 in form II-A)</t>
  </si>
  <si>
    <t>b) Equity dividend paid (interim)</t>
  </si>
  <si>
    <t>c) Rate % of a</t>
  </si>
  <si>
    <t>d) Rate % of b</t>
  </si>
  <si>
    <t>Net profit/ (Loss) after tax</t>
  </si>
  <si>
    <t>(item 10 in form II-A)</t>
  </si>
  <si>
    <t>Retained profit</t>
  </si>
  <si>
    <t>% of retained profit</t>
  </si>
  <si>
    <t>Raw marerial (including stores and other</t>
  </si>
  <si>
    <t>items used in the process of manufacture)</t>
  </si>
  <si>
    <t>a) Imported (item34 (I ) (a) in form III-A)</t>
  </si>
  <si>
    <t>How many month's consumption do these</t>
  </si>
  <si>
    <t>represent ?</t>
  </si>
  <si>
    <t>b) Indigenous (item34 (I ) (b) in form III-A)</t>
  </si>
  <si>
    <t>Stock in process (item 34 (ii) in form III-A).</t>
  </si>
  <si>
    <t>How many month's cost of production do</t>
  </si>
  <si>
    <t>these represent ?</t>
  </si>
  <si>
    <t>Finished goods (item 34 (iii) in form III-A).</t>
  </si>
  <si>
    <t>How many month's cost of sales do</t>
  </si>
  <si>
    <t>Other consumable spares (item 34</t>
  </si>
  <si>
    <t>(iv) in form III-A). How many</t>
  </si>
  <si>
    <t xml:space="preserve">month's do these represent ?   </t>
  </si>
  <si>
    <t>form III-A) How many month's</t>
  </si>
  <si>
    <t>Sundry creditors (trade) (item 4 in</t>
  </si>
  <si>
    <t xml:space="preserve">purchases do these represent ? </t>
  </si>
  <si>
    <t>17.</t>
  </si>
  <si>
    <t>18.</t>
  </si>
  <si>
    <t>(25 % of item no. 1)</t>
  </si>
  <si>
    <t>Item 1 minus item 2</t>
  </si>
  <si>
    <t>Item 1 minus item 3</t>
  </si>
  <si>
    <t>(Item 4 or 5 whichever is lower)</t>
  </si>
  <si>
    <t>Peons and miscellaneous helper</t>
  </si>
  <si>
    <t>(25 % of item 1 of part B)</t>
  </si>
  <si>
    <t>(item no 6 of part B)</t>
  </si>
  <si>
    <t>Item 8 minus item 9</t>
  </si>
  <si>
    <t>Item 8 minus item 10</t>
  </si>
  <si>
    <t xml:space="preserve">Working Capital Gap </t>
  </si>
  <si>
    <t>(item 3 of part B)</t>
  </si>
  <si>
    <t>in net working capital (9-10)</t>
  </si>
  <si>
    <t>a) Receivables other than deffered</t>
  </si>
  <si>
    <t>receivables and export receivables</t>
  </si>
  <si>
    <t>(including bills purchased and discounted</t>
  </si>
  <si>
    <t>by bankers). (item 32(1) in form III-A)</t>
  </si>
  <si>
    <t>How many month's domestic sales other</t>
  </si>
  <si>
    <t>than sales on deffered payment basis</t>
  </si>
  <si>
    <t>do these represents ?</t>
  </si>
  <si>
    <t>b) Export receivables (item 32(ii) in form III-A)</t>
  </si>
  <si>
    <t>represents ?</t>
  </si>
  <si>
    <t xml:space="preserve">How many month's sales do these </t>
  </si>
  <si>
    <t>Net working capital (item 49 in form III-A)</t>
  </si>
  <si>
    <t>Current Ratio (item 38/item 13 in form III-A)</t>
  </si>
  <si>
    <t>Tangible net worth (item 48 in form III-A)</t>
  </si>
  <si>
    <t>a) Total outside liabilities/tangible net worth</t>
  </si>
  <si>
    <t>(item 21/item 48 in form III-A)</t>
  </si>
  <si>
    <t>b) Total term liabilities/tangible net worth</t>
  </si>
  <si>
    <t>(item 20/item 48 in form III-A)</t>
  </si>
  <si>
    <t>a) Bank borrowings/total outside liabilities</t>
  </si>
  <si>
    <t>(item 1/item 21 in form III-A)</t>
  </si>
  <si>
    <t xml:space="preserve">b) Net sales/total tangible assets (item 3 </t>
  </si>
  <si>
    <t>in form II-A/item 47(-) item 46 in form III-A)</t>
  </si>
  <si>
    <t>1st method of lending</t>
  </si>
  <si>
    <t>2nd method of lending</t>
  </si>
  <si>
    <t>Term Loans/DPGs</t>
  </si>
  <si>
    <t xml:space="preserve">     FORM II : OPERATING STATEMENT</t>
  </si>
  <si>
    <t>FORM  IV - POSITION REGARDING CURRENT ASSETS AND CURRENT LIABILITIES</t>
  </si>
  <si>
    <t xml:space="preserve">         FORM-V - COMPUTATION OF MAXIMUM PERMISSIBLR BANK FINANCE FOR WORKING CAPITAL</t>
  </si>
  <si>
    <t xml:space="preserve"> ANALYTICAL AND COMPARATIVE RATIOS</t>
  </si>
  <si>
    <t>FORM VI - FUNDS FLOW STATEMENT</t>
  </si>
  <si>
    <t>d) Increase in Term Liabilities (including public deposits)</t>
  </si>
  <si>
    <t>b) Decrease in Term Liabilities (including public deposits)</t>
  </si>
  <si>
    <t>other than bank borrowings</t>
  </si>
  <si>
    <t xml:space="preserve">     written off</t>
  </si>
  <si>
    <t>A.</t>
  </si>
  <si>
    <t>C.</t>
  </si>
  <si>
    <t>Working Capital Facility Required</t>
  </si>
  <si>
    <t>c) Chemicals</t>
  </si>
  <si>
    <t>Sl.No.</t>
  </si>
  <si>
    <t>Particulars</t>
  </si>
  <si>
    <t>Days</t>
  </si>
  <si>
    <t>(Rs. in Lacs)</t>
  </si>
  <si>
    <t>Stores &amp; Spares</t>
  </si>
  <si>
    <t>Sundry Debtors</t>
  </si>
  <si>
    <t>TOTAL (A)</t>
  </si>
  <si>
    <t>TOTAL (B)</t>
  </si>
  <si>
    <t>or Say Rs.</t>
  </si>
  <si>
    <t>LESS :</t>
  </si>
  <si>
    <t>PARTICULARS OF SISTER CONCERNS</t>
  </si>
  <si>
    <t>1. NAME</t>
  </si>
  <si>
    <t>2. ADDRESS</t>
  </si>
  <si>
    <t>3. CONSTITUTION</t>
  </si>
  <si>
    <t>4. ACTIVITY</t>
  </si>
  <si>
    <t>5. YEAR OF ESTB.</t>
  </si>
  <si>
    <t>6. DIRECTORS</t>
  </si>
  <si>
    <t>M/S RANA STEELS (A UNIT OF K.K.STEELS LIMITED)</t>
  </si>
  <si>
    <t>RANA CHOWK, MEERUT ROAD, MUZAFFARNAGAR</t>
  </si>
  <si>
    <t>LIMITED COMPANY</t>
  </si>
  <si>
    <t>MFG. OF M.S.ANGLE, CHANNEL, FLATES, BARS ETC.</t>
  </si>
  <si>
    <t>1- SHRI QAMRUZAMA RANA</t>
  </si>
  <si>
    <t>2- SHRI ZAKIR RANA</t>
  </si>
  <si>
    <t>3- SHRI QADIR RANA</t>
  </si>
  <si>
    <t>4- SHRI NOOR SALEEM RANA</t>
  </si>
  <si>
    <t>7. FINANCIAL PERFORMANCE:</t>
  </si>
  <si>
    <t>SALES &amp; OTHER INCOME</t>
  </si>
  <si>
    <t>PROFIT BEFORE INTT. &amp; DEP.</t>
  </si>
  <si>
    <t>FINANCE CHARGES</t>
  </si>
  <si>
    <t>DEPRECIATION</t>
  </si>
  <si>
    <t>NET PROFIT</t>
  </si>
  <si>
    <t>Fuel</t>
  </si>
  <si>
    <t>STOCK HOUSE</t>
  </si>
  <si>
    <t>CASH PROFIT</t>
  </si>
  <si>
    <t>RESERVE &amp; SURPLUS</t>
  </si>
  <si>
    <t xml:space="preserve">C/C HYP. OF STOCKS </t>
  </si>
  <si>
    <t>PRODUCTION KRAFT PAPER (M.T.)</t>
  </si>
  <si>
    <t>SALES KRAFT PAPER (M.T.)</t>
  </si>
  <si>
    <t>FIXED ASSETS (GROSS)</t>
  </si>
  <si>
    <t>8. FINANCIAL ASSISTANCE</t>
  </si>
  <si>
    <t>WORKING CAPITAL</t>
  </si>
  <si>
    <t>Punjab National Bank</t>
  </si>
  <si>
    <t>PICUP</t>
  </si>
  <si>
    <t>SANCTIONED</t>
  </si>
  <si>
    <t>DISBURSED</t>
  </si>
  <si>
    <t>OUTSTANDING</t>
  </si>
  <si>
    <t>OVERDUES</t>
  </si>
  <si>
    <t>NIL</t>
  </si>
  <si>
    <t>f) Others(adjustment of tax provision)</t>
  </si>
  <si>
    <t>PERMISSIBLE BANK FINANCE:</t>
  </si>
  <si>
    <t>MARGIN MONEY FOR WORKING CAPITAL:</t>
  </si>
  <si>
    <t xml:space="preserve"> (a) </t>
  </si>
  <si>
    <t xml:space="preserve">Less: Sundry Creditors </t>
  </si>
  <si>
    <t>TOTAL CURRENT ASSETS (item 34 in from III )</t>
  </si>
  <si>
    <t>Authorised capital increase expenses</t>
  </si>
  <si>
    <t>Add: Opening Stock in Process</t>
  </si>
  <si>
    <t xml:space="preserve">Sub Total </t>
  </si>
  <si>
    <t>Less: Closing Stock in Process</t>
  </si>
  <si>
    <t>Miscelleneous Expenditure Written off</t>
  </si>
  <si>
    <t>Raw material (including stores and other items</t>
  </si>
  <si>
    <t>used in the process of manufacture)</t>
  </si>
  <si>
    <t>ANNEXURE-3</t>
  </si>
  <si>
    <t>-58-</t>
  </si>
  <si>
    <t>-59-</t>
  </si>
  <si>
    <t>-60-</t>
  </si>
  <si>
    <t>ANNEXURE-2</t>
  </si>
  <si>
    <t>Manager (Pulp Mill)</t>
  </si>
  <si>
    <t>Machanical Engineer</t>
  </si>
  <si>
    <t>Electrical Engineer</t>
  </si>
  <si>
    <t>Shift Incharge</t>
  </si>
  <si>
    <t>Manager (Quality Control)</t>
  </si>
  <si>
    <t>Foreman</t>
  </si>
  <si>
    <t>Fitter</t>
  </si>
  <si>
    <t>Hence Annual Salary for Production Staff</t>
  </si>
  <si>
    <t>Total Salary of Production Staff for Ist Year</t>
  </si>
  <si>
    <t>Hence Annual Salary for Administrative Staff</t>
  </si>
  <si>
    <t>Total Salary of Administrative Staff for Ist Year</t>
  </si>
  <si>
    <t>KRAFT PAPER</t>
  </si>
  <si>
    <t>ELECTRICALS</t>
  </si>
  <si>
    <t>PAPER MACHINE</t>
  </si>
  <si>
    <t>--</t>
  </si>
  <si>
    <t>L.S.</t>
  </si>
  <si>
    <t>Processing, Legal &amp; Professional Fees</t>
  </si>
  <si>
    <t xml:space="preserve">Ist class brick work in </t>
  </si>
  <si>
    <t xml:space="preserve">Factory insurance has been considered at </t>
  </si>
  <si>
    <t>Selling   &amp;    Administrative    Expenses    has    been   estimated  at</t>
  </si>
  <si>
    <t>Misc.Fixed Assets</t>
  </si>
  <si>
    <t xml:space="preserve">            UNSECURED LOANS</t>
  </si>
  <si>
    <t>C.M., RCC roofing  slab</t>
  </si>
  <si>
    <t>steel  doors  &amp;  window</t>
  </si>
  <si>
    <t>CC flooring complete.</t>
  </si>
  <si>
    <t>INTEREST</t>
  </si>
  <si>
    <t>Stores Executives</t>
  </si>
  <si>
    <t>Godown Assistants</t>
  </si>
  <si>
    <t>Time Office Assistants</t>
  </si>
  <si>
    <t>Purchase Manager</t>
  </si>
  <si>
    <t>Manager - Finance &amp; Accounts</t>
  </si>
  <si>
    <t>Clerical &amp; Office staff</t>
  </si>
  <si>
    <t>Administrative &amp; Manegerial Staff</t>
  </si>
  <si>
    <t>Workmen - unskilled</t>
  </si>
  <si>
    <t>Chemist</t>
  </si>
  <si>
    <t>Production Staff</t>
  </si>
  <si>
    <t>Administrative Salaries</t>
  </si>
  <si>
    <t>Add: 10% for Fringe Benefits</t>
  </si>
  <si>
    <t>or say</t>
  </si>
  <si>
    <t>INCOME</t>
  </si>
  <si>
    <t>EXPENDITURE</t>
  </si>
  <si>
    <t>Running Expenses</t>
  </si>
  <si>
    <t>Finance Expenses</t>
  </si>
  <si>
    <t>Preliminary Expenses</t>
  </si>
  <si>
    <t>Total Expenditure</t>
  </si>
  <si>
    <t>Income before Tax</t>
  </si>
  <si>
    <t>Taxation</t>
  </si>
  <si>
    <t>Income after Tax</t>
  </si>
  <si>
    <t>Interest on T/L</t>
  </si>
  <si>
    <t>Installment of T/L</t>
  </si>
  <si>
    <t>DSCR</t>
  </si>
  <si>
    <t>Taxation    is    considered       @</t>
  </si>
  <si>
    <t xml:space="preserve">&amp;     Book    profit    @ </t>
  </si>
  <si>
    <t>Net Sales( With stock Adjustment)</t>
  </si>
  <si>
    <t>Long Term Investment</t>
  </si>
  <si>
    <t>MEANS OF FINANCE</t>
  </si>
  <si>
    <t>MIX</t>
  </si>
  <si>
    <t>BUILDING &amp; CIVIL WORKS</t>
  </si>
  <si>
    <t>TERM LOAN</t>
  </si>
  <si>
    <t>Sundry creditors (Inclusive of Creditors on L/C)</t>
  </si>
  <si>
    <t>a) Fuel</t>
  </si>
  <si>
    <t>b) Stores</t>
  </si>
  <si>
    <t>Other Consumable</t>
  </si>
  <si>
    <t>Waste Paper</t>
  </si>
  <si>
    <t>No of Shifts per day</t>
  </si>
  <si>
    <t>No. of working days per annum</t>
  </si>
  <si>
    <t>Total Capacity per day</t>
  </si>
  <si>
    <t>Production per annum</t>
  </si>
  <si>
    <t>PMT</t>
  </si>
  <si>
    <t>Advance to Suppliers etc.</t>
  </si>
  <si>
    <t>ACCUMULATED</t>
  </si>
  <si>
    <t xml:space="preserve">            EQUITY-DIRECTORS, FRIENDS &amp; RELATIVES</t>
  </si>
  <si>
    <t xml:space="preserve">Raw Materials </t>
  </si>
  <si>
    <t>FIXED OVERHEADS</t>
  </si>
  <si>
    <t>Selling &amp; Distribution Exp.</t>
  </si>
  <si>
    <t>Administrative Expenses</t>
  </si>
  <si>
    <t xml:space="preserve">  - Admn. Salaries</t>
  </si>
  <si>
    <t xml:space="preserve">  - Office &amp; General Expenses</t>
  </si>
  <si>
    <t>Sub Total (4 + 5 + 6)</t>
  </si>
  <si>
    <t>Operating Profit before interest (3-7)</t>
  </si>
  <si>
    <t>Operating Profit after interest (8-9)</t>
  </si>
  <si>
    <t>Direct Factory Wages</t>
  </si>
  <si>
    <t>Selling &amp; Distribution Expenses</t>
  </si>
  <si>
    <t>Interest on Working Capital</t>
  </si>
  <si>
    <t>Interest On Term Loan</t>
  </si>
  <si>
    <t>Other Finance Charges</t>
  </si>
  <si>
    <t>Priliminary Expenses</t>
  </si>
  <si>
    <t>Other Admn. Expenses</t>
  </si>
  <si>
    <t>Factory Insurance</t>
  </si>
  <si>
    <t>NET SALES</t>
  </si>
  <si>
    <t>VARIABLE OVERHEADS</t>
  </si>
  <si>
    <t>CASH B.E.P.</t>
  </si>
  <si>
    <t>Less: Closing Stock</t>
  </si>
  <si>
    <t>Amount of Term Loan</t>
  </si>
  <si>
    <t>Rate of Interest</t>
  </si>
  <si>
    <t>Fuels</t>
  </si>
  <si>
    <t xml:space="preserve">Repair &amp; Maintenance has been estimated at </t>
  </si>
  <si>
    <t xml:space="preserve">of Plant &amp; Machinery </t>
  </si>
  <si>
    <t>has been considered.</t>
  </si>
  <si>
    <t>TYPE OF CONSTRUCTION</t>
  </si>
  <si>
    <t>SUPPLIERS</t>
  </si>
  <si>
    <t>BREAK EVEN POINT</t>
  </si>
  <si>
    <t>LAND  &amp; SITE DEVELOPMENT</t>
  </si>
  <si>
    <t>INTEREST DURING CONSTRUCTION PERIOD</t>
  </si>
  <si>
    <t>of sales realisation.</t>
  </si>
  <si>
    <t>on Working Capital facilities.</t>
  </si>
  <si>
    <t xml:space="preserve">for  first  year  of  operation  &amp;  therafter  an  increase of </t>
  </si>
  <si>
    <t xml:space="preserve">CALCULATION OF INTEREST CUM REPAYMENT SCHEDULE OF TERM LOAN </t>
  </si>
  <si>
    <t>8th K.M. Stone,Jansath Road,Muzaffarnagar</t>
  </si>
  <si>
    <t>Mfg. Of Craft Paper</t>
  </si>
  <si>
    <t>5- SHRI SHAHNAWAZ RANA</t>
  </si>
  <si>
    <t>6-SMT.SHAHIN RANA</t>
  </si>
  <si>
    <t>7-SMT.SHAMIA ZEENAT</t>
  </si>
  <si>
    <t>UPFC</t>
  </si>
  <si>
    <t>NAME</t>
  </si>
  <si>
    <t>M/S DOABA ROLLING MILLS (P) LIMITED</t>
  </si>
  <si>
    <t>8th K.M. Stone,Meerut Road, Muzaffarnagar</t>
  </si>
  <si>
    <t>Private Limited Company</t>
  </si>
  <si>
    <t>Mfg. Of M.S.Ingot</t>
  </si>
  <si>
    <t>2-SHRI QADIR RANA</t>
  </si>
  <si>
    <t>3-SHRI NOOR SALEEM RANA</t>
  </si>
  <si>
    <t>4-SHRI SHAHNAWAZ RANA</t>
  </si>
  <si>
    <t>5-SMT.SAIDA BEGUM</t>
  </si>
  <si>
    <t>KRAFT PAPER ( AT 100% CAPACITY)</t>
  </si>
  <si>
    <t>Raw Materials &amp; Chemicals (At 100% capacity utilisation)</t>
  </si>
  <si>
    <t>Indian Waste Paper</t>
  </si>
  <si>
    <t>Imported Waste Paper</t>
  </si>
  <si>
    <t xml:space="preserve">Power   will   be   generated through Existing Generators. The Expenses for the same is calculated as under :-   </t>
  </si>
  <si>
    <t>Rs.</t>
  </si>
  <si>
    <t>1.NAME</t>
  </si>
  <si>
    <t>M/S RANA PAPERS LIMITED</t>
  </si>
  <si>
    <t>M/S RANA CASTINGS LIMITED</t>
  </si>
  <si>
    <t>Jasodharpur Ind.Area. Kotdwar.</t>
  </si>
  <si>
    <t>Limited Company</t>
  </si>
  <si>
    <t>Mfg. Of M.S. Ingot</t>
  </si>
  <si>
    <t>(E)</t>
  </si>
  <si>
    <t>Raw Material</t>
  </si>
  <si>
    <t>Consumable Stores</t>
  </si>
  <si>
    <t xml:space="preserve">FIXED ASSETS </t>
  </si>
  <si>
    <t>CONTRIBUTION</t>
  </si>
  <si>
    <t>Interest Paid &amp; Other Finance Charges</t>
  </si>
  <si>
    <t>PROJECTIONS</t>
  </si>
  <si>
    <t xml:space="preserve">   iii) Miscelleneous Expenditure</t>
  </si>
  <si>
    <t>Less: Deduction U/S 80IB</t>
  </si>
  <si>
    <t xml:space="preserve">Taxable  profit </t>
  </si>
  <si>
    <t>Cash Credit (H)</t>
  </si>
  <si>
    <t>Cash Credit (Book Debts)</t>
  </si>
  <si>
    <t>DD Clean</t>
  </si>
  <si>
    <t>Cash Credit (H) Paper Division</t>
  </si>
  <si>
    <t>Work Shed</t>
  </si>
  <si>
    <t>Cash Credit (H) Steel Division</t>
  </si>
  <si>
    <t>Cash Credit (Book Debts) Paper</t>
  </si>
  <si>
    <t>Direct Labour (Factory Wages &amp; Salaries)</t>
  </si>
  <si>
    <t>Cash Credit (Book Debts) Steel</t>
  </si>
  <si>
    <t>(C)</t>
  </si>
  <si>
    <t>(D)</t>
  </si>
  <si>
    <t>7. INSTALLED CAPCITY:</t>
  </si>
  <si>
    <t>The company is a newaly incorporated company and has recently</t>
  </si>
  <si>
    <t>YEARS</t>
  </si>
  <si>
    <t>8. FINANCIAL PERFORMANCE:</t>
  </si>
  <si>
    <t>9. FINANCIAL ASSISTANCE</t>
  </si>
  <si>
    <t>Oriental Bank of Commerce</t>
  </si>
  <si>
    <t xml:space="preserve"> </t>
  </si>
  <si>
    <t>S.No.</t>
  </si>
  <si>
    <t>PARTICULARS</t>
  </si>
  <si>
    <t>RATE</t>
  </si>
  <si>
    <t>AMOUNT</t>
  </si>
  <si>
    <t>1.</t>
  </si>
  <si>
    <t>2.</t>
  </si>
  <si>
    <t>3.</t>
  </si>
  <si>
    <t>4.</t>
  </si>
  <si>
    <t>5.</t>
  </si>
  <si>
    <t>6.</t>
  </si>
  <si>
    <t>7.</t>
  </si>
  <si>
    <t>8.</t>
  </si>
  <si>
    <t>TOTAL</t>
  </si>
  <si>
    <t>Lacs</t>
  </si>
  <si>
    <t>ITEM</t>
  </si>
  <si>
    <t>Incremental benefits for the Employees are taken as</t>
  </si>
  <si>
    <t>per year.</t>
  </si>
  <si>
    <t xml:space="preserve">    -Indian Waste Paper</t>
  </si>
  <si>
    <t xml:space="preserve">    -Imported Waste Paper</t>
  </si>
  <si>
    <t>Chemicals</t>
  </si>
  <si>
    <t>(b)</t>
  </si>
  <si>
    <t>75.00% of item (1+2+3+4+5+6)</t>
  </si>
  <si>
    <t>60.00% of item (7-8)</t>
  </si>
  <si>
    <t>COST OF PROJECT</t>
  </si>
  <si>
    <t>LAND &amp; SITE DEVELOPMENT</t>
  </si>
  <si>
    <t>PLANT &amp; MACHINERY</t>
  </si>
  <si>
    <t>S. NO.</t>
  </si>
  <si>
    <t>BASIC COST</t>
  </si>
  <si>
    <t>PBF</t>
  </si>
  <si>
    <t>BUILDING &amp; CIVIL WORK</t>
  </si>
  <si>
    <t>MISCELLANEOUS FIXED ASSETS</t>
  </si>
  <si>
    <t>PRE OPERATIVE EXPENSES</t>
  </si>
  <si>
    <t>MARGIN MONEY FOR WORKING CAP.</t>
  </si>
  <si>
    <t>INTEREST DURING CONST. PERIOD</t>
  </si>
  <si>
    <t>MISC. FIXED ASSETS</t>
  </si>
  <si>
    <t>MARGIN MONEY FOR W/C</t>
  </si>
  <si>
    <t xml:space="preserve">TOTAL </t>
  </si>
  <si>
    <t>SHARE CAPITAL</t>
  </si>
  <si>
    <t>M.T.</t>
  </si>
  <si>
    <t>Installed Capacity Mt</t>
  </si>
  <si>
    <t>Capacity Utilisation%</t>
  </si>
  <si>
    <t>Production in M.T.</t>
  </si>
  <si>
    <t>Sales in M.T.</t>
  </si>
  <si>
    <t>Gross Sales</t>
  </si>
  <si>
    <t>Net Sales</t>
  </si>
  <si>
    <t>Cost of Sales</t>
  </si>
  <si>
    <t>Sub Total</t>
  </si>
  <si>
    <t>(a) Interest on T/L</t>
  </si>
  <si>
    <t>Margin Money Recquired</t>
  </si>
  <si>
    <t>(b) Interest on W/C</t>
  </si>
  <si>
    <t>Preliminary Exp. w/o</t>
  </si>
  <si>
    <t>11.</t>
  </si>
  <si>
    <t xml:space="preserve">Profit Before Tax </t>
  </si>
  <si>
    <t>12.</t>
  </si>
  <si>
    <t>Provision for Taxes</t>
  </si>
  <si>
    <t>13.</t>
  </si>
  <si>
    <t>Net Profit (11 - 12)</t>
  </si>
  <si>
    <t>14.</t>
  </si>
  <si>
    <t>Cash Accruals</t>
  </si>
  <si>
    <t>15.</t>
  </si>
  <si>
    <t>Repayment of T/L</t>
  </si>
  <si>
    <t>16.</t>
  </si>
  <si>
    <t>Retained Cash Accruals</t>
  </si>
  <si>
    <t>QTY.(M.T.)</t>
  </si>
  <si>
    <t>RATE/M.T.</t>
  </si>
  <si>
    <t>Salary &amp; Wages</t>
  </si>
  <si>
    <t>NOS.</t>
  </si>
  <si>
    <t>SALARY</t>
  </si>
  <si>
    <t>Power &amp; Fuel</t>
  </si>
  <si>
    <t>KVA</t>
  </si>
  <si>
    <t>Amount</t>
  </si>
  <si>
    <t>Building</t>
  </si>
  <si>
    <t>Depreciation (By W.D.V. for IT purpose)</t>
  </si>
  <si>
    <t>Plant &amp; Machinery</t>
  </si>
  <si>
    <t>CALCULATION OF SALES REALISATION AND SALEABLE QUANTITY</t>
  </si>
  <si>
    <t>(IN M.T.)</t>
  </si>
  <si>
    <t>Opening Balance</t>
  </si>
  <si>
    <t>Add: Production</t>
  </si>
  <si>
    <t>Saleable Quantity</t>
  </si>
  <si>
    <t>100+350 COMMON &amp; 100 TPD SPONGE IRON PLANT</t>
  </si>
  <si>
    <t>ESTIMATION OF CIVIL AND STRUCTURAL WORK</t>
  </si>
  <si>
    <t>350 TPD SPONGE IRON PLANT</t>
  </si>
  <si>
    <t>Engineering &amp; Consultancy Charges</t>
  </si>
  <si>
    <t>PROMOTERS CONTRIBUTION</t>
  </si>
  <si>
    <t>Taxation   is   considered    @</t>
  </si>
  <si>
    <t xml:space="preserve">&amp;       Book  profit    @ </t>
  </si>
  <si>
    <t>Depreciation</t>
  </si>
  <si>
    <t>Profit before Tax</t>
  </si>
  <si>
    <t>Gross Profit</t>
  </si>
  <si>
    <t>Total</t>
  </si>
  <si>
    <t>B/F Losses</t>
  </si>
  <si>
    <t>Taxable profit</t>
  </si>
  <si>
    <t>Tax on Book Profit</t>
  </si>
  <si>
    <t>Normal Tax</t>
  </si>
  <si>
    <t>Taxation Due</t>
  </si>
  <si>
    <t>YEAR</t>
  </si>
  <si>
    <t>LIABILITIES</t>
  </si>
  <si>
    <t>Equity Share Capital</t>
  </si>
  <si>
    <t>Profit &amp; Loss Account</t>
  </si>
  <si>
    <t xml:space="preserve">Term Loan </t>
  </si>
  <si>
    <t xml:space="preserve">Cash Credit </t>
  </si>
  <si>
    <t>Unsecured Loans</t>
  </si>
  <si>
    <t xml:space="preserve">ASSETS </t>
  </si>
  <si>
    <t>FIXED ASSETS</t>
  </si>
  <si>
    <t>Gross Block</t>
  </si>
  <si>
    <t>Net Block</t>
  </si>
  <si>
    <t>SOURCES OF FUNDS</t>
  </si>
  <si>
    <t>Term Loan</t>
  </si>
  <si>
    <t>Share Capital</t>
  </si>
  <si>
    <t>Cash Credit Limit</t>
  </si>
  <si>
    <t>USE OF FUNDS</t>
  </si>
  <si>
    <t>Capital Expenditure</t>
  </si>
  <si>
    <t>Working Capital</t>
  </si>
  <si>
    <t>Surplus/(Deficit)</t>
  </si>
  <si>
    <t>Closing Balance</t>
  </si>
  <si>
    <t>Intt. on Term Loan</t>
  </si>
  <si>
    <t>Total "A"</t>
  </si>
  <si>
    <t>Instalment of T/L</t>
  </si>
  <si>
    <t>Total "B"</t>
  </si>
  <si>
    <t>Average D.S.C.R.</t>
  </si>
  <si>
    <t>DEBT EQUITY RATIO  =</t>
  </si>
  <si>
    <t>vi)</t>
  </si>
  <si>
    <t>CASH ACCRUALS</t>
  </si>
  <si>
    <t>PROJECT COST Rs.</t>
  </si>
  <si>
    <t>PAY BACK PERIOD</t>
  </si>
  <si>
    <t>(c) Other Finance &amp; Bank Charges</t>
  </si>
  <si>
    <t>Repair &amp; Maintenance</t>
  </si>
  <si>
    <t>ii)</t>
  </si>
  <si>
    <t>iii)</t>
  </si>
  <si>
    <t>iv)</t>
  </si>
  <si>
    <t>v)</t>
  </si>
  <si>
    <t>vii)</t>
  </si>
  <si>
    <t>viii)</t>
  </si>
  <si>
    <t>ix)</t>
  </si>
  <si>
    <t>Other non current assets</t>
  </si>
  <si>
    <t>ASSESSMENT OF WORKING CAPITAL REQUIREMENTS</t>
  </si>
  <si>
    <t>(1)</t>
  </si>
  <si>
    <t>(2)</t>
  </si>
  <si>
    <t>(3)</t>
  </si>
  <si>
    <t>(4)</t>
  </si>
  <si>
    <t>YEAR ENDING ON 31ST MARCH,</t>
  </si>
  <si>
    <t>INSTALLED CAPACITY (M.T.)</t>
  </si>
  <si>
    <t>1-</t>
  </si>
  <si>
    <t>Domestic Sales</t>
  </si>
  <si>
    <t>2-</t>
  </si>
  <si>
    <t>3-</t>
  </si>
  <si>
    <t>Net Sales (1-2)</t>
  </si>
  <si>
    <t>4-</t>
  </si>
  <si>
    <t>5-</t>
  </si>
  <si>
    <t>i)</t>
  </si>
  <si>
    <t>a) Imported</t>
  </si>
  <si>
    <t>b) Indigenous</t>
  </si>
  <si>
    <t>a) Power</t>
  </si>
  <si>
    <t>b) Fuel</t>
  </si>
  <si>
    <t>ADD:Opening Stocks of Finished Goods</t>
  </si>
  <si>
    <t>Sub-Total</t>
  </si>
  <si>
    <t>LESS:Closing stocks of Finished Goods</t>
  </si>
  <si>
    <t>x)</t>
  </si>
  <si>
    <t>Total Cost of Sales</t>
  </si>
  <si>
    <t>6-</t>
  </si>
  <si>
    <t>Selling, general and administrative exp.</t>
  </si>
  <si>
    <t>7-</t>
  </si>
  <si>
    <t>SUB TOTAL (5+6)</t>
  </si>
  <si>
    <t>8-</t>
  </si>
  <si>
    <t>Operating proifit before interest (3-7)</t>
  </si>
  <si>
    <t>9-</t>
  </si>
  <si>
    <t>10-</t>
  </si>
  <si>
    <t>Operating profit after interest (8-9)</t>
  </si>
  <si>
    <t>11-</t>
  </si>
  <si>
    <t>Add:Other non-operating income</t>
  </si>
  <si>
    <t>Sub-Total (Income)</t>
  </si>
  <si>
    <t>Deduct other non-operating expenses</t>
  </si>
  <si>
    <t>Sub-Total (Expenses)</t>
  </si>
  <si>
    <t>Net of other non-operating income/</t>
  </si>
  <si>
    <t>expenses</t>
  </si>
  <si>
    <t>[Net of 11(i) &amp; 11 (ii)]</t>
  </si>
  <si>
    <t>12-</t>
  </si>
  <si>
    <t>Profit before tax/loss [10+11 (iii)]</t>
  </si>
  <si>
    <t>13-</t>
  </si>
  <si>
    <t>Provision for taxes</t>
  </si>
  <si>
    <t>14-</t>
  </si>
  <si>
    <t>Net profit/loss (12-13)</t>
  </si>
  <si>
    <t>15-</t>
  </si>
  <si>
    <t>a) Equity dividend paid</t>
  </si>
  <si>
    <t>b) Dividend Rate</t>
  </si>
  <si>
    <t>16-</t>
  </si>
  <si>
    <t>Retained profit (14-15)</t>
  </si>
  <si>
    <t>17-</t>
  </si>
  <si>
    <t>Retained Profit/net profit (%age)</t>
  </si>
  <si>
    <t>CURRENT LIABILITIES</t>
  </si>
  <si>
    <t>Short term borrowings from banks (incldg.</t>
  </si>
  <si>
    <t>bills purchased, discounted &amp; excess</t>
  </si>
  <si>
    <t>borrowings placed on repayment basis)</t>
  </si>
  <si>
    <t>From applicant bank</t>
  </si>
  <si>
    <t>From other banks</t>
  </si>
  <si>
    <t>(of which BP &amp; BD)</t>
  </si>
  <si>
    <t>Sub - Total (A)</t>
  </si>
  <si>
    <t>Short term borrowings from others</t>
  </si>
  <si>
    <t>Advance payments from customers/deposits</t>
  </si>
  <si>
    <t>from dealers</t>
  </si>
  <si>
    <t>Provisioin for taxation</t>
  </si>
  <si>
    <t>Dividend payable</t>
  </si>
  <si>
    <t>Other statutory liabilities (due within</t>
  </si>
  <si>
    <t>one year)</t>
  </si>
  <si>
    <t>Deposits/Instalments of term loans/DPGs/</t>
  </si>
  <si>
    <t>debenture etc. (due within one year)</t>
  </si>
  <si>
    <t>Other current liabilities</t>
  </si>
  <si>
    <t>Sub-Total (B)</t>
  </si>
  <si>
    <t>TOTAL CURRENT LIABILITIES (Total of 1 to 9)</t>
  </si>
  <si>
    <t>TERMS LIABILITIES</t>
  </si>
  <si>
    <t>Debentures</t>
  </si>
  <si>
    <t>Preference Shares</t>
  </si>
  <si>
    <t>Term loans</t>
  </si>
  <si>
    <t>Deffered Payments Credits</t>
  </si>
  <si>
    <t>Term Deposits (repayable after one year)</t>
  </si>
  <si>
    <t>Other term liabilities</t>
  </si>
  <si>
    <t>TOTAL TERM LIABILITIES (Total of 11 to 16)</t>
  </si>
  <si>
    <t>18-</t>
  </si>
  <si>
    <t>TOTAL OUTSIDE LIABILITIES (10 + 17)</t>
  </si>
  <si>
    <t>Compressure Room</t>
  </si>
  <si>
    <t xml:space="preserve">Vaccum Pump room </t>
  </si>
  <si>
    <t>Vertical Chest</t>
  </si>
  <si>
    <t>Cylo Tank</t>
  </si>
  <si>
    <t>CC Pits</t>
  </si>
  <si>
    <t>Seal Pit</t>
  </si>
  <si>
    <t>Wire Pit</t>
  </si>
  <si>
    <t>Sole Plate Foundation</t>
  </si>
  <si>
    <t>Pulper Pit</t>
  </si>
  <si>
    <t>NET WORTH</t>
  </si>
  <si>
    <t>19-</t>
  </si>
  <si>
    <t>Ordinary Share Capital</t>
  </si>
  <si>
    <t>20-</t>
  </si>
  <si>
    <t>General Reserve</t>
  </si>
  <si>
    <t>21-</t>
  </si>
  <si>
    <t>Revaluation Reserve</t>
  </si>
  <si>
    <t>22-</t>
  </si>
  <si>
    <t>Other Reserves (excluding provisions)</t>
  </si>
  <si>
    <t>23-</t>
  </si>
  <si>
    <t>Surplus (+) or deficit (-) in Profit &amp;</t>
  </si>
  <si>
    <t>Loss Account</t>
  </si>
  <si>
    <t>24-</t>
  </si>
  <si>
    <t>Net Worth</t>
  </si>
  <si>
    <t>25-</t>
  </si>
  <si>
    <t>TOTAL LIABILITIES (18+24)</t>
  </si>
  <si>
    <t>ASSETS</t>
  </si>
  <si>
    <t>CURRENT ASSETS</t>
  </si>
  <si>
    <t>26-</t>
  </si>
  <si>
    <t>Cash &amp; Bank Balances</t>
  </si>
  <si>
    <t>27-</t>
  </si>
  <si>
    <t>Investments</t>
  </si>
  <si>
    <t>Govt. &amp; Other Securities</t>
  </si>
  <si>
    <t>Fixed Deposit With Bank</t>
  </si>
  <si>
    <t>28-</t>
  </si>
  <si>
    <t>Receivables</t>
  </si>
  <si>
    <t>29-</t>
  </si>
  <si>
    <t>Instalment of Deffered Receivables</t>
  </si>
  <si>
    <t>30-</t>
  </si>
  <si>
    <t>Inventory</t>
  </si>
  <si>
    <t>Stocks-in-process</t>
  </si>
  <si>
    <t>Finished Goods</t>
  </si>
  <si>
    <t>Other consumables</t>
  </si>
  <si>
    <t>31-</t>
  </si>
  <si>
    <t>Advances to Suppliers</t>
  </si>
  <si>
    <t>32-</t>
  </si>
  <si>
    <t>Advance Payment of taxes</t>
  </si>
  <si>
    <t>33-</t>
  </si>
  <si>
    <t>Other Current Assets</t>
  </si>
  <si>
    <t>34-</t>
  </si>
  <si>
    <t>TOTAL CURRENT ASSETS (Total of 26 to 33)</t>
  </si>
  <si>
    <t>35-</t>
  </si>
  <si>
    <t>36-</t>
  </si>
  <si>
    <t>Depreciation to date</t>
  </si>
  <si>
    <t>(F)</t>
  </si>
  <si>
    <t>M/S RANA GIRDERS LIMITED</t>
  </si>
  <si>
    <t>8TH, K.M. Stone Meerut Road, Muzaffarnagar</t>
  </si>
  <si>
    <t>Mfg. Of M.S. Girders and Sections etc.</t>
  </si>
  <si>
    <t>1- SHRI ZAKIR RANA</t>
  </si>
  <si>
    <t>2- SHRI SHAHZAMA RANA</t>
  </si>
  <si>
    <t>3- SMT. SHAHIN RANA</t>
  </si>
  <si>
    <t>4- SMT. INTAKHAB RANA</t>
  </si>
  <si>
    <t>Union Bank of India</t>
  </si>
  <si>
    <t>Cash Credit (BD)</t>
  </si>
  <si>
    <t>M/S U.P. BONE MILLS (P) LIMITED</t>
  </si>
  <si>
    <t>Village Simloni , Manglore, Roorkee</t>
  </si>
  <si>
    <t>Manufacturing of M.S.Ingots</t>
  </si>
  <si>
    <t>2- SHRI NOOR SALEEM RANA</t>
  </si>
  <si>
    <t>4- SHRI SHAHNAWAZ RANA</t>
  </si>
  <si>
    <t>30000 tpa based on Single shift per day &amp; 300 working days per annum</t>
  </si>
  <si>
    <t xml:space="preserve">The Unit of the company has started commercial Production </t>
  </si>
  <si>
    <t>from June 2003</t>
  </si>
  <si>
    <t>installed plant for manufacturing of M.S. Ingots.</t>
  </si>
  <si>
    <t>37-</t>
  </si>
  <si>
    <t>Net Block (35-36)</t>
  </si>
  <si>
    <t>OTHER NON-CURRENT ASSETS</t>
  </si>
  <si>
    <t>38-</t>
  </si>
  <si>
    <t>Investments/Book-debts &amp; deposits</t>
  </si>
  <si>
    <t>a) Investment in Subsidiary Co./</t>
  </si>
  <si>
    <t xml:space="preserve">   affiliates</t>
  </si>
  <si>
    <t>b) Others</t>
  </si>
  <si>
    <t>Advances to Supplier of Capital goods</t>
  </si>
  <si>
    <t>Deffered Receivables</t>
  </si>
  <si>
    <t>Security Deposits</t>
  </si>
  <si>
    <t>39-</t>
  </si>
  <si>
    <t>Non-Consumables Stores</t>
  </si>
  <si>
    <t>40-</t>
  </si>
  <si>
    <t>Other non-current assets incldg.</t>
  </si>
  <si>
    <t>from directors</t>
  </si>
  <si>
    <t>41-</t>
  </si>
  <si>
    <t>TOTAL OTHER NON-CURRENT ASSETS</t>
  </si>
  <si>
    <t>42-</t>
  </si>
  <si>
    <t>a) Intangible assets (patent goodwill,</t>
  </si>
  <si>
    <t xml:space="preserve">   prelim. exp., bad/doubtful debts not</t>
  </si>
  <si>
    <t xml:space="preserve">   provided for)</t>
  </si>
  <si>
    <t>b) Profit &amp; Loss Account</t>
  </si>
  <si>
    <t>43-</t>
  </si>
  <si>
    <t>TOTAL ASSETS (Total of 34,37,41 &amp; 42)</t>
  </si>
  <si>
    <t>44-</t>
  </si>
  <si>
    <t>TANGIBLE NET WORTH (24-42)</t>
  </si>
  <si>
    <t>45-</t>
  </si>
  <si>
    <t>NET WORKING CAPITAL [(17+24)-(37+41+42)]</t>
  </si>
  <si>
    <t>To tally with (34-10)</t>
  </si>
  <si>
    <t>46-</t>
  </si>
  <si>
    <t>Current Ratio (34/10)</t>
  </si>
  <si>
    <t>47-</t>
  </si>
  <si>
    <t>Total Outside Liablity/Net Worth (18/44)</t>
  </si>
  <si>
    <t>A- CURRENT ASSETS</t>
  </si>
  <si>
    <t xml:space="preserve">a) Imported </t>
  </si>
  <si>
    <t>Other Consumables</t>
  </si>
  <si>
    <t>Stock-in-process</t>
  </si>
  <si>
    <t>Invest for Expansion</t>
  </si>
  <si>
    <t>Advances to Suppliers of Raw Material stores</t>
  </si>
  <si>
    <t>Cash and Bank Balances</t>
  </si>
  <si>
    <t>B- CURRENT LIABILITIES</t>
  </si>
  <si>
    <t>(Other than Bank Borrowing)</t>
  </si>
  <si>
    <t>Creditors of Raw Materials</t>
  </si>
  <si>
    <t>stores,consumables</t>
  </si>
  <si>
    <t>Advances from customers</t>
  </si>
  <si>
    <t>Statutory Liabilities</t>
  </si>
  <si>
    <t>Other Current Liabilities</t>
  </si>
  <si>
    <t xml:space="preserve">(Short term borrow. unsec. loans, </t>
  </si>
  <si>
    <t>instalment of T/L</t>
  </si>
  <si>
    <t>TOTAL CURRENT LIABILITIES</t>
  </si>
  <si>
    <t>Min. Stipulated net working capital</t>
  </si>
  <si>
    <t>Actual/Projected net working capital</t>
  </si>
  <si>
    <t>Maximum PBF</t>
  </si>
  <si>
    <t>(Item 6 or 7 whichever is lower)</t>
  </si>
  <si>
    <t>SOURCES</t>
  </si>
  <si>
    <t>a) Net Profit after tax</t>
  </si>
  <si>
    <t>b) Depreciation &amp; Preliminary Expenses</t>
  </si>
  <si>
    <t>c) Increase in Capital</t>
  </si>
  <si>
    <t>e) Decrease in</t>
  </si>
  <si>
    <t xml:space="preserve">    i) Fixed assets</t>
  </si>
  <si>
    <t xml:space="preserve">   ii) Other non-current assets</t>
  </si>
  <si>
    <t>g) TOTAL</t>
  </si>
  <si>
    <t>USES</t>
  </si>
  <si>
    <t>a) Net Loss</t>
  </si>
  <si>
    <t>c) Increase in :</t>
  </si>
  <si>
    <t>d) Dividend Payments</t>
  </si>
  <si>
    <t>e) Others</t>
  </si>
  <si>
    <t>f) TOTAL</t>
  </si>
  <si>
    <t>Long Term Surplus (+) Deficit (-) (1-2)</t>
  </si>
  <si>
    <t>Increase/Decrease in current assets</t>
  </si>
  <si>
    <t>(as per details below)</t>
  </si>
  <si>
    <t>Increase/Decrease in Current Liabilities</t>
  </si>
  <si>
    <t>Increase/decrease in working capital gap</t>
  </si>
  <si>
    <t>Net surplus(+)/Deficit(-) (Diff. of 3 &amp; 6)</t>
  </si>
  <si>
    <t>Increase/Decrease in Bank Borrowing</t>
  </si>
  <si>
    <t>INCREASE/DECREASE IN CASH</t>
  </si>
  <si>
    <t xml:space="preserve">Advance to Suppliers </t>
  </si>
  <si>
    <t>Misc. Expenditure</t>
  </si>
  <si>
    <t>SL</t>
  </si>
  <si>
    <t>DESCRIPTION</t>
  </si>
  <si>
    <t>PCC</t>
  </si>
  <si>
    <t>RCC</t>
  </si>
  <si>
    <t>STEEL</t>
  </si>
  <si>
    <t>BOLTS</t>
  </si>
  <si>
    <t>BACK</t>
  </si>
  <si>
    <t>BRICK</t>
  </si>
  <si>
    <t>POCKET</t>
  </si>
  <si>
    <t>WATER</t>
  </si>
  <si>
    <t>INSERT</t>
  </si>
  <si>
    <t>INSERTS</t>
  </si>
  <si>
    <t>FILLING</t>
  </si>
  <si>
    <t>WORK</t>
  </si>
  <si>
    <t>PROOF</t>
  </si>
  <si>
    <t>PLASTE</t>
  </si>
  <si>
    <t>RING</t>
  </si>
  <si>
    <t>M3</t>
  </si>
  <si>
    <t>M2</t>
  </si>
  <si>
    <t>MT</t>
  </si>
  <si>
    <t>Kg</t>
  </si>
  <si>
    <t>EXCAVAT</t>
  </si>
  <si>
    <t>ION</t>
  </si>
  <si>
    <t>SHUTTER</t>
  </si>
  <si>
    <t>ING</t>
  </si>
  <si>
    <t>SHUT</t>
  </si>
  <si>
    <t>STRUCT</t>
  </si>
  <si>
    <t>URAL</t>
  </si>
  <si>
    <t>PLANT BUILDING</t>
  </si>
  <si>
    <t>GR HOP-1 FOR COAL</t>
  </si>
  <si>
    <t>Stock in Process</t>
  </si>
  <si>
    <t>ARAMCO PAPERS PRIVATE LIMITED</t>
  </si>
  <si>
    <t>Regd. Office: C-12/436 YAMUNA VIHAR SHAHDARA East Delhi DL 110053</t>
  </si>
  <si>
    <t>CIN: U21000DL2019PTC345136</t>
  </si>
  <si>
    <t xml:space="preserve"> (Rs.in Crores)</t>
  </si>
  <si>
    <t>A. C. Sheet  roofing over Steel Column</t>
  </si>
  <si>
    <t>with tubelar Steel Trusses</t>
  </si>
  <si>
    <t>300 X 48 X 33ft</t>
  </si>
  <si>
    <t>TOTAL SALES (Rs. In Crores)</t>
  </si>
  <si>
    <t>Crores</t>
  </si>
  <si>
    <t>(Rs. In Crores)</t>
  </si>
  <si>
    <t>GST has been taken @</t>
  </si>
  <si>
    <t>GST</t>
  </si>
  <si>
    <t>Total Sales</t>
  </si>
  <si>
    <t>SCOD (Scheduled Commercial Operation Date)</t>
  </si>
  <si>
    <t>Disbursal Start Date</t>
  </si>
  <si>
    <t>Repayment Start Date</t>
  </si>
  <si>
    <t>Repayment Period (Years)</t>
  </si>
  <si>
    <t>Total Monthly Installments</t>
  </si>
  <si>
    <t>Moratorium from first drawl (Months)</t>
  </si>
  <si>
    <t>Moratorium Period (Excluding disbursement period)Months</t>
  </si>
  <si>
    <t>Door to Door Tenure (Months)</t>
  </si>
  <si>
    <t>Month</t>
  </si>
  <si>
    <t>Addition</t>
  </si>
  <si>
    <t>Repayment</t>
  </si>
  <si>
    <t>Interest</t>
  </si>
  <si>
    <t>SUMMARY OF TERM LOAN</t>
  </si>
  <si>
    <t>INSTALLMENTS</t>
  </si>
  <si>
    <t>90 Cum.X 6</t>
  </si>
  <si>
    <t>20 cumX 1</t>
  </si>
  <si>
    <t>Boundry wall &amp; Steel Gate</t>
  </si>
  <si>
    <t>Yield %</t>
  </si>
  <si>
    <t>CONSUMPTION AT PROPOSED CAPACITY</t>
  </si>
  <si>
    <t>CLOSING STOCK</t>
  </si>
  <si>
    <t>Requirement of Raw Materials at 100% capacity utilisation would be as under:-</t>
  </si>
  <si>
    <t xml:space="preserve">Consumption of Other Chemicals PMT of material used </t>
  </si>
  <si>
    <t>Total Cost of Other Chemicals used at 100% Capacity</t>
  </si>
  <si>
    <t>Crore</t>
  </si>
  <si>
    <t>Keeping in view the Industry average, expenses under this  head on 100% capacity is  estimated  as under</t>
  </si>
  <si>
    <t>Use of Indian Waste Paper</t>
  </si>
  <si>
    <t>Use of Imported Waste Paper</t>
  </si>
  <si>
    <t>Total Production at 100% Capacity</t>
  </si>
  <si>
    <t>Cost per M.T. of Production</t>
  </si>
  <si>
    <t>Total Cost</t>
  </si>
  <si>
    <t>Power Connection</t>
  </si>
  <si>
    <t>Load Factor</t>
  </si>
  <si>
    <t>Power Factor</t>
  </si>
  <si>
    <t>Power Rate Rs.</t>
  </si>
  <si>
    <t>Per Unit</t>
  </si>
  <si>
    <t>No of Hours/day</t>
  </si>
  <si>
    <t>No of days/annum</t>
  </si>
  <si>
    <t>Annual Power charges at 100% capacity utilisation.</t>
  </si>
  <si>
    <t>FUEL CONSUMPTION</t>
  </si>
  <si>
    <t>Fuel Consumption (in MT/Hr.)</t>
  </si>
  <si>
    <t xml:space="preserve">Average Fuel rate </t>
  </si>
  <si>
    <t>Hour per day</t>
  </si>
  <si>
    <t>No of days</t>
  </si>
  <si>
    <t>Annual Cost</t>
  </si>
  <si>
    <t>Turbine Running &amp; Maintinance Expences</t>
  </si>
  <si>
    <t>Fuel Cost for Power</t>
  </si>
  <si>
    <t xml:space="preserve">Sales    realisation excluding GST is  taken  Rs. </t>
  </si>
  <si>
    <t>SALES (Rs. In Crores)</t>
  </si>
  <si>
    <t>Power</t>
  </si>
  <si>
    <t>Production Salaries</t>
  </si>
  <si>
    <t>closing balance</t>
  </si>
  <si>
    <t>A) Location</t>
  </si>
  <si>
    <t>Muzaffarnagar</t>
  </si>
  <si>
    <t>B) Area of Land</t>
  </si>
  <si>
    <t>Square Meter</t>
  </si>
  <si>
    <t xml:space="preserve">C) Cost of Land </t>
  </si>
  <si>
    <t>D) Stamp Duty</t>
  </si>
  <si>
    <t>E) Site Development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</si>
  <si>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</si>
  <si>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</si>
  <si>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</si>
  <si>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</si>
  <si>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</si>
  <si>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</si>
  <si>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</si>
  <si>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</si>
  <si>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</si>
  <si>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Sub Total (i to ix)</t>
  </si>
  <si>
    <t>x</t>
  </si>
  <si>
    <t>xi</t>
  </si>
  <si>
    <t>Add: Op.Stock of WIP</t>
  </si>
  <si>
    <t>Less: Cl.Stock of WIP</t>
  </si>
  <si>
    <t>SubTotal(Total Cost of Sales)</t>
  </si>
  <si>
    <t>Add: Op.Stock of FG</t>
  </si>
  <si>
    <t>Ded.: Cl.Stock of FG</t>
  </si>
  <si>
    <t>xii</t>
  </si>
  <si>
    <t>xiii</t>
  </si>
  <si>
    <t>Decker</t>
  </si>
  <si>
    <t>Vacum Pumps</t>
  </si>
  <si>
    <t>Pope Reel</t>
  </si>
  <si>
    <t>Bearings</t>
  </si>
  <si>
    <t>Rewinder</t>
  </si>
  <si>
    <t>Flow Pumps</t>
  </si>
  <si>
    <t>All Pannel &amp; Drives</t>
  </si>
  <si>
    <t>Line Charges &amp; System Loading</t>
  </si>
  <si>
    <t>Motors</t>
  </si>
  <si>
    <t>E.T.P. (Complete)</t>
  </si>
  <si>
    <t>Lab Equipments</t>
  </si>
  <si>
    <t xml:space="preserve">COVERED AREA </t>
  </si>
  <si>
    <t>A. C. Sheet  roofing over steel column</t>
  </si>
  <si>
    <t>with Channel steel trusses</t>
  </si>
  <si>
    <t>Boiler (Complete)</t>
  </si>
  <si>
    <t>Turbine (Complete)</t>
  </si>
  <si>
    <t>Jansath Road</t>
  </si>
  <si>
    <t>Note: Land is in the name of Promoters</t>
  </si>
  <si>
    <t xml:space="preserve">     On Building</t>
  </si>
  <si>
    <t xml:space="preserve">     On Plant &amp; Machinery</t>
  </si>
  <si>
    <t>ESCALATION &amp; CONTINGENCIES</t>
  </si>
  <si>
    <t>Less: GST</t>
  </si>
  <si>
    <t>Sundry Creditors</t>
  </si>
  <si>
    <t>Provision for Taxation</t>
  </si>
  <si>
    <t>Security Deposit</t>
  </si>
  <si>
    <t>Advance Tax</t>
  </si>
  <si>
    <t xml:space="preserve">Other Current Liabilities has been considered at </t>
  </si>
  <si>
    <t>of Cost of Sales</t>
  </si>
  <si>
    <t xml:space="preserve">Other Current Assets has been considered at </t>
  </si>
  <si>
    <t>of Sales</t>
  </si>
  <si>
    <t>MARGIN %</t>
  </si>
  <si>
    <t>TERM LOAN REQUESTED</t>
  </si>
  <si>
    <t>Taxation  is  considered  @</t>
  </si>
  <si>
    <t>Depreciation (WDV) as per Companies Act 2013</t>
  </si>
  <si>
    <t>Rate</t>
  </si>
  <si>
    <t>Use Full Life</t>
  </si>
  <si>
    <t>Add: Dep.as per Companies Act</t>
  </si>
  <si>
    <t>Less: Dep as per Income Tax Act</t>
  </si>
  <si>
    <t>State Bank of India</t>
  </si>
  <si>
    <t>(Rs.in Crores)</t>
  </si>
  <si>
    <t>SECURITY DEPOSIT</t>
  </si>
  <si>
    <t>(Based on 2nd Year- Full operational Year)</t>
  </si>
  <si>
    <t>SECURITY DEPOSITS</t>
  </si>
  <si>
    <t>Years</t>
  </si>
  <si>
    <t>Months</t>
  </si>
  <si>
    <t>FORM  I - PARTICULARS OF THE EXISTING LIMITS FROM THE BANKING SYSTEM</t>
  </si>
  <si>
    <t>Less gst</t>
  </si>
  <si>
    <t>%age rise (+) or fall (-) in net sales</t>
  </si>
  <si>
    <t>COMPARATIVE STATEMENT OF CURRENT ASSETS &amp; CURRENT LIABILITIES</t>
  </si>
  <si>
    <t>1- COST OF PROJECT &amp; MEANS OF FINANCE</t>
  </si>
  <si>
    <t>2. DETAILS OF LAND  &amp; SITE DEVELOPMENT</t>
  </si>
  <si>
    <t>3. DETAILS OF PROPOSED FACTORY BUILDING</t>
  </si>
  <si>
    <t>4. DETAILS OF PROPOSED PLANT AND MACHINERY FOR KRAFT PAPER</t>
  </si>
  <si>
    <t>5- PROPOSED MISCELLANEOUS FIXED ASSETS</t>
  </si>
  <si>
    <t>6- Escalation &amp; Contingencies Charges</t>
  </si>
  <si>
    <t>7- PRELIMINERY, PREOPERATIVE &amp; CONTINGENCIES EXPENSES</t>
  </si>
  <si>
    <t>8- CALCULATION OF WORKING CAPITAL REQUIREMENT</t>
  </si>
  <si>
    <t>9-  COST OF PRODUCTION &amp; PROFITABILITY STATEMENT</t>
  </si>
  <si>
    <t>10-  PROJECTED BALANCE SHEET FOR THE NEXT YEARS</t>
  </si>
  <si>
    <t>11- PROJECTED FUND FLOW STATEMENT FOR THE NEXT YEARS</t>
  </si>
  <si>
    <t>12- DEBT SERVICE COVERAGE RATIO</t>
  </si>
  <si>
    <t>13- BREAK EVEN POINT</t>
  </si>
  <si>
    <t>14- PROJECT PAY BACK PERIOD</t>
  </si>
  <si>
    <t xml:space="preserve">                     15- Sensitivity  Analysis when  there is decrease in Selling Price by </t>
  </si>
  <si>
    <t xml:space="preserve">                      16- Sensitivity Analysis when there is increase raw material rate by </t>
  </si>
  <si>
    <t>17- TERM LOAN ADMISSIBILITY SCHEDULE</t>
  </si>
  <si>
    <t>18- BASIS FOR WORK OUT THE ELEMENTS OF COST OF PRODUCTION &amp; PROFITABILITY STATEMENT</t>
  </si>
  <si>
    <t>PBT</t>
  </si>
  <si>
    <t>PAT</t>
  </si>
  <si>
    <t>Current Ratio</t>
  </si>
  <si>
    <t>TOL/TNW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</si>
  <si>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</si>
  <si>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</si>
  <si>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</si>
  <si>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</si>
  <si>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</si>
  <si>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</si>
  <si>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</si>
  <si>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</si>
  <si>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</si>
  <si>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CM of Term Loan</t>
  </si>
  <si>
    <t>Rest of Term Loan</t>
  </si>
  <si>
    <t>Term Loan (O/S)</t>
  </si>
  <si>
    <t>Current Maturity of Term Loan</t>
  </si>
  <si>
    <t>22- PERFORMANCE AND FINANCIAL INDICATORS</t>
  </si>
  <si>
    <t>Paid-up Capital</t>
  </si>
  <si>
    <t>Tangible Net Worth</t>
  </si>
  <si>
    <t>PBT/Total Tangible Assets (%)</t>
  </si>
  <si>
    <t>N.Sales/TTA (times)</t>
  </si>
  <si>
    <t>Bank Borrowings/TTA (%)</t>
  </si>
  <si>
    <t>Total Tangible Assets</t>
  </si>
  <si>
    <t>Operating Exps.</t>
  </si>
  <si>
    <t>Inventory(F.Goods &amp; WIP)+Receivables</t>
  </si>
  <si>
    <t>Bank Borrowings</t>
  </si>
  <si>
    <t>Liquidity Ratios</t>
  </si>
  <si>
    <t>Current Liabilities</t>
  </si>
  <si>
    <t>Quick Ratio</t>
  </si>
  <si>
    <t>Times Interest Earned(EBIT/Interest Exp.)</t>
  </si>
  <si>
    <t>Solvency Ratios</t>
  </si>
  <si>
    <t>Debt to Equity Ratio</t>
  </si>
  <si>
    <t>Equity Ratio</t>
  </si>
  <si>
    <t>Debt Ratio (TOL/TL)</t>
  </si>
  <si>
    <t>Efficiency Ratios</t>
  </si>
  <si>
    <t>Accounts Receivable Turnover</t>
  </si>
  <si>
    <t>Inventory Turnover Ratio (FG)</t>
  </si>
  <si>
    <t>Days’ Sales in Inventory</t>
  </si>
  <si>
    <t>Profitability Ratios</t>
  </si>
  <si>
    <t>Gross Margin Ratio</t>
  </si>
  <si>
    <t>Profit Margin Ratio</t>
  </si>
  <si>
    <t>Return on Capital Employed</t>
  </si>
  <si>
    <t>Return on Equity</t>
  </si>
  <si>
    <t>Coverage Ratios</t>
  </si>
  <si>
    <t>Fixed Charge Coverage Ratio</t>
  </si>
  <si>
    <t>Debt Service Coverage Ratio</t>
  </si>
  <si>
    <t>Industrial Boilers Ltd</t>
  </si>
  <si>
    <t>12000 Kg/Hr Capacity</t>
  </si>
  <si>
    <t>IB Turbo Private Limited</t>
  </si>
  <si>
    <t>Kraft paper Machine</t>
  </si>
  <si>
    <t>Capacity 100-120 Ton /Day</t>
  </si>
  <si>
    <t xml:space="preserve">120-200 GSM </t>
  </si>
  <si>
    <t>2450 mm Deckle</t>
  </si>
  <si>
    <t>Nos</t>
  </si>
  <si>
    <t>Dryers</t>
  </si>
  <si>
    <t>Wire Part</t>
  </si>
  <si>
    <t>Head Box</t>
  </si>
  <si>
    <t>Slotted Screen</t>
  </si>
  <si>
    <t>Turbo</t>
  </si>
  <si>
    <t>All Frame</t>
  </si>
  <si>
    <t xml:space="preserve">    Gangotri Plasticisers Pvt Ltd</t>
  </si>
  <si>
    <t>Steam &amp; Condensate System</t>
  </si>
  <si>
    <t>Unitec Engineering Solutions</t>
  </si>
  <si>
    <t>LS</t>
  </si>
  <si>
    <t>Electromech Engineers</t>
  </si>
  <si>
    <t>Sharma Electric Works</t>
  </si>
  <si>
    <t>Shri Krsna Envirotech</t>
  </si>
  <si>
    <t>Kakati Karshak Industries Private Limited</t>
  </si>
  <si>
    <t>High Vacume Box</t>
  </si>
  <si>
    <t>Hydra File Box</t>
  </si>
  <si>
    <t>Single Hydra File</t>
  </si>
  <si>
    <t>Low Vacume Box</t>
  </si>
  <si>
    <t>Bhagwati Engineering Works</t>
  </si>
  <si>
    <t>CTC Impex (India) Pvt Ltd</t>
  </si>
  <si>
    <t>Hydralulic System</t>
  </si>
  <si>
    <t>ACE Automation Engineers</t>
  </si>
  <si>
    <t>Vikas Pumps &amp; Projects</t>
  </si>
  <si>
    <t>Wires &amp; Fabricks(S.A.) Ltd</t>
  </si>
  <si>
    <t>D. Screen Felt</t>
  </si>
  <si>
    <t>Dharam Power Transmission Equipments Pvt Ltd</t>
  </si>
  <si>
    <t>Gear Boxes</t>
  </si>
  <si>
    <t>Waris Engineering Works</t>
  </si>
  <si>
    <t>Rotary Joint With Syphon System</t>
  </si>
  <si>
    <t>IBR Accessories</t>
  </si>
  <si>
    <t>Non IBR Accessories</t>
  </si>
  <si>
    <t>2500 Kva Transformer</t>
  </si>
  <si>
    <t>PVJ Power</t>
  </si>
  <si>
    <t>Bhilwara Hi-Tech Engineering</t>
  </si>
  <si>
    <t>Wire Part Hirrofoils</t>
  </si>
  <si>
    <t>Verma Engineers</t>
  </si>
  <si>
    <t>Dryer Cylinder- 1500 mm</t>
  </si>
  <si>
    <t>Dryer Cylinder- 1800 mm</t>
  </si>
  <si>
    <t>Felt Drive Roll</t>
  </si>
  <si>
    <t>Felt Roll</t>
  </si>
  <si>
    <t>Felt Auto Guide</t>
  </si>
  <si>
    <t>Felt Stretcher</t>
  </si>
  <si>
    <t>Dryer Frame</t>
  </si>
  <si>
    <t>Docter Blade Assembly</t>
  </si>
  <si>
    <t>Paper Roll</t>
  </si>
  <si>
    <t>Sole Plate</t>
  </si>
  <si>
    <t>Dryer Section</t>
  </si>
  <si>
    <t>Size Press</t>
  </si>
  <si>
    <t>Top Roll</t>
  </si>
  <si>
    <t>Size Press Frame</t>
  </si>
  <si>
    <t>Roll Tray</t>
  </si>
  <si>
    <t>Shower</t>
  </si>
  <si>
    <t>Doctor Assembly</t>
  </si>
  <si>
    <t>Sizing Chemical Kitchen</t>
  </si>
  <si>
    <t>Cooker</t>
  </si>
  <si>
    <t>Storage Tank</t>
  </si>
  <si>
    <t>Service Tank</t>
  </si>
  <si>
    <t>Vibro Screen</t>
  </si>
  <si>
    <t>Pumps</t>
  </si>
  <si>
    <t>Overflow Tank</t>
  </si>
  <si>
    <t>Prince Engineering Technology</t>
  </si>
  <si>
    <t>Felt</t>
  </si>
  <si>
    <t>Dinesh Felts</t>
  </si>
  <si>
    <t>Stature Set</t>
  </si>
  <si>
    <t>Auto Gide</t>
  </si>
  <si>
    <t>Agitator</t>
  </si>
  <si>
    <t>Felt Roll Housing</t>
  </si>
  <si>
    <t>Rolls</t>
  </si>
  <si>
    <t>Zenith Rubber Pvt Ltd</t>
  </si>
  <si>
    <t>Agarwal Mill Store</t>
  </si>
  <si>
    <t>Misc. Fitting Materials</t>
  </si>
  <si>
    <t>Stark Engineering Pvt Ltd</t>
  </si>
  <si>
    <t>Framings for Dryer, press  section  etc</t>
  </si>
  <si>
    <t>Reconditioning of Dryers</t>
  </si>
  <si>
    <t>Carden Shaft</t>
  </si>
  <si>
    <t>b/f</t>
  </si>
  <si>
    <t>ADD : GST  @</t>
  </si>
  <si>
    <t>Repayment Schedule</t>
  </si>
  <si>
    <t>% PAYMENT</t>
  </si>
  <si>
    <t>NO. OF INSTALLMENTS</t>
  </si>
  <si>
    <t>TOTAL PAYMENT</t>
  </si>
  <si>
    <t>INSTALLMENT</t>
  </si>
  <si>
    <t>BALANCE</t>
  </si>
  <si>
    <t>Village Sher Nagar</t>
  </si>
  <si>
    <t>Works: Khasra No. 550,Village Shernagar  Jansath Road Muzaffarnagar</t>
  </si>
  <si>
    <t>4A. DETAILS OF ADDITIONAL PLANT AND MACHINERY FOR KRAFT PAPER</t>
  </si>
  <si>
    <t>Electric Motors</t>
  </si>
  <si>
    <t>Computers, Others</t>
  </si>
  <si>
    <t>Electrcity</t>
  </si>
  <si>
    <t>Supply of Fabrocate Conveyor</t>
  </si>
  <si>
    <t>Ventuary wet Scrubber</t>
  </si>
  <si>
    <t>Conveyor Belt</t>
  </si>
  <si>
    <t>Steem Syste and Boiler Line Insultion</t>
  </si>
  <si>
    <t>Screw Air Compressor</t>
  </si>
  <si>
    <t>H Type Press Frame, Steam Condensate Tank</t>
  </si>
  <si>
    <t>Wire</t>
  </si>
  <si>
    <t>Felt (Sythentic Fabric)</t>
  </si>
  <si>
    <t>Jhonson Screen, Hill Screen, Conveyor</t>
  </si>
  <si>
    <t>Doctor Blades</t>
  </si>
  <si>
    <t>Cables</t>
  </si>
  <si>
    <t>Automation</t>
  </si>
  <si>
    <t>Pannel Instlation</t>
  </si>
  <si>
    <t>Drives VFD</t>
  </si>
  <si>
    <t>Various Eletric Pannels</t>
  </si>
  <si>
    <t>Steel and SS Pipe Lines</t>
  </si>
  <si>
    <t>Micro Process Basis Weight Valve Actuator</t>
  </si>
  <si>
    <t>Calibratation, Valve Controller, Sr BoX</t>
  </si>
  <si>
    <t>Forklift</t>
  </si>
  <si>
    <t>Rope Feeding System</t>
  </si>
  <si>
    <t>Turbine</t>
  </si>
  <si>
    <t>Shri Tirupati Infotech</t>
  </si>
  <si>
    <t>Shree Radhey Enginring Works</t>
  </si>
  <si>
    <t>Manpreet Trading Company</t>
  </si>
  <si>
    <t>R S Industries</t>
  </si>
  <si>
    <t>Aiura Air Compressure</t>
  </si>
  <si>
    <t>Stark Enginering</t>
  </si>
  <si>
    <t>WF</t>
  </si>
  <si>
    <t>Wires &amp; Fabric</t>
  </si>
  <si>
    <t>Marg Engineering</t>
  </si>
  <si>
    <t>Mahendra Electric Works</t>
  </si>
  <si>
    <t>Falcon Automation</t>
  </si>
  <si>
    <t>Aavni Electricals</t>
  </si>
  <si>
    <t>Eletromech Engineers</t>
  </si>
  <si>
    <t>Goel Glass Emporium</t>
  </si>
  <si>
    <t>A to Z Instrument &amp; Automation</t>
  </si>
  <si>
    <t>Satya Forklift</t>
  </si>
  <si>
    <t>Shivalik Engineering Works</t>
  </si>
  <si>
    <t>Forbes Marshal</t>
  </si>
  <si>
    <t>IB Turbo</t>
  </si>
  <si>
    <t>Cascade Based Steam &amp;Condensate</t>
  </si>
  <si>
    <t>PLANT &amp; MACHINERY- Additional</t>
  </si>
  <si>
    <t xml:space="preserve"> TERM LOAN</t>
  </si>
  <si>
    <t>Additional</t>
  </si>
  <si>
    <t>TL-I</t>
  </si>
  <si>
    <t>TL-II</t>
  </si>
  <si>
    <t>TERM LOAN-1</t>
  </si>
  <si>
    <t>ADD : GST and Freight @</t>
  </si>
  <si>
    <t>TERM LOAN -1</t>
  </si>
  <si>
    <t>TERM LOAN -2</t>
  </si>
  <si>
    <t xml:space="preserve">            Quasi Capital</t>
  </si>
  <si>
    <t>Ratio Analysis</t>
  </si>
  <si>
    <t>Particular</t>
  </si>
  <si>
    <t>EBITDA Margin %</t>
  </si>
  <si>
    <t>EBIT Margin %</t>
  </si>
  <si>
    <t>Net Profit Margin %</t>
  </si>
  <si>
    <t>Revenue Growth Rate %</t>
  </si>
  <si>
    <t xml:space="preserve">Revenue </t>
  </si>
  <si>
    <t xml:space="preserve">EBITDA  </t>
  </si>
  <si>
    <t>EBIT</t>
  </si>
  <si>
    <t xml:space="preserve">Net profit  </t>
  </si>
  <si>
    <t>Average EBITDA Margin</t>
  </si>
  <si>
    <t>Average EBIT Margin</t>
  </si>
  <si>
    <t>Average Net Profit Margin</t>
  </si>
  <si>
    <t>Avergae Revenue Growth Rate</t>
  </si>
  <si>
    <t xml:space="preserve">15 days </t>
  </si>
  <si>
    <t>TERM LOAN-2</t>
  </si>
  <si>
    <t>opening</t>
  </si>
  <si>
    <t>closing</t>
  </si>
  <si>
    <t>Maximum DSCR</t>
  </si>
  <si>
    <t xml:space="preserve">D.S.C.R. </t>
  </si>
  <si>
    <t>NPV &amp; IRR</t>
  </si>
  <si>
    <t>NOPAT</t>
  </si>
  <si>
    <t>CAPEX</t>
  </si>
  <si>
    <t>Investment in WC</t>
  </si>
  <si>
    <t>FCFF</t>
  </si>
  <si>
    <t>IRR</t>
  </si>
  <si>
    <t>Discount rate</t>
  </si>
  <si>
    <t>(10-year average return of Nifty-50)</t>
  </si>
  <si>
    <t>Expected growth rate(Terminal)</t>
  </si>
  <si>
    <t>Period</t>
  </si>
  <si>
    <t>Discount Factor</t>
  </si>
  <si>
    <t>PV of FCF</t>
  </si>
  <si>
    <t>Terminal Value</t>
  </si>
  <si>
    <t>PV of Terminal Value</t>
  </si>
  <si>
    <t>FCF+Terminal Value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</si>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</sst>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_)"/>
    <numFmt numFmtId="166" formatCode="0_)"/>
    <numFmt numFmtId="167" formatCode="0.000_)"/>
    <numFmt numFmtId="168" formatCode="0.0000_)"/>
    <numFmt numFmtId="169" formatCode="0.00_);\(0.00\)"/>
    <numFmt numFmtId="170" formatCode="_(* #,##0_);_(* \(#,##0\);_(* &quot;-&quot;??_);_(@_)"/>
    <numFmt numFmtId="171" formatCode="0.0_)"/>
    <numFmt numFmtId="172" formatCode="0.0%"/>
    <numFmt numFmtId="173" formatCode="0.000000000_)"/>
    <numFmt numFmtId="174" formatCode="[$-409]mmm/yy;@"/>
    <numFmt numFmtId="175" formatCode="0.000%"/>
    <numFmt numFmtId="176" formatCode="0.0000%"/>
    <numFmt numFmtId="177" formatCode="0.00000_)"/>
    <numFmt numFmtId="178" formatCode="0.000000000000_)"/>
    <numFmt numFmtId="179" formatCode="&quot;FY&quot;\ 0"/>
    <numFmt numFmtId="180" formatCode="_(* #,##0.000000_);_(* \(#,##0.000000\);_(* &quot;-&quot;??_);_(@_)"/>
    <numFmt numFmtId="181" formatCode="0.000000_)"/>
    <numFmt numFmtId="182" formatCode="0.00000000_)"/>
    <numFmt numFmtId="183" formatCode="_(* #,##0.0000_);_(* \(#,##0.0000\);_(* &quot;-&quot;??_);_(@_)"/>
    <numFmt numFmtId="184" formatCode="0.000000"/>
    <numFmt numFmtId="185" formatCode="_-* #,##0.00_-;\-* #,##0.00_-;_-* &quot;-&quot;??_-;_-@_-"/>
  </numFmts>
  <fonts count="45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9.5"/>
      <name val="Times New Roman"/>
      <family val="1"/>
    </font>
    <font>
      <b/>
      <sz val="9.5"/>
      <name val="Times New Roman"/>
      <family val="1"/>
    </font>
    <font>
      <b/>
      <sz val="8"/>
      <name val="Times New Roman"/>
      <family val="1"/>
    </font>
    <font>
      <b/>
      <u/>
      <sz val="11"/>
      <name val="Times New Roman"/>
      <family val="1"/>
    </font>
    <font>
      <sz val="10"/>
      <name val="Courie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8.5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color indexed="12"/>
      <name val="Arial"/>
      <family val="2"/>
    </font>
    <font>
      <sz val="10"/>
      <color indexed="12"/>
      <name val="Arial"/>
      <family val="2"/>
    </font>
    <font>
      <b/>
      <u/>
      <sz val="9.5"/>
      <name val="Times New Roman"/>
      <family val="1"/>
    </font>
    <font>
      <b/>
      <u/>
      <sz val="9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u/>
      <sz val="9"/>
      <name val="Arial"/>
      <family val="2"/>
    </font>
    <font>
      <sz val="9"/>
      <name val="Times New Roman"/>
      <family val="1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.5"/>
      <color theme="5"/>
      <name val="Times New Roman"/>
      <family val="1"/>
    </font>
    <font>
      <sz val="11"/>
      <color theme="5"/>
      <name val="Times New Roman"/>
      <family val="1"/>
    </font>
    <font>
      <b/>
      <sz val="9.5"/>
      <color theme="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165" fontId="0" fillId="0" borderId="0"/>
    <xf numFmtId="164" fontId="1" fillId="0" borderId="0" applyFont="0" applyFill="0" applyBorder="0" applyAlignment="0" applyProtection="0"/>
    <xf numFmtId="39" fontId="12" fillId="0" borderId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858">
    <xf numFmtId="165" fontId="0" fillId="0" borderId="0" xfId="0"/>
    <xf numFmtId="165" fontId="2" fillId="0" borderId="0" xfId="0" applyFont="1"/>
    <xf numFmtId="165" fontId="2" fillId="0" borderId="1" xfId="0" applyFont="1" applyBorder="1"/>
    <xf numFmtId="165" fontId="2" fillId="0" borderId="0" xfId="0" applyFont="1" applyAlignment="1">
      <alignment horizontal="center"/>
    </xf>
    <xf numFmtId="165" fontId="3" fillId="0" borderId="0" xfId="0" applyFont="1"/>
    <xf numFmtId="165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165" fontId="2" fillId="0" borderId="0" xfId="0" applyFont="1" applyAlignment="1">
      <alignment horizontal="left"/>
    </xf>
    <xf numFmtId="165" fontId="2" fillId="0" borderId="0" xfId="0" applyFont="1" applyAlignment="1">
      <alignment horizontal="right"/>
    </xf>
    <xf numFmtId="166" fontId="6" fillId="0" borderId="0" xfId="0" applyNumberFormat="1" applyFont="1"/>
    <xf numFmtId="39" fontId="13" fillId="0" borderId="3" xfId="2" applyFont="1" applyBorder="1"/>
    <xf numFmtId="39" fontId="13" fillId="0" borderId="3" xfId="2" applyFont="1" applyBorder="1" applyAlignment="1">
      <alignment horizontal="center"/>
    </xf>
    <xf numFmtId="166" fontId="6" fillId="0" borderId="3" xfId="0" applyNumberFormat="1" applyFont="1" applyBorder="1"/>
    <xf numFmtId="39" fontId="13" fillId="0" borderId="3" xfId="2" applyFont="1" applyBorder="1" applyAlignment="1" applyProtection="1">
      <alignment horizontal="center"/>
      <protection locked="0"/>
    </xf>
    <xf numFmtId="39" fontId="13" fillId="0" borderId="3" xfId="2" applyFont="1" applyBorder="1" applyAlignment="1" applyProtection="1">
      <alignment horizontal="left"/>
      <protection locked="0"/>
    </xf>
    <xf numFmtId="39" fontId="13" fillId="0" borderId="3" xfId="2" applyFont="1" applyBorder="1" applyProtection="1">
      <protection locked="0"/>
    </xf>
    <xf numFmtId="166" fontId="6" fillId="0" borderId="4" xfId="0" applyNumberFormat="1" applyFont="1" applyBorder="1"/>
    <xf numFmtId="166" fontId="6" fillId="0" borderId="11" xfId="0" applyNumberFormat="1" applyFont="1" applyBorder="1"/>
    <xf numFmtId="39" fontId="13" fillId="0" borderId="6" xfId="2" applyFont="1" applyBorder="1"/>
    <xf numFmtId="166" fontId="6" fillId="0" borderId="6" xfId="0" applyNumberFormat="1" applyFont="1" applyBorder="1"/>
    <xf numFmtId="39" fontId="13" fillId="0" borderId="6" xfId="2" applyFont="1" applyBorder="1" applyProtection="1">
      <protection locked="0"/>
    </xf>
    <xf numFmtId="39" fontId="13" fillId="0" borderId="6" xfId="2" applyFont="1" applyBorder="1" applyAlignment="1" applyProtection="1">
      <alignment horizontal="center"/>
      <protection locked="0"/>
    </xf>
    <xf numFmtId="166" fontId="6" fillId="0" borderId="7" xfId="0" applyNumberFormat="1" applyFont="1" applyBorder="1"/>
    <xf numFmtId="39" fontId="13" fillId="0" borderId="1" xfId="2" applyFont="1" applyBorder="1"/>
    <xf numFmtId="39" fontId="13" fillId="0" borderId="1" xfId="2" applyFont="1" applyBorder="1" applyAlignment="1">
      <alignment horizontal="center"/>
    </xf>
    <xf numFmtId="166" fontId="6" fillId="0" borderId="1" xfId="0" applyNumberFormat="1" applyFont="1" applyBorder="1"/>
    <xf numFmtId="39" fontId="13" fillId="0" borderId="1" xfId="2" applyFont="1" applyBorder="1" applyAlignment="1" applyProtection="1">
      <alignment horizontal="center"/>
      <protection locked="0"/>
    </xf>
    <xf numFmtId="166" fontId="6" fillId="0" borderId="8" xfId="0" applyNumberFormat="1" applyFont="1" applyBorder="1"/>
    <xf numFmtId="166" fontId="6" fillId="0" borderId="10" xfId="0" applyNumberFormat="1" applyFont="1" applyBorder="1"/>
    <xf numFmtId="166" fontId="8" fillId="0" borderId="1" xfId="0" applyNumberFormat="1" applyFont="1" applyBorder="1"/>
    <xf numFmtId="164" fontId="8" fillId="0" borderId="13" xfId="1" applyFont="1" applyFill="1" applyBorder="1" applyAlignment="1" applyProtection="1">
      <alignment horizontal="right"/>
    </xf>
    <xf numFmtId="165" fontId="8" fillId="0" borderId="14" xfId="0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165" fontId="8" fillId="0" borderId="13" xfId="0" applyFont="1" applyBorder="1" applyAlignment="1">
      <alignment horizontal="right"/>
    </xf>
    <xf numFmtId="165" fontId="8" fillId="0" borderId="15" xfId="0" applyFont="1" applyBorder="1" applyAlignment="1">
      <alignment horizontal="right"/>
    </xf>
    <xf numFmtId="165" fontId="8" fillId="0" borderId="10" xfId="0" applyFont="1" applyBorder="1" applyAlignment="1">
      <alignment horizontal="right"/>
    </xf>
    <xf numFmtId="165" fontId="8" fillId="0" borderId="2" xfId="0" applyFont="1" applyBorder="1" applyAlignment="1">
      <alignment horizontal="right"/>
    </xf>
    <xf numFmtId="166" fontId="8" fillId="0" borderId="10" xfId="0" applyNumberFormat="1" applyFont="1" applyBorder="1" applyAlignment="1">
      <alignment horizontal="right"/>
    </xf>
    <xf numFmtId="166" fontId="8" fillId="0" borderId="13" xfId="0" applyNumberFormat="1" applyFont="1" applyBorder="1" applyAlignment="1">
      <alignment horizontal="right"/>
    </xf>
    <xf numFmtId="165" fontId="8" fillId="0" borderId="5" xfId="0" applyFont="1" applyBorder="1" applyAlignment="1">
      <alignment horizontal="right"/>
    </xf>
    <xf numFmtId="165" fontId="8" fillId="0" borderId="12" xfId="0" applyFont="1" applyBorder="1" applyAlignment="1">
      <alignment horizontal="right"/>
    </xf>
    <xf numFmtId="166" fontId="8" fillId="0" borderId="6" xfId="0" applyNumberFormat="1" applyFont="1" applyBorder="1" applyAlignment="1">
      <alignment horizontal="left"/>
    </xf>
    <xf numFmtId="166" fontId="8" fillId="0" borderId="6" xfId="0" applyNumberFormat="1" applyFont="1" applyBorder="1"/>
    <xf numFmtId="165" fontId="8" fillId="0" borderId="6" xfId="0" applyFont="1" applyBorder="1" applyAlignment="1">
      <alignment horizontal="right"/>
    </xf>
    <xf numFmtId="166" fontId="8" fillId="0" borderId="12" xfId="0" applyNumberFormat="1" applyFont="1" applyBorder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5" fontId="8" fillId="0" borderId="11" xfId="0" applyFont="1" applyBorder="1" applyAlignment="1">
      <alignment horizontal="right"/>
    </xf>
    <xf numFmtId="165" fontId="8" fillId="0" borderId="1" xfId="0" applyFont="1" applyBorder="1" applyAlignment="1">
      <alignment horizontal="right"/>
    </xf>
    <xf numFmtId="165" fontId="8" fillId="0" borderId="8" xfId="0" applyFont="1" applyBorder="1" applyAlignment="1">
      <alignment horizontal="right"/>
    </xf>
    <xf numFmtId="165" fontId="8" fillId="0" borderId="3" xfId="0" applyFont="1" applyBorder="1" applyAlignment="1">
      <alignment horizontal="right"/>
    </xf>
    <xf numFmtId="165" fontId="8" fillId="0" borderId="4" xfId="0" applyFont="1" applyBorder="1" applyAlignment="1">
      <alignment horizontal="right"/>
    </xf>
    <xf numFmtId="164" fontId="8" fillId="0" borderId="11" xfId="1" applyFont="1" applyFill="1" applyBorder="1" applyAlignment="1" applyProtection="1">
      <alignment horizontal="right"/>
    </xf>
    <xf numFmtId="164" fontId="8" fillId="0" borderId="13" xfId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11" xfId="1" applyFont="1" applyFill="1" applyBorder="1" applyAlignment="1">
      <alignment horizontal="right"/>
    </xf>
    <xf numFmtId="166" fontId="9" fillId="0" borderId="3" xfId="0" applyNumberFormat="1" applyFont="1" applyBorder="1" applyAlignment="1">
      <alignment horizontal="left"/>
    </xf>
    <xf numFmtId="166" fontId="8" fillId="0" borderId="3" xfId="0" applyNumberFormat="1" applyFont="1" applyBorder="1"/>
    <xf numFmtId="166" fontId="8" fillId="0" borderId="3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left"/>
    </xf>
    <xf numFmtId="166" fontId="6" fillId="0" borderId="13" xfId="0" applyNumberFormat="1" applyFont="1" applyBorder="1"/>
    <xf numFmtId="165" fontId="8" fillId="0" borderId="7" xfId="0" applyFont="1" applyBorder="1" applyAlignment="1">
      <alignment horizontal="right"/>
    </xf>
    <xf numFmtId="165" fontId="6" fillId="0" borderId="0" xfId="0" applyFont="1"/>
    <xf numFmtId="165" fontId="2" fillId="0" borderId="2" xfId="0" applyFont="1" applyBorder="1"/>
    <xf numFmtId="165" fontId="2" fillId="0" borderId="3" xfId="0" applyFont="1" applyBorder="1"/>
    <xf numFmtId="165" fontId="2" fillId="0" borderId="5" xfId="0" applyFont="1" applyBorder="1"/>
    <xf numFmtId="165" fontId="2" fillId="0" borderId="6" xfId="0" applyFont="1" applyBorder="1"/>
    <xf numFmtId="165" fontId="2" fillId="0" borderId="9" xfId="0" applyFont="1" applyBorder="1"/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165" fontId="2" fillId="0" borderId="10" xfId="0" applyFont="1" applyBorder="1"/>
    <xf numFmtId="165" fontId="2" fillId="0" borderId="11" xfId="0" applyFont="1" applyBorder="1"/>
    <xf numFmtId="165" fontId="2" fillId="0" borderId="7" xfId="0" applyFont="1" applyBorder="1"/>
    <xf numFmtId="165" fontId="5" fillId="0" borderId="0" xfId="0" applyFont="1" applyAlignment="1">
      <alignment horizontal="left"/>
    </xf>
    <xf numFmtId="165" fontId="2" fillId="0" borderId="16" xfId="0" applyFont="1" applyBorder="1"/>
    <xf numFmtId="39" fontId="14" fillId="0" borderId="6" xfId="2" applyFont="1" applyBorder="1"/>
    <xf numFmtId="166" fontId="7" fillId="0" borderId="6" xfId="0" applyNumberFormat="1" applyFont="1" applyBorder="1"/>
    <xf numFmtId="39" fontId="14" fillId="0" borderId="6" xfId="2" applyFont="1" applyBorder="1" applyAlignment="1">
      <alignment horizontal="right"/>
    </xf>
    <xf numFmtId="39" fontId="14" fillId="0" borderId="6" xfId="2" applyFont="1" applyBorder="1" applyProtection="1">
      <protection locked="0"/>
    </xf>
    <xf numFmtId="166" fontId="7" fillId="0" borderId="6" xfId="0" applyNumberFormat="1" applyFont="1" applyBorder="1" applyAlignment="1">
      <alignment horizontal="center"/>
    </xf>
    <xf numFmtId="165" fontId="9" fillId="0" borderId="6" xfId="0" applyFont="1" applyBorder="1" applyAlignment="1">
      <alignment horizontal="center"/>
    </xf>
    <xf numFmtId="164" fontId="8" fillId="0" borderId="6" xfId="1" applyFont="1" applyFill="1" applyBorder="1" applyAlignment="1" applyProtection="1">
      <alignment horizontal="right"/>
    </xf>
    <xf numFmtId="169" fontId="8" fillId="0" borderId="11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165" fontId="8" fillId="0" borderId="6" xfId="1" applyNumberFormat="1" applyFont="1" applyFill="1" applyBorder="1" applyAlignment="1">
      <alignment horizontal="right"/>
    </xf>
    <xf numFmtId="165" fontId="8" fillId="0" borderId="11" xfId="1" applyNumberFormat="1" applyFont="1" applyFill="1" applyBorder="1" applyAlignment="1">
      <alignment horizontal="right"/>
    </xf>
    <xf numFmtId="9" fontId="8" fillId="0" borderId="11" xfId="0" applyNumberFormat="1" applyFont="1" applyBorder="1" applyAlignment="1">
      <alignment horizontal="right"/>
    </xf>
    <xf numFmtId="165" fontId="2" fillId="0" borderId="0" xfId="0" quotePrefix="1" applyFont="1" applyAlignment="1">
      <alignment horizontal="right"/>
    </xf>
    <xf numFmtId="165" fontId="2" fillId="0" borderId="0" xfId="0" quotePrefix="1" applyFont="1" applyAlignment="1">
      <alignment horizontal="center"/>
    </xf>
    <xf numFmtId="164" fontId="8" fillId="0" borderId="1" xfId="1" applyFont="1" applyFill="1" applyBorder="1" applyAlignment="1">
      <alignment horizontal="right"/>
    </xf>
    <xf numFmtId="165" fontId="17" fillId="0" borderId="0" xfId="0" applyFont="1"/>
    <xf numFmtId="165" fontId="2" fillId="0" borderId="11" xfId="0" applyFont="1" applyBorder="1" applyAlignment="1">
      <alignment horizontal="left"/>
    </xf>
    <xf numFmtId="166" fontId="9" fillId="0" borderId="1" xfId="0" applyNumberFormat="1" applyFont="1" applyBorder="1"/>
    <xf numFmtId="165" fontId="3" fillId="0" borderId="0" xfId="0" applyFont="1" applyAlignment="1">
      <alignment horizontal="center"/>
    </xf>
    <xf numFmtId="165" fontId="19" fillId="0" borderId="0" xfId="0" applyFont="1"/>
    <xf numFmtId="164" fontId="2" fillId="0" borderId="0" xfId="1" applyFont="1" applyBorder="1"/>
    <xf numFmtId="166" fontId="2" fillId="0" borderId="0" xfId="0" applyNumberFormat="1" applyFont="1"/>
    <xf numFmtId="165" fontId="2" fillId="0" borderId="15" xfId="0" applyFont="1" applyBorder="1"/>
    <xf numFmtId="165" fontId="3" fillId="0" borderId="16" xfId="0" applyFont="1" applyBorder="1"/>
    <xf numFmtId="165" fontId="2" fillId="0" borderId="12" xfId="0" applyFont="1" applyBorder="1"/>
    <xf numFmtId="165" fontId="3" fillId="0" borderId="12" xfId="0" applyFont="1" applyBorder="1"/>
    <xf numFmtId="49" fontId="2" fillId="0" borderId="15" xfId="0" applyNumberFormat="1" applyFont="1" applyBorder="1"/>
    <xf numFmtId="49" fontId="2" fillId="0" borderId="0" xfId="0" applyNumberFormat="1" applyFont="1"/>
    <xf numFmtId="165" fontId="18" fillId="0" borderId="15" xfId="0" applyFont="1" applyBorder="1"/>
    <xf numFmtId="165" fontId="3" fillId="0" borderId="15" xfId="0" applyFont="1" applyBorder="1"/>
    <xf numFmtId="165" fontId="18" fillId="0" borderId="14" xfId="0" applyFont="1" applyBorder="1"/>
    <xf numFmtId="165" fontId="18" fillId="0" borderId="12" xfId="0" applyFont="1" applyBorder="1"/>
    <xf numFmtId="49" fontId="2" fillId="0" borderId="14" xfId="0" applyNumberFormat="1" applyFont="1" applyBorder="1"/>
    <xf numFmtId="165" fontId="2" fillId="0" borderId="14" xfId="0" applyFont="1" applyBorder="1"/>
    <xf numFmtId="49" fontId="2" fillId="0" borderId="2" xfId="0" applyNumberFormat="1" applyFont="1" applyBorder="1"/>
    <xf numFmtId="165" fontId="2" fillId="0" borderId="4" xfId="0" applyFont="1" applyBorder="1"/>
    <xf numFmtId="49" fontId="2" fillId="0" borderId="5" xfId="0" applyNumberFormat="1" applyFont="1" applyBorder="1"/>
    <xf numFmtId="49" fontId="2" fillId="0" borderId="10" xfId="0" applyNumberFormat="1" applyFont="1" applyBorder="1"/>
    <xf numFmtId="49" fontId="2" fillId="0" borderId="9" xfId="0" applyNumberFormat="1" applyFont="1" applyBorder="1"/>
    <xf numFmtId="165" fontId="2" fillId="0" borderId="8" xfId="0" applyFont="1" applyBorder="1"/>
    <xf numFmtId="165" fontId="18" fillId="0" borderId="13" xfId="0" applyFont="1" applyBorder="1"/>
    <xf numFmtId="165" fontId="2" fillId="0" borderId="13" xfId="0" applyFont="1" applyBorder="1"/>
    <xf numFmtId="165" fontId="3" fillId="0" borderId="14" xfId="0" applyFont="1" applyBorder="1" applyAlignment="1">
      <alignment horizontal="center"/>
    </xf>
    <xf numFmtId="165" fontId="3" fillId="0" borderId="3" xfId="0" applyFont="1" applyBorder="1" applyAlignment="1">
      <alignment horizontal="center"/>
    </xf>
    <xf numFmtId="165" fontId="3" fillId="0" borderId="4" xfId="0" applyFont="1" applyBorder="1" applyAlignment="1">
      <alignment horizontal="center"/>
    </xf>
    <xf numFmtId="165" fontId="3" fillId="0" borderId="13" xfId="0" applyFont="1" applyBorder="1" applyAlignment="1">
      <alignment horizontal="center"/>
    </xf>
    <xf numFmtId="165" fontId="3" fillId="0" borderId="11" xfId="0" applyFont="1" applyBorder="1" applyAlignment="1">
      <alignment horizontal="center"/>
    </xf>
    <xf numFmtId="165" fontId="3" fillId="0" borderId="12" xfId="0" applyFont="1" applyBorder="1" applyAlignment="1">
      <alignment horizontal="center"/>
    </xf>
    <xf numFmtId="165" fontId="3" fillId="0" borderId="6" xfId="0" applyFont="1" applyBorder="1" applyAlignment="1">
      <alignment horizontal="center"/>
    </xf>
    <xf numFmtId="165" fontId="3" fillId="0" borderId="7" xfId="0" applyFont="1" applyBorder="1" applyAlignment="1">
      <alignment horizontal="center"/>
    </xf>
    <xf numFmtId="165" fontId="18" fillId="0" borderId="0" xfId="0" applyFont="1"/>
    <xf numFmtId="49" fontId="2" fillId="0" borderId="6" xfId="0" applyNumberFormat="1" applyFont="1" applyBorder="1"/>
    <xf numFmtId="165" fontId="18" fillId="0" borderId="6" xfId="0" applyFont="1" applyBorder="1"/>
    <xf numFmtId="165" fontId="20" fillId="0" borderId="0" xfId="0" applyFont="1" applyAlignment="1">
      <alignment horizontal="center"/>
    </xf>
    <xf numFmtId="165" fontId="21" fillId="0" borderId="0" xfId="0" applyFont="1"/>
    <xf numFmtId="49" fontId="0" fillId="0" borderId="0" xfId="0" applyNumberFormat="1"/>
    <xf numFmtId="9" fontId="8" fillId="0" borderId="2" xfId="0" applyNumberFormat="1" applyFont="1" applyBorder="1" applyAlignment="1">
      <alignment horizontal="right"/>
    </xf>
    <xf numFmtId="9" fontId="8" fillId="0" borderId="5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right"/>
    </xf>
    <xf numFmtId="165" fontId="19" fillId="0" borderId="1" xfId="0" applyFont="1" applyBorder="1" applyAlignment="1">
      <alignment horizontal="left"/>
    </xf>
    <xf numFmtId="165" fontId="19" fillId="0" borderId="1" xfId="0" applyFont="1" applyBorder="1"/>
    <xf numFmtId="165" fontId="19" fillId="0" borderId="1" xfId="0" applyFont="1" applyBorder="1" applyAlignment="1">
      <alignment horizontal="right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9" fontId="17" fillId="0" borderId="0" xfId="3" applyFont="1"/>
    <xf numFmtId="164" fontId="17" fillId="0" borderId="0" xfId="1" applyFont="1" applyFill="1" applyBorder="1" applyAlignment="1"/>
    <xf numFmtId="166" fontId="17" fillId="0" borderId="0" xfId="0" applyNumberFormat="1" applyFont="1" applyAlignment="1">
      <alignment horizontal="right"/>
    </xf>
    <xf numFmtId="165" fontId="17" fillId="0" borderId="0" xfId="0" applyFont="1" applyAlignment="1">
      <alignment horizontal="right"/>
    </xf>
    <xf numFmtId="165" fontId="17" fillId="0" borderId="0" xfId="0" applyFont="1" applyAlignment="1">
      <alignment horizontal="left"/>
    </xf>
    <xf numFmtId="165" fontId="17" fillId="0" borderId="1" xfId="0" applyFont="1" applyBorder="1"/>
    <xf numFmtId="9" fontId="17" fillId="0" borderId="0" xfId="3" applyFont="1" applyBorder="1" applyAlignment="1">
      <alignment horizontal="center"/>
    </xf>
    <xf numFmtId="166" fontId="19" fillId="0" borderId="1" xfId="0" applyNumberFormat="1" applyFont="1" applyBorder="1" applyAlignment="1">
      <alignment horizontal="right"/>
    </xf>
    <xf numFmtId="9" fontId="17" fillId="0" borderId="0" xfId="3" applyFont="1" applyProtection="1"/>
    <xf numFmtId="49" fontId="19" fillId="0" borderId="9" xfId="0" applyNumberFormat="1" applyFont="1" applyBorder="1" applyAlignment="1">
      <alignment horizontal="right"/>
    </xf>
    <xf numFmtId="165" fontId="19" fillId="0" borderId="9" xfId="0" applyFont="1" applyBorder="1" applyAlignment="1">
      <alignment horizontal="left"/>
    </xf>
    <xf numFmtId="166" fontId="19" fillId="0" borderId="8" xfId="0" applyNumberFormat="1" applyFont="1" applyBorder="1" applyAlignment="1">
      <alignment horizontal="right"/>
    </xf>
    <xf numFmtId="49" fontId="24" fillId="0" borderId="9" xfId="0" applyNumberFormat="1" applyFont="1" applyBorder="1" applyAlignment="1">
      <alignment horizontal="right"/>
    </xf>
    <xf numFmtId="165" fontId="24" fillId="0" borderId="1" xfId="0" applyFont="1" applyBorder="1" applyAlignment="1">
      <alignment horizontal="left"/>
    </xf>
    <xf numFmtId="165" fontId="24" fillId="0" borderId="1" xfId="0" applyFont="1" applyBorder="1"/>
    <xf numFmtId="165" fontId="24" fillId="0" borderId="1" xfId="0" applyFont="1" applyBorder="1" applyAlignment="1">
      <alignment horizontal="right"/>
    </xf>
    <xf numFmtId="165" fontId="24" fillId="0" borderId="8" xfId="0" applyFont="1" applyBorder="1" applyAlignment="1">
      <alignment horizontal="right"/>
    </xf>
    <xf numFmtId="164" fontId="17" fillId="0" borderId="15" xfId="1" applyFont="1" applyFill="1" applyBorder="1"/>
    <xf numFmtId="164" fontId="19" fillId="0" borderId="15" xfId="1" applyFont="1" applyFill="1" applyBorder="1"/>
    <xf numFmtId="10" fontId="17" fillId="0" borderId="15" xfId="0" applyNumberFormat="1" applyFont="1" applyBorder="1" applyAlignment="1">
      <alignment horizontal="right"/>
    </xf>
    <xf numFmtId="174" fontId="17" fillId="0" borderId="15" xfId="0" applyNumberFormat="1" applyFont="1" applyBorder="1" applyAlignment="1">
      <alignment horizontal="right"/>
    </xf>
    <xf numFmtId="170" fontId="17" fillId="0" borderId="15" xfId="1" applyNumberFormat="1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174" fontId="17" fillId="0" borderId="15" xfId="0" applyNumberFormat="1" applyFont="1" applyBorder="1" applyAlignment="1">
      <alignment horizontal="left"/>
    </xf>
    <xf numFmtId="166" fontId="17" fillId="0" borderId="0" xfId="0" applyNumberFormat="1" applyFont="1"/>
    <xf numFmtId="165" fontId="17" fillId="0" borderId="9" xfId="0" applyFont="1" applyBorder="1"/>
    <xf numFmtId="166" fontId="17" fillId="0" borderId="15" xfId="0" applyNumberFormat="1" applyFont="1" applyBorder="1" applyAlignment="1">
      <alignment horizontal="right"/>
    </xf>
    <xf numFmtId="166" fontId="19" fillId="0" borderId="15" xfId="0" applyNumberFormat="1" applyFont="1" applyBorder="1" applyAlignment="1">
      <alignment horizontal="center"/>
    </xf>
    <xf numFmtId="165" fontId="25" fillId="0" borderId="15" xfId="0" applyFont="1" applyBorder="1" applyAlignment="1">
      <alignment horizontal="left"/>
    </xf>
    <xf numFmtId="166" fontId="3" fillId="0" borderId="15" xfId="0" applyNumberFormat="1" applyFont="1" applyBorder="1"/>
    <xf numFmtId="164" fontId="19" fillId="0" borderId="9" xfId="1" applyFont="1" applyFill="1" applyBorder="1"/>
    <xf numFmtId="164" fontId="19" fillId="0" borderId="0" xfId="1" applyFont="1" applyFill="1" applyBorder="1"/>
    <xf numFmtId="165" fontId="17" fillId="0" borderId="1" xfId="0" applyFont="1" applyBorder="1" applyAlignment="1">
      <alignment horizontal="center"/>
    </xf>
    <xf numFmtId="174" fontId="17" fillId="0" borderId="9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174" fontId="17" fillId="0" borderId="13" xfId="0" applyNumberFormat="1" applyFont="1" applyBorder="1" applyAlignment="1">
      <alignment horizontal="left"/>
    </xf>
    <xf numFmtId="164" fontId="17" fillId="0" borderId="10" xfId="1" applyFont="1" applyFill="1" applyBorder="1"/>
    <xf numFmtId="165" fontId="17" fillId="0" borderId="11" xfId="0" applyFont="1" applyBorder="1"/>
    <xf numFmtId="43" fontId="17" fillId="0" borderId="10" xfId="0" applyNumberFormat="1" applyFont="1" applyBorder="1" applyAlignment="1">
      <alignment horizontal="center"/>
    </xf>
    <xf numFmtId="165" fontId="17" fillId="0" borderId="7" xfId="0" applyFont="1" applyBorder="1"/>
    <xf numFmtId="43" fontId="17" fillId="0" borderId="10" xfId="0" applyNumberFormat="1" applyFont="1" applyBorder="1"/>
    <xf numFmtId="43" fontId="17" fillId="0" borderId="13" xfId="0" applyNumberFormat="1" applyFont="1" applyBorder="1"/>
    <xf numFmtId="174" fontId="17" fillId="0" borderId="14" xfId="0" applyNumberFormat="1" applyFont="1" applyBorder="1" applyAlignment="1">
      <alignment horizontal="left"/>
    </xf>
    <xf numFmtId="43" fontId="17" fillId="0" borderId="2" xfId="0" applyNumberFormat="1" applyFont="1" applyBorder="1" applyAlignment="1">
      <alignment horizontal="center"/>
    </xf>
    <xf numFmtId="165" fontId="17" fillId="0" borderId="4" xfId="0" applyFont="1" applyBorder="1"/>
    <xf numFmtId="43" fontId="17" fillId="0" borderId="2" xfId="0" applyNumberFormat="1" applyFont="1" applyBorder="1"/>
    <xf numFmtId="165" fontId="17" fillId="0" borderId="5" xfId="0" applyFont="1" applyBorder="1"/>
    <xf numFmtId="164" fontId="19" fillId="0" borderId="1" xfId="1" applyFont="1" applyFill="1" applyBorder="1"/>
    <xf numFmtId="164" fontId="19" fillId="0" borderId="8" xfId="1" applyFont="1" applyFill="1" applyBorder="1"/>
    <xf numFmtId="164" fontId="17" fillId="0" borderId="2" xfId="1" applyFont="1" applyFill="1" applyBorder="1"/>
    <xf numFmtId="165" fontId="17" fillId="0" borderId="10" xfId="0" applyFont="1" applyBorder="1"/>
    <xf numFmtId="164" fontId="17" fillId="0" borderId="15" xfId="1" applyFont="1" applyFill="1" applyBorder="1" applyAlignment="1">
      <alignment horizontal="center"/>
    </xf>
    <xf numFmtId="165" fontId="17" fillId="0" borderId="0" xfId="0" applyFont="1" applyAlignment="1">
      <alignment horizontal="center"/>
    </xf>
    <xf numFmtId="49" fontId="19" fillId="2" borderId="15" xfId="0" applyNumberFormat="1" applyFont="1" applyFill="1" applyBorder="1" applyAlignment="1">
      <alignment horizontal="center" wrapText="1"/>
    </xf>
    <xf numFmtId="165" fontId="19" fillId="2" borderId="15" xfId="0" applyFont="1" applyFill="1" applyBorder="1" applyAlignment="1">
      <alignment wrapText="1"/>
    </xf>
    <xf numFmtId="0" fontId="17" fillId="0" borderId="2" xfId="1" applyNumberFormat="1" applyFont="1" applyBorder="1" applyAlignment="1" applyProtection="1">
      <alignment horizontal="right"/>
    </xf>
    <xf numFmtId="165" fontId="17" fillId="0" borderId="3" xfId="0" applyFont="1" applyBorder="1" applyAlignment="1">
      <alignment horizontal="left"/>
    </xf>
    <xf numFmtId="165" fontId="17" fillId="0" borderId="3" xfId="0" applyFont="1" applyBorder="1"/>
    <xf numFmtId="9" fontId="17" fillId="0" borderId="3" xfId="3" applyFont="1" applyBorder="1"/>
    <xf numFmtId="166" fontId="17" fillId="0" borderId="3" xfId="0" applyNumberFormat="1" applyFont="1" applyBorder="1"/>
    <xf numFmtId="0" fontId="17" fillId="0" borderId="10" xfId="1" applyNumberFormat="1" applyFont="1" applyBorder="1" applyAlignment="1" applyProtection="1">
      <alignment horizontal="right"/>
    </xf>
    <xf numFmtId="9" fontId="17" fillId="0" borderId="0" xfId="3" applyFont="1" applyBorder="1"/>
    <xf numFmtId="165" fontId="19" fillId="0" borderId="8" xfId="0" applyFont="1" applyBorder="1"/>
    <xf numFmtId="49" fontId="17" fillId="0" borderId="9" xfId="0" applyNumberFormat="1" applyFont="1" applyBorder="1" applyAlignment="1">
      <alignment horizontal="right"/>
    </xf>
    <xf numFmtId="2" fontId="17" fillId="0" borderId="1" xfId="0" applyNumberFormat="1" applyFont="1" applyBorder="1"/>
    <xf numFmtId="166" fontId="17" fillId="0" borderId="1" xfId="0" applyNumberFormat="1" applyFont="1" applyBorder="1"/>
    <xf numFmtId="165" fontId="17" fillId="0" borderId="18" xfId="0" applyFont="1" applyBorder="1"/>
    <xf numFmtId="49" fontId="23" fillId="0" borderId="0" xfId="0" applyNumberFormat="1" applyFont="1" applyAlignment="1">
      <alignment horizontal="left"/>
    </xf>
    <xf numFmtId="165" fontId="23" fillId="0" borderId="0" xfId="0" applyFont="1"/>
    <xf numFmtId="49" fontId="17" fillId="0" borderId="0" xfId="0" applyNumberFormat="1" applyFont="1" applyAlignment="1">
      <alignment horizontal="left"/>
    </xf>
    <xf numFmtId="49" fontId="3" fillId="0" borderId="17" xfId="0" applyNumberFormat="1" applyFont="1" applyBorder="1" applyAlignment="1">
      <alignment horizontal="left"/>
    </xf>
    <xf numFmtId="9" fontId="2" fillId="0" borderId="0" xfId="3" applyFont="1" applyBorder="1" applyAlignment="1">
      <alignment horizontal="left"/>
    </xf>
    <xf numFmtId="165" fontId="17" fillId="0" borderId="0" xfId="0" applyFont="1" applyAlignment="1">
      <alignment horizontal="fill"/>
    </xf>
    <xf numFmtId="168" fontId="17" fillId="0" borderId="0" xfId="0" applyNumberFormat="1" applyFont="1"/>
    <xf numFmtId="164" fontId="2" fillId="0" borderId="0" xfId="1" applyFont="1" applyFill="1" applyBorder="1"/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166" fontId="3" fillId="0" borderId="0" xfId="0" applyNumberFormat="1" applyFont="1"/>
    <xf numFmtId="49" fontId="17" fillId="0" borderId="0" xfId="0" applyNumberFormat="1" applyFont="1" applyAlignment="1">
      <alignment horizontal="center"/>
    </xf>
    <xf numFmtId="166" fontId="19" fillId="0" borderId="0" xfId="0" applyNumberFormat="1" applyFont="1"/>
    <xf numFmtId="170" fontId="17" fillId="0" borderId="0" xfId="1" applyNumberFormat="1" applyFont="1" applyBorder="1"/>
    <xf numFmtId="170" fontId="19" fillId="0" borderId="0" xfId="1" applyNumberFormat="1" applyFont="1" applyBorder="1" applyAlignment="1" applyProtection="1">
      <alignment horizontal="right"/>
    </xf>
    <xf numFmtId="166" fontId="17" fillId="0" borderId="0" xfId="0" applyNumberFormat="1" applyFont="1" applyAlignment="1">
      <alignment horizontal="center"/>
    </xf>
    <xf numFmtId="166" fontId="19" fillId="0" borderId="1" xfId="0" applyNumberFormat="1" applyFont="1" applyBorder="1"/>
    <xf numFmtId="164" fontId="17" fillId="0" borderId="0" xfId="1" applyFont="1" applyBorder="1"/>
    <xf numFmtId="9" fontId="17" fillId="0" borderId="0" xfId="3" applyFont="1" applyFill="1" applyBorder="1"/>
    <xf numFmtId="164" fontId="19" fillId="0" borderId="12" xfId="1" applyFont="1" applyBorder="1" applyAlignment="1">
      <alignment horizontal="right"/>
    </xf>
    <xf numFmtId="49" fontId="19" fillId="0" borderId="9" xfId="0" applyNumberFormat="1" applyFont="1" applyBorder="1" applyAlignment="1">
      <alignment horizontal="center"/>
    </xf>
    <xf numFmtId="166" fontId="19" fillId="0" borderId="15" xfId="0" applyNumberFormat="1" applyFont="1" applyBorder="1"/>
    <xf numFmtId="172" fontId="17" fillId="0" borderId="0" xfId="3" applyNumberFormat="1" applyFont="1" applyBorder="1" applyAlignment="1" applyProtection="1">
      <alignment horizontal="center"/>
    </xf>
    <xf numFmtId="9" fontId="17" fillId="0" borderId="0" xfId="3" applyFont="1" applyBorder="1" applyAlignment="1" applyProtection="1">
      <alignment horizontal="center"/>
    </xf>
    <xf numFmtId="165" fontId="19" fillId="0" borderId="0" xfId="0" applyFont="1" applyAlignment="1">
      <alignment horizontal="center"/>
    </xf>
    <xf numFmtId="9" fontId="17" fillId="0" borderId="0" xfId="0" applyNumberFormat="1" applyFont="1"/>
    <xf numFmtId="164" fontId="17" fillId="0" borderId="0" xfId="1" applyFont="1" applyBorder="1" applyProtection="1"/>
    <xf numFmtId="165" fontId="23" fillId="0" borderId="0" xfId="0" applyFont="1" applyAlignment="1">
      <alignment horizontal="left"/>
    </xf>
    <xf numFmtId="164" fontId="19" fillId="0" borderId="16" xfId="1" applyFont="1" applyFill="1" applyBorder="1"/>
    <xf numFmtId="165" fontId="17" fillId="0" borderId="16" xfId="0" applyFont="1" applyBorder="1"/>
    <xf numFmtId="9" fontId="2" fillId="0" borderId="0" xfId="3" applyFont="1" applyBorder="1"/>
    <xf numFmtId="10" fontId="17" fillId="0" borderId="0" xfId="3" applyNumberFormat="1" applyFont="1" applyBorder="1" applyAlignment="1">
      <alignment horizontal="left"/>
    </xf>
    <xf numFmtId="10" fontId="2" fillId="0" borderId="0" xfId="3" applyNumberFormat="1" applyFont="1" applyProtection="1"/>
    <xf numFmtId="164" fontId="17" fillId="0" borderId="0" xfId="1" applyFont="1" applyFill="1" applyBorder="1"/>
    <xf numFmtId="165" fontId="17" fillId="0" borderId="6" xfId="0" applyFont="1" applyBorder="1"/>
    <xf numFmtId="170" fontId="17" fillId="0" borderId="0" xfId="1" applyNumberFormat="1" applyFont="1" applyFill="1" applyBorder="1"/>
    <xf numFmtId="166" fontId="17" fillId="0" borderId="6" xfId="0" applyNumberFormat="1" applyFont="1" applyBorder="1"/>
    <xf numFmtId="0" fontId="9" fillId="0" borderId="15" xfId="0" applyNumberFormat="1" applyFont="1" applyBorder="1" applyAlignment="1">
      <alignment horizontal="center"/>
    </xf>
    <xf numFmtId="10" fontId="8" fillId="0" borderId="11" xfId="3" applyNumberFormat="1" applyFont="1" applyFill="1" applyBorder="1" applyAlignment="1" applyProtection="1">
      <alignment horizontal="right"/>
    </xf>
    <xf numFmtId="0" fontId="9" fillId="0" borderId="9" xfId="0" applyNumberFormat="1" applyFont="1" applyBorder="1" applyAlignment="1">
      <alignment horizontal="center"/>
    </xf>
    <xf numFmtId="165" fontId="9" fillId="0" borderId="1" xfId="0" applyFont="1" applyBorder="1" applyAlignment="1">
      <alignment horizontal="right"/>
    </xf>
    <xf numFmtId="0" fontId="9" fillId="0" borderId="1" xfId="0" applyNumberFormat="1" applyFont="1" applyBorder="1" applyAlignment="1">
      <alignment horizontal="center"/>
    </xf>
    <xf numFmtId="9" fontId="8" fillId="0" borderId="3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center"/>
    </xf>
    <xf numFmtId="9" fontId="8" fillId="0" borderId="14" xfId="0" applyNumberFormat="1" applyFont="1" applyBorder="1" applyAlignment="1">
      <alignment horizontal="right"/>
    </xf>
    <xf numFmtId="165" fontId="9" fillId="0" borderId="15" xfId="0" applyFont="1" applyBorder="1" applyAlignment="1">
      <alignment horizontal="right"/>
    </xf>
    <xf numFmtId="164" fontId="8" fillId="0" borderId="7" xfId="1" applyFont="1" applyFill="1" applyBorder="1" applyAlignment="1">
      <alignment horizontal="right"/>
    </xf>
    <xf numFmtId="166" fontId="9" fillId="0" borderId="9" xfId="0" applyNumberFormat="1" applyFont="1" applyBorder="1" applyAlignment="1">
      <alignment horizontal="center"/>
    </xf>
    <xf numFmtId="166" fontId="6" fillId="0" borderId="14" xfId="0" applyNumberFormat="1" applyFont="1" applyBorder="1"/>
    <xf numFmtId="166" fontId="9" fillId="0" borderId="15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65" fontId="9" fillId="0" borderId="9" xfId="0" applyFont="1" applyBorder="1" applyAlignment="1">
      <alignment horizontal="right"/>
    </xf>
    <xf numFmtId="165" fontId="9" fillId="0" borderId="3" xfId="0" applyFont="1" applyBorder="1" applyAlignment="1">
      <alignment horizontal="right"/>
    </xf>
    <xf numFmtId="165" fontId="9" fillId="0" borderId="14" xfId="0" applyFont="1" applyBorder="1" applyAlignment="1">
      <alignment horizontal="right"/>
    </xf>
    <xf numFmtId="164" fontId="8" fillId="0" borderId="5" xfId="1" applyFont="1" applyFill="1" applyBorder="1" applyAlignment="1" applyProtection="1">
      <alignment horizontal="right"/>
    </xf>
    <xf numFmtId="164" fontId="8" fillId="0" borderId="3" xfId="1" applyFont="1" applyFill="1" applyBorder="1" applyAlignment="1">
      <alignment horizontal="right"/>
    </xf>
    <xf numFmtId="166" fontId="7" fillId="0" borderId="15" xfId="0" applyNumberFormat="1" applyFont="1" applyBorder="1" applyAlignment="1">
      <alignment horizontal="center"/>
    </xf>
    <xf numFmtId="166" fontId="6" fillId="0" borderId="12" xfId="0" applyNumberFormat="1" applyFont="1" applyBorder="1"/>
    <xf numFmtId="164" fontId="19" fillId="0" borderId="0" xfId="1" applyFont="1" applyFill="1" applyBorder="1" applyProtection="1"/>
    <xf numFmtId="170" fontId="19" fillId="0" borderId="0" xfId="1" applyNumberFormat="1" applyFont="1" applyFill="1" applyBorder="1"/>
    <xf numFmtId="164" fontId="8" fillId="0" borderId="0" xfId="1" applyFont="1" applyFill="1" applyBorder="1"/>
    <xf numFmtId="164" fontId="17" fillId="0" borderId="15" xfId="1" applyFont="1" applyBorder="1"/>
    <xf numFmtId="164" fontId="17" fillId="0" borderId="15" xfId="0" applyNumberFormat="1" applyFont="1" applyBorder="1"/>
    <xf numFmtId="10" fontId="2" fillId="0" borderId="0" xfId="3" applyNumberFormat="1" applyFont="1" applyFill="1" applyBorder="1"/>
    <xf numFmtId="170" fontId="19" fillId="0" borderId="0" xfId="1" applyNumberFormat="1" applyFont="1" applyFill="1" applyBorder="1" applyAlignment="1" applyProtection="1">
      <alignment horizontal="right"/>
    </xf>
    <xf numFmtId="165" fontId="29" fillId="0" borderId="0" xfId="0" applyFont="1"/>
    <xf numFmtId="165" fontId="17" fillId="3" borderId="0" xfId="0" applyFont="1" applyFill="1"/>
    <xf numFmtId="165" fontId="19" fillId="3" borderId="0" xfId="0" applyFont="1" applyFill="1"/>
    <xf numFmtId="166" fontId="17" fillId="3" borderId="0" xfId="0" applyNumberFormat="1" applyFont="1" applyFill="1" applyAlignment="1">
      <alignment horizontal="center"/>
    </xf>
    <xf numFmtId="170" fontId="17" fillId="3" borderId="0" xfId="1" applyNumberFormat="1" applyFont="1" applyFill="1" applyBorder="1"/>
    <xf numFmtId="165" fontId="17" fillId="3" borderId="0" xfId="0" applyFont="1" applyFill="1" applyAlignment="1">
      <alignment horizontal="right"/>
    </xf>
    <xf numFmtId="165" fontId="23" fillId="0" borderId="0" xfId="0" applyFont="1" applyAlignment="1">
      <alignment horizontal="center"/>
    </xf>
    <xf numFmtId="165" fontId="3" fillId="0" borderId="8" xfId="0" applyFont="1" applyBorder="1" applyAlignment="1">
      <alignment horizontal="center"/>
    </xf>
    <xf numFmtId="49" fontId="19" fillId="0" borderId="9" xfId="0" applyNumberFormat="1" applyFont="1" applyBorder="1" applyAlignment="1">
      <alignment horizontal="left"/>
    </xf>
    <xf numFmtId="165" fontId="18" fillId="0" borderId="15" xfId="0" applyFont="1" applyBorder="1" applyAlignment="1">
      <alignment horizontal="left"/>
    </xf>
    <xf numFmtId="166" fontId="9" fillId="0" borderId="1" xfId="0" applyNumberFormat="1" applyFont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166" fontId="17" fillId="0" borderId="17" xfId="0" applyNumberFormat="1" applyFont="1" applyBorder="1"/>
    <xf numFmtId="165" fontId="19" fillId="0" borderId="1" xfId="0" applyFont="1" applyBorder="1" applyAlignment="1">
      <alignment horizontal="left" wrapText="1"/>
    </xf>
    <xf numFmtId="166" fontId="19" fillId="0" borderId="1" xfId="0" applyNumberFormat="1" applyFont="1" applyBorder="1" applyAlignment="1">
      <alignment wrapText="1"/>
    </xf>
    <xf numFmtId="165" fontId="19" fillId="0" borderId="1" xfId="0" applyFont="1" applyBorder="1" applyAlignment="1">
      <alignment wrapText="1"/>
    </xf>
    <xf numFmtId="170" fontId="17" fillId="0" borderId="1" xfId="1" applyNumberFormat="1" applyFont="1" applyFill="1" applyBorder="1" applyAlignment="1">
      <alignment wrapText="1"/>
    </xf>
    <xf numFmtId="170" fontId="19" fillId="0" borderId="1" xfId="1" applyNumberFormat="1" applyFont="1" applyFill="1" applyBorder="1" applyAlignment="1">
      <alignment wrapText="1"/>
    </xf>
    <xf numFmtId="165" fontId="19" fillId="0" borderId="16" xfId="0" applyFont="1" applyBorder="1"/>
    <xf numFmtId="165" fontId="17" fillId="0" borderId="1" xfId="0" applyFont="1" applyBorder="1" applyAlignment="1">
      <alignment wrapText="1"/>
    </xf>
    <xf numFmtId="165" fontId="19" fillId="0" borderId="1" xfId="0" applyFont="1" applyBorder="1" applyAlignment="1">
      <alignment horizontal="center" wrapText="1"/>
    </xf>
    <xf numFmtId="170" fontId="17" fillId="0" borderId="1" xfId="1" applyNumberFormat="1" applyFont="1" applyFill="1" applyBorder="1"/>
    <xf numFmtId="170" fontId="19" fillId="0" borderId="1" xfId="1" applyNumberFormat="1" applyFont="1" applyFill="1" applyBorder="1" applyAlignment="1">
      <alignment horizontal="right"/>
    </xf>
    <xf numFmtId="170" fontId="17" fillId="0" borderId="0" xfId="1" applyNumberFormat="1" applyFont="1" applyFill="1" applyBorder="1" applyProtection="1"/>
    <xf numFmtId="170" fontId="17" fillId="0" borderId="0" xfId="1" applyNumberFormat="1" applyFont="1" applyFill="1" applyBorder="1" applyAlignment="1" applyProtection="1">
      <alignment horizontal="center"/>
    </xf>
    <xf numFmtId="170" fontId="17" fillId="0" borderId="0" xfId="1" applyNumberFormat="1" applyFont="1" applyFill="1" applyBorder="1" applyAlignment="1" applyProtection="1">
      <alignment horizontal="fill"/>
    </xf>
    <xf numFmtId="170" fontId="19" fillId="0" borderId="0" xfId="1" applyNumberFormat="1" applyFont="1" applyFill="1" applyBorder="1" applyAlignment="1">
      <alignment horizontal="right"/>
    </xf>
    <xf numFmtId="170" fontId="19" fillId="0" borderId="1" xfId="1" applyNumberFormat="1" applyFont="1" applyFill="1" applyBorder="1" applyAlignment="1" applyProtection="1">
      <alignment horizontal="center"/>
    </xf>
    <xf numFmtId="170" fontId="19" fillId="0" borderId="0" xfId="1" applyNumberFormat="1" applyFont="1" applyFill="1" applyBorder="1" applyAlignment="1" applyProtection="1">
      <alignment horizontal="center"/>
    </xf>
    <xf numFmtId="49" fontId="29" fillId="0" borderId="0" xfId="0" applyNumberFormat="1" applyFont="1" applyAlignment="1">
      <alignment vertical="center"/>
    </xf>
    <xf numFmtId="165" fontId="29" fillId="0" borderId="0" xfId="0" applyFont="1" applyAlignment="1">
      <alignment vertical="center"/>
    </xf>
    <xf numFmtId="9" fontId="17" fillId="0" borderId="0" xfId="3" applyFont="1" applyFill="1" applyBorder="1" applyAlignment="1">
      <alignment horizontal="left"/>
    </xf>
    <xf numFmtId="166" fontId="19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left"/>
    </xf>
    <xf numFmtId="170" fontId="19" fillId="0" borderId="1" xfId="1" applyNumberFormat="1" applyFont="1" applyFill="1" applyBorder="1"/>
    <xf numFmtId="165" fontId="19" fillId="0" borderId="8" xfId="0" applyFont="1" applyBorder="1" applyAlignment="1">
      <alignment horizontal="right"/>
    </xf>
    <xf numFmtId="165" fontId="17" fillId="0" borderId="10" xfId="0" applyFont="1" applyBorder="1" applyAlignment="1">
      <alignment horizontal="left"/>
    </xf>
    <xf numFmtId="165" fontId="17" fillId="0" borderId="5" xfId="0" applyFont="1" applyBorder="1" applyAlignment="1">
      <alignment horizontal="left"/>
    </xf>
    <xf numFmtId="164" fontId="17" fillId="0" borderId="0" xfId="1" applyFont="1" applyFill="1" applyBorder="1" applyProtection="1"/>
    <xf numFmtId="164" fontId="17" fillId="0" borderId="6" xfId="1" applyFont="1" applyFill="1" applyBorder="1" applyProtection="1"/>
    <xf numFmtId="165" fontId="17" fillId="0" borderId="6" xfId="0" applyFont="1" applyBorder="1" applyAlignment="1">
      <alignment horizontal="right"/>
    </xf>
    <xf numFmtId="164" fontId="17" fillId="0" borderId="0" xfId="1" applyFont="1" applyFill="1" applyBorder="1" applyAlignment="1" applyProtection="1">
      <alignment horizontal="right"/>
    </xf>
    <xf numFmtId="164" fontId="17" fillId="0" borderId="0" xfId="1" applyFont="1" applyFill="1" applyBorder="1" applyAlignment="1" applyProtection="1">
      <alignment horizontal="fill"/>
    </xf>
    <xf numFmtId="170" fontId="17" fillId="0" borderId="0" xfId="1" applyNumberFormat="1" applyFont="1" applyFill="1" applyBorder="1" applyAlignment="1" applyProtection="1">
      <alignment horizontal="right"/>
    </xf>
    <xf numFmtId="10" fontId="19" fillId="0" borderId="0" xfId="3" applyNumberFormat="1" applyFont="1" applyFill="1" applyBorder="1"/>
    <xf numFmtId="9" fontId="19" fillId="0" borderId="0" xfId="0" applyNumberFormat="1" applyFont="1"/>
    <xf numFmtId="165" fontId="26" fillId="0" borderId="0" xfId="0" applyFont="1"/>
    <xf numFmtId="165" fontId="19" fillId="0" borderId="2" xfId="0" applyFont="1" applyBorder="1" applyAlignment="1">
      <alignment horizontal="center"/>
    </xf>
    <xf numFmtId="165" fontId="19" fillId="0" borderId="3" xfId="0" applyFont="1" applyBorder="1"/>
    <xf numFmtId="165" fontId="19" fillId="0" borderId="3" xfId="0" applyFont="1" applyBorder="1" applyAlignment="1">
      <alignment horizontal="center"/>
    </xf>
    <xf numFmtId="170" fontId="19" fillId="0" borderId="3" xfId="1" applyNumberFormat="1" applyFont="1" applyFill="1" applyBorder="1"/>
    <xf numFmtId="165" fontId="19" fillId="0" borderId="4" xfId="0" applyFont="1" applyBorder="1" applyAlignment="1">
      <alignment horizontal="right"/>
    </xf>
    <xf numFmtId="165" fontId="19" fillId="0" borderId="5" xfId="0" applyFont="1" applyBorder="1"/>
    <xf numFmtId="165" fontId="19" fillId="0" borderId="6" xfId="0" applyFont="1" applyBorder="1"/>
    <xf numFmtId="165" fontId="19" fillId="0" borderId="6" xfId="0" applyFont="1" applyBorder="1" applyAlignment="1">
      <alignment horizontal="right"/>
    </xf>
    <xf numFmtId="170" fontId="19" fillId="0" borderId="6" xfId="1" applyNumberFormat="1" applyFont="1" applyFill="1" applyBorder="1"/>
    <xf numFmtId="165" fontId="19" fillId="0" borderId="7" xfId="0" applyFont="1" applyBorder="1" applyAlignment="1">
      <alignment horizontal="right"/>
    </xf>
    <xf numFmtId="164" fontId="23" fillId="0" borderId="0" xfId="1" applyFont="1" applyFill="1" applyBorder="1" applyAlignment="1">
      <alignment horizontal="center"/>
    </xf>
    <xf numFmtId="9" fontId="19" fillId="0" borderId="0" xfId="1" applyNumberFormat="1" applyFont="1" applyFill="1" applyBorder="1" applyAlignment="1">
      <alignment horizontal="left"/>
    </xf>
    <xf numFmtId="164" fontId="26" fillId="0" borderId="0" xfId="1" applyFont="1" applyFill="1" applyBorder="1"/>
    <xf numFmtId="164" fontId="17" fillId="0" borderId="0" xfId="1" applyFont="1" applyFill="1" applyBorder="1" applyAlignment="1">
      <alignment horizontal="center"/>
    </xf>
    <xf numFmtId="164" fontId="19" fillId="0" borderId="0" xfId="1" applyFont="1" applyFill="1" applyBorder="1" applyAlignment="1"/>
    <xf numFmtId="10" fontId="17" fillId="0" borderId="0" xfId="0" applyNumberFormat="1" applyFont="1" applyAlignment="1">
      <alignment horizontal="left"/>
    </xf>
    <xf numFmtId="10" fontId="17" fillId="0" borderId="0" xfId="0" applyNumberFormat="1" applyFont="1" applyAlignment="1">
      <alignment horizontal="center"/>
    </xf>
    <xf numFmtId="164" fontId="17" fillId="0" borderId="3" xfId="1" applyFont="1" applyFill="1" applyBorder="1"/>
    <xf numFmtId="164" fontId="17" fillId="0" borderId="6" xfId="1" applyFont="1" applyFill="1" applyBorder="1"/>
    <xf numFmtId="166" fontId="19" fillId="0" borderId="0" xfId="0" applyNumberFormat="1" applyFont="1" applyAlignment="1">
      <alignment horizontal="center"/>
    </xf>
    <xf numFmtId="164" fontId="17" fillId="0" borderId="1" xfId="1" applyFont="1" applyFill="1" applyBorder="1"/>
    <xf numFmtId="166" fontId="2" fillId="0" borderId="17" xfId="0" applyNumberFormat="1" applyFont="1" applyBorder="1"/>
    <xf numFmtId="170" fontId="2" fillId="0" borderId="0" xfId="1" applyNumberFormat="1" applyFont="1" applyFill="1" applyBorder="1"/>
    <xf numFmtId="165" fontId="2" fillId="0" borderId="18" xfId="0" applyFont="1" applyBorder="1" applyAlignment="1">
      <alignment horizontal="right"/>
    </xf>
    <xf numFmtId="166" fontId="27" fillId="0" borderId="17" xfId="0" applyNumberFormat="1" applyFont="1" applyBorder="1"/>
    <xf numFmtId="10" fontId="2" fillId="0" borderId="18" xfId="3" applyNumberFormat="1" applyFont="1" applyFill="1" applyBorder="1" applyAlignment="1">
      <alignment horizontal="right"/>
    </xf>
    <xf numFmtId="0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28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NumberFormat="1" applyFont="1"/>
    <xf numFmtId="2" fontId="3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70" fontId="17" fillId="0" borderId="0" xfId="1" applyNumberFormat="1" applyFont="1" applyFill="1"/>
    <xf numFmtId="165" fontId="31" fillId="0" borderId="15" xfId="0" applyFont="1" applyBorder="1"/>
    <xf numFmtId="165" fontId="30" fillId="0" borderId="15" xfId="0" applyFont="1" applyBorder="1"/>
    <xf numFmtId="165" fontId="17" fillId="0" borderId="15" xfId="0" applyFont="1" applyBorder="1"/>
    <xf numFmtId="165" fontId="17" fillId="0" borderId="15" xfId="0" applyFont="1" applyBorder="1" applyAlignment="1">
      <alignment horizontal="left"/>
    </xf>
    <xf numFmtId="10" fontId="31" fillId="0" borderId="15" xfId="3" applyNumberFormat="1" applyFont="1" applyBorder="1"/>
    <xf numFmtId="10" fontId="30" fillId="0" borderId="15" xfId="3" applyNumberFormat="1" applyFont="1" applyBorder="1"/>
    <xf numFmtId="165" fontId="19" fillId="0" borderId="15" xfId="0" applyFont="1" applyBorder="1" applyAlignment="1">
      <alignment wrapText="1"/>
    </xf>
    <xf numFmtId="165" fontId="32" fillId="0" borderId="15" xfId="0" applyFont="1" applyBorder="1" applyAlignment="1">
      <alignment wrapText="1"/>
    </xf>
    <xf numFmtId="164" fontId="19" fillId="0" borderId="15" xfId="1" applyFont="1" applyFill="1" applyBorder="1" applyAlignment="1">
      <alignment wrapText="1"/>
    </xf>
    <xf numFmtId="166" fontId="17" fillId="0" borderId="15" xfId="0" applyNumberFormat="1" applyFont="1" applyBorder="1"/>
    <xf numFmtId="165" fontId="19" fillId="0" borderId="15" xfId="0" applyFont="1" applyBorder="1"/>
    <xf numFmtId="49" fontId="24" fillId="0" borderId="15" xfId="0" applyNumberFormat="1" applyFont="1" applyBorder="1" applyAlignment="1">
      <alignment horizontal="right" wrapText="1"/>
    </xf>
    <xf numFmtId="165" fontId="24" fillId="0" borderId="15" xfId="0" applyFont="1" applyBorder="1" applyAlignment="1">
      <alignment horizontal="center"/>
    </xf>
    <xf numFmtId="0" fontId="2" fillId="0" borderId="15" xfId="1" applyNumberFormat="1" applyFont="1" applyBorder="1" applyAlignment="1" applyProtection="1">
      <alignment horizontal="right"/>
    </xf>
    <xf numFmtId="0" fontId="2" fillId="0" borderId="15" xfId="0" applyNumberFormat="1" applyFont="1" applyBorder="1" applyAlignment="1">
      <alignment horizontal="right"/>
    </xf>
    <xf numFmtId="49" fontId="17" fillId="0" borderId="15" xfId="0" applyNumberFormat="1" applyFont="1" applyBorder="1" applyAlignment="1">
      <alignment horizontal="right"/>
    </xf>
    <xf numFmtId="165" fontId="3" fillId="0" borderId="9" xfId="0" applyFont="1" applyBorder="1" applyAlignment="1">
      <alignment horizontal="center"/>
    </xf>
    <xf numFmtId="165" fontId="23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right"/>
    </xf>
    <xf numFmtId="0" fontId="19" fillId="0" borderId="10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right"/>
    </xf>
    <xf numFmtId="49" fontId="19" fillId="0" borderId="5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left"/>
    </xf>
    <xf numFmtId="173" fontId="17" fillId="0" borderId="6" xfId="0" applyNumberFormat="1" applyFont="1" applyBorder="1"/>
    <xf numFmtId="165" fontId="17" fillId="0" borderId="6" xfId="0" applyFont="1" applyBorder="1" applyAlignment="1">
      <alignment horizontal="fill"/>
    </xf>
    <xf numFmtId="49" fontId="19" fillId="0" borderId="3" xfId="0" applyNumberFormat="1" applyFont="1" applyBorder="1" applyAlignment="1">
      <alignment horizontal="center"/>
    </xf>
    <xf numFmtId="164" fontId="19" fillId="0" borderId="3" xfId="1" applyFont="1" applyFill="1" applyBorder="1"/>
    <xf numFmtId="49" fontId="17" fillId="0" borderId="10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right"/>
    </xf>
    <xf numFmtId="165" fontId="17" fillId="0" borderId="6" xfId="0" applyFont="1" applyBorder="1" applyAlignment="1">
      <alignment horizontal="left"/>
    </xf>
    <xf numFmtId="49" fontId="17" fillId="0" borderId="10" xfId="0" applyNumberFormat="1" applyFont="1" applyBorder="1" applyAlignment="1">
      <alignment horizontal="right"/>
    </xf>
    <xf numFmtId="166" fontId="19" fillId="0" borderId="8" xfId="0" applyNumberFormat="1" applyFont="1" applyBorder="1"/>
    <xf numFmtId="49" fontId="19" fillId="0" borderId="6" xfId="0" applyNumberFormat="1" applyFont="1" applyBorder="1" applyAlignment="1">
      <alignment horizontal="right"/>
    </xf>
    <xf numFmtId="165" fontId="19" fillId="0" borderId="6" xfId="0" applyFont="1" applyBorder="1" applyAlignment="1">
      <alignment horizontal="left"/>
    </xf>
    <xf numFmtId="166" fontId="19" fillId="0" borderId="11" xfId="0" applyNumberFormat="1" applyFont="1" applyBorder="1" applyAlignment="1">
      <alignment horizontal="right"/>
    </xf>
    <xf numFmtId="9" fontId="17" fillId="0" borderId="11" xfId="0" applyNumberFormat="1" applyFont="1" applyBorder="1"/>
    <xf numFmtId="166" fontId="17" fillId="0" borderId="11" xfId="0" applyNumberFormat="1" applyFont="1" applyBorder="1"/>
    <xf numFmtId="165" fontId="19" fillId="0" borderId="11" xfId="0" applyFont="1" applyBorder="1"/>
    <xf numFmtId="167" fontId="17" fillId="0" borderId="6" xfId="0" applyNumberFormat="1" applyFont="1" applyBorder="1"/>
    <xf numFmtId="165" fontId="17" fillId="0" borderId="2" xfId="0" applyFont="1" applyBorder="1" applyAlignment="1">
      <alignment horizontal="left"/>
    </xf>
    <xf numFmtId="49" fontId="19" fillId="0" borderId="10" xfId="0" applyNumberFormat="1" applyFont="1" applyBorder="1" applyAlignment="1">
      <alignment horizontal="center"/>
    </xf>
    <xf numFmtId="165" fontId="19" fillId="0" borderId="10" xfId="0" applyFont="1" applyBorder="1" applyAlignment="1">
      <alignment horizontal="center"/>
    </xf>
    <xf numFmtId="165" fontId="19" fillId="0" borderId="5" xfId="0" applyFont="1" applyBorder="1" applyAlignment="1">
      <alignment horizontal="center"/>
    </xf>
    <xf numFmtId="164" fontId="19" fillId="0" borderId="6" xfId="1" applyFont="1" applyFill="1" applyBorder="1"/>
    <xf numFmtId="49" fontId="17" fillId="0" borderId="3" xfId="0" applyNumberFormat="1" applyFont="1" applyBorder="1" applyAlignment="1">
      <alignment horizontal="right"/>
    </xf>
    <xf numFmtId="174" fontId="17" fillId="0" borderId="3" xfId="0" applyNumberFormat="1" applyFont="1" applyBorder="1" applyAlignment="1">
      <alignment horizontal="left"/>
    </xf>
    <xf numFmtId="49" fontId="19" fillId="0" borderId="6" xfId="0" applyNumberFormat="1" applyFont="1" applyBorder="1" applyAlignment="1">
      <alignment horizontal="center" wrapText="1"/>
    </xf>
    <xf numFmtId="165" fontId="19" fillId="0" borderId="6" xfId="0" applyFont="1" applyBorder="1" applyAlignment="1">
      <alignment horizontal="center" wrapText="1"/>
    </xf>
    <xf numFmtId="165" fontId="19" fillId="0" borderId="6" xfId="0" applyFont="1" applyBorder="1" applyAlignment="1">
      <alignment wrapText="1"/>
    </xf>
    <xf numFmtId="174" fontId="17" fillId="0" borderId="6" xfId="0" applyNumberFormat="1" applyFont="1" applyBorder="1" applyAlignment="1">
      <alignment horizontal="left"/>
    </xf>
    <xf numFmtId="49" fontId="19" fillId="0" borderId="6" xfId="0" applyNumberFormat="1" applyFont="1" applyBorder="1" applyAlignment="1">
      <alignment horizontal="center"/>
    </xf>
    <xf numFmtId="165" fontId="19" fillId="0" borderId="6" xfId="0" applyFont="1" applyBorder="1" applyAlignment="1">
      <alignment horizontal="center"/>
    </xf>
    <xf numFmtId="165" fontId="17" fillId="0" borderId="10" xfId="0" applyFont="1" applyBorder="1" applyAlignment="1">
      <alignment horizontal="center"/>
    </xf>
    <xf numFmtId="165" fontId="19" fillId="0" borderId="1" xfId="0" applyFont="1" applyBorder="1" applyAlignment="1">
      <alignment horizontal="right" wrapText="1"/>
    </xf>
    <xf numFmtId="10" fontId="2" fillId="0" borderId="0" xfId="3" applyNumberFormat="1" applyFont="1" applyFill="1" applyBorder="1" applyAlignment="1">
      <alignment horizontal="right"/>
    </xf>
    <xf numFmtId="166" fontId="17" fillId="0" borderId="10" xfId="0" applyNumberFormat="1" applyFont="1" applyBorder="1"/>
    <xf numFmtId="166" fontId="19" fillId="0" borderId="9" xfId="0" applyNumberFormat="1" applyFont="1" applyBorder="1" applyAlignment="1">
      <alignment horizontal="right" wrapText="1"/>
    </xf>
    <xf numFmtId="166" fontId="17" fillId="0" borderId="10" xfId="0" applyNumberFormat="1" applyFont="1" applyBorder="1" applyAlignment="1">
      <alignment horizontal="right"/>
    </xf>
    <xf numFmtId="166" fontId="17" fillId="0" borderId="10" xfId="0" applyNumberFormat="1" applyFont="1" applyBorder="1" applyAlignment="1">
      <alignment horizontal="left"/>
    </xf>
    <xf numFmtId="166" fontId="17" fillId="0" borderId="5" xfId="0" applyNumberFormat="1" applyFont="1" applyBorder="1" applyAlignment="1">
      <alignment horizontal="left"/>
    </xf>
    <xf numFmtId="170" fontId="17" fillId="0" borderId="6" xfId="1" applyNumberFormat="1" applyFont="1" applyFill="1" applyBorder="1"/>
    <xf numFmtId="166" fontId="17" fillId="0" borderId="2" xfId="0" applyNumberFormat="1" applyFont="1" applyBorder="1" applyAlignment="1">
      <alignment horizontal="left"/>
    </xf>
    <xf numFmtId="170" fontId="17" fillId="0" borderId="3" xfId="1" applyNumberFormat="1" applyFont="1" applyFill="1" applyBorder="1"/>
    <xf numFmtId="165" fontId="23" fillId="0" borderId="5" xfId="0" applyFont="1" applyBorder="1" applyAlignment="1">
      <alignment horizontal="center"/>
    </xf>
    <xf numFmtId="165" fontId="23" fillId="0" borderId="6" xfId="0" applyFont="1" applyBorder="1" applyAlignment="1">
      <alignment horizontal="center"/>
    </xf>
    <xf numFmtId="165" fontId="23" fillId="0" borderId="2" xfId="0" applyFont="1" applyBorder="1" applyAlignment="1">
      <alignment horizontal="center"/>
    </xf>
    <xf numFmtId="165" fontId="23" fillId="0" borderId="3" xfId="0" applyFont="1" applyBorder="1" applyAlignment="1">
      <alignment horizontal="center"/>
    </xf>
    <xf numFmtId="166" fontId="19" fillId="0" borderId="10" xfId="0" applyNumberFormat="1" applyFont="1" applyBorder="1" applyAlignment="1">
      <alignment horizontal="right" wrapText="1"/>
    </xf>
    <xf numFmtId="166" fontId="19" fillId="0" borderId="10" xfId="0" applyNumberFormat="1" applyFont="1" applyBorder="1" applyAlignment="1">
      <alignment horizontal="right"/>
    </xf>
    <xf numFmtId="166" fontId="19" fillId="0" borderId="5" xfId="0" applyNumberFormat="1" applyFont="1" applyBorder="1" applyAlignment="1">
      <alignment horizontal="right"/>
    </xf>
    <xf numFmtId="165" fontId="29" fillId="0" borderId="6" xfId="0" applyFont="1" applyBorder="1"/>
    <xf numFmtId="166" fontId="19" fillId="0" borderId="6" xfId="0" applyNumberFormat="1" applyFont="1" applyBorder="1"/>
    <xf numFmtId="166" fontId="3" fillId="0" borderId="6" xfId="0" applyNumberFormat="1" applyFont="1" applyBorder="1"/>
    <xf numFmtId="166" fontId="19" fillId="0" borderId="10" xfId="0" applyNumberFormat="1" applyFont="1" applyBorder="1" applyAlignment="1">
      <alignment horizontal="center" wrapText="1"/>
    </xf>
    <xf numFmtId="166" fontId="19" fillId="0" borderId="10" xfId="0" applyNumberFormat="1" applyFont="1" applyBorder="1" applyAlignment="1">
      <alignment horizontal="center"/>
    </xf>
    <xf numFmtId="166" fontId="17" fillId="0" borderId="10" xfId="0" applyNumberFormat="1" applyFont="1" applyBorder="1" applyAlignment="1">
      <alignment horizontal="center"/>
    </xf>
    <xf numFmtId="166" fontId="19" fillId="0" borderId="10" xfId="0" applyNumberFormat="1" applyFont="1" applyBorder="1"/>
    <xf numFmtId="166" fontId="17" fillId="0" borderId="5" xfId="0" applyNumberFormat="1" applyFont="1" applyBorder="1" applyAlignment="1">
      <alignment horizontal="right"/>
    </xf>
    <xf numFmtId="170" fontId="17" fillId="0" borderId="6" xfId="1" applyNumberFormat="1" applyFont="1" applyFill="1" applyBorder="1" applyProtection="1"/>
    <xf numFmtId="166" fontId="17" fillId="0" borderId="2" xfId="0" applyNumberFormat="1" applyFont="1" applyBorder="1" applyAlignment="1">
      <alignment horizontal="right"/>
    </xf>
    <xf numFmtId="170" fontId="17" fillId="0" borderId="3" xfId="1" applyNumberFormat="1" applyFont="1" applyFill="1" applyBorder="1" applyProtection="1"/>
    <xf numFmtId="164" fontId="17" fillId="0" borderId="11" xfId="1" applyFont="1" applyFill="1" applyBorder="1" applyProtection="1"/>
    <xf numFmtId="164" fontId="17" fillId="0" borderId="3" xfId="1" applyFont="1" applyFill="1" applyBorder="1" applyProtection="1"/>
    <xf numFmtId="164" fontId="17" fillId="0" borderId="11" xfId="1" applyFont="1" applyFill="1" applyBorder="1"/>
    <xf numFmtId="164" fontId="17" fillId="0" borderId="11" xfId="1" applyFont="1" applyFill="1" applyBorder="1" applyAlignment="1" applyProtection="1">
      <alignment horizontal="right"/>
    </xf>
    <xf numFmtId="164" fontId="19" fillId="0" borderId="11" xfId="1" applyFont="1" applyFill="1" applyBorder="1" applyProtection="1"/>
    <xf numFmtId="164" fontId="17" fillId="0" borderId="11" xfId="1" applyFont="1" applyFill="1" applyBorder="1" applyAlignment="1" applyProtection="1">
      <alignment horizontal="fill"/>
    </xf>
    <xf numFmtId="166" fontId="17" fillId="0" borderId="5" xfId="0" applyNumberFormat="1" applyFont="1" applyBorder="1"/>
    <xf numFmtId="166" fontId="17" fillId="0" borderId="2" xfId="0" applyNumberFormat="1" applyFont="1" applyBorder="1"/>
    <xf numFmtId="166" fontId="19" fillId="0" borderId="9" xfId="0" applyNumberFormat="1" applyFont="1" applyBorder="1" applyAlignment="1">
      <alignment horizontal="right"/>
    </xf>
    <xf numFmtId="10" fontId="19" fillId="0" borderId="11" xfId="3" applyNumberFormat="1" applyFont="1" applyFill="1" applyBorder="1"/>
    <xf numFmtId="164" fontId="23" fillId="0" borderId="10" xfId="1" applyFont="1" applyFill="1" applyBorder="1" applyAlignment="1">
      <alignment horizontal="center"/>
    </xf>
    <xf numFmtId="165" fontId="19" fillId="0" borderId="10" xfId="0" applyFont="1" applyBorder="1"/>
    <xf numFmtId="164" fontId="17" fillId="0" borderId="11" xfId="1" applyFont="1" applyFill="1" applyBorder="1" applyAlignment="1"/>
    <xf numFmtId="165" fontId="17" fillId="0" borderId="2" xfId="0" applyFont="1" applyBorder="1"/>
    <xf numFmtId="166" fontId="19" fillId="0" borderId="11" xfId="0" applyNumberFormat="1" applyFont="1" applyBorder="1" applyAlignment="1">
      <alignment horizontal="center"/>
    </xf>
    <xf numFmtId="166" fontId="19" fillId="0" borderId="9" xfId="0" applyNumberFormat="1" applyFont="1" applyBorder="1" applyAlignment="1">
      <alignment horizontal="center" wrapText="1"/>
    </xf>
    <xf numFmtId="166" fontId="17" fillId="0" borderId="9" xfId="0" applyNumberFormat="1" applyFont="1" applyBorder="1"/>
    <xf numFmtId="165" fontId="17" fillId="0" borderId="19" xfId="0" applyFont="1" applyBorder="1"/>
    <xf numFmtId="164" fontId="19" fillId="0" borderId="19" xfId="1" applyFont="1" applyFill="1" applyBorder="1"/>
    <xf numFmtId="165" fontId="19" fillId="0" borderId="19" xfId="0" applyFont="1" applyBorder="1"/>
    <xf numFmtId="165" fontId="19" fillId="0" borderId="15" xfId="0" applyFont="1" applyBorder="1" applyAlignment="1">
      <alignment horizontal="left"/>
    </xf>
    <xf numFmtId="166" fontId="19" fillId="0" borderId="15" xfId="0" applyNumberFormat="1" applyFont="1" applyBorder="1" applyAlignment="1">
      <alignment horizontal="right"/>
    </xf>
    <xf numFmtId="165" fontId="23" fillId="0" borderId="11" xfId="0" applyFont="1" applyBorder="1" applyAlignment="1">
      <alignment horizontal="center"/>
    </xf>
    <xf numFmtId="170" fontId="19" fillId="0" borderId="8" xfId="1" applyNumberFormat="1" applyFont="1" applyFill="1" applyBorder="1" applyAlignment="1">
      <alignment horizontal="center" wrapText="1"/>
    </xf>
    <xf numFmtId="164" fontId="17" fillId="0" borderId="4" xfId="1" applyFont="1" applyFill="1" applyBorder="1"/>
    <xf numFmtId="164" fontId="17" fillId="0" borderId="7" xfId="1" applyFont="1" applyFill="1" applyBorder="1"/>
    <xf numFmtId="165" fontId="19" fillId="0" borderId="10" xfId="0" applyFont="1" applyBorder="1" applyAlignment="1">
      <alignment horizontal="left"/>
    </xf>
    <xf numFmtId="166" fontId="8" fillId="0" borderId="5" xfId="0" applyNumberFormat="1" applyFont="1" applyBorder="1" applyAlignment="1">
      <alignment horizontal="right"/>
    </xf>
    <xf numFmtId="166" fontId="6" fillId="0" borderId="2" xfId="0" applyNumberFormat="1" applyFont="1" applyBorder="1"/>
    <xf numFmtId="166" fontId="6" fillId="0" borderId="5" xfId="0" applyNumberFormat="1" applyFont="1" applyBorder="1"/>
    <xf numFmtId="166" fontId="8" fillId="0" borderId="2" xfId="0" applyNumberFormat="1" applyFont="1" applyBorder="1" applyAlignment="1">
      <alignment horizontal="right"/>
    </xf>
    <xf numFmtId="165" fontId="9" fillId="0" borderId="13" xfId="0" applyFont="1" applyBorder="1" applyAlignment="1">
      <alignment horizontal="right"/>
    </xf>
    <xf numFmtId="166" fontId="9" fillId="0" borderId="2" xfId="0" applyNumberFormat="1" applyFont="1" applyBorder="1" applyAlignment="1">
      <alignment horizontal="center"/>
    </xf>
    <xf numFmtId="166" fontId="9" fillId="0" borderId="14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9" fontId="8" fillId="0" borderId="14" xfId="1" applyNumberFormat="1" applyFont="1" applyFill="1" applyBorder="1" applyAlignment="1" applyProtection="1">
      <alignment horizontal="right"/>
    </xf>
    <xf numFmtId="2" fontId="8" fillId="0" borderId="13" xfId="0" applyNumberFormat="1" applyFont="1" applyBorder="1" applyAlignment="1">
      <alignment horizontal="right"/>
    </xf>
    <xf numFmtId="164" fontId="9" fillId="0" borderId="14" xfId="1" applyFont="1" applyFill="1" applyBorder="1" applyAlignment="1" applyProtection="1">
      <alignment horizontal="right"/>
    </xf>
    <xf numFmtId="164" fontId="9" fillId="0" borderId="2" xfId="1" applyFont="1" applyFill="1" applyBorder="1" applyAlignment="1" applyProtection="1">
      <alignment horizontal="right"/>
    </xf>
    <xf numFmtId="166" fontId="7" fillId="0" borderId="14" xfId="0" applyNumberFormat="1" applyFont="1" applyBorder="1"/>
    <xf numFmtId="166" fontId="7" fillId="0" borderId="3" xfId="0" applyNumberFormat="1" applyFont="1" applyBorder="1"/>
    <xf numFmtId="164" fontId="9" fillId="0" borderId="13" xfId="1" applyFont="1" applyFill="1" applyBorder="1" applyAlignment="1" applyProtection="1">
      <alignment horizontal="right"/>
    </xf>
    <xf numFmtId="164" fontId="9" fillId="0" borderId="10" xfId="1" applyFont="1" applyFill="1" applyBorder="1" applyAlignment="1" applyProtection="1">
      <alignment horizontal="right"/>
    </xf>
    <xf numFmtId="166" fontId="7" fillId="0" borderId="13" xfId="0" applyNumberFormat="1" applyFont="1" applyBorder="1"/>
    <xf numFmtId="164" fontId="9" fillId="0" borderId="11" xfId="1" applyFont="1" applyFill="1" applyBorder="1" applyAlignment="1" applyProtection="1">
      <alignment horizontal="right"/>
    </xf>
    <xf numFmtId="166" fontId="8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39" fontId="13" fillId="0" borderId="10" xfId="2" applyFont="1" applyBorder="1"/>
    <xf numFmtId="166" fontId="13" fillId="0" borderId="10" xfId="2" applyNumberFormat="1" applyFont="1" applyBorder="1"/>
    <xf numFmtId="39" fontId="13" fillId="0" borderId="10" xfId="2" applyFont="1" applyBorder="1" applyAlignment="1">
      <alignment horizontal="left"/>
    </xf>
    <xf numFmtId="39" fontId="13" fillId="0" borderId="2" xfId="2" applyFont="1" applyBorder="1" applyAlignment="1">
      <alignment horizontal="center"/>
    </xf>
    <xf numFmtId="39" fontId="13" fillId="0" borderId="10" xfId="2" applyFont="1" applyBorder="1" applyAlignment="1">
      <alignment horizontal="center"/>
    </xf>
    <xf numFmtId="39" fontId="13" fillId="0" borderId="5" xfId="2" applyFont="1" applyBorder="1"/>
    <xf numFmtId="39" fontId="13" fillId="0" borderId="9" xfId="2" applyFont="1" applyBorder="1" applyAlignment="1">
      <alignment horizontal="center"/>
    </xf>
    <xf numFmtId="39" fontId="14" fillId="0" borderId="10" xfId="2" applyFont="1" applyBorder="1" applyAlignment="1">
      <alignment horizontal="center"/>
    </xf>
    <xf numFmtId="39" fontId="14" fillId="0" borderId="10" xfId="2" applyFont="1" applyBorder="1"/>
    <xf numFmtId="39" fontId="14" fillId="0" borderId="5" xfId="2" applyFont="1" applyBorder="1"/>
    <xf numFmtId="166" fontId="8" fillId="0" borderId="2" xfId="0" applyNumberFormat="1" applyFont="1" applyBorder="1" applyAlignment="1">
      <alignment horizontal="left"/>
    </xf>
    <xf numFmtId="166" fontId="8" fillId="0" borderId="10" xfId="0" applyNumberFormat="1" applyFont="1" applyBorder="1" applyAlignment="1">
      <alignment horizontal="left"/>
    </xf>
    <xf numFmtId="166" fontId="8" fillId="0" borderId="5" xfId="0" applyNumberFormat="1" applyFont="1" applyBorder="1"/>
    <xf numFmtId="166" fontId="8" fillId="0" borderId="10" xfId="0" applyNumberFormat="1" applyFont="1" applyBorder="1"/>
    <xf numFmtId="166" fontId="8" fillId="0" borderId="3" xfId="0" applyNumberFormat="1" applyFont="1" applyBorder="1" applyAlignment="1">
      <alignment horizontal="left"/>
    </xf>
    <xf numFmtId="166" fontId="9" fillId="0" borderId="10" xfId="0" applyNumberFormat="1" applyFont="1" applyBorder="1" applyAlignment="1">
      <alignment horizontal="left"/>
    </xf>
    <xf numFmtId="166" fontId="8" fillId="0" borderId="2" xfId="0" applyNumberFormat="1" applyFont="1" applyBorder="1"/>
    <xf numFmtId="166" fontId="9" fillId="0" borderId="10" xfId="0" applyNumberFormat="1" applyFont="1" applyBorder="1" applyAlignment="1">
      <alignment horizontal="center"/>
    </xf>
    <xf numFmtId="164" fontId="8" fillId="0" borderId="6" xfId="1" applyFont="1" applyFill="1" applyBorder="1" applyAlignment="1">
      <alignment horizontal="right"/>
    </xf>
    <xf numFmtId="166" fontId="7" fillId="0" borderId="10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left"/>
    </xf>
    <xf numFmtId="166" fontId="8" fillId="0" borderId="2" xfId="2" applyNumberFormat="1" applyFont="1" applyBorder="1" applyAlignment="1">
      <alignment horizontal="left"/>
    </xf>
    <xf numFmtId="39" fontId="8" fillId="0" borderId="3" xfId="2" applyFont="1" applyBorder="1" applyAlignment="1">
      <alignment horizontal="left"/>
    </xf>
    <xf numFmtId="39" fontId="8" fillId="0" borderId="3" xfId="2" applyFont="1" applyBorder="1"/>
    <xf numFmtId="166" fontId="8" fillId="0" borderId="10" xfId="2" applyNumberFormat="1" applyFont="1" applyBorder="1"/>
    <xf numFmtId="166" fontId="8" fillId="0" borderId="10" xfId="2" applyNumberFormat="1" applyFont="1" applyBorder="1" applyAlignment="1">
      <alignment horizontal="left"/>
    </xf>
    <xf numFmtId="166" fontId="8" fillId="0" borderId="5" xfId="2" applyNumberFormat="1" applyFont="1" applyBorder="1"/>
    <xf numFmtId="39" fontId="8" fillId="0" borderId="6" xfId="2" applyFont="1" applyBorder="1"/>
    <xf numFmtId="39" fontId="8" fillId="0" borderId="6" xfId="2" applyFont="1" applyBorder="1" applyAlignment="1">
      <alignment horizontal="left"/>
    </xf>
    <xf numFmtId="39" fontId="8" fillId="0" borderId="6" xfId="2" applyFont="1" applyBorder="1" applyProtection="1">
      <protection locked="0"/>
    </xf>
    <xf numFmtId="49" fontId="19" fillId="2" borderId="9" xfId="0" applyNumberFormat="1" applyFont="1" applyFill="1" applyBorder="1" applyAlignment="1">
      <alignment horizontal="center" wrapText="1"/>
    </xf>
    <xf numFmtId="165" fontId="19" fillId="2" borderId="9" xfId="0" applyFont="1" applyFill="1" applyBorder="1" applyAlignment="1">
      <alignment horizontal="center" wrapText="1"/>
    </xf>
    <xf numFmtId="165" fontId="0" fillId="0" borderId="15" xfId="0" applyBorder="1" applyAlignment="1">
      <alignment horizontal="left"/>
    </xf>
    <xf numFmtId="165" fontId="19" fillId="0" borderId="9" xfId="0" applyFont="1" applyBorder="1" applyAlignment="1">
      <alignment horizontal="center"/>
    </xf>
    <xf numFmtId="165" fontId="19" fillId="0" borderId="1" xfId="0" applyFont="1" applyBorder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11" xfId="0" applyNumberFormat="1" applyFont="1" applyBorder="1" applyAlignment="1">
      <alignment horizontal="center"/>
    </xf>
    <xf numFmtId="165" fontId="33" fillId="0" borderId="0" xfId="0" applyFont="1"/>
    <xf numFmtId="165" fontId="33" fillId="0" borderId="16" xfId="0" applyFont="1" applyBorder="1"/>
    <xf numFmtId="175" fontId="17" fillId="0" borderId="0" xfId="3" applyNumberFormat="1" applyFont="1" applyFill="1" applyBorder="1"/>
    <xf numFmtId="164" fontId="19" fillId="0" borderId="15" xfId="1" applyFont="1" applyBorder="1" applyAlignment="1">
      <alignment horizontal="left"/>
    </xf>
    <xf numFmtId="0" fontId="17" fillId="0" borderId="15" xfId="0" applyNumberFormat="1" applyFont="1" applyBorder="1" applyAlignment="1">
      <alignment horizontal="right"/>
    </xf>
    <xf numFmtId="10" fontId="17" fillId="0" borderId="15" xfId="3" applyNumberFormat="1" applyFont="1" applyBorder="1" applyAlignment="1">
      <alignment horizontal="right"/>
    </xf>
    <xf numFmtId="49" fontId="19" fillId="4" borderId="15" xfId="0" applyNumberFormat="1" applyFont="1" applyFill="1" applyBorder="1" applyAlignment="1">
      <alignment horizontal="center" wrapText="1"/>
    </xf>
    <xf numFmtId="49" fontId="19" fillId="4" borderId="9" xfId="0" applyNumberFormat="1" applyFont="1" applyFill="1" applyBorder="1" applyAlignment="1">
      <alignment horizontal="center" wrapText="1"/>
    </xf>
    <xf numFmtId="165" fontId="19" fillId="4" borderId="9" xfId="0" applyFont="1" applyFill="1" applyBorder="1" applyAlignment="1">
      <alignment horizontal="center" wrapText="1"/>
    </xf>
    <xf numFmtId="165" fontId="19" fillId="4" borderId="15" xfId="0" applyFont="1" applyFill="1" applyBorder="1" applyAlignment="1">
      <alignment wrapText="1"/>
    </xf>
    <xf numFmtId="174" fontId="17" fillId="4" borderId="14" xfId="0" applyNumberFormat="1" applyFont="1" applyFill="1" applyBorder="1" applyAlignment="1">
      <alignment horizontal="left"/>
    </xf>
    <xf numFmtId="43" fontId="17" fillId="4" borderId="2" xfId="0" applyNumberFormat="1" applyFont="1" applyFill="1" applyBorder="1" applyAlignment="1">
      <alignment horizontal="center"/>
    </xf>
    <xf numFmtId="43" fontId="17" fillId="4" borderId="2" xfId="0" applyNumberFormat="1" applyFont="1" applyFill="1" applyBorder="1"/>
    <xf numFmtId="164" fontId="19" fillId="4" borderId="2" xfId="1" applyFont="1" applyFill="1" applyBorder="1"/>
    <xf numFmtId="174" fontId="17" fillId="4" borderId="13" xfId="0" applyNumberFormat="1" applyFont="1" applyFill="1" applyBorder="1" applyAlignment="1">
      <alignment horizontal="left"/>
    </xf>
    <xf numFmtId="43" fontId="17" fillId="4" borderId="10" xfId="0" applyNumberFormat="1" applyFont="1" applyFill="1" applyBorder="1" applyAlignment="1">
      <alignment horizontal="center"/>
    </xf>
    <xf numFmtId="43" fontId="17" fillId="4" borderId="10" xfId="0" applyNumberFormat="1" applyFont="1" applyFill="1" applyBorder="1"/>
    <xf numFmtId="164" fontId="19" fillId="4" borderId="10" xfId="1" applyFont="1" applyFill="1" applyBorder="1"/>
    <xf numFmtId="43" fontId="17" fillId="4" borderId="13" xfId="0" applyNumberFormat="1" applyFont="1" applyFill="1" applyBorder="1"/>
    <xf numFmtId="174" fontId="17" fillId="4" borderId="9" xfId="0" applyNumberFormat="1" applyFont="1" applyFill="1" applyBorder="1" applyAlignment="1">
      <alignment horizontal="left"/>
    </xf>
    <xf numFmtId="49" fontId="19" fillId="4" borderId="1" xfId="0" applyNumberFormat="1" applyFont="1" applyFill="1" applyBorder="1" applyAlignment="1">
      <alignment horizontal="center"/>
    </xf>
    <xf numFmtId="164" fontId="19" fillId="4" borderId="1" xfId="1" applyFont="1" applyFill="1" applyBorder="1"/>
    <xf numFmtId="165" fontId="17" fillId="4" borderId="1" xfId="0" applyFont="1" applyFill="1" applyBorder="1"/>
    <xf numFmtId="164" fontId="19" fillId="4" borderId="8" xfId="1" applyFont="1" applyFill="1" applyBorder="1"/>
    <xf numFmtId="165" fontId="19" fillId="0" borderId="11" xfId="0" applyFont="1" applyBorder="1" applyAlignment="1">
      <alignment horizontal="center"/>
    </xf>
    <xf numFmtId="10" fontId="34" fillId="0" borderId="15" xfId="3" applyNumberFormat="1" applyFont="1" applyBorder="1"/>
    <xf numFmtId="165" fontId="35" fillId="0" borderId="0" xfId="0" applyFont="1"/>
    <xf numFmtId="2" fontId="17" fillId="0" borderId="0" xfId="0" applyNumberFormat="1" applyFont="1"/>
    <xf numFmtId="49" fontId="3" fillId="0" borderId="0" xfId="0" applyNumberFormat="1" applyFont="1" applyAlignment="1">
      <alignment horizontal="left"/>
    </xf>
    <xf numFmtId="165" fontId="4" fillId="0" borderId="0" xfId="0" applyFont="1"/>
    <xf numFmtId="166" fontId="2" fillId="0" borderId="0" xfId="0" applyNumberFormat="1" applyFont="1" applyAlignment="1">
      <alignment horizontal="left"/>
    </xf>
    <xf numFmtId="167" fontId="2" fillId="0" borderId="0" xfId="0" applyNumberFormat="1" applyFont="1"/>
    <xf numFmtId="173" fontId="17" fillId="0" borderId="0" xfId="0" applyNumberFormat="1" applyFont="1"/>
    <xf numFmtId="17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right"/>
    </xf>
    <xf numFmtId="9" fontId="17" fillId="0" borderId="0" xfId="0" applyNumberFormat="1" applyFont="1" applyAlignment="1">
      <alignment horizontal="center"/>
    </xf>
    <xf numFmtId="171" fontId="17" fillId="0" borderId="0" xfId="0" applyNumberFormat="1" applyFont="1" applyAlignment="1">
      <alignment horizontal="left"/>
    </xf>
    <xf numFmtId="165" fontId="3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174" fontId="17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167" fontId="17" fillId="0" borderId="0" xfId="0" applyNumberFormat="1" applyFont="1"/>
    <xf numFmtId="164" fontId="19" fillId="0" borderId="4" xfId="1" applyFont="1" applyFill="1" applyBorder="1"/>
    <xf numFmtId="164" fontId="19" fillId="0" borderId="7" xfId="1" applyFont="1" applyFill="1" applyBorder="1"/>
    <xf numFmtId="164" fontId="19" fillId="0" borderId="11" xfId="1" applyFont="1" applyFill="1" applyBorder="1"/>
    <xf numFmtId="49" fontId="19" fillId="0" borderId="0" xfId="0" applyNumberFormat="1" applyFont="1" applyAlignment="1">
      <alignment horizontal="center" wrapText="1"/>
    </xf>
    <xf numFmtId="165" fontId="19" fillId="0" borderId="0" xfId="0" applyFont="1" applyAlignment="1">
      <alignment horizontal="center" wrapText="1"/>
    </xf>
    <xf numFmtId="165" fontId="19" fillId="0" borderId="0" xfId="0" applyFont="1" applyAlignment="1">
      <alignment wrapText="1"/>
    </xf>
    <xf numFmtId="166" fontId="23" fillId="0" borderId="0" xfId="0" applyNumberFormat="1" applyFont="1" applyAlignment="1">
      <alignment horizontal="center"/>
    </xf>
    <xf numFmtId="165" fontId="26" fillId="0" borderId="0" xfId="0" applyFont="1" applyAlignment="1">
      <alignment horizontal="left"/>
    </xf>
    <xf numFmtId="39" fontId="13" fillId="0" borderId="0" xfId="2" applyFont="1"/>
    <xf numFmtId="39" fontId="13" fillId="0" borderId="0" xfId="2" applyFont="1" applyProtection="1">
      <protection locked="0"/>
    </xf>
    <xf numFmtId="165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right"/>
    </xf>
    <xf numFmtId="39" fontId="13" fillId="0" borderId="0" xfId="2" applyFont="1" applyAlignment="1" applyProtection="1">
      <alignment horizontal="center"/>
      <protection locked="0"/>
    </xf>
    <xf numFmtId="39" fontId="13" fillId="0" borderId="0" xfId="2" applyFont="1" applyAlignment="1">
      <alignment horizontal="center"/>
    </xf>
    <xf numFmtId="39" fontId="13" fillId="0" borderId="0" xfId="2" applyFont="1" applyAlignment="1" applyProtection="1">
      <alignment horizontal="left"/>
      <protection locked="0"/>
    </xf>
    <xf numFmtId="39" fontId="13" fillId="0" borderId="0" xfId="2" applyFont="1" applyAlignment="1">
      <alignment horizontal="left"/>
    </xf>
    <xf numFmtId="39" fontId="14" fillId="0" borderId="0" xfId="2" applyFont="1" applyAlignment="1">
      <alignment horizontal="left"/>
    </xf>
    <xf numFmtId="39" fontId="14" fillId="0" borderId="0" xfId="2" applyFont="1"/>
    <xf numFmtId="166" fontId="7" fillId="0" borderId="0" xfId="0" applyNumberFormat="1" applyFont="1"/>
    <xf numFmtId="39" fontId="14" fillId="0" borderId="0" xfId="2" applyFont="1" applyAlignment="1">
      <alignment horizontal="right"/>
    </xf>
    <xf numFmtId="39" fontId="14" fillId="0" borderId="0" xfId="2" applyFont="1" applyProtection="1">
      <protection locked="0"/>
    </xf>
    <xf numFmtId="39" fontId="13" fillId="0" borderId="0" xfId="2" applyFont="1" applyAlignment="1">
      <alignment horizontal="right"/>
    </xf>
    <xf numFmtId="39" fontId="13" fillId="0" borderId="0" xfId="2" applyFont="1" applyAlignment="1" applyProtection="1">
      <alignment horizontal="right"/>
      <protection locked="0"/>
    </xf>
    <xf numFmtId="166" fontId="7" fillId="0" borderId="0" xfId="0" applyNumberFormat="1" applyFont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8" fillId="0" borderId="0" xfId="0" applyNumberFormat="1" applyFont="1"/>
    <xf numFmtId="166" fontId="8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center"/>
    </xf>
    <xf numFmtId="166" fontId="9" fillId="0" borderId="11" xfId="0" applyNumberFormat="1" applyFont="1" applyBorder="1" applyAlignment="1">
      <alignment horizontal="center"/>
    </xf>
    <xf numFmtId="166" fontId="9" fillId="0" borderId="0" xfId="0" applyNumberFormat="1" applyFont="1"/>
    <xf numFmtId="2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65" fontId="9" fillId="0" borderId="0" xfId="0" applyFont="1" applyAlignment="1">
      <alignment horizontal="right"/>
    </xf>
    <xf numFmtId="164" fontId="8" fillId="0" borderId="0" xfId="0" applyNumberFormat="1" applyFont="1"/>
    <xf numFmtId="164" fontId="8" fillId="0" borderId="8" xfId="1" applyFont="1" applyFill="1" applyBorder="1" applyAlignment="1">
      <alignment horizontal="right"/>
    </xf>
    <xf numFmtId="164" fontId="8" fillId="0" borderId="4" xfId="1" applyFont="1" applyFill="1" applyBorder="1" applyAlignment="1">
      <alignment horizontal="right"/>
    </xf>
    <xf numFmtId="166" fontId="16" fillId="0" borderId="0" xfId="0" applyNumberFormat="1" applyFont="1" applyAlignment="1">
      <alignment horizontal="left"/>
    </xf>
    <xf numFmtId="165" fontId="8" fillId="0" borderId="0" xfId="0" applyFont="1"/>
    <xf numFmtId="165" fontId="8" fillId="0" borderId="11" xfId="0" applyFont="1" applyBorder="1"/>
    <xf numFmtId="166" fontId="8" fillId="0" borderId="11" xfId="0" applyNumberFormat="1" applyFont="1" applyBorder="1"/>
    <xf numFmtId="164" fontId="8" fillId="0" borderId="11" xfId="1" applyFont="1" applyFill="1" applyBorder="1"/>
    <xf numFmtId="39" fontId="8" fillId="0" borderId="0" xfId="2" applyFont="1" applyAlignment="1">
      <alignment horizontal="left"/>
    </xf>
    <xf numFmtId="39" fontId="8" fillId="0" borderId="0" xfId="2" applyFont="1"/>
    <xf numFmtId="171" fontId="8" fillId="0" borderId="0" xfId="2" applyNumberFormat="1" applyFont="1" applyProtection="1">
      <protection locked="0"/>
    </xf>
    <xf numFmtId="171" fontId="8" fillId="0" borderId="11" xfId="2" applyNumberFormat="1" applyFont="1" applyBorder="1" applyProtection="1">
      <protection locked="0"/>
    </xf>
    <xf numFmtId="39" fontId="8" fillId="0" borderId="0" xfId="2" applyFont="1" applyAlignment="1" applyProtection="1">
      <alignment horizontal="right"/>
      <protection locked="0"/>
    </xf>
    <xf numFmtId="39" fontId="8" fillId="0" borderId="11" xfId="2" applyFont="1" applyBorder="1" applyAlignment="1" applyProtection="1">
      <alignment horizontal="right"/>
      <protection locked="0"/>
    </xf>
    <xf numFmtId="39" fontId="8" fillId="0" borderId="0" xfId="2" applyFont="1" applyProtection="1">
      <protection locked="0"/>
    </xf>
    <xf numFmtId="39" fontId="8" fillId="0" borderId="11" xfId="2" applyFont="1" applyBorder="1" applyProtection="1">
      <protection locked="0"/>
    </xf>
    <xf numFmtId="39" fontId="8" fillId="0" borderId="11" xfId="2" applyFont="1" applyBorder="1"/>
    <xf numFmtId="165" fontId="17" fillId="5" borderId="0" xfId="0" applyFont="1" applyFill="1"/>
    <xf numFmtId="10" fontId="17" fillId="0" borderId="0" xfId="3" applyNumberFormat="1" applyFont="1"/>
    <xf numFmtId="176" fontId="17" fillId="0" borderId="0" xfId="3" applyNumberFormat="1" applyFont="1"/>
    <xf numFmtId="165" fontId="19" fillId="6" borderId="0" xfId="0" applyFont="1" applyFill="1" applyAlignment="1">
      <alignment horizontal="left"/>
    </xf>
    <xf numFmtId="165" fontId="19" fillId="6" borderId="0" xfId="0" applyFont="1" applyFill="1"/>
    <xf numFmtId="167" fontId="36" fillId="0" borderId="0" xfId="0" applyNumberFormat="1" applyFont="1"/>
    <xf numFmtId="166" fontId="36" fillId="0" borderId="0" xfId="0" applyNumberFormat="1" applyFont="1"/>
    <xf numFmtId="165" fontId="36" fillId="0" borderId="0" xfId="0" applyFont="1"/>
    <xf numFmtId="167" fontId="36" fillId="0" borderId="0" xfId="0" applyNumberFormat="1" applyFont="1" applyAlignment="1">
      <alignment horizontal="right"/>
    </xf>
    <xf numFmtId="166" fontId="36" fillId="0" borderId="0" xfId="0" applyNumberFormat="1" applyFont="1" applyAlignment="1">
      <alignment horizontal="left"/>
    </xf>
    <xf numFmtId="164" fontId="17" fillId="0" borderId="0" xfId="1" applyFont="1"/>
    <xf numFmtId="166" fontId="9" fillId="0" borderId="1" xfId="0" applyNumberFormat="1" applyFont="1" applyBorder="1" applyAlignment="1">
      <alignment horizontal="left"/>
    </xf>
    <xf numFmtId="166" fontId="7" fillId="0" borderId="1" xfId="0" applyNumberFormat="1" applyFont="1" applyBorder="1"/>
    <xf numFmtId="164" fontId="9" fillId="0" borderId="8" xfId="1" applyFont="1" applyFill="1" applyBorder="1" applyAlignment="1" applyProtection="1">
      <alignment horizontal="right"/>
    </xf>
    <xf numFmtId="166" fontId="9" fillId="0" borderId="9" xfId="0" applyNumberFormat="1" applyFont="1" applyBorder="1"/>
    <xf numFmtId="166" fontId="8" fillId="0" borderId="9" xfId="0" applyNumberFormat="1" applyFont="1" applyBorder="1" applyAlignment="1">
      <alignment horizontal="right"/>
    </xf>
    <xf numFmtId="164" fontId="6" fillId="0" borderId="0" xfId="1" applyFont="1"/>
    <xf numFmtId="9" fontId="8" fillId="0" borderId="11" xfId="3" applyFont="1" applyFill="1" applyBorder="1" applyAlignment="1" applyProtection="1">
      <alignment horizontal="right"/>
    </xf>
    <xf numFmtId="177" fontId="17" fillId="0" borderId="11" xfId="0" applyNumberFormat="1" applyFont="1" applyBorder="1"/>
    <xf numFmtId="177" fontId="6" fillId="0" borderId="0" xfId="0" applyNumberFormat="1" applyFont="1"/>
    <xf numFmtId="178" fontId="6" fillId="0" borderId="0" xfId="0" applyNumberFormat="1" applyFont="1"/>
    <xf numFmtId="165" fontId="31" fillId="0" borderId="0" xfId="0" applyFont="1"/>
    <xf numFmtId="166" fontId="31" fillId="0" borderId="0" xfId="0" applyNumberFormat="1" applyFont="1"/>
    <xf numFmtId="165" fontId="38" fillId="9" borderId="0" xfId="0" applyFont="1" applyFill="1"/>
    <xf numFmtId="165" fontId="38" fillId="9" borderId="0" xfId="0" applyFont="1" applyFill="1" applyAlignment="1">
      <alignment vertical="center"/>
    </xf>
    <xf numFmtId="165" fontId="37" fillId="8" borderId="0" xfId="0" applyFont="1" applyFill="1"/>
    <xf numFmtId="165" fontId="31" fillId="0" borderId="0" xfId="0" applyFont="1" applyAlignment="1">
      <alignment vertical="center"/>
    </xf>
    <xf numFmtId="165" fontId="38" fillId="9" borderId="0" xfId="0" applyFont="1" applyFill="1" applyAlignment="1">
      <alignment horizontal="center" vertical="center"/>
    </xf>
    <xf numFmtId="165" fontId="31" fillId="0" borderId="0" xfId="0" applyFont="1" applyAlignment="1">
      <alignment horizontal="center" vertical="center"/>
    </xf>
    <xf numFmtId="165" fontId="32" fillId="0" borderId="0" xfId="0" applyFont="1"/>
    <xf numFmtId="165" fontId="32" fillId="7" borderId="1" xfId="0" applyFont="1" applyFill="1" applyBorder="1"/>
    <xf numFmtId="10" fontId="32" fillId="7" borderId="1" xfId="3" applyNumberFormat="1" applyFont="1" applyFill="1" applyBorder="1" applyAlignment="1">
      <alignment horizontal="center" vertical="center"/>
    </xf>
    <xf numFmtId="165" fontId="32" fillId="7" borderId="1" xfId="0" applyFont="1" applyFill="1" applyBorder="1" applyAlignment="1">
      <alignment vertical="center"/>
    </xf>
    <xf numFmtId="10" fontId="32" fillId="7" borderId="1" xfId="3" applyNumberFormat="1" applyFont="1" applyFill="1" applyBorder="1" applyAlignment="1">
      <alignment vertical="center"/>
    </xf>
    <xf numFmtId="165" fontId="32" fillId="0" borderId="20" xfId="0" applyFont="1" applyBorder="1"/>
    <xf numFmtId="165" fontId="31" fillId="0" borderId="21" xfId="0" applyFont="1" applyBorder="1"/>
    <xf numFmtId="165" fontId="31" fillId="0" borderId="21" xfId="0" applyFont="1" applyBorder="1" applyAlignment="1">
      <alignment horizontal="center" vertical="center"/>
    </xf>
    <xf numFmtId="165" fontId="32" fillId="0" borderId="23" xfId="0" applyFont="1" applyBorder="1"/>
    <xf numFmtId="165" fontId="32" fillId="0" borderId="25" xfId="0" applyFont="1" applyBorder="1"/>
    <xf numFmtId="165" fontId="31" fillId="0" borderId="26" xfId="0" applyFont="1" applyBorder="1"/>
    <xf numFmtId="165" fontId="31" fillId="0" borderId="26" xfId="0" applyFont="1" applyBorder="1" applyAlignment="1">
      <alignment horizontal="center" vertical="center"/>
    </xf>
    <xf numFmtId="10" fontId="39" fillId="0" borderId="22" xfId="3" applyNumberFormat="1" applyFont="1" applyBorder="1" applyAlignment="1">
      <alignment horizontal="center" vertical="center"/>
    </xf>
    <xf numFmtId="10" fontId="39" fillId="0" borderId="24" xfId="3" applyNumberFormat="1" applyFont="1" applyBorder="1" applyAlignment="1">
      <alignment horizontal="center" vertical="center"/>
    </xf>
    <xf numFmtId="10" fontId="39" fillId="0" borderId="27" xfId="3" applyNumberFormat="1" applyFont="1" applyBorder="1" applyAlignment="1">
      <alignment horizontal="center" vertical="center"/>
    </xf>
    <xf numFmtId="179" fontId="37" fillId="8" borderId="0" xfId="0" applyNumberFormat="1" applyFont="1" applyFill="1" applyAlignment="1">
      <alignment horizontal="center" vertical="center"/>
    </xf>
    <xf numFmtId="180" fontId="6" fillId="0" borderId="0" xfId="1" applyNumberFormat="1" applyFont="1"/>
    <xf numFmtId="44" fontId="17" fillId="0" borderId="0" xfId="4" applyFont="1"/>
    <xf numFmtId="177" fontId="19" fillId="0" borderId="0" xfId="0" applyNumberFormat="1" applyFont="1"/>
    <xf numFmtId="177" fontId="17" fillId="0" borderId="0" xfId="0" applyNumberFormat="1" applyFont="1"/>
    <xf numFmtId="181" fontId="17" fillId="0" borderId="0" xfId="0" applyNumberFormat="1" applyFont="1"/>
    <xf numFmtId="182" fontId="17" fillId="0" borderId="0" xfId="0" applyNumberFormat="1" applyFont="1"/>
    <xf numFmtId="164" fontId="17" fillId="0" borderId="15" xfId="1" applyFont="1" applyFill="1" applyBorder="1" applyAlignment="1">
      <alignment horizontal="right"/>
    </xf>
    <xf numFmtId="2" fontId="17" fillId="0" borderId="15" xfId="1" applyNumberFormat="1" applyFont="1" applyFill="1" applyBorder="1" applyAlignment="1">
      <alignment horizontal="right"/>
    </xf>
    <xf numFmtId="164" fontId="17" fillId="0" borderId="15" xfId="1" applyFont="1" applyBorder="1" applyAlignment="1">
      <alignment horizontal="right"/>
    </xf>
    <xf numFmtId="165" fontId="17" fillId="0" borderId="15" xfId="0" applyFont="1" applyBorder="1" applyAlignment="1">
      <alignment horizontal="right"/>
    </xf>
    <xf numFmtId="164" fontId="17" fillId="0" borderId="15" xfId="0" applyNumberFormat="1" applyFont="1" applyBorder="1" applyAlignment="1">
      <alignment horizontal="right"/>
    </xf>
    <xf numFmtId="164" fontId="17" fillId="0" borderId="13" xfId="1" applyFont="1" applyFill="1" applyBorder="1"/>
    <xf numFmtId="181" fontId="17" fillId="0" borderId="11" xfId="0" applyNumberFormat="1" applyFont="1" applyBorder="1"/>
    <xf numFmtId="165" fontId="19" fillId="10" borderId="0" xfId="0" applyFont="1" applyFill="1"/>
    <xf numFmtId="166" fontId="19" fillId="10" borderId="10" xfId="0" applyNumberFormat="1" applyFont="1" applyFill="1" applyBorder="1" applyAlignment="1">
      <alignment horizontal="right"/>
    </xf>
    <xf numFmtId="165" fontId="19" fillId="10" borderId="0" xfId="0" applyFont="1" applyFill="1" applyAlignment="1">
      <alignment horizontal="left"/>
    </xf>
    <xf numFmtId="184" fontId="19" fillId="0" borderId="0" xfId="4" applyNumberFormat="1" applyFont="1" applyFill="1"/>
    <xf numFmtId="164" fontId="19" fillId="0" borderId="1" xfId="1" applyFont="1" applyBorder="1"/>
    <xf numFmtId="10" fontId="19" fillId="0" borderId="0" xfId="3" applyNumberFormat="1" applyFont="1"/>
    <xf numFmtId="9" fontId="17" fillId="0" borderId="6" xfId="3" applyFont="1" applyBorder="1"/>
    <xf numFmtId="183" fontId="17" fillId="0" borderId="0" xfId="1" applyNumberFormat="1" applyFont="1" applyFill="1" applyBorder="1"/>
    <xf numFmtId="165" fontId="2" fillId="3" borderId="0" xfId="0" applyFont="1" applyFill="1"/>
    <xf numFmtId="10" fontId="2" fillId="0" borderId="0" xfId="3" applyNumberFormat="1" applyFont="1"/>
    <xf numFmtId="168" fontId="2" fillId="0" borderId="0" xfId="0" applyNumberFormat="1" applyFont="1"/>
    <xf numFmtId="165" fontId="2" fillId="3" borderId="18" xfId="0" applyFont="1" applyFill="1" applyBorder="1"/>
    <xf numFmtId="170" fontId="2" fillId="3" borderId="0" xfId="1" applyNumberFormat="1" applyFont="1" applyFill="1" applyBorder="1"/>
    <xf numFmtId="165" fontId="2" fillId="3" borderId="18" xfId="0" applyFont="1" applyFill="1" applyBorder="1" applyAlignment="1">
      <alignment horizontal="right"/>
    </xf>
    <xf numFmtId="165" fontId="2" fillId="3" borderId="0" xfId="0" applyFont="1" applyFill="1" applyAlignment="1">
      <alignment horizontal="right"/>
    </xf>
    <xf numFmtId="10" fontId="2" fillId="3" borderId="0" xfId="3" applyNumberFormat="1" applyFont="1" applyFill="1" applyBorder="1"/>
    <xf numFmtId="10" fontId="2" fillId="3" borderId="18" xfId="3" applyNumberFormat="1" applyFont="1" applyFill="1" applyBorder="1"/>
    <xf numFmtId="10" fontId="2" fillId="3" borderId="0" xfId="3" applyNumberFormat="1" applyFont="1" applyFill="1"/>
    <xf numFmtId="166" fontId="9" fillId="0" borderId="6" xfId="0" applyNumberFormat="1" applyFont="1" applyBorder="1"/>
    <xf numFmtId="164" fontId="9" fillId="0" borderId="7" xfId="1" applyFont="1" applyFill="1" applyBorder="1" applyAlignment="1" applyProtection="1">
      <alignment horizontal="right"/>
    </xf>
    <xf numFmtId="166" fontId="42" fillId="0" borderId="0" xfId="0" applyNumberFormat="1" applyFont="1" applyAlignment="1">
      <alignment horizontal="left"/>
    </xf>
    <xf numFmtId="166" fontId="42" fillId="0" borderId="0" xfId="0" applyNumberFormat="1" applyFont="1"/>
    <xf numFmtId="165" fontId="42" fillId="0" borderId="11" xfId="0" applyFont="1" applyBorder="1" applyAlignment="1">
      <alignment horizontal="right"/>
    </xf>
    <xf numFmtId="165" fontId="42" fillId="0" borderId="13" xfId="0" applyFont="1" applyBorder="1" applyAlignment="1">
      <alignment horizontal="right"/>
    </xf>
    <xf numFmtId="165" fontId="42" fillId="0" borderId="10" xfId="0" applyFont="1" applyBorder="1" applyAlignment="1">
      <alignment horizontal="right"/>
    </xf>
    <xf numFmtId="166" fontId="42" fillId="0" borderId="13" xfId="0" applyNumberFormat="1" applyFont="1" applyBorder="1" applyAlignment="1">
      <alignment horizontal="right"/>
    </xf>
    <xf numFmtId="166" fontId="43" fillId="0" borderId="0" xfId="0" applyNumberFormat="1" applyFont="1"/>
    <xf numFmtId="166" fontId="43" fillId="0" borderId="11" xfId="0" applyNumberFormat="1" applyFont="1" applyBorder="1"/>
    <xf numFmtId="166" fontId="42" fillId="0" borderId="10" xfId="0" applyNumberFormat="1" applyFont="1" applyBorder="1"/>
    <xf numFmtId="165" fontId="42" fillId="0" borderId="0" xfId="0" applyFont="1" applyAlignment="1">
      <alignment horizontal="right"/>
    </xf>
    <xf numFmtId="166" fontId="42" fillId="0" borderId="0" xfId="0" applyNumberFormat="1" applyFont="1" applyAlignment="1">
      <alignment horizontal="right"/>
    </xf>
    <xf numFmtId="166" fontId="42" fillId="0" borderId="11" xfId="0" applyNumberFormat="1" applyFont="1" applyBorder="1" applyAlignment="1">
      <alignment horizontal="right"/>
    </xf>
    <xf numFmtId="166" fontId="42" fillId="0" borderId="10" xfId="0" applyNumberFormat="1" applyFont="1" applyBorder="1" applyAlignment="1">
      <alignment horizontal="right"/>
    </xf>
    <xf numFmtId="166" fontId="44" fillId="0" borderId="0" xfId="0" applyNumberFormat="1" applyFont="1" applyAlignment="1">
      <alignment horizontal="left"/>
    </xf>
    <xf numFmtId="165" fontId="42" fillId="0" borderId="14" xfId="0" applyFont="1" applyBorder="1" applyAlignment="1">
      <alignment horizontal="right"/>
    </xf>
    <xf numFmtId="165" fontId="42" fillId="0" borderId="2" xfId="0" applyFont="1" applyBorder="1" applyAlignment="1">
      <alignment horizontal="right"/>
    </xf>
    <xf numFmtId="165" fontId="42" fillId="0" borderId="12" xfId="0" applyFont="1" applyBorder="1" applyAlignment="1">
      <alignment horizontal="right"/>
    </xf>
    <xf numFmtId="166" fontId="42" fillId="0" borderId="5" xfId="0" applyNumberFormat="1" applyFont="1" applyBorder="1"/>
    <xf numFmtId="166" fontId="44" fillId="0" borderId="6" xfId="0" applyNumberFormat="1" applyFont="1" applyBorder="1" applyAlignment="1">
      <alignment horizontal="left"/>
    </xf>
    <xf numFmtId="166" fontId="42" fillId="0" borderId="6" xfId="0" applyNumberFormat="1" applyFont="1" applyBorder="1"/>
    <xf numFmtId="165" fontId="42" fillId="0" borderId="7" xfId="0" applyFont="1" applyBorder="1" applyAlignment="1">
      <alignment horizontal="right"/>
    </xf>
    <xf numFmtId="165" fontId="42" fillId="0" borderId="6" xfId="0" applyFont="1" applyBorder="1" applyAlignment="1">
      <alignment horizontal="right"/>
    </xf>
    <xf numFmtId="165" fontId="9" fillId="0" borderId="7" xfId="0" applyFont="1" applyBorder="1" applyAlignment="1">
      <alignment horizontal="right"/>
    </xf>
    <xf numFmtId="165" fontId="32" fillId="0" borderId="0" xfId="0" applyFont="1" applyAlignment="1">
      <alignment horizontal="center" vertical="center"/>
    </xf>
    <xf numFmtId="165" fontId="32" fillId="7" borderId="0" xfId="0" applyFont="1" applyFill="1"/>
    <xf numFmtId="165" fontId="32" fillId="7" borderId="0" xfId="0" applyFont="1" applyFill="1" applyAlignment="1">
      <alignment horizontal="center" vertical="center"/>
    </xf>
    <xf numFmtId="165" fontId="37" fillId="8" borderId="0" xfId="0" applyFont="1" applyFill="1" applyAlignment="1">
      <alignment horizontal="center" vertical="center"/>
    </xf>
    <xf numFmtId="165" fontId="32" fillId="0" borderId="19" xfId="0" applyFont="1" applyBorder="1"/>
    <xf numFmtId="165" fontId="31" fillId="0" borderId="28" xfId="0" applyFont="1" applyBorder="1"/>
    <xf numFmtId="185" fontId="31" fillId="0" borderId="0" xfId="5" applyFont="1" applyFill="1" applyBorder="1" applyAlignment="1">
      <alignment vertical="center"/>
    </xf>
    <xf numFmtId="9" fontId="31" fillId="0" borderId="0" xfId="0" applyNumberFormat="1" applyFont="1"/>
    <xf numFmtId="9" fontId="31" fillId="0" borderId="0" xfId="3" applyFont="1" applyFill="1" applyBorder="1"/>
    <xf numFmtId="165" fontId="31" fillId="0" borderId="19" xfId="0" applyFont="1" applyBorder="1"/>
    <xf numFmtId="165" fontId="19" fillId="0" borderId="2" xfId="0" applyFont="1" applyBorder="1" applyAlignment="1">
      <alignment horizontal="center"/>
    </xf>
    <xf numFmtId="165" fontId="19" fillId="0" borderId="3" xfId="0" applyFont="1" applyBorder="1" applyAlignment="1">
      <alignment horizontal="center"/>
    </xf>
    <xf numFmtId="165" fontId="19" fillId="0" borderId="4" xfId="0" applyFont="1" applyBorder="1" applyAlignment="1">
      <alignment horizontal="center"/>
    </xf>
    <xf numFmtId="165" fontId="19" fillId="0" borderId="6" xfId="0" applyFont="1" applyBorder="1" applyAlignment="1">
      <alignment horizontal="center"/>
    </xf>
    <xf numFmtId="165" fontId="19" fillId="0" borderId="7" xfId="0" applyFont="1" applyBorder="1" applyAlignment="1">
      <alignment horizontal="center"/>
    </xf>
    <xf numFmtId="49" fontId="19" fillId="0" borderId="15" xfId="0" applyNumberFormat="1" applyFont="1" applyBorder="1" applyAlignment="1">
      <alignment horizontal="left"/>
    </xf>
    <xf numFmtId="165" fontId="19" fillId="0" borderId="15" xfId="0" applyFont="1" applyBorder="1" applyAlignment="1">
      <alignment horizontal="left"/>
    </xf>
    <xf numFmtId="165" fontId="19" fillId="0" borderId="10" xfId="0" applyFont="1" applyBorder="1" applyAlignment="1">
      <alignment horizontal="center"/>
    </xf>
    <xf numFmtId="165" fontId="19" fillId="0" borderId="0" xfId="0" applyFont="1" applyAlignment="1">
      <alignment horizontal="center"/>
    </xf>
    <xf numFmtId="165" fontId="19" fillId="0" borderId="11" xfId="0" applyFont="1" applyBorder="1" applyAlignment="1">
      <alignment horizontal="center"/>
    </xf>
    <xf numFmtId="165" fontId="17" fillId="0" borderId="9" xfId="0" applyFont="1" applyBorder="1" applyAlignment="1">
      <alignment horizontal="left"/>
    </xf>
    <xf numFmtId="165" fontId="17" fillId="0" borderId="1" xfId="0" applyFont="1" applyBorder="1" applyAlignment="1">
      <alignment horizontal="left"/>
    </xf>
    <xf numFmtId="165" fontId="17" fillId="0" borderId="8" xfId="0" applyFont="1" applyBorder="1" applyAlignment="1">
      <alignment horizontal="left"/>
    </xf>
    <xf numFmtId="165" fontId="18" fillId="0" borderId="9" xfId="0" applyFont="1" applyBorder="1" applyAlignment="1">
      <alignment horizontal="left"/>
    </xf>
    <xf numFmtId="165" fontId="18" fillId="0" borderId="1" xfId="0" applyFont="1" applyBorder="1" applyAlignment="1">
      <alignment horizontal="left"/>
    </xf>
    <xf numFmtId="165" fontId="18" fillId="0" borderId="8" xfId="0" applyFont="1" applyBorder="1" applyAlignment="1">
      <alignment horizontal="left"/>
    </xf>
    <xf numFmtId="165" fontId="23" fillId="0" borderId="2" xfId="0" applyFont="1" applyBorder="1" applyAlignment="1">
      <alignment horizontal="center"/>
    </xf>
    <xf numFmtId="165" fontId="23" fillId="0" borderId="3" xfId="0" applyFont="1" applyBorder="1" applyAlignment="1">
      <alignment horizontal="center"/>
    </xf>
    <xf numFmtId="165" fontId="23" fillId="0" borderId="4" xfId="0" applyFont="1" applyBorder="1" applyAlignment="1">
      <alignment horizontal="center"/>
    </xf>
    <xf numFmtId="165" fontId="23" fillId="0" borderId="10" xfId="0" applyFont="1" applyBorder="1" applyAlignment="1">
      <alignment horizontal="center"/>
    </xf>
    <xf numFmtId="165" fontId="23" fillId="0" borderId="0" xfId="0" applyFont="1" applyAlignment="1">
      <alignment horizontal="center"/>
    </xf>
    <xf numFmtId="165" fontId="23" fillId="0" borderId="11" xfId="0" applyFont="1" applyBorder="1" applyAlignment="1">
      <alignment horizontal="center"/>
    </xf>
    <xf numFmtId="165" fontId="19" fillId="0" borderId="9" xfId="0" applyFont="1" applyBorder="1" applyAlignment="1">
      <alignment horizontal="center"/>
    </xf>
    <xf numFmtId="165" fontId="19" fillId="0" borderId="1" xfId="0" applyFont="1" applyBorder="1" applyAlignment="1">
      <alignment horizontal="center"/>
    </xf>
    <xf numFmtId="165" fontId="19" fillId="0" borderId="8" xfId="0" applyFont="1" applyBorder="1" applyAlignment="1">
      <alignment horizontal="center"/>
    </xf>
    <xf numFmtId="165" fontId="24" fillId="0" borderId="9" xfId="0" applyFont="1" applyBorder="1" applyAlignment="1">
      <alignment horizontal="center"/>
    </xf>
    <xf numFmtId="165" fontId="24" fillId="0" borderId="8" xfId="0" applyFont="1" applyBorder="1" applyAlignment="1">
      <alignment horizontal="center"/>
    </xf>
    <xf numFmtId="165" fontId="30" fillId="0" borderId="15" xfId="0" applyFont="1" applyBorder="1" applyAlignment="1">
      <alignment horizontal="center"/>
    </xf>
    <xf numFmtId="165" fontId="19" fillId="0" borderId="15" xfId="0" applyFont="1" applyBorder="1" applyAlignment="1">
      <alignment horizontal="center"/>
    </xf>
    <xf numFmtId="165" fontId="3" fillId="0" borderId="17" xfId="0" applyFont="1" applyBorder="1" applyAlignment="1">
      <alignment horizontal="center"/>
    </xf>
    <xf numFmtId="165" fontId="3" fillId="0" borderId="0" xfId="0" applyFont="1" applyAlignment="1">
      <alignment horizontal="center"/>
    </xf>
    <xf numFmtId="165" fontId="3" fillId="0" borderId="15" xfId="0" applyFont="1" applyBorder="1" applyAlignment="1">
      <alignment horizontal="left"/>
    </xf>
    <xf numFmtId="166" fontId="3" fillId="0" borderId="17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19" fillId="0" borderId="1" xfId="0" applyFont="1" applyBorder="1" applyAlignment="1">
      <alignment horizontal="center" wrapText="1"/>
    </xf>
    <xf numFmtId="164" fontId="23" fillId="0" borderId="10" xfId="1" applyFont="1" applyFill="1" applyBorder="1" applyAlignment="1">
      <alignment horizontal="center"/>
    </xf>
    <xf numFmtId="164" fontId="23" fillId="0" borderId="0" xfId="1" applyFont="1" applyFill="1" applyBorder="1" applyAlignment="1">
      <alignment horizontal="center"/>
    </xf>
    <xf numFmtId="164" fontId="23" fillId="0" borderId="11" xfId="1" applyFont="1" applyFill="1" applyBorder="1" applyAlignment="1">
      <alignment horizontal="center"/>
    </xf>
    <xf numFmtId="166" fontId="19" fillId="0" borderId="10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164" fontId="23" fillId="0" borderId="2" xfId="1" applyFont="1" applyFill="1" applyBorder="1" applyAlignment="1">
      <alignment horizontal="center"/>
    </xf>
    <xf numFmtId="164" fontId="23" fillId="0" borderId="3" xfId="1" applyFont="1" applyFill="1" applyBorder="1" applyAlignment="1">
      <alignment horizontal="center"/>
    </xf>
    <xf numFmtId="164" fontId="23" fillId="0" borderId="4" xfId="1" applyFont="1" applyFill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66" fontId="19" fillId="0" borderId="4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0" fontId="19" fillId="0" borderId="0" xfId="0" applyNumberFormat="1" applyFont="1" applyAlignment="1">
      <alignment horizontal="center"/>
    </xf>
    <xf numFmtId="164" fontId="19" fillId="0" borderId="10" xfId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2" fillId="0" borderId="2" xfId="0" applyFont="1" applyBorder="1" applyAlignment="1">
      <alignment horizontal="center"/>
    </xf>
    <xf numFmtId="165" fontId="22" fillId="0" borderId="3" xfId="0" applyFont="1" applyBorder="1" applyAlignment="1">
      <alignment horizontal="center"/>
    </xf>
    <xf numFmtId="165" fontId="22" fillId="0" borderId="4" xfId="0" applyFont="1" applyBorder="1" applyAlignment="1">
      <alignment horizontal="center"/>
    </xf>
    <xf numFmtId="165" fontId="22" fillId="0" borderId="10" xfId="0" applyFont="1" applyBorder="1" applyAlignment="1">
      <alignment horizontal="center"/>
    </xf>
    <xf numFmtId="165" fontId="22" fillId="0" borderId="0" xfId="0" applyFont="1" applyAlignment="1">
      <alignment horizontal="center"/>
    </xf>
    <xf numFmtId="165" fontId="22" fillId="0" borderId="11" xfId="0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9" fillId="0" borderId="10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0" borderId="11" xfId="0" applyNumberFormat="1" applyFont="1" applyBorder="1" applyAlignment="1">
      <alignment horizontal="center"/>
    </xf>
    <xf numFmtId="166" fontId="9" fillId="0" borderId="9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39" fontId="15" fillId="0" borderId="10" xfId="2" applyFont="1" applyBorder="1" applyAlignment="1">
      <alignment horizontal="center"/>
    </xf>
    <xf numFmtId="39" fontId="15" fillId="0" borderId="0" xfId="2" applyFont="1" applyAlignment="1">
      <alignment horizontal="center"/>
    </xf>
    <xf numFmtId="39" fontId="15" fillId="0" borderId="11" xfId="2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39" fontId="15" fillId="0" borderId="2" xfId="2" applyFont="1" applyBorder="1" applyAlignment="1">
      <alignment horizontal="center"/>
    </xf>
    <xf numFmtId="39" fontId="15" fillId="0" borderId="3" xfId="2" applyFont="1" applyBorder="1" applyAlignment="1">
      <alignment horizontal="center"/>
    </xf>
    <xf numFmtId="39" fontId="15" fillId="0" borderId="4" xfId="2" applyFont="1" applyBorder="1" applyAlignment="1">
      <alignment horizontal="center"/>
    </xf>
    <xf numFmtId="39" fontId="15" fillId="0" borderId="2" xfId="2" applyFont="1" applyBorder="1" applyAlignment="1" applyProtection="1">
      <alignment horizontal="center"/>
      <protection locked="0"/>
    </xf>
    <xf numFmtId="39" fontId="15" fillId="0" borderId="3" xfId="2" applyFont="1" applyBorder="1" applyAlignment="1" applyProtection="1">
      <alignment horizontal="center"/>
      <protection locked="0"/>
    </xf>
    <xf numFmtId="39" fontId="15" fillId="0" borderId="4" xfId="2" applyFont="1" applyBorder="1" applyAlignment="1" applyProtection="1">
      <alignment horizontal="center"/>
      <protection locked="0"/>
    </xf>
    <xf numFmtId="166" fontId="11" fillId="0" borderId="10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165" fontId="9" fillId="0" borderId="10" xfId="0" applyFont="1" applyBorder="1" applyAlignment="1">
      <alignment horizontal="center"/>
    </xf>
    <xf numFmtId="165" fontId="9" fillId="0" borderId="0" xfId="0" applyFont="1" applyAlignment="1">
      <alignment horizontal="center"/>
    </xf>
    <xf numFmtId="165" fontId="9" fillId="0" borderId="11" xfId="0" applyFont="1" applyBorder="1" applyAlignment="1">
      <alignment horizontal="center"/>
    </xf>
    <xf numFmtId="39" fontId="22" fillId="0" borderId="2" xfId="2" applyFont="1" applyBorder="1" applyAlignment="1">
      <alignment horizontal="center"/>
    </xf>
    <xf numFmtId="39" fontId="22" fillId="0" borderId="3" xfId="2" applyFont="1" applyBorder="1" applyAlignment="1">
      <alignment horizontal="center"/>
    </xf>
    <xf numFmtId="39" fontId="22" fillId="0" borderId="4" xfId="2" applyFont="1" applyBorder="1" applyAlignment="1">
      <alignment horizontal="center"/>
    </xf>
    <xf numFmtId="39" fontId="22" fillId="0" borderId="10" xfId="2" applyFont="1" applyBorder="1" applyAlignment="1">
      <alignment horizontal="center"/>
    </xf>
    <xf numFmtId="39" fontId="22" fillId="0" borderId="0" xfId="2" applyFont="1" applyAlignment="1">
      <alignment horizontal="center"/>
    </xf>
    <xf numFmtId="39" fontId="22" fillId="0" borderId="11" xfId="2" applyFont="1" applyBorder="1" applyAlignment="1">
      <alignment horizontal="center"/>
    </xf>
    <xf numFmtId="165" fontId="9" fillId="0" borderId="9" xfId="0" applyFont="1" applyBorder="1" applyAlignment="1">
      <alignment horizontal="center"/>
    </xf>
    <xf numFmtId="165" fontId="9" fillId="0" borderId="1" xfId="0" applyFont="1" applyBorder="1" applyAlignment="1">
      <alignment horizontal="center"/>
    </xf>
    <xf numFmtId="165" fontId="9" fillId="0" borderId="8" xfId="0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6" fontId="22" fillId="0" borderId="3" xfId="0" applyNumberFormat="1" applyFont="1" applyBorder="1" applyAlignment="1">
      <alignment horizontal="center"/>
    </xf>
    <xf numFmtId="166" fontId="22" fillId="0" borderId="4" xfId="0" applyNumberFormat="1" applyFont="1" applyBorder="1" applyAlignment="1">
      <alignment horizontal="center"/>
    </xf>
    <xf numFmtId="166" fontId="22" fillId="0" borderId="10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11" xfId="0" applyNumberFormat="1" applyFont="1" applyBorder="1" applyAlignment="1">
      <alignment horizontal="center"/>
    </xf>
    <xf numFmtId="39" fontId="9" fillId="0" borderId="10" xfId="2" applyFont="1" applyBorder="1" applyAlignment="1">
      <alignment horizontal="center"/>
    </xf>
    <xf numFmtId="39" fontId="9" fillId="0" borderId="0" xfId="2" applyFont="1" applyAlignment="1">
      <alignment horizontal="center"/>
    </xf>
    <xf numFmtId="39" fontId="9" fillId="0" borderId="11" xfId="2" applyFont="1" applyBorder="1" applyAlignment="1">
      <alignment horizontal="center"/>
    </xf>
    <xf numFmtId="166" fontId="9" fillId="0" borderId="2" xfId="2" applyNumberFormat="1" applyFont="1" applyBorder="1" applyAlignment="1">
      <alignment horizontal="center"/>
    </xf>
    <xf numFmtId="166" fontId="9" fillId="0" borderId="3" xfId="2" applyNumberFormat="1" applyFont="1" applyBorder="1" applyAlignment="1">
      <alignment horizontal="center"/>
    </xf>
    <xf numFmtId="166" fontId="9" fillId="0" borderId="4" xfId="2" applyNumberFormat="1" applyFont="1" applyBorder="1" applyAlignment="1">
      <alignment horizontal="center"/>
    </xf>
    <xf numFmtId="166" fontId="9" fillId="0" borderId="5" xfId="2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/>
    </xf>
    <xf numFmtId="166" fontId="9" fillId="0" borderId="7" xfId="2" applyNumberFormat="1" applyFont="1" applyBorder="1" applyAlignment="1">
      <alignment horizontal="center"/>
    </xf>
    <xf numFmtId="166" fontId="9" fillId="0" borderId="9" xfId="2" applyNumberFormat="1" applyFont="1" applyBorder="1" applyAlignment="1">
      <alignment horizontal="center"/>
    </xf>
    <xf numFmtId="166" fontId="9" fillId="0" borderId="1" xfId="2" applyNumberFormat="1" applyFont="1" applyBorder="1" applyAlignment="1">
      <alignment horizontal="center"/>
    </xf>
    <xf numFmtId="166" fontId="9" fillId="0" borderId="8" xfId="2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10" fontId="31" fillId="0" borderId="28" xfId="3" applyNumberFormat="1" applyFont="1" applyBorder="1" applyAlignment="1">
      <alignment horizontal="center"/>
    </xf>
    <xf numFmtId="165" fontId="31" fillId="0" borderId="19" xfId="0" applyFont="1" applyBorder="1" applyAlignment="1">
      <alignment horizontal="center"/>
    </xf>
  </cellXfs>
  <cellStyles count="6">
    <cellStyle name="Comma" xfId="1" builtinId="3"/>
    <cellStyle name="Currency" xfId="4" builtinId="4"/>
    <cellStyle name="Migliaia 6" xfId="5"/>
    <cellStyle name="Normal" xfId="0" builtinId="0"/>
    <cellStyle name="Normal_Sheet1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838800149981253"/>
          <c:y val="2.6600626666528973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Analysis'!$B$8</c:f>
              <c:strCache>
                <c:ptCount val="1"/>
                <c:pt idx="0">
                  <c:v>EBITDA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'Ratio Analysis'!$D$4:$L$4</c:f>
              <c:numCache>
                <c:formatCode>"FY"\ 0</c:formatCode>
                <c:ptCount val="9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</c:numCache>
            </c:numRef>
          </c:cat>
          <c:val>
            <c:numRef>
              <c:f>'Ratio Analysis'!$D$8:$L$8</c:f>
              <c:numCache>
                <c:formatCode>0.00%</c:formatCode>
                <c:ptCount val="9"/>
                <c:pt idx="0">
                  <c:v>6.7884305555550209E-2</c:v>
                </c:pt>
                <c:pt idx="1">
                  <c:v>6.4880055883198576E-2</c:v>
                </c:pt>
                <c:pt idx="2">
                  <c:v>6.4974286446891488E-2</c:v>
                </c:pt>
                <c:pt idx="3">
                  <c:v>6.5519380716376335E-2</c:v>
                </c:pt>
                <c:pt idx="4">
                  <c:v>6.5845495060405768E-2</c:v>
                </c:pt>
                <c:pt idx="5">
                  <c:v>6.6184424300476205E-2</c:v>
                </c:pt>
                <c:pt idx="6">
                  <c:v>6.6226573294759034E-2</c:v>
                </c:pt>
                <c:pt idx="7">
                  <c:v>6.635024565622058E-2</c:v>
                </c:pt>
                <c:pt idx="8">
                  <c:v>6.6330315225971187E-2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1C-4DCA-A7C4-609834BD73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0591608"/>
        <c:axId val="330689608"/>
      </c:barChart>
      <c:catAx>
        <c:axId val="33059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</a:p>
            </c:rich>
          </c:tx>
          <c:layout>
            <c:manualLayout>
              <c:xMode val="edge"/>
              <c:yMode val="edge"/>
              <c:x val="0.44981566434630449"/>
              <c:y val="0.90406186834940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689608"/>
        <c:crosses val="autoZero"/>
        <c:auto val="1"/>
        <c:lblAlgn val="ctr"/>
        <c:lblOffset val="100"/>
        <c:noMultiLvlLbl val="0"/>
      </c:catAx>
      <c:valAx>
        <c:axId val="33068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</a:t>
                </a:r>
                <a:r>
                  <a:rPr lang="en-IN" b="1" i="1" baseline="0"/>
                  <a:t> %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1.3526570048309179E-2"/>
              <c:y val="0.39225141634598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59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Analysis'!$B$10</c:f>
              <c:strCache>
                <c:ptCount val="1"/>
                <c:pt idx="0">
                  <c:v>EBIT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'Ratio Analysis'!$D$4:$L$4</c:f>
              <c:numCache>
                <c:formatCode>"FY"\ 0</c:formatCode>
                <c:ptCount val="9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</c:numCache>
            </c:numRef>
          </c:cat>
          <c:val>
            <c:numRef>
              <c:f>'Ratio Analysis'!$D$10:$L$10</c:f>
              <c:numCache>
                <c:formatCode>0.00%</c:formatCode>
                <c:ptCount val="9"/>
                <c:pt idx="0">
                  <c:v>3.33227020926085E-2</c:v>
                </c:pt>
                <c:pt idx="1">
                  <c:v>3.7941877106941163E-2</c:v>
                </c:pt>
                <c:pt idx="2">
                  <c:v>4.3431678335748514E-2</c:v>
                </c:pt>
                <c:pt idx="3">
                  <c:v>4.8201935082156817E-2</c:v>
                </c:pt>
                <c:pt idx="4">
                  <c:v>5.1861308181105271E-2</c:v>
                </c:pt>
                <c:pt idx="5">
                  <c:v>5.4846765588243772E-2</c:v>
                </c:pt>
                <c:pt idx="6">
                  <c:v>5.700196742672678E-2</c:v>
                </c:pt>
                <c:pt idx="7">
                  <c:v>5.882106304923776E-2</c:v>
                </c:pt>
                <c:pt idx="8">
                  <c:v>6.0167403177982616E-2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8-4861-8D4A-7D4E3F0183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0689992"/>
        <c:axId val="331092792"/>
      </c:barChart>
      <c:catAx>
        <c:axId val="33068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layout>
            <c:manualLayout>
              <c:xMode val="edge"/>
              <c:yMode val="edge"/>
              <c:x val="0.45592305961754781"/>
              <c:y val="0.90130766407420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92792"/>
        <c:crosses val="autoZero"/>
        <c:auto val="1"/>
        <c:lblAlgn val="ctr"/>
        <c:lblOffset val="100"/>
        <c:noMultiLvlLbl val="0"/>
      </c:catAx>
      <c:valAx>
        <c:axId val="331092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 %</a:t>
                </a:r>
              </a:p>
            </c:rich>
          </c:tx>
          <c:layout>
            <c:manualLayout>
              <c:xMode val="edge"/>
              <c:yMode val="edge"/>
              <c:x val="1.5238095238095238E-2"/>
              <c:y val="0.38665973675256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68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Analysis'!$B$12</c:f>
              <c:strCache>
                <c:ptCount val="1"/>
                <c:pt idx="0">
                  <c:v>Net Profit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'Ratio Analysis'!$D$4:$L$4</c:f>
              <c:numCache>
                <c:formatCode>"FY"\ 0</c:formatCode>
                <c:ptCount val="9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</c:numCache>
            </c:numRef>
          </c:cat>
          <c:val>
            <c:numRef>
              <c:f>'Ratio Analysis'!$D$12:$L$12</c:f>
              <c:numCache>
                <c:formatCode>0.00%</c:formatCode>
                <c:ptCount val="9"/>
                <c:pt idx="0">
                  <c:v>1.3552565852637264E-2</c:v>
                </c:pt>
                <c:pt idx="1">
                  <c:v>1.8439191228079996E-2</c:v>
                </c:pt>
                <c:pt idx="2">
                  <c:v>2.3814016086097491E-2</c:v>
                </c:pt>
                <c:pt idx="3">
                  <c:v>2.8625150518726689E-2</c:v>
                </c:pt>
                <c:pt idx="4">
                  <c:v>3.2576227545289278E-2</c:v>
                </c:pt>
                <c:pt idx="5">
                  <c:v>3.6102866334749066E-2</c:v>
                </c:pt>
                <c:pt idx="6">
                  <c:v>3.9070125378271328E-2</c:v>
                </c:pt>
                <c:pt idx="7">
                  <c:v>4.1743970402185158E-2</c:v>
                </c:pt>
                <c:pt idx="8">
                  <c:v>4.3846192960316416E-2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4A-42AF-BE51-6DF4CFEC43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225416"/>
        <c:axId val="331196920"/>
      </c:barChart>
      <c:catAx>
        <c:axId val="331225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6920"/>
        <c:crosses val="autoZero"/>
        <c:auto val="1"/>
        <c:lblAlgn val="ctr"/>
        <c:lblOffset val="100"/>
        <c:noMultiLvlLbl val="0"/>
      </c:catAx>
      <c:valAx>
        <c:axId val="33119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Margin%</a:t>
                </a:r>
              </a:p>
            </c:rich>
          </c:tx>
          <c:layout>
            <c:manualLayout>
              <c:xMode val="edge"/>
              <c:yMode val="edge"/>
              <c:x val="1.532567049808429E-2"/>
              <c:y val="0.37934419655876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2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179343794364301"/>
          <c:y val="4.1025633662986082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Analysis'!$B$14</c:f>
              <c:strCache>
                <c:ptCount val="1"/>
                <c:pt idx="0">
                  <c:v>Revenue Growth Rate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'Ratio Analysis'!$D$4:$L$4</c:f>
              <c:numCache>
                <c:formatCode>"FY"\ 0</c:formatCode>
                <c:ptCount val="9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</c:numCache>
            </c:numRef>
          </c:cat>
          <c:val>
            <c:numRef>
              <c:f>'Ratio Analysis'!$D$14:$L$14</c:f>
              <c:numCache>
                <c:formatCode>0.00%</c:formatCode>
                <c:ptCount val="9"/>
                <c:pt idx="1">
                  <c:v>0.10500515995872051</c:v>
                </c:pt>
                <c:pt idx="2">
                  <c:v>7.7048797571795502E-2</c:v>
                </c:pt>
                <c:pt idx="3">
                  <c:v>7.1536960763060931E-2</c:v>
                </c:pt>
                <c:pt idx="4">
                  <c:v>6.6761076269472142E-2</c:v>
                </c:pt>
                <c:pt idx="5">
                  <c:v>6.2582969846387115E-2</c:v>
                </c:pt>
                <c:pt idx="6">
                  <c:v>5.8897019453864052E-2</c:v>
                </c:pt>
                <c:pt idx="7">
                  <c:v>5.5621102309118653E-2</c:v>
                </c:pt>
                <c:pt idx="8">
                  <c:v>5.2690403959763543E-2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9F-4646-BE75-606CD4EE3D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197312"/>
        <c:axId val="331197704"/>
      </c:barChart>
      <c:catAx>
        <c:axId val="33119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7704"/>
        <c:crosses val="autoZero"/>
        <c:auto val="1"/>
        <c:lblAlgn val="ctr"/>
        <c:lblOffset val="100"/>
        <c:noMultiLvlLbl val="0"/>
      </c:catAx>
      <c:valAx>
        <c:axId val="33119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Growth Rate % Y-o-Y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179343794364301"/>
          <c:y val="4.1025633662986082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Analysis'!$B$97</c:f>
              <c:strCache>
                <c:ptCount val="1"/>
                <c:pt idx="0">
                  <c:v>D.S.C.R.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'Ratio Analysis'!$D$90:$L$90</c:f>
              <c:numCache>
                <c:formatCode>"FY"\ 0</c:formatCode>
                <c:ptCount val="9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</c:numCache>
            </c:numRef>
          </c:cat>
          <c:val>
            <c:numRef>
              <c:f>'Ratio Analysis'!$D$97:$L$97</c:f>
              <c:numCache>
                <c:formatCode>0.00_)</c:formatCode>
                <c:ptCount val="9"/>
                <c:pt idx="0">
                  <c:v>3.4540973253261069</c:v>
                </c:pt>
                <c:pt idx="1">
                  <c:v>2.9114252277656671</c:v>
                </c:pt>
                <c:pt idx="2">
                  <c:v>2.6208263841611612</c:v>
                </c:pt>
                <c:pt idx="3">
                  <c:v>2.8958936212511044</c:v>
                </c:pt>
                <c:pt idx="4">
                  <c:v>2.6896234298566517</c:v>
                </c:pt>
                <c:pt idx="5">
                  <c:v>2.5568055701377683</c:v>
                </c:pt>
                <c:pt idx="6">
                  <c:v>2.4731668953479717</c:v>
                </c:pt>
                <c:pt idx="7">
                  <c:v>2.7873489201878683</c:v>
                </c:pt>
                <c:pt idx="8">
                  <c:v>5.5838903501194856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9F-4646-BE75-606CD4EE3D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198096"/>
        <c:axId val="331193000"/>
      </c:barChart>
      <c:catAx>
        <c:axId val="331198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FY&quot;\ 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3000"/>
        <c:crosses val="autoZero"/>
        <c:auto val="1"/>
        <c:lblAlgn val="ctr"/>
        <c:lblOffset val="100"/>
        <c:noMultiLvlLbl val="0"/>
      </c:catAx>
      <c:valAx>
        <c:axId val="33119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405848</xdr:colOff>
      <xdr:row>163</xdr:row>
      <xdr:rowOff>36443</xdr:rowOff>
    </xdr:from>
    <xdr:to>
      <xdr:col>4</xdr:col>
      <xdr:colOff>66260</xdr:colOff>
      <xdr:row>175</xdr:row>
      <xdr:rowOff>49697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C31C46C2-11E2-4733-BD92-0EE10D953950}"/>
            </a:ext>
          </a:extLst>
        </xdr:cNvPr>
        <xdr:cNvSpPr/>
      </xdr:nvSpPr>
      <xdr:spPr>
        <a:xfrm>
          <a:off x="2343978" y="24834573"/>
          <a:ext cx="207065" cy="210875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417441</xdr:colOff>
      <xdr:row>178</xdr:row>
      <xdr:rowOff>23183</xdr:rowOff>
    </xdr:from>
    <xdr:to>
      <xdr:col>4</xdr:col>
      <xdr:colOff>77853</xdr:colOff>
      <xdr:row>195</xdr:row>
      <xdr:rowOff>82826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xmlns="" id="{06751C96-7B68-4D9F-AAEC-00739644D064}"/>
            </a:ext>
          </a:extLst>
        </xdr:cNvPr>
        <xdr:cNvSpPr/>
      </xdr:nvSpPr>
      <xdr:spPr>
        <a:xfrm>
          <a:off x="2662028" y="26958226"/>
          <a:ext cx="207064" cy="259412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119942</xdr:colOff>
      <xdr:row>25</xdr:row>
      <xdr:rowOff>16564</xdr:rowOff>
    </xdr:from>
    <xdr:to>
      <xdr:col>4</xdr:col>
      <xdr:colOff>165661</xdr:colOff>
      <xdr:row>27</xdr:row>
      <xdr:rowOff>115955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7EB7759A-3254-4369-8413-42F5713355F9}"/>
            </a:ext>
          </a:extLst>
        </xdr:cNvPr>
        <xdr:cNvSpPr/>
      </xdr:nvSpPr>
      <xdr:spPr>
        <a:xfrm>
          <a:off x="2063042" y="34668514"/>
          <a:ext cx="45719" cy="4041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N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52386</xdr:rowOff>
    </xdr:from>
    <xdr:to>
      <xdr:col>8</xdr:col>
      <xdr:colOff>123825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38</xdr:row>
      <xdr:rowOff>14287</xdr:rowOff>
    </xdr:from>
    <xdr:to>
      <xdr:col>8</xdr:col>
      <xdr:colOff>142875</xdr:colOff>
      <xdr:row>53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55</xdr:row>
      <xdr:rowOff>14287</xdr:rowOff>
    </xdr:from>
    <xdr:to>
      <xdr:col>8</xdr:col>
      <xdr:colOff>95250</xdr:colOff>
      <xdr:row>69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47624</xdr:colOff>
      <xdr:row>70</xdr:row>
      <xdr:rowOff>157161</xdr:rowOff>
    </xdr:from>
    <xdr:to>
      <xdr:col>8</xdr:col>
      <xdr:colOff>123824</xdr:colOff>
      <xdr:row>85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104</xdr:row>
      <xdr:rowOff>0</xdr:rowOff>
    </xdr:from>
    <xdr:to>
      <xdr:col>8</xdr:col>
      <xdr:colOff>76200</xdr:colOff>
      <xdr:row>118</xdr:row>
      <xdr:rowOff>119063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alanalyst3/Desktop/ARAMCO%20PAPER%20MILL%20TEV%20STUDY/R%20K%20Workings/Rachit%20Working/Rachit%20R%20K%20%20MODEL%20ARAMCO%20PAPER%20%2005-12-2022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S"/>
      <sheetName val="PROJECT RK"/>
      <sheetName val="Building"/>
      <sheetName val="Sheet3"/>
      <sheetName val="CMA"/>
      <sheetName val="Ratio Analysis"/>
      <sheetName val="NPV&amp;IRR"/>
      <sheetName val="SISTER-CONCERNS"/>
    </sheetNames>
    <sheetDataSet>
      <sheetData sheetId="0">
        <row r="234">
          <cell r="E234">
            <v>0.24481600000000001</v>
          </cell>
        </row>
      </sheetData>
      <sheetData sheetId="1">
        <row r="31">
          <cell r="L31">
            <v>21.664050742733799</v>
          </cell>
        </row>
        <row r="542">
          <cell r="D542">
            <v>2.7729880429628957</v>
          </cell>
          <cell r="E542">
            <v>2.3882877477633078</v>
          </cell>
          <cell r="F542">
            <v>2.0570842601857433</v>
          </cell>
          <cell r="G542">
            <v>1.7719227690379042</v>
          </cell>
          <cell r="H542">
            <v>1.5263893804812168</v>
          </cell>
          <cell r="I542">
            <v>1.3149654665280146</v>
          </cell>
          <cell r="J542">
            <v>1.1329024429312327</v>
          </cell>
          <cell r="K542">
            <v>0.97611410281794175</v>
          </cell>
          <cell r="L542">
            <v>0.8410840380404454</v>
          </cell>
        </row>
        <row r="557">
          <cell r="D557">
            <v>2.6875870215366717</v>
          </cell>
          <cell r="E557">
            <v>3.3778547347349104</v>
          </cell>
          <cell r="F557">
            <v>4.1612518757701054</v>
          </cell>
          <cell r="G557">
            <v>4.9460268177997904</v>
          </cell>
          <cell r="H557">
            <v>5.6747188354066367</v>
          </cell>
          <cell r="I557">
            <v>6.3612430511322344</v>
          </cell>
          <cell r="J557">
            <v>7.0005883257753396</v>
          </cell>
          <cell r="K557">
            <v>7.6258037800616876</v>
          </cell>
          <cell r="L557">
            <v>8.2113523654554967</v>
          </cell>
        </row>
        <row r="616">
          <cell r="D616">
            <v>4.0110689225126546</v>
          </cell>
          <cell r="E616">
            <v>2.9567050552189862</v>
          </cell>
          <cell r="F616">
            <v>1.264668502977413</v>
          </cell>
          <cell r="G616">
            <v>1.2744280719383703</v>
          </cell>
          <cell r="H616">
            <v>0.29566925283785395</v>
          </cell>
          <cell r="I616">
            <v>0.34177228467358844</v>
          </cell>
          <cell r="J616">
            <v>-0.22928201466733178</v>
          </cell>
          <cell r="K616">
            <v>-0.81256233397165367</v>
          </cell>
          <cell r="L616">
            <v>1.8244334595966176</v>
          </cell>
        </row>
      </sheetData>
      <sheetData sheetId="2"/>
      <sheetData sheetId="3"/>
      <sheetData sheetId="4"/>
      <sheetData sheetId="5">
        <row r="4">
          <cell r="D4">
            <v>2024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491"/>
  <sheetViews>
    <sheetView topLeftCell="A207" zoomScaleNormal="100" zoomScaleSheetLayoutView="100" workbookViewId="0">
      <selection activeCell="L213" sqref="L213"/>
    </sheetView>
  </sheetViews>
  <sheetFormatPr defaultColWidth="9" defaultRowHeight="12" x14ac:dyDescent="0.2"/>
  <cols>
    <col min="1" max="1" width="3.125" style="137" customWidth="1"/>
    <col min="2" max="2" width="4.375" style="138" customWidth="1"/>
    <col min="3" max="3" width="9.875" style="93" customWidth="1"/>
    <col min="4" max="4" width="9.5" style="93" customWidth="1"/>
    <col min="5" max="7" width="7.625" style="93" customWidth="1"/>
    <col min="8" max="8" width="8.75" style="93" customWidth="1"/>
    <col min="9" max="12" width="7.625" style="93" customWidth="1"/>
    <col min="13" max="13" width="7.75" style="93" customWidth="1"/>
    <col min="14" max="14" width="5.375" style="625" customWidth="1"/>
    <col min="15" max="15" width="12.375" style="93" bestFit="1" customWidth="1"/>
    <col min="16" max="23" width="9.625" style="93" bestFit="1" customWidth="1"/>
    <col min="24" max="16384" width="9" style="93"/>
  </cols>
  <sheetData>
    <row r="1" spans="1:13" ht="12.75" customHeight="1" x14ac:dyDescent="0.2">
      <c r="A1" s="752" t="s">
        <v>843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4"/>
    </row>
    <row r="2" spans="1:13" ht="12.75" customHeight="1" x14ac:dyDescent="0.2">
      <c r="A2" s="755" t="s">
        <v>845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7"/>
    </row>
    <row r="3" spans="1:13" ht="12.75" customHeight="1" x14ac:dyDescent="0.2">
      <c r="A3" s="755" t="s">
        <v>844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7"/>
    </row>
    <row r="4" spans="1:13" ht="12.75" customHeight="1" x14ac:dyDescent="0.2">
      <c r="A4" s="755" t="s">
        <v>1139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7"/>
    </row>
    <row r="5" spans="1:13" ht="12.75" customHeight="1" x14ac:dyDescent="0.2">
      <c r="A5" s="377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465"/>
    </row>
    <row r="6" spans="1:13" ht="12.75" customHeight="1" x14ac:dyDescent="0.2">
      <c r="A6" s="755"/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7"/>
    </row>
    <row r="7" spans="1:13" ht="12.75" customHeight="1" x14ac:dyDescent="0.2">
      <c r="A7" s="755" t="s">
        <v>999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7"/>
    </row>
    <row r="8" spans="1:13" x14ac:dyDescent="0.2">
      <c r="A8" s="378"/>
      <c r="M8" s="181"/>
    </row>
    <row r="9" spans="1:13" x14ac:dyDescent="0.2">
      <c r="A9" s="379">
        <v>1</v>
      </c>
      <c r="B9" s="211" t="s">
        <v>75</v>
      </c>
      <c r="M9" s="181"/>
    </row>
    <row r="10" spans="1:13" x14ac:dyDescent="0.2">
      <c r="A10" s="378"/>
      <c r="C10" s="212" t="s">
        <v>402</v>
      </c>
      <c r="M10" s="181"/>
    </row>
    <row r="11" spans="1:13" x14ac:dyDescent="0.2">
      <c r="A11" s="378"/>
      <c r="C11" s="93" t="s">
        <v>343</v>
      </c>
      <c r="H11" s="168">
        <v>3</v>
      </c>
      <c r="M11" s="181"/>
    </row>
    <row r="12" spans="1:13" x14ac:dyDescent="0.2">
      <c r="A12" s="378"/>
      <c r="M12" s="181"/>
    </row>
    <row r="13" spans="1:13" x14ac:dyDescent="0.2">
      <c r="A13" s="378"/>
      <c r="C13" s="93" t="s">
        <v>344</v>
      </c>
      <c r="H13" s="168">
        <v>330</v>
      </c>
      <c r="M13" s="181"/>
    </row>
    <row r="14" spans="1:13" x14ac:dyDescent="0.2">
      <c r="A14" s="378"/>
      <c r="M14" s="181"/>
    </row>
    <row r="15" spans="1:13" x14ac:dyDescent="0.2">
      <c r="A15" s="378"/>
      <c r="C15" s="93" t="s">
        <v>345</v>
      </c>
      <c r="H15" s="168">
        <v>120</v>
      </c>
      <c r="I15" s="93" t="s">
        <v>480</v>
      </c>
      <c r="M15" s="181"/>
    </row>
    <row r="16" spans="1:13" x14ac:dyDescent="0.2">
      <c r="A16" s="378"/>
      <c r="M16" s="181"/>
    </row>
    <row r="17" spans="1:13" x14ac:dyDescent="0.2">
      <c r="A17" s="378"/>
      <c r="C17" s="93" t="s">
        <v>346</v>
      </c>
      <c r="H17" s="168">
        <f>H15*H13</f>
        <v>39600</v>
      </c>
      <c r="I17" s="93" t="s">
        <v>480</v>
      </c>
      <c r="M17" s="181"/>
    </row>
    <row r="18" spans="1:13" x14ac:dyDescent="0.2">
      <c r="A18" s="378"/>
      <c r="M18" s="181"/>
    </row>
    <row r="19" spans="1:13" x14ac:dyDescent="0.2">
      <c r="A19" s="379">
        <v>2</v>
      </c>
      <c r="B19" s="211" t="s">
        <v>403</v>
      </c>
      <c r="M19" s="181"/>
    </row>
    <row r="20" spans="1:13" x14ac:dyDescent="0.2">
      <c r="A20" s="378"/>
      <c r="M20" s="181"/>
    </row>
    <row r="21" spans="1:13" x14ac:dyDescent="0.2">
      <c r="A21" s="378"/>
      <c r="B21" s="213" t="s">
        <v>876</v>
      </c>
      <c r="M21" s="181"/>
    </row>
    <row r="22" spans="1:13" x14ac:dyDescent="0.2">
      <c r="A22" s="378"/>
      <c r="C22" s="148"/>
      <c r="K22" s="143" t="s">
        <v>852</v>
      </c>
      <c r="M22" s="181"/>
    </row>
    <row r="23" spans="1:13" x14ac:dyDescent="0.2">
      <c r="A23" s="378"/>
      <c r="B23" s="156" t="s">
        <v>442</v>
      </c>
      <c r="C23" s="157" t="s">
        <v>443</v>
      </c>
      <c r="D23" s="158"/>
      <c r="E23" s="158"/>
      <c r="F23" s="149"/>
      <c r="G23" s="149"/>
      <c r="H23" s="158" t="s">
        <v>335</v>
      </c>
      <c r="I23" s="172" t="s">
        <v>873</v>
      </c>
      <c r="J23" s="159" t="s">
        <v>505</v>
      </c>
      <c r="K23" s="159" t="s">
        <v>506</v>
      </c>
      <c r="L23" s="160" t="s">
        <v>445</v>
      </c>
      <c r="M23" s="181"/>
    </row>
    <row r="24" spans="1:13" x14ac:dyDescent="0.2">
      <c r="A24" s="378"/>
      <c r="B24" s="199">
        <v>1</v>
      </c>
      <c r="C24" s="200" t="s">
        <v>404</v>
      </c>
      <c r="D24" s="201"/>
      <c r="E24" s="201"/>
      <c r="F24" s="201"/>
      <c r="G24" s="201"/>
      <c r="H24" s="202">
        <v>0.85</v>
      </c>
      <c r="I24" s="202">
        <v>0.9</v>
      </c>
      <c r="J24" s="203">
        <f>$H$17*H24/I24</f>
        <v>37400</v>
      </c>
      <c r="K24" s="203">
        <v>24500</v>
      </c>
      <c r="L24" s="188">
        <f>J24*K24/10^7</f>
        <v>91.63</v>
      </c>
    </row>
    <row r="25" spans="1:13" x14ac:dyDescent="0.2">
      <c r="A25" s="378"/>
      <c r="B25" s="204">
        <v>2</v>
      </c>
      <c r="C25" s="148" t="s">
        <v>405</v>
      </c>
      <c r="H25" s="205">
        <v>0.15000000000000002</v>
      </c>
      <c r="I25" s="205">
        <v>0.92</v>
      </c>
      <c r="J25" s="203">
        <f>$H$17*H25/I25</f>
        <v>6456.5217391304359</v>
      </c>
      <c r="K25" s="168">
        <v>26000</v>
      </c>
      <c r="L25" s="188">
        <f>J25*K25/10^7</f>
        <v>16.786956521739135</v>
      </c>
      <c r="M25" s="181"/>
    </row>
    <row r="26" spans="1:13" x14ac:dyDescent="0.2">
      <c r="A26" s="378"/>
      <c r="B26" s="207"/>
      <c r="C26" s="140" t="s">
        <v>454</v>
      </c>
      <c r="D26" s="149"/>
      <c r="E26" s="149"/>
      <c r="F26" s="149"/>
      <c r="G26" s="149"/>
      <c r="H26" s="176"/>
      <c r="I26" s="208"/>
      <c r="J26" s="209"/>
      <c r="K26" s="149"/>
      <c r="L26" s="206">
        <f>SUM(L24:L25)</f>
        <v>108.41695652173914</v>
      </c>
      <c r="M26" s="181"/>
    </row>
    <row r="27" spans="1:13" x14ac:dyDescent="0.2">
      <c r="A27" s="378"/>
      <c r="M27" s="181"/>
    </row>
    <row r="28" spans="1:13" x14ac:dyDescent="0.2">
      <c r="A28" s="378"/>
      <c r="C28" s="97"/>
      <c r="G28" s="196"/>
      <c r="H28" s="554"/>
      <c r="I28" s="168"/>
      <c r="K28" s="97"/>
      <c r="M28" s="181"/>
    </row>
    <row r="29" spans="1:13" ht="12.75" x14ac:dyDescent="0.2">
      <c r="A29" s="378"/>
      <c r="B29" s="555" t="s">
        <v>874</v>
      </c>
      <c r="C29" s="7"/>
      <c r="D29" s="1"/>
      <c r="E29" s="1"/>
      <c r="F29" s="1"/>
      <c r="G29" s="1"/>
      <c r="H29" s="1"/>
      <c r="I29" s="1"/>
      <c r="J29" s="1"/>
      <c r="K29" s="1"/>
      <c r="L29" s="1"/>
      <c r="M29" s="74"/>
    </row>
    <row r="30" spans="1:13" ht="12.75" x14ac:dyDescent="0.2">
      <c r="A30" s="378"/>
      <c r="B30" s="371" t="s">
        <v>442</v>
      </c>
      <c r="C30" s="372" t="s">
        <v>443</v>
      </c>
      <c r="D30" s="362"/>
      <c r="E30" s="173">
        <v>2024</v>
      </c>
      <c r="F30" s="173">
        <v>2025</v>
      </c>
      <c r="G30" s="173">
        <v>2026</v>
      </c>
      <c r="H30" s="173">
        <v>2027</v>
      </c>
      <c r="I30" s="173">
        <v>2028</v>
      </c>
      <c r="J30" s="173">
        <v>2029</v>
      </c>
      <c r="K30" s="173">
        <v>2030</v>
      </c>
      <c r="L30" s="173">
        <v>2031</v>
      </c>
      <c r="M30" s="173">
        <v>2032</v>
      </c>
    </row>
    <row r="31" spans="1:13" ht="12.75" x14ac:dyDescent="0.2">
      <c r="A31" s="378"/>
      <c r="B31" s="371"/>
      <c r="C31" s="761"/>
      <c r="D31" s="762"/>
      <c r="E31" s="134">
        <v>0.6</v>
      </c>
      <c r="F31" s="255">
        <v>0.65</v>
      </c>
      <c r="G31" s="253">
        <v>0.70000000000000007</v>
      </c>
      <c r="H31" s="255">
        <v>0.75000000000000011</v>
      </c>
      <c r="I31" s="253">
        <v>0.80000000000000016</v>
      </c>
      <c r="J31" s="255">
        <v>0.8500000000000002</v>
      </c>
      <c r="K31" s="253">
        <v>0.90000000000000024</v>
      </c>
      <c r="L31" s="255">
        <v>0.95000000000000029</v>
      </c>
      <c r="M31" s="255">
        <v>1.0000000000000002</v>
      </c>
    </row>
    <row r="32" spans="1:13" ht="12.75" x14ac:dyDescent="0.2">
      <c r="A32" s="378"/>
      <c r="B32" s="373">
        <v>1</v>
      </c>
      <c r="C32" s="286" t="s">
        <v>404</v>
      </c>
      <c r="D32" s="362"/>
      <c r="E32" s="100">
        <f>$L24*E$31</f>
        <v>54.977999999999994</v>
      </c>
      <c r="F32" s="100">
        <f t="shared" ref="F32:M33" si="0">$L24*F$31</f>
        <v>59.5595</v>
      </c>
      <c r="G32" s="100">
        <f t="shared" si="0"/>
        <v>64.141000000000005</v>
      </c>
      <c r="H32" s="100">
        <f t="shared" si="0"/>
        <v>68.722500000000011</v>
      </c>
      <c r="I32" s="100">
        <f t="shared" si="0"/>
        <v>73.304000000000016</v>
      </c>
      <c r="J32" s="100">
        <f t="shared" si="0"/>
        <v>77.885500000000008</v>
      </c>
      <c r="K32" s="100">
        <f t="shared" si="0"/>
        <v>82.467000000000013</v>
      </c>
      <c r="L32" s="100">
        <f t="shared" si="0"/>
        <v>87.048500000000018</v>
      </c>
      <c r="M32" s="100">
        <f t="shared" si="0"/>
        <v>91.63000000000001</v>
      </c>
    </row>
    <row r="33" spans="1:15" ht="12.75" x14ac:dyDescent="0.2">
      <c r="A33" s="378"/>
      <c r="B33" s="374">
        <v>2</v>
      </c>
      <c r="C33" s="286" t="s">
        <v>405</v>
      </c>
      <c r="D33" s="362"/>
      <c r="E33" s="100">
        <f>$L25*E$31</f>
        <v>10.07217391304348</v>
      </c>
      <c r="F33" s="100">
        <f t="shared" si="0"/>
        <v>10.911521739130439</v>
      </c>
      <c r="G33" s="100">
        <f t="shared" si="0"/>
        <v>11.750869565217396</v>
      </c>
      <c r="H33" s="100">
        <f t="shared" si="0"/>
        <v>12.590217391304353</v>
      </c>
      <c r="I33" s="100">
        <f t="shared" si="0"/>
        <v>13.42956521739131</v>
      </c>
      <c r="J33" s="100">
        <f t="shared" si="0"/>
        <v>14.268913043478268</v>
      </c>
      <c r="K33" s="100">
        <f t="shared" si="0"/>
        <v>15.108260869565227</v>
      </c>
      <c r="L33" s="100">
        <f t="shared" si="0"/>
        <v>15.947608695652184</v>
      </c>
      <c r="M33" s="100">
        <f t="shared" si="0"/>
        <v>16.786956521739139</v>
      </c>
    </row>
    <row r="34" spans="1:15" ht="12.75" x14ac:dyDescent="0.2">
      <c r="A34" s="378"/>
      <c r="B34" s="375"/>
      <c r="C34" s="376" t="s">
        <v>531</v>
      </c>
      <c r="D34" s="284"/>
      <c r="E34" s="107">
        <f>SUM(E32:E33)</f>
        <v>65.05017391304348</v>
      </c>
      <c r="F34" s="107">
        <f t="shared" ref="F34:M34" si="1">SUM(F32:F33)</f>
        <v>70.471021739130435</v>
      </c>
      <c r="G34" s="107">
        <f t="shared" si="1"/>
        <v>75.891869565217405</v>
      </c>
      <c r="H34" s="107">
        <f t="shared" si="1"/>
        <v>81.312717391304361</v>
      </c>
      <c r="I34" s="107">
        <f t="shared" si="1"/>
        <v>86.73356521739133</v>
      </c>
      <c r="J34" s="107">
        <f t="shared" si="1"/>
        <v>92.154413043478272</v>
      </c>
      <c r="K34" s="107">
        <f t="shared" si="1"/>
        <v>97.575260869565241</v>
      </c>
      <c r="L34" s="107">
        <f t="shared" si="1"/>
        <v>102.9961086956522</v>
      </c>
      <c r="M34" s="107">
        <f t="shared" si="1"/>
        <v>108.41695652173915</v>
      </c>
    </row>
    <row r="35" spans="1:15" ht="12.75" x14ac:dyDescent="0.2">
      <c r="A35" s="380"/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74"/>
    </row>
    <row r="36" spans="1:15" ht="12.75" x14ac:dyDescent="0.2">
      <c r="A36" s="378"/>
      <c r="B36" s="214" t="s">
        <v>875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74"/>
    </row>
    <row r="37" spans="1:15" ht="12.75" x14ac:dyDescent="0.2">
      <c r="A37" s="378"/>
      <c r="B37" s="371" t="s">
        <v>442</v>
      </c>
      <c r="C37" s="372" t="s">
        <v>443</v>
      </c>
      <c r="D37" s="362"/>
      <c r="E37" s="173">
        <v>2024</v>
      </c>
      <c r="F37" s="173">
        <v>2025</v>
      </c>
      <c r="G37" s="173">
        <v>2026</v>
      </c>
      <c r="H37" s="173">
        <v>2027</v>
      </c>
      <c r="I37" s="173">
        <v>2028</v>
      </c>
      <c r="J37" s="173">
        <v>2029</v>
      </c>
      <c r="K37" s="173">
        <v>2030</v>
      </c>
      <c r="L37" s="173">
        <v>2031</v>
      </c>
      <c r="M37" s="173">
        <v>2032</v>
      </c>
    </row>
    <row r="38" spans="1:15" ht="12.75" x14ac:dyDescent="0.2">
      <c r="A38" s="378"/>
      <c r="B38" s="373">
        <v>1</v>
      </c>
      <c r="C38" s="286" t="s">
        <v>404</v>
      </c>
      <c r="D38" s="362"/>
      <c r="E38" s="100">
        <f>E32/330*10</f>
        <v>1.6659999999999997</v>
      </c>
      <c r="F38" s="100">
        <f t="shared" ref="F38:M38" si="2">F32/330*10</f>
        <v>1.8048333333333333</v>
      </c>
      <c r="G38" s="100">
        <f t="shared" si="2"/>
        <v>1.9436666666666669</v>
      </c>
      <c r="H38" s="100">
        <f t="shared" si="2"/>
        <v>2.0825000000000005</v>
      </c>
      <c r="I38" s="100">
        <f t="shared" si="2"/>
        <v>2.2213333333333338</v>
      </c>
      <c r="J38" s="100">
        <f t="shared" si="2"/>
        <v>2.3601666666666667</v>
      </c>
      <c r="K38" s="100">
        <f t="shared" si="2"/>
        <v>2.4990000000000006</v>
      </c>
      <c r="L38" s="100">
        <f t="shared" si="2"/>
        <v>2.6378333333333339</v>
      </c>
      <c r="M38" s="100">
        <f t="shared" si="2"/>
        <v>2.7766666666666668</v>
      </c>
    </row>
    <row r="39" spans="1:15" ht="12.75" x14ac:dyDescent="0.2">
      <c r="A39" s="378"/>
      <c r="B39" s="374">
        <v>2</v>
      </c>
      <c r="C39" s="286" t="s">
        <v>405</v>
      </c>
      <c r="D39" s="362"/>
      <c r="E39" s="100">
        <f>E33/330*20</f>
        <v>0.61043478260869577</v>
      </c>
      <c r="F39" s="100">
        <f t="shared" ref="F39:M39" si="3">F33/330*20</f>
        <v>0.66130434782608716</v>
      </c>
      <c r="G39" s="100">
        <f t="shared" si="3"/>
        <v>0.71217391304347855</v>
      </c>
      <c r="H39" s="100">
        <f t="shared" si="3"/>
        <v>0.76304347826086982</v>
      </c>
      <c r="I39" s="100">
        <f t="shared" si="3"/>
        <v>0.81391304347826132</v>
      </c>
      <c r="J39" s="100">
        <f t="shared" si="3"/>
        <v>0.86478260869565249</v>
      </c>
      <c r="K39" s="100">
        <f t="shared" si="3"/>
        <v>0.9156521739130441</v>
      </c>
      <c r="L39" s="100">
        <f t="shared" si="3"/>
        <v>0.96652173913043538</v>
      </c>
      <c r="M39" s="100">
        <f t="shared" si="3"/>
        <v>1.0173913043478267</v>
      </c>
    </row>
    <row r="40" spans="1:15" ht="12.75" x14ac:dyDescent="0.2">
      <c r="A40" s="378"/>
      <c r="B40" s="375"/>
      <c r="C40" s="376" t="s">
        <v>531</v>
      </c>
      <c r="D40" s="284"/>
      <c r="E40" s="107">
        <f>E38+E39</f>
        <v>2.2764347826086953</v>
      </c>
      <c r="F40" s="107">
        <f t="shared" ref="F40:M40" si="4">F38+F39</f>
        <v>2.4661376811594202</v>
      </c>
      <c r="G40" s="107">
        <f t="shared" si="4"/>
        <v>2.6558405797101452</v>
      </c>
      <c r="H40" s="107">
        <f t="shared" si="4"/>
        <v>2.8455434782608702</v>
      </c>
      <c r="I40" s="107">
        <f t="shared" si="4"/>
        <v>3.0352463768115951</v>
      </c>
      <c r="J40" s="107">
        <f t="shared" si="4"/>
        <v>3.2249492753623192</v>
      </c>
      <c r="K40" s="107">
        <f t="shared" si="4"/>
        <v>3.4146521739130447</v>
      </c>
      <c r="L40" s="107">
        <f t="shared" si="4"/>
        <v>3.6043550724637692</v>
      </c>
      <c r="M40" s="107">
        <f t="shared" si="4"/>
        <v>3.7940579710144933</v>
      </c>
    </row>
    <row r="41" spans="1:15" x14ac:dyDescent="0.2">
      <c r="A41" s="378"/>
      <c r="C41" s="97"/>
      <c r="G41" s="196"/>
      <c r="H41" s="554"/>
      <c r="I41" s="168"/>
      <c r="K41" s="97"/>
      <c r="M41" s="181"/>
    </row>
    <row r="42" spans="1:15" ht="12.75" x14ac:dyDescent="0.2">
      <c r="A42" s="379">
        <v>3</v>
      </c>
      <c r="B42" s="556" t="s">
        <v>461</v>
      </c>
      <c r="C42" s="1"/>
      <c r="D42" s="1"/>
      <c r="E42" s="1"/>
      <c r="F42" s="4"/>
      <c r="G42" s="1"/>
      <c r="H42" s="1"/>
      <c r="I42" s="1"/>
      <c r="J42" s="99"/>
      <c r="K42" s="557"/>
      <c r="L42" s="1"/>
      <c r="M42" s="181"/>
    </row>
    <row r="43" spans="1:15" ht="12.75" x14ac:dyDescent="0.2">
      <c r="A43" s="378"/>
      <c r="B43" s="7" t="s">
        <v>880</v>
      </c>
      <c r="C43" s="1"/>
      <c r="D43" s="1"/>
      <c r="E43" s="1"/>
      <c r="F43" s="4"/>
      <c r="G43" s="1"/>
      <c r="H43" s="1"/>
      <c r="I43" s="1"/>
      <c r="J43" s="99"/>
      <c r="K43" s="557"/>
      <c r="L43" s="1"/>
      <c r="M43" s="181"/>
    </row>
    <row r="44" spans="1:15" ht="12.75" x14ac:dyDescent="0.2">
      <c r="A44" s="378"/>
      <c r="B44" s="7"/>
      <c r="C44" s="558"/>
      <c r="D44" s="1"/>
      <c r="E44" s="1"/>
      <c r="F44" s="215"/>
      <c r="G44" s="1"/>
      <c r="H44" s="1"/>
      <c r="I44" s="1"/>
      <c r="J44" s="99"/>
      <c r="K44" s="557"/>
      <c r="L44" s="1"/>
      <c r="M44" s="181"/>
    </row>
    <row r="45" spans="1:15" ht="12.75" x14ac:dyDescent="0.2">
      <c r="A45" s="378"/>
      <c r="B45" s="1" t="s">
        <v>881</v>
      </c>
      <c r="C45" s="1"/>
      <c r="D45" s="1"/>
      <c r="E45" s="1"/>
      <c r="F45" s="1"/>
      <c r="G45" s="1"/>
      <c r="H45" s="1"/>
      <c r="I45" s="630"/>
      <c r="J45" s="631">
        <f>J24</f>
        <v>37400</v>
      </c>
      <c r="K45" s="632"/>
      <c r="L45" s="1"/>
      <c r="M45" s="181"/>
    </row>
    <row r="46" spans="1:15" ht="12.75" x14ac:dyDescent="0.2">
      <c r="A46" s="378"/>
      <c r="B46" s="1" t="s">
        <v>882</v>
      </c>
      <c r="C46" s="1"/>
      <c r="D46" s="1"/>
      <c r="E46" s="1"/>
      <c r="F46" s="1"/>
      <c r="G46" s="1"/>
      <c r="H46" s="1"/>
      <c r="I46" s="630"/>
      <c r="J46" s="631">
        <f>J25</f>
        <v>6456.5217391304359</v>
      </c>
      <c r="K46" s="632"/>
      <c r="L46" s="1"/>
      <c r="M46" s="181"/>
      <c r="O46" s="627"/>
    </row>
    <row r="47" spans="1:15" ht="12.75" x14ac:dyDescent="0.2">
      <c r="A47" s="378"/>
      <c r="B47" s="1" t="s">
        <v>877</v>
      </c>
      <c r="C47" s="1"/>
      <c r="D47" s="1"/>
      <c r="E47" s="1"/>
      <c r="F47" s="1"/>
      <c r="G47" s="1"/>
      <c r="H47" s="1"/>
      <c r="I47" s="633" t="s">
        <v>407</v>
      </c>
      <c r="J47" s="631">
        <v>1000</v>
      </c>
      <c r="K47" s="632"/>
      <c r="L47" s="1"/>
      <c r="M47" s="181"/>
    </row>
    <row r="48" spans="1:15" ht="12.75" x14ac:dyDescent="0.2">
      <c r="A48" s="378"/>
      <c r="B48" s="1" t="s">
        <v>878</v>
      </c>
      <c r="C48" s="1"/>
      <c r="D48" s="1"/>
      <c r="E48" s="1"/>
      <c r="F48" s="1"/>
      <c r="G48" s="1"/>
      <c r="H48" s="1"/>
      <c r="I48" s="633" t="s">
        <v>407</v>
      </c>
      <c r="J48" s="1">
        <f>(J45+J46)*J47/10^7</f>
        <v>4.3856521739130434</v>
      </c>
      <c r="K48" s="634" t="s">
        <v>879</v>
      </c>
      <c r="L48" s="1"/>
      <c r="M48" s="181"/>
    </row>
    <row r="49" spans="1:13" x14ac:dyDescent="0.2">
      <c r="A49" s="378"/>
      <c r="B49" s="213"/>
      <c r="D49" s="559"/>
      <c r="K49" s="216"/>
      <c r="M49" s="181"/>
    </row>
    <row r="50" spans="1:13" x14ac:dyDescent="0.2">
      <c r="A50" s="381"/>
      <c r="B50" s="382"/>
      <c r="C50" s="245"/>
      <c r="D50" s="383"/>
      <c r="E50" s="245"/>
      <c r="F50" s="245"/>
      <c r="G50" s="245"/>
      <c r="H50" s="245"/>
      <c r="I50" s="245"/>
      <c r="J50" s="245"/>
      <c r="K50" s="384"/>
      <c r="L50" s="245"/>
      <c r="M50" s="183"/>
    </row>
    <row r="51" spans="1:13" x14ac:dyDescent="0.2">
      <c r="A51" s="736" t="s">
        <v>843</v>
      </c>
      <c r="B51" s="737"/>
      <c r="C51" s="737"/>
      <c r="D51" s="737"/>
      <c r="E51" s="737"/>
      <c r="F51" s="737"/>
      <c r="G51" s="737"/>
      <c r="H51" s="737"/>
      <c r="I51" s="737"/>
      <c r="J51" s="737"/>
      <c r="K51" s="737"/>
      <c r="L51" s="737"/>
      <c r="M51" s="738"/>
    </row>
    <row r="52" spans="1:13" x14ac:dyDescent="0.2">
      <c r="A52" s="743" t="s">
        <v>845</v>
      </c>
      <c r="B52" s="744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745"/>
    </row>
    <row r="53" spans="1:13" x14ac:dyDescent="0.2">
      <c r="A53" s="743" t="s">
        <v>844</v>
      </c>
      <c r="B53" s="744"/>
      <c r="C53" s="744"/>
      <c r="D53" s="744"/>
      <c r="E53" s="744"/>
      <c r="F53" s="744"/>
      <c r="G53" s="744"/>
      <c r="H53" s="744"/>
      <c r="I53" s="744"/>
      <c r="J53" s="744"/>
      <c r="K53" s="744"/>
      <c r="L53" s="744"/>
      <c r="M53" s="745"/>
    </row>
    <row r="54" spans="1:13" x14ac:dyDescent="0.2">
      <c r="A54" s="743" t="s">
        <v>1139</v>
      </c>
      <c r="B54" s="744"/>
      <c r="C54" s="744"/>
      <c r="D54" s="744"/>
      <c r="E54" s="744"/>
      <c r="F54" s="744"/>
      <c r="G54" s="744"/>
      <c r="H54" s="744"/>
      <c r="I54" s="744"/>
      <c r="J54" s="744"/>
      <c r="K54" s="744"/>
      <c r="L54" s="744"/>
      <c r="M54" s="745"/>
    </row>
    <row r="55" spans="1:13" x14ac:dyDescent="0.2">
      <c r="A55" s="378"/>
      <c r="B55" s="213"/>
      <c r="D55" s="559"/>
      <c r="K55" s="216"/>
      <c r="M55" s="181"/>
    </row>
    <row r="56" spans="1:13" x14ac:dyDescent="0.2">
      <c r="A56" s="379">
        <v>4</v>
      </c>
      <c r="B56" s="211" t="s">
        <v>78</v>
      </c>
      <c r="E56" s="559"/>
      <c r="F56" s="217"/>
      <c r="K56" s="216"/>
      <c r="M56" s="181"/>
    </row>
    <row r="57" spans="1:13" x14ac:dyDescent="0.2">
      <c r="A57" s="379"/>
      <c r="B57" s="211"/>
      <c r="E57" s="559"/>
      <c r="F57" s="217"/>
      <c r="K57" s="216"/>
      <c r="M57" s="181"/>
    </row>
    <row r="58" spans="1:13" ht="12.75" x14ac:dyDescent="0.2">
      <c r="A58" s="378"/>
      <c r="B58" s="7" t="s">
        <v>880</v>
      </c>
      <c r="E58" s="559"/>
      <c r="F58" s="97"/>
      <c r="K58" s="216"/>
      <c r="M58" s="181"/>
    </row>
    <row r="59" spans="1:13" x14ac:dyDescent="0.2">
      <c r="A59" s="378"/>
      <c r="B59" s="213"/>
      <c r="D59" s="559"/>
      <c r="K59" s="216"/>
      <c r="M59" s="181"/>
    </row>
    <row r="60" spans="1:13" ht="12.75" x14ac:dyDescent="0.2">
      <c r="A60" s="378"/>
      <c r="B60" s="6" t="s">
        <v>883</v>
      </c>
      <c r="C60" s="1"/>
      <c r="D60" s="1"/>
      <c r="E60" s="1"/>
      <c r="F60" s="1"/>
      <c r="G60" s="99"/>
      <c r="H60" s="7"/>
      <c r="I60" s="1"/>
      <c r="J60" s="99">
        <f>H17</f>
        <v>39600</v>
      </c>
      <c r="K60" s="1" t="s">
        <v>480</v>
      </c>
      <c r="M60" s="181"/>
    </row>
    <row r="61" spans="1:13" ht="12.75" x14ac:dyDescent="0.2">
      <c r="A61" s="378"/>
      <c r="B61" s="6" t="s">
        <v>884</v>
      </c>
      <c r="C61" s="1"/>
      <c r="D61" s="1"/>
      <c r="E61" s="1"/>
      <c r="F61" s="1"/>
      <c r="G61" s="99"/>
      <c r="H61" s="1"/>
      <c r="I61" s="560" t="s">
        <v>407</v>
      </c>
      <c r="J61" s="99">
        <v>500</v>
      </c>
      <c r="K61" s="1"/>
      <c r="M61" s="181"/>
    </row>
    <row r="62" spans="1:13" ht="12.75" x14ac:dyDescent="0.2">
      <c r="A62" s="378"/>
      <c r="B62" s="6" t="s">
        <v>885</v>
      </c>
      <c r="C62" s="1"/>
      <c r="D62" s="1"/>
      <c r="E62" s="1"/>
      <c r="F62" s="1"/>
      <c r="G62" s="99"/>
      <c r="H62" s="1"/>
      <c r="I62" s="560" t="s">
        <v>407</v>
      </c>
      <c r="J62" s="4">
        <f>J60*J61/10^7</f>
        <v>1.98</v>
      </c>
      <c r="K62" s="4" t="s">
        <v>879</v>
      </c>
      <c r="M62" s="181"/>
    </row>
    <row r="63" spans="1:13" x14ac:dyDescent="0.2">
      <c r="A63" s="378"/>
      <c r="B63" s="213"/>
      <c r="D63" s="559"/>
      <c r="K63" s="216"/>
      <c r="M63" s="181"/>
    </row>
    <row r="64" spans="1:13" x14ac:dyDescent="0.2">
      <c r="A64" s="378"/>
      <c r="B64" s="213"/>
      <c r="D64" s="559"/>
      <c r="K64" s="216"/>
      <c r="M64" s="181"/>
    </row>
    <row r="65" spans="1:13" x14ac:dyDescent="0.2">
      <c r="A65" s="379">
        <v>5</v>
      </c>
      <c r="B65" s="211" t="s">
        <v>77</v>
      </c>
      <c r="E65" s="559"/>
      <c r="K65" s="216"/>
      <c r="M65" s="181"/>
    </row>
    <row r="66" spans="1:13" x14ac:dyDescent="0.2">
      <c r="A66" s="379"/>
      <c r="B66" s="211"/>
      <c r="E66" s="559"/>
      <c r="K66" s="216"/>
      <c r="M66" s="181"/>
    </row>
    <row r="67" spans="1:13" x14ac:dyDescent="0.2">
      <c r="A67" s="378"/>
      <c r="B67" s="213" t="s">
        <v>406</v>
      </c>
      <c r="E67" s="559"/>
      <c r="I67" s="196"/>
      <c r="K67" s="216"/>
      <c r="M67" s="181"/>
    </row>
    <row r="68" spans="1:13" x14ac:dyDescent="0.2">
      <c r="A68" s="378"/>
      <c r="B68" s="213"/>
      <c r="E68" s="559"/>
      <c r="K68" s="216"/>
      <c r="M68" s="181"/>
    </row>
    <row r="69" spans="1:13" ht="12.75" x14ac:dyDescent="0.2">
      <c r="A69" s="378"/>
      <c r="B69" s="561"/>
      <c r="C69" s="7" t="s">
        <v>886</v>
      </c>
      <c r="D69" s="1"/>
      <c r="E69" s="1"/>
      <c r="F69" s="1"/>
      <c r="G69" s="99"/>
      <c r="H69" s="1"/>
      <c r="I69" s="1"/>
      <c r="J69" s="99">
        <v>1700</v>
      </c>
      <c r="K69" s="7" t="s">
        <v>511</v>
      </c>
      <c r="M69" s="181"/>
    </row>
    <row r="70" spans="1:13" ht="12.75" x14ac:dyDescent="0.2">
      <c r="A70" s="378"/>
      <c r="B70" s="561"/>
      <c r="C70" s="7" t="s">
        <v>887</v>
      </c>
      <c r="D70" s="1"/>
      <c r="E70" s="1"/>
      <c r="F70" s="1"/>
      <c r="G70" s="1"/>
      <c r="H70" s="7"/>
      <c r="I70" s="1"/>
      <c r="J70" s="1">
        <v>0.8</v>
      </c>
      <c r="K70" s="1"/>
      <c r="M70" s="181"/>
    </row>
    <row r="71" spans="1:13" ht="12.75" x14ac:dyDescent="0.2">
      <c r="A71" s="378"/>
      <c r="B71" s="561"/>
      <c r="C71" s="7" t="s">
        <v>888</v>
      </c>
      <c r="D71" s="1"/>
      <c r="E71" s="1"/>
      <c r="F71" s="1"/>
      <c r="G71" s="1"/>
      <c r="H71" s="7"/>
      <c r="I71" s="1"/>
      <c r="J71" s="1">
        <v>0.95</v>
      </c>
      <c r="K71" s="1"/>
      <c r="M71" s="181"/>
    </row>
    <row r="72" spans="1:13" ht="12.75" x14ac:dyDescent="0.2">
      <c r="A72" s="378"/>
      <c r="B72" s="561"/>
      <c r="C72" s="7" t="s">
        <v>889</v>
      </c>
      <c r="D72" s="1"/>
      <c r="E72" s="1"/>
      <c r="F72" s="1"/>
      <c r="G72" s="99"/>
      <c r="H72" s="7"/>
      <c r="I72" s="1"/>
      <c r="J72" s="218">
        <v>7</v>
      </c>
      <c r="K72" s="1" t="s">
        <v>890</v>
      </c>
      <c r="M72" s="181"/>
    </row>
    <row r="73" spans="1:13" ht="12.75" x14ac:dyDescent="0.2">
      <c r="A73" s="378"/>
      <c r="B73" s="561"/>
      <c r="C73" s="7" t="s">
        <v>891</v>
      </c>
      <c r="D73" s="1"/>
      <c r="E73" s="1"/>
      <c r="F73" s="1"/>
      <c r="G73" s="99"/>
      <c r="H73" s="7"/>
      <c r="I73" s="1"/>
      <c r="J73" s="218">
        <v>24</v>
      </c>
      <c r="K73" s="1"/>
      <c r="M73" s="181"/>
    </row>
    <row r="74" spans="1:13" ht="12.75" x14ac:dyDescent="0.2">
      <c r="A74" s="378"/>
      <c r="B74" s="561"/>
      <c r="C74" s="7" t="s">
        <v>892</v>
      </c>
      <c r="D74" s="1"/>
      <c r="E74" s="1"/>
      <c r="F74" s="1"/>
      <c r="G74" s="99"/>
      <c r="H74" s="7"/>
      <c r="I74" s="1"/>
      <c r="J74" s="99">
        <v>330</v>
      </c>
      <c r="K74" s="1"/>
      <c r="M74" s="181"/>
    </row>
    <row r="75" spans="1:13" x14ac:dyDescent="0.2">
      <c r="A75" s="378"/>
      <c r="B75" s="213"/>
      <c r="E75" s="559"/>
      <c r="K75" s="216"/>
      <c r="M75" s="181"/>
    </row>
    <row r="76" spans="1:13" ht="12.75" x14ac:dyDescent="0.2">
      <c r="A76" s="378"/>
      <c r="B76" s="213"/>
      <c r="C76" s="219" t="s">
        <v>893</v>
      </c>
      <c r="E76" s="559"/>
      <c r="J76" s="97">
        <f>J69*J70*J71*J72*J73*J74/10^7</f>
        <v>7.1628480000000003</v>
      </c>
      <c r="K76" s="216"/>
      <c r="M76" s="181"/>
    </row>
    <row r="77" spans="1:13" ht="12.75" x14ac:dyDescent="0.2">
      <c r="A77" s="378"/>
      <c r="B77" s="213"/>
      <c r="C77" s="220"/>
      <c r="E77" s="559"/>
      <c r="K77" s="216"/>
      <c r="M77" s="181"/>
    </row>
    <row r="78" spans="1:13" ht="12.75" x14ac:dyDescent="0.2">
      <c r="A78" s="378"/>
      <c r="B78" s="213"/>
      <c r="C78" s="220"/>
      <c r="E78" s="559"/>
      <c r="K78" s="216"/>
      <c r="M78" s="181"/>
    </row>
    <row r="79" spans="1:13" ht="12.75" x14ac:dyDescent="0.2">
      <c r="A79" s="379">
        <v>6</v>
      </c>
      <c r="B79" s="4" t="s">
        <v>894</v>
      </c>
      <c r="D79" s="1"/>
      <c r="E79" s="1"/>
      <c r="F79" s="1"/>
      <c r="G79" s="1"/>
      <c r="H79" s="1"/>
      <c r="I79" s="1"/>
      <c r="J79" s="1"/>
      <c r="K79" s="1"/>
      <c r="L79" s="1"/>
      <c r="M79" s="181"/>
    </row>
    <row r="80" spans="1:13" ht="12.75" x14ac:dyDescent="0.2">
      <c r="A80" s="379"/>
      <c r="B80" s="4"/>
      <c r="D80" s="1"/>
      <c r="E80" s="1"/>
      <c r="F80" s="1"/>
      <c r="G80" s="1"/>
      <c r="H80" s="1"/>
      <c r="I80" s="1"/>
      <c r="J80" s="1"/>
      <c r="K80" s="1"/>
      <c r="L80" s="1"/>
      <c r="M80" s="181"/>
    </row>
    <row r="81" spans="1:13" ht="12.75" x14ac:dyDescent="0.2">
      <c r="A81" s="378"/>
      <c r="B81" s="213"/>
      <c r="C81" s="99" t="s">
        <v>895</v>
      </c>
      <c r="E81" s="99"/>
      <c r="F81" s="98"/>
      <c r="G81" s="1"/>
      <c r="H81" s="1"/>
      <c r="I81" s="1"/>
      <c r="J81" s="1">
        <v>0.4</v>
      </c>
      <c r="M81" s="181"/>
    </row>
    <row r="82" spans="1:13" ht="12.75" x14ac:dyDescent="0.2">
      <c r="A82" s="378"/>
      <c r="B82" s="213"/>
      <c r="C82" s="99" t="s">
        <v>896</v>
      </c>
      <c r="E82" s="99"/>
      <c r="F82" s="99"/>
      <c r="G82" s="1"/>
      <c r="H82" s="1"/>
      <c r="I82" s="1"/>
      <c r="J82" s="99">
        <v>2000</v>
      </c>
      <c r="M82" s="181"/>
    </row>
    <row r="83" spans="1:13" ht="12.75" x14ac:dyDescent="0.2">
      <c r="A83" s="378"/>
      <c r="B83" s="213"/>
      <c r="C83" s="99" t="s">
        <v>897</v>
      </c>
      <c r="E83" s="99"/>
      <c r="F83" s="99"/>
      <c r="G83" s="1"/>
      <c r="H83" s="1"/>
      <c r="I83" s="98"/>
      <c r="J83" s="99">
        <v>24</v>
      </c>
      <c r="M83" s="181"/>
    </row>
    <row r="84" spans="1:13" ht="12.75" x14ac:dyDescent="0.2">
      <c r="A84" s="378"/>
      <c r="B84" s="213"/>
      <c r="C84" s="99" t="s">
        <v>898</v>
      </c>
      <c r="E84" s="99"/>
      <c r="F84" s="99"/>
      <c r="G84" s="1"/>
      <c r="H84" s="1"/>
      <c r="I84" s="98"/>
      <c r="J84" s="99">
        <v>330</v>
      </c>
      <c r="M84" s="181"/>
    </row>
    <row r="85" spans="1:13" ht="12.75" x14ac:dyDescent="0.2">
      <c r="A85" s="378"/>
      <c r="B85" s="213"/>
      <c r="C85" s="99" t="s">
        <v>899</v>
      </c>
      <c r="E85" s="99"/>
      <c r="F85" s="99" t="s">
        <v>441</v>
      </c>
      <c r="G85" s="1"/>
      <c r="H85" s="1"/>
      <c r="I85" s="8" t="s">
        <v>407</v>
      </c>
      <c r="J85" s="4">
        <f>J81*J82*J83*J84/10^7</f>
        <v>0.63360000000000005</v>
      </c>
      <c r="M85" s="181"/>
    </row>
    <row r="86" spans="1:13" ht="12.75" x14ac:dyDescent="0.2">
      <c r="A86" s="378"/>
      <c r="B86" s="213"/>
      <c r="C86" s="99" t="s">
        <v>900</v>
      </c>
      <c r="E86" s="99"/>
      <c r="F86" s="99"/>
      <c r="G86" s="1"/>
      <c r="H86" s="1"/>
      <c r="I86" s="8" t="s">
        <v>407</v>
      </c>
      <c r="J86" s="1">
        <v>0.05</v>
      </c>
      <c r="M86" s="181"/>
    </row>
    <row r="87" spans="1:13" ht="12.75" x14ac:dyDescent="0.2">
      <c r="A87" s="378"/>
      <c r="B87" s="213"/>
      <c r="C87" s="221" t="s">
        <v>901</v>
      </c>
      <c r="E87" s="99"/>
      <c r="F87" s="99"/>
      <c r="G87" s="99"/>
      <c r="H87" s="1"/>
      <c r="I87" s="99"/>
      <c r="J87" s="4">
        <f>J85+J86</f>
        <v>0.6836000000000001</v>
      </c>
      <c r="M87" s="181"/>
    </row>
    <row r="88" spans="1:13" x14ac:dyDescent="0.2">
      <c r="A88" s="387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M88" s="181"/>
    </row>
    <row r="89" spans="1:13" x14ac:dyDescent="0.2">
      <c r="A89" s="387"/>
      <c r="B89" s="222"/>
      <c r="C89" s="213"/>
      <c r="D89" s="222"/>
      <c r="E89" s="222"/>
      <c r="F89" s="222"/>
      <c r="G89" s="222"/>
      <c r="H89" s="222"/>
      <c r="I89" s="222"/>
      <c r="J89" s="222"/>
      <c r="K89" s="222"/>
      <c r="M89" s="181"/>
    </row>
    <row r="90" spans="1:13" x14ac:dyDescent="0.2">
      <c r="A90" s="387"/>
      <c r="B90" s="222"/>
      <c r="C90" s="213"/>
      <c r="D90" s="222"/>
      <c r="E90" s="222"/>
      <c r="F90" s="222"/>
      <c r="G90" s="222"/>
      <c r="H90" s="222"/>
      <c r="I90" s="222"/>
      <c r="J90" s="562"/>
      <c r="K90" s="222"/>
      <c r="M90" s="181"/>
    </row>
    <row r="91" spans="1:13" x14ac:dyDescent="0.2">
      <c r="A91" s="387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M91" s="181"/>
    </row>
    <row r="92" spans="1:13" x14ac:dyDescent="0.2">
      <c r="A92" s="387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M92" s="181"/>
    </row>
    <row r="93" spans="1:13" x14ac:dyDescent="0.2">
      <c r="A93" s="387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M93" s="181"/>
    </row>
    <row r="94" spans="1:13" x14ac:dyDescent="0.2">
      <c r="A94" s="387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M94" s="181"/>
    </row>
    <row r="95" spans="1:13" x14ac:dyDescent="0.2">
      <c r="A95" s="387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M95" s="181"/>
    </row>
    <row r="96" spans="1:13" x14ac:dyDescent="0.2">
      <c r="A96" s="387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M96" s="181"/>
    </row>
    <row r="97" spans="1:13" x14ac:dyDescent="0.2">
      <c r="A97" s="387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M97" s="181"/>
    </row>
    <row r="98" spans="1:13" x14ac:dyDescent="0.2">
      <c r="A98" s="387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M98" s="181"/>
    </row>
    <row r="99" spans="1:13" x14ac:dyDescent="0.2">
      <c r="A99" s="387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M99" s="181"/>
    </row>
    <row r="100" spans="1:13" x14ac:dyDescent="0.2">
      <c r="A100" s="387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M100" s="181"/>
    </row>
    <row r="101" spans="1:13" x14ac:dyDescent="0.2">
      <c r="A101" s="388"/>
      <c r="B101" s="389"/>
      <c r="C101" s="389"/>
      <c r="D101" s="389"/>
      <c r="E101" s="389"/>
      <c r="F101" s="389"/>
      <c r="G101" s="389"/>
      <c r="H101" s="389"/>
      <c r="I101" s="389"/>
      <c r="J101" s="389"/>
      <c r="K101" s="389"/>
      <c r="L101" s="245"/>
      <c r="M101" s="183"/>
    </row>
    <row r="102" spans="1:13" x14ac:dyDescent="0.2">
      <c r="A102" s="736" t="s">
        <v>843</v>
      </c>
      <c r="B102" s="737"/>
      <c r="C102" s="737"/>
      <c r="D102" s="737"/>
      <c r="E102" s="737"/>
      <c r="F102" s="737"/>
      <c r="G102" s="737"/>
      <c r="H102" s="737"/>
      <c r="I102" s="737"/>
      <c r="J102" s="737"/>
      <c r="K102" s="737"/>
      <c r="L102" s="737"/>
      <c r="M102" s="738"/>
    </row>
    <row r="103" spans="1:13" x14ac:dyDescent="0.2">
      <c r="A103" s="743" t="s">
        <v>845</v>
      </c>
      <c r="B103" s="744"/>
      <c r="C103" s="744"/>
      <c r="D103" s="744"/>
      <c r="E103" s="744"/>
      <c r="F103" s="744"/>
      <c r="G103" s="744"/>
      <c r="H103" s="744"/>
      <c r="I103" s="744"/>
      <c r="J103" s="744"/>
      <c r="K103" s="744"/>
      <c r="L103" s="744"/>
      <c r="M103" s="745"/>
    </row>
    <row r="104" spans="1:13" x14ac:dyDescent="0.2">
      <c r="A104" s="743" t="s">
        <v>844</v>
      </c>
      <c r="B104" s="744"/>
      <c r="C104" s="744"/>
      <c r="D104" s="744"/>
      <c r="E104" s="744"/>
      <c r="F104" s="744"/>
      <c r="G104" s="744"/>
      <c r="H104" s="744"/>
      <c r="I104" s="744"/>
      <c r="J104" s="744"/>
      <c r="K104" s="744"/>
      <c r="L104" s="744"/>
      <c r="M104" s="745"/>
    </row>
    <row r="105" spans="1:13" x14ac:dyDescent="0.2">
      <c r="A105" s="743" t="s">
        <v>1139</v>
      </c>
      <c r="B105" s="744"/>
      <c r="C105" s="744"/>
      <c r="D105" s="744"/>
      <c r="E105" s="744"/>
      <c r="F105" s="744"/>
      <c r="G105" s="744"/>
      <c r="H105" s="744"/>
      <c r="I105" s="744"/>
      <c r="J105" s="744"/>
      <c r="K105" s="744"/>
      <c r="L105" s="744"/>
      <c r="M105" s="745"/>
    </row>
    <row r="106" spans="1:13" x14ac:dyDescent="0.2">
      <c r="A106" s="387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M106" s="181"/>
    </row>
    <row r="107" spans="1:13" x14ac:dyDescent="0.2">
      <c r="A107" s="379">
        <v>7</v>
      </c>
      <c r="B107" s="211" t="s">
        <v>507</v>
      </c>
      <c r="M107" s="181"/>
    </row>
    <row r="108" spans="1:13" x14ac:dyDescent="0.2">
      <c r="A108" s="378"/>
      <c r="B108" s="563"/>
      <c r="M108" s="181"/>
    </row>
    <row r="109" spans="1:13" x14ac:dyDescent="0.2">
      <c r="A109" s="378"/>
      <c r="B109" s="137" t="s">
        <v>442</v>
      </c>
      <c r="C109" s="142" t="s">
        <v>443</v>
      </c>
      <c r="D109" s="97"/>
      <c r="E109" s="97"/>
      <c r="F109" s="143" t="s">
        <v>508</v>
      </c>
      <c r="G109" s="97"/>
      <c r="H109" s="143" t="s">
        <v>509</v>
      </c>
      <c r="I109" s="97"/>
      <c r="J109" s="143" t="s">
        <v>445</v>
      </c>
      <c r="M109" s="181"/>
    </row>
    <row r="110" spans="1:13" x14ac:dyDescent="0.2">
      <c r="A110" s="378"/>
      <c r="B110" s="563" t="s">
        <v>314</v>
      </c>
      <c r="C110" s="142"/>
      <c r="D110" s="97"/>
      <c r="E110" s="97"/>
      <c r="F110" s="143"/>
      <c r="G110" s="97"/>
      <c r="H110" s="143"/>
      <c r="I110" s="97"/>
      <c r="J110" s="143"/>
      <c r="M110" s="181"/>
    </row>
    <row r="111" spans="1:13" x14ac:dyDescent="0.2">
      <c r="A111" s="378"/>
      <c r="B111" s="564">
        <v>1</v>
      </c>
      <c r="C111" s="145" t="s">
        <v>280</v>
      </c>
      <c r="F111" s="146">
        <v>1</v>
      </c>
      <c r="H111" s="168">
        <v>25000</v>
      </c>
      <c r="J111" s="146">
        <f>H111*F111*12</f>
        <v>300000</v>
      </c>
      <c r="M111" s="181"/>
    </row>
    <row r="112" spans="1:13" x14ac:dyDescent="0.2">
      <c r="A112" s="378"/>
      <c r="B112" s="564">
        <v>2</v>
      </c>
      <c r="C112" s="93" t="s">
        <v>284</v>
      </c>
      <c r="F112" s="146">
        <v>1</v>
      </c>
      <c r="H112" s="168">
        <v>25000</v>
      </c>
      <c r="J112" s="146">
        <f t="shared" ref="J112:J118" si="5">H112*F112*12</f>
        <v>300000</v>
      </c>
      <c r="M112" s="181"/>
    </row>
    <row r="113" spans="1:13" x14ac:dyDescent="0.2">
      <c r="A113" s="378"/>
      <c r="B113" s="564">
        <v>3</v>
      </c>
      <c r="C113" s="93" t="s">
        <v>285</v>
      </c>
      <c r="D113" s="97"/>
      <c r="E113" s="97"/>
      <c r="F113" s="146">
        <v>5</v>
      </c>
      <c r="G113" s="97"/>
      <c r="H113" s="146">
        <v>15000</v>
      </c>
      <c r="I113" s="97"/>
      <c r="J113" s="146">
        <f t="shared" si="5"/>
        <v>900000</v>
      </c>
      <c r="M113" s="181"/>
    </row>
    <row r="114" spans="1:13" x14ac:dyDescent="0.2">
      <c r="A114" s="378"/>
      <c r="B114" s="564">
        <v>4</v>
      </c>
      <c r="C114" s="145" t="s">
        <v>281</v>
      </c>
      <c r="D114" s="97"/>
      <c r="E114" s="97"/>
      <c r="F114" s="146">
        <v>1</v>
      </c>
      <c r="G114" s="97"/>
      <c r="H114" s="146">
        <v>20000</v>
      </c>
      <c r="I114" s="97"/>
      <c r="J114" s="146">
        <f t="shared" si="5"/>
        <v>240000</v>
      </c>
      <c r="M114" s="181"/>
    </row>
    <row r="115" spans="1:13" x14ac:dyDescent="0.2">
      <c r="A115" s="378"/>
      <c r="B115" s="564">
        <v>5</v>
      </c>
      <c r="C115" s="145" t="s">
        <v>283</v>
      </c>
      <c r="F115" s="146">
        <v>1</v>
      </c>
      <c r="H115" s="168">
        <v>15000</v>
      </c>
      <c r="J115" s="146">
        <f t="shared" si="5"/>
        <v>180000</v>
      </c>
      <c r="M115" s="181"/>
    </row>
    <row r="116" spans="1:13" x14ac:dyDescent="0.2">
      <c r="A116" s="378"/>
      <c r="B116" s="564">
        <v>6</v>
      </c>
      <c r="C116" s="93" t="s">
        <v>282</v>
      </c>
      <c r="D116" s="97"/>
      <c r="E116" s="97"/>
      <c r="F116" s="146">
        <v>9</v>
      </c>
      <c r="G116" s="97"/>
      <c r="H116" s="146">
        <v>10000</v>
      </c>
      <c r="I116" s="97"/>
      <c r="J116" s="146">
        <f t="shared" si="5"/>
        <v>1080000</v>
      </c>
      <c r="M116" s="181"/>
    </row>
    <row r="117" spans="1:13" x14ac:dyDescent="0.2">
      <c r="A117" s="378"/>
      <c r="B117" s="564">
        <v>7</v>
      </c>
      <c r="C117" s="145" t="s">
        <v>312</v>
      </c>
      <c r="D117" s="97"/>
      <c r="E117" s="97"/>
      <c r="F117" s="146">
        <v>40</v>
      </c>
      <c r="G117" s="97"/>
      <c r="H117" s="146">
        <v>7500</v>
      </c>
      <c r="I117" s="97"/>
      <c r="J117" s="146">
        <f t="shared" si="5"/>
        <v>3600000</v>
      </c>
      <c r="M117" s="181"/>
    </row>
    <row r="118" spans="1:13" x14ac:dyDescent="0.2">
      <c r="A118" s="378"/>
      <c r="B118" s="564">
        <v>8</v>
      </c>
      <c r="C118" s="145" t="s">
        <v>313</v>
      </c>
      <c r="D118" s="97"/>
      <c r="E118" s="97"/>
      <c r="F118" s="146">
        <v>2</v>
      </c>
      <c r="G118" s="97"/>
      <c r="H118" s="146">
        <v>15000</v>
      </c>
      <c r="I118" s="97"/>
      <c r="J118" s="146">
        <f t="shared" si="5"/>
        <v>360000</v>
      </c>
      <c r="M118" s="181"/>
    </row>
    <row r="119" spans="1:13" x14ac:dyDescent="0.2">
      <c r="A119" s="378"/>
      <c r="B119" s="563"/>
      <c r="D119" s="97"/>
      <c r="E119" s="143" t="s">
        <v>454</v>
      </c>
      <c r="F119" s="309">
        <f>SUM(F111:F118)</f>
        <v>60</v>
      </c>
      <c r="G119" s="97"/>
      <c r="H119" s="147"/>
      <c r="I119" s="143" t="s">
        <v>454</v>
      </c>
      <c r="J119" s="309">
        <f>SUM(J111:J118)</f>
        <v>6960000</v>
      </c>
      <c r="M119" s="181"/>
    </row>
    <row r="120" spans="1:13" x14ac:dyDescent="0.2">
      <c r="A120" s="378"/>
      <c r="B120" s="563"/>
      <c r="C120" s="142"/>
      <c r="D120" s="97"/>
      <c r="E120" s="97"/>
      <c r="F120" s="146"/>
      <c r="G120" s="97"/>
      <c r="H120" s="147"/>
      <c r="I120" s="97"/>
      <c r="J120" s="97"/>
      <c r="K120" s="147"/>
      <c r="M120" s="181"/>
    </row>
    <row r="121" spans="1:13" x14ac:dyDescent="0.2">
      <c r="A121" s="378"/>
      <c r="B121" s="563"/>
      <c r="C121" s="148" t="s">
        <v>286</v>
      </c>
      <c r="D121" s="97"/>
      <c r="E121" s="97"/>
      <c r="F121" s="146"/>
      <c r="G121" s="97"/>
      <c r="H121" s="147" t="s">
        <v>407</v>
      </c>
      <c r="I121" s="93">
        <f>J119/10^7</f>
        <v>0.69599999999999995</v>
      </c>
      <c r="J121" s="148" t="s">
        <v>851</v>
      </c>
      <c r="K121" s="147"/>
      <c r="M121" s="181"/>
    </row>
    <row r="122" spans="1:13" x14ac:dyDescent="0.2">
      <c r="A122" s="378"/>
      <c r="B122" s="563"/>
      <c r="C122" s="93" t="s">
        <v>316</v>
      </c>
      <c r="D122" s="147"/>
      <c r="E122" s="97"/>
      <c r="F122" s="146"/>
      <c r="G122" s="97"/>
      <c r="H122" s="147" t="s">
        <v>407</v>
      </c>
      <c r="I122" s="93">
        <f>I121*0.1</f>
        <v>6.9599999999999995E-2</v>
      </c>
      <c r="J122" s="148" t="s">
        <v>851</v>
      </c>
      <c r="K122" s="147"/>
      <c r="M122" s="181"/>
    </row>
    <row r="123" spans="1:13" x14ac:dyDescent="0.2">
      <c r="A123" s="378"/>
      <c r="B123" s="563"/>
      <c r="C123" s="93" t="s">
        <v>287</v>
      </c>
      <c r="D123" s="147"/>
      <c r="E123" s="97"/>
      <c r="F123" s="146"/>
      <c r="G123" s="97"/>
      <c r="H123" s="147" t="s">
        <v>407</v>
      </c>
      <c r="I123" s="93">
        <f>SUM(I121:I122)</f>
        <v>0.76559999999999995</v>
      </c>
      <c r="J123" s="148" t="s">
        <v>851</v>
      </c>
      <c r="K123" s="147"/>
      <c r="M123" s="181"/>
    </row>
    <row r="124" spans="1:13" x14ac:dyDescent="0.2">
      <c r="A124" s="378"/>
      <c r="B124" s="563"/>
      <c r="C124" s="142"/>
      <c r="D124" s="97"/>
      <c r="E124" s="97"/>
      <c r="F124" s="146"/>
      <c r="G124" s="97"/>
      <c r="K124" s="147"/>
      <c r="M124" s="181"/>
    </row>
    <row r="125" spans="1:13" x14ac:dyDescent="0.2">
      <c r="A125" s="378"/>
      <c r="B125" s="563"/>
      <c r="C125" s="142"/>
      <c r="D125" s="97"/>
      <c r="E125" s="97"/>
      <c r="F125" s="146"/>
      <c r="G125" s="97"/>
      <c r="H125" s="143" t="s">
        <v>317</v>
      </c>
      <c r="I125" s="97">
        <v>0.77</v>
      </c>
      <c r="J125" s="148" t="s">
        <v>851</v>
      </c>
      <c r="K125" s="147"/>
      <c r="M125" s="181"/>
    </row>
    <row r="126" spans="1:13" x14ac:dyDescent="0.2">
      <c r="A126" s="378"/>
      <c r="B126" s="563"/>
      <c r="C126" s="142"/>
      <c r="D126" s="97"/>
      <c r="E126" s="97"/>
      <c r="F126" s="146"/>
      <c r="G126" s="97"/>
      <c r="H126" s="143"/>
      <c r="I126" s="672"/>
      <c r="J126" s="148"/>
      <c r="K126" s="147"/>
      <c r="M126" s="181"/>
    </row>
    <row r="127" spans="1:13" x14ac:dyDescent="0.2">
      <c r="A127" s="378"/>
      <c r="B127" s="563"/>
      <c r="C127" s="142"/>
      <c r="D127" s="97"/>
      <c r="E127" s="97"/>
      <c r="F127" s="146"/>
      <c r="G127" s="97"/>
      <c r="H127" s="143"/>
      <c r="I127" s="97"/>
      <c r="J127" s="148"/>
      <c r="K127" s="147"/>
      <c r="M127" s="181"/>
    </row>
    <row r="128" spans="1:13" x14ac:dyDescent="0.2">
      <c r="A128" s="378"/>
      <c r="B128" s="563" t="s">
        <v>311</v>
      </c>
      <c r="C128" s="142"/>
      <c r="D128" s="97"/>
      <c r="E128" s="97"/>
      <c r="F128" s="146"/>
      <c r="G128" s="97"/>
      <c r="H128" s="147"/>
      <c r="I128" s="97"/>
      <c r="J128" s="97"/>
      <c r="K128" s="147"/>
      <c r="M128" s="181"/>
    </row>
    <row r="129" spans="1:13" x14ac:dyDescent="0.2">
      <c r="A129" s="378"/>
      <c r="B129" s="564">
        <v>1</v>
      </c>
      <c r="C129" s="145" t="s">
        <v>76</v>
      </c>
      <c r="D129" s="97"/>
      <c r="E129" s="97"/>
      <c r="F129" s="146">
        <v>1</v>
      </c>
      <c r="G129" s="97"/>
      <c r="H129" s="146">
        <v>75000</v>
      </c>
      <c r="I129" s="97"/>
      <c r="J129" s="146">
        <f>H129*F129*12</f>
        <v>900000</v>
      </c>
      <c r="M129" s="181"/>
    </row>
    <row r="130" spans="1:13" x14ac:dyDescent="0.2">
      <c r="A130" s="378"/>
      <c r="B130" s="564">
        <v>2</v>
      </c>
      <c r="C130" s="145" t="s">
        <v>279</v>
      </c>
      <c r="D130" s="97"/>
      <c r="E130" s="97"/>
      <c r="F130" s="146">
        <v>1</v>
      </c>
      <c r="G130" s="97"/>
      <c r="H130" s="146">
        <v>25000</v>
      </c>
      <c r="I130" s="97"/>
      <c r="J130" s="146">
        <f t="shared" ref="J130:J137" si="6">H130*F130*12</f>
        <v>300000</v>
      </c>
      <c r="M130" s="181"/>
    </row>
    <row r="131" spans="1:13" x14ac:dyDescent="0.2">
      <c r="A131" s="378"/>
      <c r="B131" s="564">
        <v>3</v>
      </c>
      <c r="C131" s="145" t="s">
        <v>305</v>
      </c>
      <c r="D131" s="97"/>
      <c r="E131" s="97"/>
      <c r="F131" s="146">
        <v>2</v>
      </c>
      <c r="G131" s="97"/>
      <c r="H131" s="146">
        <v>15000</v>
      </c>
      <c r="I131" s="97"/>
      <c r="J131" s="146">
        <f t="shared" si="6"/>
        <v>360000</v>
      </c>
      <c r="M131" s="181"/>
    </row>
    <row r="132" spans="1:13" x14ac:dyDescent="0.2">
      <c r="A132" s="378"/>
      <c r="B132" s="564">
        <v>4</v>
      </c>
      <c r="C132" s="145" t="s">
        <v>306</v>
      </c>
      <c r="D132" s="97"/>
      <c r="E132" s="97"/>
      <c r="F132" s="146">
        <v>2</v>
      </c>
      <c r="G132" s="97"/>
      <c r="H132" s="146">
        <v>12000</v>
      </c>
      <c r="I132" s="97"/>
      <c r="J132" s="146">
        <f t="shared" si="6"/>
        <v>288000</v>
      </c>
      <c r="M132" s="181"/>
    </row>
    <row r="133" spans="1:13" x14ac:dyDescent="0.2">
      <c r="A133" s="378"/>
      <c r="B133" s="564">
        <v>5</v>
      </c>
      <c r="C133" s="145" t="s">
        <v>307</v>
      </c>
      <c r="D133" s="97"/>
      <c r="E133" s="97"/>
      <c r="F133" s="146">
        <v>1</v>
      </c>
      <c r="G133" s="97"/>
      <c r="H133" s="146">
        <v>8000</v>
      </c>
      <c r="I133" s="97"/>
      <c r="J133" s="146">
        <f t="shared" si="6"/>
        <v>96000</v>
      </c>
      <c r="M133" s="181"/>
    </row>
    <row r="134" spans="1:13" x14ac:dyDescent="0.2">
      <c r="A134" s="378"/>
      <c r="B134" s="564">
        <v>6</v>
      </c>
      <c r="C134" s="145" t="s">
        <v>308</v>
      </c>
      <c r="D134" s="97"/>
      <c r="E134" s="97"/>
      <c r="F134" s="146">
        <v>1</v>
      </c>
      <c r="G134" s="97"/>
      <c r="H134" s="146">
        <v>15000</v>
      </c>
      <c r="I134" s="97"/>
      <c r="J134" s="146">
        <f t="shared" si="6"/>
        <v>180000</v>
      </c>
      <c r="M134" s="181"/>
    </row>
    <row r="135" spans="1:13" x14ac:dyDescent="0.2">
      <c r="A135" s="378"/>
      <c r="B135" s="564">
        <v>7</v>
      </c>
      <c r="C135" s="145" t="s">
        <v>309</v>
      </c>
      <c r="D135" s="97"/>
      <c r="E135" s="97"/>
      <c r="F135" s="146">
        <v>1</v>
      </c>
      <c r="G135" s="97"/>
      <c r="H135" s="146">
        <v>40000</v>
      </c>
      <c r="I135" s="97"/>
      <c r="J135" s="146">
        <f t="shared" si="6"/>
        <v>480000</v>
      </c>
      <c r="M135" s="181"/>
    </row>
    <row r="136" spans="1:13" x14ac:dyDescent="0.2">
      <c r="A136" s="378"/>
      <c r="B136" s="564">
        <v>8</v>
      </c>
      <c r="C136" s="145" t="s">
        <v>310</v>
      </c>
      <c r="D136" s="97"/>
      <c r="E136" s="97"/>
      <c r="F136" s="146">
        <v>4</v>
      </c>
      <c r="G136" s="97"/>
      <c r="H136" s="146">
        <v>15000</v>
      </c>
      <c r="I136" s="97"/>
      <c r="J136" s="146">
        <f t="shared" si="6"/>
        <v>720000</v>
      </c>
      <c r="M136" s="181"/>
    </row>
    <row r="137" spans="1:13" x14ac:dyDescent="0.2">
      <c r="A137" s="378"/>
      <c r="B137" s="564">
        <v>9</v>
      </c>
      <c r="C137" s="145" t="s">
        <v>168</v>
      </c>
      <c r="D137" s="97"/>
      <c r="E137" s="97"/>
      <c r="F137" s="146">
        <v>2</v>
      </c>
      <c r="G137" s="97"/>
      <c r="H137" s="146">
        <v>7500</v>
      </c>
      <c r="I137" s="97"/>
      <c r="J137" s="146">
        <f t="shared" si="6"/>
        <v>180000</v>
      </c>
      <c r="M137" s="181"/>
    </row>
    <row r="138" spans="1:13" x14ac:dyDescent="0.2">
      <c r="A138" s="378"/>
      <c r="E138" s="143" t="s">
        <v>454</v>
      </c>
      <c r="F138" s="223">
        <f>SUM(F129:F137)</f>
        <v>15</v>
      </c>
      <c r="G138" s="97"/>
      <c r="H138" s="97"/>
      <c r="I138" s="143" t="s">
        <v>454</v>
      </c>
      <c r="J138" s="223">
        <f>SUM(J129:J137)</f>
        <v>3504000</v>
      </c>
      <c r="M138" s="181"/>
    </row>
    <row r="139" spans="1:13" x14ac:dyDescent="0.2">
      <c r="A139" s="378"/>
      <c r="B139" s="563"/>
      <c r="D139" s="97"/>
      <c r="F139" s="309"/>
      <c r="G139" s="97"/>
      <c r="H139" s="143"/>
      <c r="J139" s="309"/>
      <c r="M139" s="181"/>
    </row>
    <row r="140" spans="1:13" x14ac:dyDescent="0.2">
      <c r="A140" s="378"/>
      <c r="B140" s="563"/>
      <c r="D140" s="97"/>
      <c r="E140" s="97"/>
      <c r="F140" s="143"/>
      <c r="G140" s="97"/>
      <c r="H140" s="143"/>
      <c r="I140" s="97"/>
      <c r="J140" s="97"/>
      <c r="K140" s="143"/>
      <c r="M140" s="181"/>
    </row>
    <row r="141" spans="1:13" x14ac:dyDescent="0.2">
      <c r="A141" s="378"/>
      <c r="C141" s="148" t="s">
        <v>288</v>
      </c>
      <c r="D141" s="97"/>
      <c r="E141" s="97"/>
      <c r="F141" s="146"/>
      <c r="G141" s="97"/>
      <c r="H141" s="147" t="s">
        <v>407</v>
      </c>
      <c r="I141" s="93">
        <f>J138/10^7</f>
        <v>0.35039999999999999</v>
      </c>
      <c r="J141" s="148" t="s">
        <v>851</v>
      </c>
      <c r="K141" s="147"/>
      <c r="M141" s="181"/>
    </row>
    <row r="142" spans="1:13" x14ac:dyDescent="0.2">
      <c r="A142" s="378"/>
      <c r="C142" s="93" t="s">
        <v>316</v>
      </c>
      <c r="D142" s="147"/>
      <c r="E142" s="97"/>
      <c r="F142" s="146"/>
      <c r="G142" s="97"/>
      <c r="H142" s="147" t="s">
        <v>407</v>
      </c>
      <c r="I142" s="93">
        <f>I141*10%</f>
        <v>3.5040000000000002E-2</v>
      </c>
      <c r="J142" s="148" t="s">
        <v>851</v>
      </c>
      <c r="M142" s="181"/>
    </row>
    <row r="143" spans="1:13" x14ac:dyDescent="0.2">
      <c r="A143" s="378"/>
      <c r="C143" s="93" t="s">
        <v>289</v>
      </c>
      <c r="D143" s="147"/>
      <c r="E143" s="97"/>
      <c r="F143" s="146"/>
      <c r="G143" s="97"/>
      <c r="H143" s="147" t="s">
        <v>407</v>
      </c>
      <c r="I143" s="93">
        <f>SUM(I141:I142)</f>
        <v>0.38544</v>
      </c>
      <c r="J143" s="148" t="s">
        <v>851</v>
      </c>
      <c r="M143" s="181"/>
    </row>
    <row r="144" spans="1:13" x14ac:dyDescent="0.2">
      <c r="A144" s="378"/>
      <c r="C144" s="142"/>
      <c r="D144" s="97"/>
      <c r="E144" s="97"/>
      <c r="F144" s="146"/>
      <c r="G144" s="97"/>
      <c r="M144" s="181"/>
    </row>
    <row r="145" spans="1:13" x14ac:dyDescent="0.2">
      <c r="A145" s="378"/>
      <c r="D145" s="147"/>
      <c r="H145" s="143" t="s">
        <v>317</v>
      </c>
      <c r="I145" s="97">
        <v>0.39</v>
      </c>
      <c r="J145" s="148" t="s">
        <v>851</v>
      </c>
      <c r="M145" s="181"/>
    </row>
    <row r="146" spans="1:13" x14ac:dyDescent="0.2">
      <c r="A146" s="378"/>
      <c r="D146" s="147"/>
      <c r="J146" s="148"/>
      <c r="M146" s="181"/>
    </row>
    <row r="147" spans="1:13" x14ac:dyDescent="0.2">
      <c r="A147" s="378"/>
      <c r="C147" s="93" t="s">
        <v>457</v>
      </c>
      <c r="D147" s="97"/>
      <c r="E147" s="150"/>
      <c r="F147" s="148"/>
      <c r="H147" s="565">
        <v>0.05</v>
      </c>
      <c r="I147" s="147" t="s">
        <v>458</v>
      </c>
      <c r="K147" s="147"/>
      <c r="M147" s="181"/>
    </row>
    <row r="148" spans="1:13" x14ac:dyDescent="0.2">
      <c r="A148" s="378"/>
      <c r="D148" s="97"/>
      <c r="E148" s="97"/>
      <c r="F148" s="147"/>
      <c r="H148" s="147"/>
      <c r="K148" s="147"/>
      <c r="M148" s="181"/>
    </row>
    <row r="149" spans="1:13" x14ac:dyDescent="0.2">
      <c r="A149" s="378"/>
      <c r="F149" s="148"/>
      <c r="H149" s="148"/>
      <c r="M149" s="181"/>
    </row>
    <row r="150" spans="1:13" x14ac:dyDescent="0.2">
      <c r="A150" s="378"/>
      <c r="F150" s="148"/>
      <c r="H150" s="148"/>
      <c r="M150" s="181"/>
    </row>
    <row r="151" spans="1:13" x14ac:dyDescent="0.2">
      <c r="A151" s="378"/>
      <c r="F151" s="148"/>
      <c r="H151" s="148"/>
      <c r="M151" s="181"/>
    </row>
    <row r="152" spans="1:13" x14ac:dyDescent="0.2">
      <c r="A152" s="378"/>
      <c r="F152" s="148"/>
      <c r="H152" s="148"/>
      <c r="M152" s="181"/>
    </row>
    <row r="153" spans="1:13" x14ac:dyDescent="0.2">
      <c r="A153" s="381"/>
      <c r="B153" s="390"/>
      <c r="C153" s="245"/>
      <c r="D153" s="245"/>
      <c r="E153" s="245"/>
      <c r="F153" s="391"/>
      <c r="G153" s="245"/>
      <c r="H153" s="391"/>
      <c r="I153" s="245"/>
      <c r="J153" s="245"/>
      <c r="K153" s="245"/>
      <c r="L153" s="245"/>
      <c r="M153" s="183"/>
    </row>
    <row r="154" spans="1:13" x14ac:dyDescent="0.2">
      <c r="A154" s="736" t="s">
        <v>843</v>
      </c>
      <c r="B154" s="737"/>
      <c r="C154" s="737"/>
      <c r="D154" s="737"/>
      <c r="E154" s="737"/>
      <c r="F154" s="737"/>
      <c r="G154" s="737"/>
      <c r="H154" s="737"/>
      <c r="I154" s="737"/>
      <c r="J154" s="737"/>
      <c r="K154" s="737"/>
      <c r="L154" s="737"/>
      <c r="M154" s="738"/>
    </row>
    <row r="155" spans="1:13" x14ac:dyDescent="0.2">
      <c r="A155" s="743" t="s">
        <v>845</v>
      </c>
      <c r="B155" s="744"/>
      <c r="C155" s="744"/>
      <c r="D155" s="744"/>
      <c r="E155" s="744"/>
      <c r="F155" s="744"/>
      <c r="G155" s="744"/>
      <c r="H155" s="744"/>
      <c r="I155" s="744"/>
      <c r="J155" s="744"/>
      <c r="K155" s="744"/>
      <c r="L155" s="744"/>
      <c r="M155" s="745"/>
    </row>
    <row r="156" spans="1:13" x14ac:dyDescent="0.2">
      <c r="A156" s="743" t="s">
        <v>844</v>
      </c>
      <c r="B156" s="744"/>
      <c r="C156" s="744"/>
      <c r="D156" s="744"/>
      <c r="E156" s="744"/>
      <c r="F156" s="744"/>
      <c r="G156" s="744"/>
      <c r="H156" s="744"/>
      <c r="I156" s="744"/>
      <c r="J156" s="744"/>
      <c r="K156" s="744"/>
      <c r="L156" s="744"/>
      <c r="M156" s="745"/>
    </row>
    <row r="157" spans="1:13" x14ac:dyDescent="0.2">
      <c r="A157" s="743" t="s">
        <v>1139</v>
      </c>
      <c r="B157" s="744"/>
      <c r="C157" s="744"/>
      <c r="D157" s="744"/>
      <c r="E157" s="744"/>
      <c r="F157" s="744"/>
      <c r="G157" s="744"/>
      <c r="H157" s="744"/>
      <c r="I157" s="744"/>
      <c r="J157" s="744"/>
      <c r="K157" s="744"/>
      <c r="L157" s="744"/>
      <c r="M157" s="745"/>
    </row>
    <row r="158" spans="1:13" x14ac:dyDescent="0.2">
      <c r="A158" s="378"/>
      <c r="F158" s="148"/>
      <c r="H158" s="148"/>
      <c r="M158" s="181"/>
    </row>
    <row r="159" spans="1:13" x14ac:dyDescent="0.2">
      <c r="A159" s="378"/>
      <c r="F159" s="148"/>
      <c r="H159" s="148"/>
      <c r="M159" s="181"/>
    </row>
    <row r="160" spans="1:13" x14ac:dyDescent="0.2">
      <c r="A160" s="379">
        <v>8</v>
      </c>
      <c r="B160" s="148" t="s">
        <v>375</v>
      </c>
      <c r="F160" s="233">
        <v>1.4999999999999999E-2</v>
      </c>
      <c r="G160" s="93" t="s">
        <v>376</v>
      </c>
      <c r="I160" s="148"/>
    </row>
    <row r="161" spans="1:15" x14ac:dyDescent="0.2">
      <c r="A161" s="378"/>
      <c r="B161" s="148" t="s">
        <v>385</v>
      </c>
      <c r="G161" s="565">
        <v>0.1</v>
      </c>
      <c r="H161" s="93" t="s">
        <v>377</v>
      </c>
      <c r="M161" s="181"/>
    </row>
    <row r="162" spans="1:15" x14ac:dyDescent="0.2">
      <c r="A162" s="378"/>
      <c r="B162" s="148"/>
      <c r="G162" s="148"/>
      <c r="M162" s="643"/>
    </row>
    <row r="163" spans="1:15" x14ac:dyDescent="0.2">
      <c r="A163" s="379">
        <v>9</v>
      </c>
      <c r="B163" s="213" t="s">
        <v>297</v>
      </c>
      <c r="F163" s="242">
        <v>7.4999999999999997E-3</v>
      </c>
      <c r="M163" s="181"/>
    </row>
    <row r="164" spans="1:15" x14ac:dyDescent="0.2">
      <c r="A164" s="378"/>
      <c r="M164" s="181"/>
    </row>
    <row r="165" spans="1:15" x14ac:dyDescent="0.2">
      <c r="A165" s="379">
        <v>10</v>
      </c>
      <c r="B165" s="148" t="s">
        <v>79</v>
      </c>
      <c r="E165" s="565">
        <v>0.09</v>
      </c>
      <c r="F165" s="93" t="s">
        <v>384</v>
      </c>
      <c r="G165" s="148"/>
      <c r="H165" s="148"/>
      <c r="M165" s="181"/>
    </row>
    <row r="166" spans="1:15" x14ac:dyDescent="0.2">
      <c r="A166" s="378"/>
      <c r="B166" s="213" t="s">
        <v>80</v>
      </c>
      <c r="M166" s="181"/>
    </row>
    <row r="167" spans="1:15" x14ac:dyDescent="0.2">
      <c r="A167" s="378"/>
      <c r="B167" s="213"/>
      <c r="M167" s="181" t="s">
        <v>1211</v>
      </c>
    </row>
    <row r="168" spans="1:15" x14ac:dyDescent="0.2">
      <c r="A168" s="379">
        <v>11</v>
      </c>
      <c r="B168" s="148" t="s">
        <v>298</v>
      </c>
      <c r="H168" s="565">
        <v>0.02</v>
      </c>
      <c r="I168" s="148" t="s">
        <v>383</v>
      </c>
      <c r="M168" s="181" t="s">
        <v>1212</v>
      </c>
    </row>
    <row r="169" spans="1:15" x14ac:dyDescent="0.2">
      <c r="A169" s="378"/>
      <c r="B169" s="148"/>
      <c r="H169" s="566"/>
      <c r="M169" s="181"/>
    </row>
    <row r="170" spans="1:15" x14ac:dyDescent="0.2">
      <c r="A170" s="379">
        <v>12</v>
      </c>
      <c r="B170" s="148" t="s">
        <v>514</v>
      </c>
      <c r="M170" s="181"/>
    </row>
    <row r="171" spans="1:15" x14ac:dyDescent="0.2">
      <c r="A171" s="378"/>
      <c r="C171" s="148"/>
      <c r="M171" s="181"/>
    </row>
    <row r="172" spans="1:15" x14ac:dyDescent="0.2">
      <c r="A172" s="378"/>
      <c r="B172" s="285" t="s">
        <v>443</v>
      </c>
      <c r="C172" s="140"/>
      <c r="D172" s="141" t="s">
        <v>445</v>
      </c>
      <c r="E172" s="151">
        <v>2024</v>
      </c>
      <c r="F172" s="151">
        <v>2025</v>
      </c>
      <c r="G172" s="151">
        <v>2026</v>
      </c>
      <c r="H172" s="151">
        <v>2027</v>
      </c>
      <c r="I172" s="151">
        <v>2028</v>
      </c>
      <c r="J172" s="151">
        <v>2029</v>
      </c>
      <c r="K172" s="151">
        <v>2030</v>
      </c>
      <c r="L172" s="151">
        <v>2031</v>
      </c>
      <c r="M172" s="155">
        <v>2032</v>
      </c>
      <c r="O172" s="141" t="s">
        <v>444</v>
      </c>
    </row>
    <row r="173" spans="1:15" x14ac:dyDescent="0.2">
      <c r="A173" s="378"/>
      <c r="B173" s="392"/>
      <c r="M173" s="181"/>
    </row>
    <row r="174" spans="1:15" x14ac:dyDescent="0.2">
      <c r="A174" s="378"/>
      <c r="B174" s="313" t="s">
        <v>513</v>
      </c>
      <c r="D174" s="93">
        <v>0.47485589194042327</v>
      </c>
      <c r="E174" s="93">
        <f>D174*$O174</f>
        <v>4.7485589194042332E-2</v>
      </c>
      <c r="F174" s="93">
        <f>(D174-E174)*$O174</f>
        <v>4.2737030274638099E-2</v>
      </c>
      <c r="G174" s="93">
        <f>(D174-E174-F174)*$O174</f>
        <v>3.8463327247174287E-2</v>
      </c>
      <c r="H174" s="93">
        <f>(D174-E174-F174-G174)*$O174</f>
        <v>3.4616994522456861E-2</v>
      </c>
      <c r="I174" s="93">
        <f>(D174-E174-F174-G174-H174)*$O174</f>
        <v>3.115529507021117E-2</v>
      </c>
      <c r="J174" s="93">
        <f>(D174-E174-F174-G174-H174-I174)*$O174</f>
        <v>2.8039765563190058E-2</v>
      </c>
      <c r="K174" s="93">
        <f>(D174-E174-F174-G174-H174-I174-J174)*$O174</f>
        <v>2.5235789006871054E-2</v>
      </c>
      <c r="L174" s="93">
        <f>(D174-E174-F174-G174-H174-I174-J174-K174)*$O174</f>
        <v>2.2712210106183947E-2</v>
      </c>
      <c r="M174" s="181">
        <f>(D174-E174-F174-G174-H174-I174-J174-K174-L174)*$O174</f>
        <v>2.0440989095565548E-2</v>
      </c>
      <c r="O174" s="152">
        <v>0.1</v>
      </c>
    </row>
    <row r="175" spans="1:15" x14ac:dyDescent="0.2">
      <c r="A175" s="378"/>
      <c r="B175" s="194"/>
      <c r="M175" s="181"/>
      <c r="O175" s="144"/>
    </row>
    <row r="176" spans="1:15" x14ac:dyDescent="0.2">
      <c r="A176" s="378"/>
      <c r="B176" s="313" t="s">
        <v>515</v>
      </c>
      <c r="D176" s="93">
        <v>19.447847888415179</v>
      </c>
      <c r="E176" s="93">
        <f t="shared" ref="E176:E178" si="7">D176*$O176</f>
        <v>2.9171771832622766</v>
      </c>
      <c r="F176" s="93">
        <f t="shared" ref="F176:F178" si="8">(D176-E176)*$O176</f>
        <v>2.4796006057729354</v>
      </c>
      <c r="G176" s="93">
        <f t="shared" ref="G176:G178" si="9">(D176-E176-F176)*$O176</f>
        <v>2.1076605149069954</v>
      </c>
      <c r="H176" s="93">
        <f t="shared" ref="H176:H178" si="10">(D176-E176-F176-G176)*$O176</f>
        <v>1.791511437670946</v>
      </c>
      <c r="I176" s="93">
        <f t="shared" ref="I176:I178" si="11">(D176-E176-F176-G176-H176)*$O176</f>
        <v>1.5227847220203041</v>
      </c>
      <c r="J176" s="93">
        <f t="shared" ref="J176:J178" si="12">(D176-E176-F176-G176-H176-I176)*$O176</f>
        <v>1.2943670137172585</v>
      </c>
      <c r="K176" s="93">
        <f t="shared" ref="K176:K178" si="13">(D176-E176-F176-G176-H176-I176-J176)*$O176</f>
        <v>1.1002119616596695</v>
      </c>
      <c r="L176" s="93">
        <f t="shared" ref="L176:L178" si="14">(D176-E176-F176-G176-H176-I176-J176-K176)*$O176</f>
        <v>0.93518016741071908</v>
      </c>
      <c r="M176" s="181">
        <f t="shared" ref="M176:M178" si="15">(D176-E176-F176-G176-H176-I176-J176-K176-L176)*$O176</f>
        <v>0.7949031422991113</v>
      </c>
      <c r="O176" s="152">
        <v>0.15</v>
      </c>
    </row>
    <row r="177" spans="1:16" x14ac:dyDescent="0.2">
      <c r="A177" s="378"/>
      <c r="B177" s="194"/>
      <c r="D177" s="148" t="s">
        <v>441</v>
      </c>
      <c r="M177" s="181"/>
      <c r="O177" s="144"/>
    </row>
    <row r="178" spans="1:16" x14ac:dyDescent="0.2">
      <c r="A178" s="378"/>
      <c r="B178" s="313" t="s">
        <v>299</v>
      </c>
      <c r="D178" s="93">
        <v>0.12429999999999999</v>
      </c>
      <c r="E178" s="93">
        <f t="shared" si="7"/>
        <v>1.8644999999999998E-2</v>
      </c>
      <c r="F178" s="93">
        <f t="shared" si="8"/>
        <v>1.5848249999999998E-2</v>
      </c>
      <c r="G178" s="93">
        <f t="shared" si="9"/>
        <v>1.3471012500000001E-2</v>
      </c>
      <c r="H178" s="93">
        <f t="shared" si="10"/>
        <v>1.1450360624999999E-2</v>
      </c>
      <c r="I178" s="93">
        <f t="shared" si="11"/>
        <v>9.7328065312499989E-3</v>
      </c>
      <c r="J178" s="93">
        <f t="shared" si="12"/>
        <v>8.2728855515624995E-3</v>
      </c>
      <c r="K178" s="93">
        <f t="shared" si="13"/>
        <v>7.0319527188281248E-3</v>
      </c>
      <c r="L178" s="93">
        <f t="shared" si="14"/>
        <v>5.9771598110039065E-3</v>
      </c>
      <c r="M178" s="181">
        <f t="shared" si="15"/>
        <v>5.0805858393533207E-3</v>
      </c>
      <c r="O178" s="152">
        <v>0.15</v>
      </c>
    </row>
    <row r="179" spans="1:16" x14ac:dyDescent="0.2">
      <c r="A179" s="378"/>
      <c r="B179" s="313"/>
      <c r="M179" s="181"/>
      <c r="O179" s="152"/>
    </row>
    <row r="180" spans="1:16" x14ac:dyDescent="0.2">
      <c r="A180" s="378"/>
      <c r="B180" s="285" t="s">
        <v>531</v>
      </c>
      <c r="C180" s="140"/>
      <c r="D180" s="140">
        <f>D178+D176+D174</f>
        <v>20.047003780355602</v>
      </c>
      <c r="E180" s="140">
        <f t="shared" ref="E180:M180" si="16">E178+E176+E174</f>
        <v>2.9833077724563188</v>
      </c>
      <c r="F180" s="140">
        <f t="shared" si="16"/>
        <v>2.5381858860475734</v>
      </c>
      <c r="G180" s="140">
        <f t="shared" si="16"/>
        <v>2.1595948546541699</v>
      </c>
      <c r="H180" s="140">
        <f t="shared" si="16"/>
        <v>1.8375787928184029</v>
      </c>
      <c r="I180" s="140">
        <f t="shared" si="16"/>
        <v>1.5636728236217654</v>
      </c>
      <c r="J180" s="140">
        <f t="shared" si="16"/>
        <v>1.3306796648320112</v>
      </c>
      <c r="K180" s="140">
        <f t="shared" si="16"/>
        <v>1.1324797033853686</v>
      </c>
      <c r="L180" s="140">
        <f t="shared" si="16"/>
        <v>0.96386953732790692</v>
      </c>
      <c r="M180" s="140">
        <f t="shared" si="16"/>
        <v>0.82042471723403021</v>
      </c>
      <c r="O180" s="139" t="s">
        <v>441</v>
      </c>
    </row>
    <row r="181" spans="1:16" x14ac:dyDescent="0.2">
      <c r="A181" s="378"/>
      <c r="D181" s="148"/>
    </row>
    <row r="182" spans="1:16" x14ac:dyDescent="0.2">
      <c r="A182" s="378"/>
      <c r="D182" s="148"/>
      <c r="M182" s="181"/>
    </row>
    <row r="183" spans="1:16" x14ac:dyDescent="0.2">
      <c r="A183" s="378"/>
      <c r="B183" s="148" t="s">
        <v>966</v>
      </c>
      <c r="M183" s="181"/>
    </row>
    <row r="184" spans="1:16" x14ac:dyDescent="0.2">
      <c r="A184" s="378"/>
      <c r="C184" s="148"/>
      <c r="M184" s="181"/>
    </row>
    <row r="185" spans="1:16" x14ac:dyDescent="0.2">
      <c r="A185" s="378"/>
      <c r="B185" s="285" t="s">
        <v>443</v>
      </c>
      <c r="C185" s="140"/>
      <c r="D185" s="141" t="s">
        <v>445</v>
      </c>
      <c r="E185" s="227">
        <v>2024</v>
      </c>
      <c r="F185" s="227">
        <v>2025</v>
      </c>
      <c r="G185" s="227">
        <v>2026</v>
      </c>
      <c r="H185" s="227">
        <v>2027</v>
      </c>
      <c r="I185" s="227">
        <v>2028</v>
      </c>
      <c r="J185" s="227">
        <v>2029</v>
      </c>
      <c r="K185" s="227">
        <v>2030</v>
      </c>
      <c r="L185" s="227">
        <v>2031</v>
      </c>
      <c r="M185" s="393">
        <v>2032</v>
      </c>
      <c r="O185" s="93" t="s">
        <v>967</v>
      </c>
      <c r="P185" s="93" t="s">
        <v>968</v>
      </c>
    </row>
    <row r="186" spans="1:16" x14ac:dyDescent="0.2">
      <c r="A186" s="378"/>
      <c r="B186" s="392"/>
      <c r="D186" s="205"/>
      <c r="M186" s="181"/>
    </row>
    <row r="187" spans="1:16" ht="12.75" x14ac:dyDescent="0.2">
      <c r="A187" s="378"/>
      <c r="B187" s="313" t="s">
        <v>513</v>
      </c>
      <c r="D187" s="237">
        <v>0.47485589194042327</v>
      </c>
      <c r="E187" s="93">
        <f>D187*$O187</f>
        <v>4.512738496214036E-2</v>
      </c>
      <c r="F187" s="93">
        <f>(D187-E187)*$O187</f>
        <v>4.0838755699903653E-2</v>
      </c>
      <c r="G187" s="93">
        <f>(D187-E187-F187)*$O187</f>
        <v>3.6957691399925295E-2</v>
      </c>
      <c r="H187" s="93">
        <f>(D187-E187-F187-G187)*$O187</f>
        <v>3.3445459593553065E-2</v>
      </c>
      <c r="I187" s="93">
        <f>(D187-E187-F187-G187-H187)*$O187</f>
        <v>3.0267008707861323E-2</v>
      </c>
      <c r="J187" s="93">
        <f>(D187-E187-F187-G187-H187-I187)*$O187</f>
        <v>2.7390618255948223E-2</v>
      </c>
      <c r="K187" s="93">
        <f>(D187-E187-F187-G187-H187-I187-J187)*$O187</f>
        <v>2.4787582270996634E-2</v>
      </c>
      <c r="L187" s="93">
        <f>(D187-E187-F187-G187-H187-I187-J187-K187)*$O187</f>
        <v>2.2431922824815993E-2</v>
      </c>
      <c r="M187" s="181">
        <f>(D187-E187-F187-G187-H187-I187-J187-K187-L187)*$O187</f>
        <v>2.0300130771820895E-2</v>
      </c>
      <c r="O187" s="243">
        <v>9.503385285530408E-2</v>
      </c>
      <c r="P187" s="99">
        <v>30</v>
      </c>
    </row>
    <row r="188" spans="1:16" x14ac:dyDescent="0.2">
      <c r="A188" s="378"/>
      <c r="B188" s="194"/>
      <c r="D188" s="224"/>
      <c r="M188" s="181"/>
    </row>
    <row r="189" spans="1:16" ht="12.75" x14ac:dyDescent="0.2">
      <c r="A189" s="378"/>
      <c r="B189" s="313" t="s">
        <v>515</v>
      </c>
      <c r="D189" s="237">
        <v>19.447847888415179</v>
      </c>
      <c r="E189" s="93">
        <f t="shared" ref="E189" si="17">D189*$O189</f>
        <v>2.7053578493262602</v>
      </c>
      <c r="F189" s="93">
        <f t="shared" ref="F189" si="18">(D189-E189)*$O189</f>
        <v>2.3290200079926175</v>
      </c>
      <c r="G189" s="93">
        <f t="shared" ref="G189" si="19">(D189-E189-F189)*$O189</f>
        <v>2.0050338992975751</v>
      </c>
      <c r="H189" s="93">
        <f t="shared" ref="H189" si="20">(D189-E189-F189-G189)*$O189</f>
        <v>1.7261169605826676</v>
      </c>
      <c r="I189" s="93">
        <f t="shared" ref="I189" si="21">(D189-E189-F189-G189-H189)*$O189</f>
        <v>1.4859996943966636</v>
      </c>
      <c r="J189" s="93">
        <f t="shared" ref="J189" si="22">(D189-E189-F189-G189-H189-I189)*$O189</f>
        <v>1.2792847426755944</v>
      </c>
      <c r="K189" s="93">
        <f t="shared" ref="K189" si="23">(D189-E189-F189-G189-H189-I189-J189)*$O189</f>
        <v>1.101325564879764</v>
      </c>
      <c r="L189" s="93">
        <f t="shared" ref="L189" si="24">(D189-E189-F189-G189-H189-I189-J189-K189)*$O189</f>
        <v>0.94812199301380029</v>
      </c>
      <c r="M189" s="181">
        <f t="shared" ref="M189" si="25">(D189-E189-F189-G189-H189-I189-J189-K189-L189)*$O189</f>
        <v>0.81623031581456196</v>
      </c>
      <c r="O189" s="243">
        <v>0.13910834066826516</v>
      </c>
      <c r="P189" s="99">
        <v>20</v>
      </c>
    </row>
    <row r="190" spans="1:16" x14ac:dyDescent="0.2">
      <c r="A190" s="378"/>
      <c r="B190" s="194"/>
      <c r="D190" s="228"/>
      <c r="G190" s="148"/>
      <c r="I190" s="148"/>
      <c r="J190" s="148"/>
      <c r="L190" s="145"/>
      <c r="M190" s="181"/>
    </row>
    <row r="191" spans="1:16" ht="12.75" x14ac:dyDescent="0.2">
      <c r="A191" s="378"/>
      <c r="B191" s="313" t="s">
        <v>299</v>
      </c>
      <c r="D191" s="237">
        <v>0.12429999999999999</v>
      </c>
      <c r="E191" s="93">
        <f t="shared" ref="E191" si="26">D191*$O191</f>
        <v>2.2502808674495122E-2</v>
      </c>
      <c r="F191" s="93">
        <f t="shared" ref="F191" si="27">(D191-E191)*$O191</f>
        <v>1.8428984070786893E-2</v>
      </c>
      <c r="G191" s="93">
        <f t="shared" ref="G191" si="28">(D191-E191-F191)*$O191</f>
        <v>1.5092669488242757E-2</v>
      </c>
      <c r="H191" s="93">
        <f t="shared" ref="H191" si="29">(D191-E191-F191-G191)*$O191</f>
        <v>1.236034886168349E-2</v>
      </c>
      <c r="I191" s="93">
        <f t="shared" ref="I191" si="30">(D191-E191-F191-G191-H191)*$O191</f>
        <v>1.012267737669172E-2</v>
      </c>
      <c r="J191" s="93">
        <f t="shared" ref="J191" si="31">(D191-E191-F191-G191-H191-I191)*$O191</f>
        <v>8.2901055964718154E-3</v>
      </c>
      <c r="K191" s="93">
        <f t="shared" ref="K191" si="32">(D191-E191-F191-G191-H191-I191-J191)*$O191</f>
        <v>6.7892957804720844E-3</v>
      </c>
      <c r="L191" s="93">
        <f t="shared" ref="L191" si="33">(D191-E191-F191-G191-H191-I191-J191-K191)*$O191</f>
        <v>5.5601869793255009E-3</v>
      </c>
      <c r="M191" s="181">
        <f t="shared" ref="M191" si="34">(D191-E191-F191-G191-H191-I191-J191-K191-L191)*$O191</f>
        <v>4.5535914540625827E-3</v>
      </c>
      <c r="O191" s="243">
        <v>0.18103627252208465</v>
      </c>
      <c r="P191" s="99">
        <v>15</v>
      </c>
    </row>
    <row r="192" spans="1:16" x14ac:dyDescent="0.2">
      <c r="A192" s="378"/>
      <c r="B192" s="392"/>
      <c r="D192" s="205"/>
      <c r="M192" s="181"/>
    </row>
    <row r="193" spans="1:13" x14ac:dyDescent="0.2">
      <c r="A193" s="378"/>
      <c r="B193" s="153" t="s">
        <v>531</v>
      </c>
      <c r="C193" s="140"/>
      <c r="D193" s="140">
        <v>20.047003780355602</v>
      </c>
      <c r="E193" s="140">
        <f>E191+E189+E187</f>
        <v>2.7729880429628957</v>
      </c>
      <c r="F193" s="140">
        <f t="shared" ref="F193:M193" si="35">F191+F189+F187</f>
        <v>2.3882877477633078</v>
      </c>
      <c r="G193" s="140">
        <f t="shared" si="35"/>
        <v>2.0570842601857433</v>
      </c>
      <c r="H193" s="140">
        <f t="shared" si="35"/>
        <v>1.7719227690379042</v>
      </c>
      <c r="I193" s="140">
        <f t="shared" si="35"/>
        <v>1.5263893804812168</v>
      </c>
      <c r="J193" s="140">
        <f t="shared" si="35"/>
        <v>1.3149654665280146</v>
      </c>
      <c r="K193" s="140">
        <f t="shared" si="35"/>
        <v>1.1329024429312327</v>
      </c>
      <c r="L193" s="140">
        <f t="shared" si="35"/>
        <v>0.97611410281794175</v>
      </c>
      <c r="M193" s="140">
        <f t="shared" si="35"/>
        <v>0.8410840380404454</v>
      </c>
    </row>
    <row r="194" spans="1:13" x14ac:dyDescent="0.2">
      <c r="A194" s="378"/>
      <c r="B194" s="137"/>
      <c r="C194" s="97"/>
      <c r="D194" s="97">
        <f>D193</f>
        <v>20.047003780355602</v>
      </c>
      <c r="E194" s="93">
        <f>D193-E193</f>
        <v>17.274015737392705</v>
      </c>
      <c r="F194" s="93">
        <f>E194-F193</f>
        <v>14.885727989629398</v>
      </c>
      <c r="G194" s="93">
        <f t="shared" ref="G194:M194" si="36">F194-G193</f>
        <v>12.828643729443655</v>
      </c>
      <c r="H194" s="93">
        <f t="shared" si="36"/>
        <v>11.056720960405752</v>
      </c>
      <c r="I194" s="93">
        <f t="shared" si="36"/>
        <v>9.5303315799245354</v>
      </c>
      <c r="J194" s="93">
        <f t="shared" si="36"/>
        <v>8.2153661133965201</v>
      </c>
      <c r="K194" s="93">
        <f t="shared" si="36"/>
        <v>7.0824636704652875</v>
      </c>
      <c r="L194" s="93">
        <f t="shared" si="36"/>
        <v>6.1063495676473458</v>
      </c>
      <c r="M194" s="93">
        <f t="shared" si="36"/>
        <v>5.2652655296069</v>
      </c>
    </row>
    <row r="195" spans="1:13" x14ac:dyDescent="0.2">
      <c r="A195" s="378"/>
      <c r="B195" s="137"/>
      <c r="C195" s="97"/>
      <c r="D195" s="97"/>
      <c r="E195" s="97"/>
      <c r="F195" s="97"/>
      <c r="G195" s="97"/>
      <c r="H195" s="97"/>
      <c r="I195" s="142"/>
      <c r="J195" s="97"/>
      <c r="K195" s="97"/>
      <c r="M195" s="181"/>
    </row>
    <row r="196" spans="1:13" ht="12.75" x14ac:dyDescent="0.2">
      <c r="A196" s="379">
        <v>13</v>
      </c>
      <c r="B196" s="6" t="s">
        <v>959</v>
      </c>
      <c r="C196" s="1"/>
      <c r="D196" s="1"/>
      <c r="E196" s="1"/>
      <c r="F196" s="1"/>
      <c r="G196" s="241">
        <v>0.02</v>
      </c>
      <c r="H196" s="1" t="s">
        <v>960</v>
      </c>
      <c r="I196" s="567"/>
      <c r="J196" s="97"/>
      <c r="K196" s="97"/>
      <c r="M196" s="181"/>
    </row>
    <row r="197" spans="1:13" ht="12.75" x14ac:dyDescent="0.2">
      <c r="A197" s="378"/>
      <c r="B197" s="568"/>
      <c r="C197" s="4"/>
      <c r="D197" s="4"/>
      <c r="E197" s="4"/>
      <c r="F197" s="4"/>
      <c r="G197" s="4"/>
      <c r="H197" s="4"/>
      <c r="I197" s="567"/>
      <c r="J197" s="97"/>
      <c r="K197" s="97"/>
      <c r="M197" s="181"/>
    </row>
    <row r="198" spans="1:13" ht="12.75" x14ac:dyDescent="0.2">
      <c r="A198" s="379">
        <v>14</v>
      </c>
      <c r="B198" s="6" t="s">
        <v>961</v>
      </c>
      <c r="C198" s="1"/>
      <c r="D198" s="1"/>
      <c r="E198" s="1"/>
      <c r="F198" s="1"/>
      <c r="G198" s="241">
        <v>0.02</v>
      </c>
      <c r="H198" s="1" t="s">
        <v>962</v>
      </c>
      <c r="I198" s="567"/>
      <c r="J198" s="97"/>
      <c r="K198" s="97"/>
      <c r="M198" s="181"/>
    </row>
    <row r="199" spans="1:13" x14ac:dyDescent="0.2">
      <c r="A199" s="378"/>
      <c r="B199" s="137"/>
      <c r="C199" s="97"/>
      <c r="D199" s="97"/>
      <c r="E199" s="97"/>
      <c r="F199" s="97"/>
      <c r="G199" s="97"/>
      <c r="H199" s="97"/>
      <c r="I199" s="142"/>
      <c r="J199" s="97"/>
      <c r="K199" s="97"/>
      <c r="M199" s="181"/>
    </row>
    <row r="200" spans="1:13" x14ac:dyDescent="0.2">
      <c r="A200" s="378"/>
      <c r="B200" s="137"/>
      <c r="C200" s="97"/>
      <c r="D200" s="97"/>
      <c r="E200" s="97"/>
      <c r="F200" s="97"/>
      <c r="G200" s="97"/>
      <c r="H200" s="97"/>
      <c r="I200" s="142"/>
      <c r="J200" s="97"/>
      <c r="K200" s="97"/>
      <c r="M200" s="181"/>
    </row>
    <row r="201" spans="1:13" x14ac:dyDescent="0.2">
      <c r="A201" s="378"/>
      <c r="B201" s="137"/>
      <c r="C201" s="97"/>
      <c r="D201" s="97"/>
      <c r="E201" s="97"/>
      <c r="F201" s="97"/>
      <c r="G201" s="97"/>
      <c r="H201" s="97"/>
      <c r="I201" s="142"/>
      <c r="J201" s="97"/>
      <c r="K201" s="97"/>
      <c r="M201" s="181"/>
    </row>
    <row r="202" spans="1:13" x14ac:dyDescent="0.2">
      <c r="A202" s="378"/>
      <c r="B202" s="137"/>
      <c r="C202" s="97"/>
      <c r="D202" s="97"/>
      <c r="E202" s="97"/>
      <c r="F202" s="97"/>
      <c r="G202" s="97"/>
      <c r="H202" s="97"/>
      <c r="I202" s="142"/>
      <c r="J202" s="97"/>
      <c r="K202" s="97"/>
      <c r="M202" s="181"/>
    </row>
    <row r="203" spans="1:13" x14ac:dyDescent="0.2">
      <c r="A203" s="378"/>
      <c r="B203" s="137"/>
      <c r="C203" s="97"/>
      <c r="D203" s="97"/>
      <c r="E203" s="97"/>
      <c r="F203" s="97"/>
      <c r="G203" s="97"/>
      <c r="H203" s="97"/>
      <c r="I203" s="142"/>
      <c r="J203" s="97"/>
      <c r="K203" s="97"/>
      <c r="M203" s="181"/>
    </row>
    <row r="204" spans="1:13" x14ac:dyDescent="0.2">
      <c r="A204" s="381"/>
      <c r="B204" s="394"/>
      <c r="C204" s="330"/>
      <c r="D204" s="330"/>
      <c r="E204" s="330"/>
      <c r="F204" s="330"/>
      <c r="G204" s="330"/>
      <c r="H204" s="330"/>
      <c r="I204" s="395"/>
      <c r="J204" s="330"/>
      <c r="K204" s="330"/>
      <c r="L204" s="245"/>
      <c r="M204" s="183"/>
    </row>
    <row r="205" spans="1:13" x14ac:dyDescent="0.2">
      <c r="A205" s="736" t="s">
        <v>843</v>
      </c>
      <c r="B205" s="737"/>
      <c r="C205" s="737"/>
      <c r="D205" s="737"/>
      <c r="E205" s="737"/>
      <c r="F205" s="737"/>
      <c r="G205" s="737"/>
      <c r="H205" s="737"/>
      <c r="I205" s="737"/>
      <c r="J205" s="737"/>
      <c r="K205" s="737"/>
      <c r="L205" s="737"/>
      <c r="M205" s="738"/>
    </row>
    <row r="206" spans="1:13" x14ac:dyDescent="0.2">
      <c r="A206" s="743" t="s">
        <v>845</v>
      </c>
      <c r="B206" s="744"/>
      <c r="C206" s="744"/>
      <c r="D206" s="744"/>
      <c r="E206" s="744"/>
      <c r="F206" s="744"/>
      <c r="G206" s="744"/>
      <c r="H206" s="744"/>
      <c r="I206" s="744"/>
      <c r="J206" s="744"/>
      <c r="K206" s="744"/>
      <c r="L206" s="744"/>
      <c r="M206" s="745"/>
    </row>
    <row r="207" spans="1:13" x14ac:dyDescent="0.2">
      <c r="A207" s="743" t="s">
        <v>844</v>
      </c>
      <c r="B207" s="744"/>
      <c r="C207" s="744"/>
      <c r="D207" s="744"/>
      <c r="E207" s="744"/>
      <c r="F207" s="744"/>
      <c r="G207" s="744"/>
      <c r="H207" s="744"/>
      <c r="I207" s="744"/>
      <c r="J207" s="744"/>
      <c r="K207" s="744"/>
      <c r="L207" s="744"/>
      <c r="M207" s="745"/>
    </row>
    <row r="208" spans="1:13" x14ac:dyDescent="0.2">
      <c r="A208" s="743" t="s">
        <v>1139</v>
      </c>
      <c r="B208" s="744"/>
      <c r="C208" s="744"/>
      <c r="D208" s="744"/>
      <c r="E208" s="744"/>
      <c r="F208" s="744"/>
      <c r="G208" s="744"/>
      <c r="H208" s="744"/>
      <c r="I208" s="744"/>
      <c r="J208" s="744"/>
      <c r="K208" s="744"/>
      <c r="L208" s="744"/>
      <c r="M208" s="745"/>
    </row>
    <row r="209" spans="1:23" x14ac:dyDescent="0.2">
      <c r="A209" s="378"/>
      <c r="B209" s="137"/>
      <c r="C209" s="97"/>
      <c r="D209" s="97"/>
      <c r="E209" s="97"/>
      <c r="F209" s="97"/>
      <c r="G209" s="97"/>
      <c r="H209" s="97"/>
      <c r="I209" s="142"/>
      <c r="J209" s="97"/>
      <c r="K209" s="97"/>
      <c r="M209" s="181"/>
    </row>
    <row r="210" spans="1:23" x14ac:dyDescent="0.2">
      <c r="A210" s="379">
        <v>15</v>
      </c>
      <c r="B210" s="148" t="s">
        <v>853</v>
      </c>
      <c r="E210" s="234">
        <v>0.12</v>
      </c>
      <c r="G210" s="148"/>
      <c r="H210" s="97"/>
      <c r="I210" s="142"/>
      <c r="J210" s="97"/>
      <c r="K210" s="97"/>
      <c r="M210" s="181"/>
    </row>
    <row r="211" spans="1:23" x14ac:dyDescent="0.2">
      <c r="A211" s="378"/>
      <c r="B211" s="137"/>
      <c r="C211" s="97"/>
      <c r="D211" s="97"/>
      <c r="E211" s="97"/>
      <c r="F211" s="97"/>
      <c r="G211" s="97"/>
      <c r="H211" s="97"/>
      <c r="I211" s="142"/>
      <c r="J211" s="97"/>
      <c r="K211" s="97"/>
      <c r="M211" s="181"/>
    </row>
    <row r="212" spans="1:23" ht="12.75" x14ac:dyDescent="0.2">
      <c r="A212" s="379">
        <v>16</v>
      </c>
      <c r="B212" s="220" t="s">
        <v>902</v>
      </c>
      <c r="G212" s="93" t="s">
        <v>290</v>
      </c>
      <c r="I212" s="226">
        <v>34500</v>
      </c>
      <c r="J212" s="93" t="s">
        <v>347</v>
      </c>
      <c r="L212" s="93">
        <f>I212*39600/10^7</f>
        <v>136.62</v>
      </c>
      <c r="M212" s="181"/>
    </row>
    <row r="213" spans="1:23" x14ac:dyDescent="0.2">
      <c r="A213" s="378"/>
      <c r="M213" s="181"/>
    </row>
    <row r="214" spans="1:23" x14ac:dyDescent="0.2">
      <c r="A214" s="378"/>
      <c r="B214" s="142" t="s">
        <v>516</v>
      </c>
      <c r="M214" s="181"/>
    </row>
    <row r="215" spans="1:23" x14ac:dyDescent="0.2">
      <c r="A215" s="378"/>
      <c r="F215" s="235"/>
      <c r="M215" s="181"/>
    </row>
    <row r="216" spans="1:23" x14ac:dyDescent="0.2">
      <c r="A216" s="378"/>
      <c r="B216" s="211"/>
      <c r="F216" s="235"/>
      <c r="M216" s="181"/>
    </row>
    <row r="217" spans="1:23" x14ac:dyDescent="0.2">
      <c r="A217" s="378"/>
      <c r="H217" s="148"/>
      <c r="K217" s="148" t="s">
        <v>517</v>
      </c>
      <c r="M217" s="181"/>
    </row>
    <row r="218" spans="1:23" x14ac:dyDescent="0.2">
      <c r="A218" s="378"/>
      <c r="B218" s="285" t="s">
        <v>443</v>
      </c>
      <c r="C218" s="140"/>
      <c r="D218" s="140"/>
      <c r="E218" s="151">
        <v>2024</v>
      </c>
      <c r="F218" s="151">
        <v>2025</v>
      </c>
      <c r="G218" s="151">
        <v>2026</v>
      </c>
      <c r="H218" s="151">
        <v>2027</v>
      </c>
      <c r="I218" s="151">
        <v>2028</v>
      </c>
      <c r="J218" s="151">
        <v>2029</v>
      </c>
      <c r="K218" s="151">
        <v>2030</v>
      </c>
      <c r="L218" s="155">
        <v>2031</v>
      </c>
      <c r="M218" s="155">
        <v>2032</v>
      </c>
    </row>
    <row r="219" spans="1:23" x14ac:dyDescent="0.2">
      <c r="A219" s="378"/>
      <c r="B219" s="213" t="s">
        <v>81</v>
      </c>
      <c r="E219" s="236">
        <v>0.6</v>
      </c>
      <c r="F219" s="236">
        <v>0.65</v>
      </c>
      <c r="G219" s="236">
        <v>0.70000000000000007</v>
      </c>
      <c r="H219" s="236">
        <v>0.75000000000000011</v>
      </c>
      <c r="I219" s="236">
        <v>0.80000000000000016</v>
      </c>
      <c r="J219" s="236">
        <v>0.8500000000000002</v>
      </c>
      <c r="K219" s="236">
        <v>0.90000000000000024</v>
      </c>
      <c r="L219" s="236">
        <v>0.95000000000000029</v>
      </c>
      <c r="M219" s="397">
        <v>1.0000000000000002</v>
      </c>
    </row>
    <row r="220" spans="1:23" x14ac:dyDescent="0.2">
      <c r="A220" s="378"/>
      <c r="B220" s="148" t="s">
        <v>518</v>
      </c>
      <c r="E220" s="146">
        <v>0</v>
      </c>
      <c r="F220" s="168">
        <f>E222</f>
        <v>504</v>
      </c>
      <c r="G220" s="168">
        <f t="shared" ref="G220:M220" si="37">F222</f>
        <v>546</v>
      </c>
      <c r="H220" s="168">
        <f t="shared" si="37"/>
        <v>588.00000000000011</v>
      </c>
      <c r="I220" s="168">
        <f t="shared" si="37"/>
        <v>630.00000000000011</v>
      </c>
      <c r="J220" s="168">
        <f t="shared" si="37"/>
        <v>672.00000000000023</v>
      </c>
      <c r="K220" s="168">
        <f t="shared" si="37"/>
        <v>714.00000000000023</v>
      </c>
      <c r="L220" s="168">
        <f t="shared" si="37"/>
        <v>756.00000000000023</v>
      </c>
      <c r="M220" s="168">
        <f t="shared" si="37"/>
        <v>798.00000000000034</v>
      </c>
    </row>
    <row r="221" spans="1:23" x14ac:dyDescent="0.2">
      <c r="A221" s="378"/>
      <c r="B221" s="148" t="s">
        <v>519</v>
      </c>
      <c r="E221" s="168">
        <f>$H$17*E219</f>
        <v>23760</v>
      </c>
      <c r="F221" s="168">
        <f t="shared" ref="F221:M221" si="38">$H$17*F219</f>
        <v>25740</v>
      </c>
      <c r="G221" s="168">
        <f t="shared" si="38"/>
        <v>27720.000000000004</v>
      </c>
      <c r="H221" s="168">
        <f t="shared" si="38"/>
        <v>29700.000000000004</v>
      </c>
      <c r="I221" s="168">
        <f t="shared" si="38"/>
        <v>31680.000000000007</v>
      </c>
      <c r="J221" s="168">
        <f t="shared" si="38"/>
        <v>33660.000000000007</v>
      </c>
      <c r="K221" s="168">
        <f t="shared" si="38"/>
        <v>35640.000000000007</v>
      </c>
      <c r="L221" s="168">
        <f t="shared" si="38"/>
        <v>37620.000000000015</v>
      </c>
      <c r="M221" s="168">
        <f t="shared" si="38"/>
        <v>39600.000000000007</v>
      </c>
      <c r="O221" s="168"/>
      <c r="P221" s="168"/>
      <c r="Q221" s="168"/>
      <c r="R221" s="168"/>
      <c r="S221" s="168"/>
      <c r="T221" s="168"/>
      <c r="U221" s="168"/>
      <c r="V221" s="168"/>
      <c r="W221" s="168"/>
    </row>
    <row r="222" spans="1:23" x14ac:dyDescent="0.2">
      <c r="A222" s="378"/>
      <c r="B222" s="148" t="s">
        <v>371</v>
      </c>
      <c r="E222" s="168">
        <f>E221/$H$13*$B$223</f>
        <v>504</v>
      </c>
      <c r="F222" s="168">
        <f t="shared" ref="F222:M222" si="39">F221/$H$13*$B$223</f>
        <v>546</v>
      </c>
      <c r="G222" s="168">
        <f t="shared" si="39"/>
        <v>588.00000000000011</v>
      </c>
      <c r="H222" s="168">
        <f t="shared" si="39"/>
        <v>630.00000000000011</v>
      </c>
      <c r="I222" s="168">
        <f t="shared" si="39"/>
        <v>672.00000000000023</v>
      </c>
      <c r="J222" s="168">
        <f t="shared" si="39"/>
        <v>714.00000000000023</v>
      </c>
      <c r="K222" s="168">
        <f t="shared" si="39"/>
        <v>756.00000000000023</v>
      </c>
      <c r="L222" s="168">
        <f t="shared" si="39"/>
        <v>798.00000000000034</v>
      </c>
      <c r="M222" s="168">
        <f t="shared" si="39"/>
        <v>840.00000000000023</v>
      </c>
    </row>
    <row r="223" spans="1:23" x14ac:dyDescent="0.2">
      <c r="A223" s="378"/>
      <c r="B223" s="168">
        <v>7</v>
      </c>
      <c r="C223" s="93" t="s">
        <v>215</v>
      </c>
      <c r="D223" s="168"/>
      <c r="E223" s="168"/>
      <c r="F223" s="168"/>
      <c r="G223" s="168"/>
      <c r="H223" s="168"/>
      <c r="I223" s="168"/>
      <c r="J223" s="168"/>
      <c r="K223" s="168"/>
      <c r="L223" s="168"/>
      <c r="M223" s="398"/>
    </row>
    <row r="224" spans="1:23" x14ac:dyDescent="0.2">
      <c r="A224" s="378"/>
      <c r="B224" s="148" t="s">
        <v>520</v>
      </c>
      <c r="E224" s="168">
        <f>E221-E222+E220</f>
        <v>23256</v>
      </c>
      <c r="F224" s="168">
        <f t="shared" ref="F224:M224" si="40">F221-F222+F220</f>
        <v>25698</v>
      </c>
      <c r="G224" s="168">
        <f t="shared" si="40"/>
        <v>27678.000000000004</v>
      </c>
      <c r="H224" s="168">
        <f t="shared" si="40"/>
        <v>29658.000000000004</v>
      </c>
      <c r="I224" s="168">
        <f t="shared" si="40"/>
        <v>31638.000000000007</v>
      </c>
      <c r="J224" s="168">
        <f t="shared" si="40"/>
        <v>33618.000000000007</v>
      </c>
      <c r="K224" s="168">
        <f t="shared" si="40"/>
        <v>35598.000000000007</v>
      </c>
      <c r="L224" s="168">
        <f t="shared" si="40"/>
        <v>37578.000000000015</v>
      </c>
      <c r="M224" s="168">
        <f t="shared" si="40"/>
        <v>39558.000000000007</v>
      </c>
    </row>
    <row r="225" spans="1:13" x14ac:dyDescent="0.2">
      <c r="A225" s="378"/>
      <c r="B225" s="142" t="s">
        <v>903</v>
      </c>
      <c r="E225" s="97">
        <f>E224*$I$212/10^7</f>
        <v>80.233199999999997</v>
      </c>
      <c r="F225" s="97">
        <f>F224*$I$212/10^7</f>
        <v>88.658100000000005</v>
      </c>
      <c r="G225" s="97">
        <f>G224*$I$212/10^7</f>
        <v>95.489100000000008</v>
      </c>
      <c r="H225" s="97">
        <f t="shared" ref="H225:M225" si="41">H224*$I$212/10^7</f>
        <v>102.32010000000001</v>
      </c>
      <c r="I225" s="97">
        <f t="shared" si="41"/>
        <v>109.15110000000003</v>
      </c>
      <c r="J225" s="97">
        <f t="shared" si="41"/>
        <v>115.98210000000002</v>
      </c>
      <c r="K225" s="97">
        <f t="shared" si="41"/>
        <v>122.81310000000002</v>
      </c>
      <c r="L225" s="97">
        <f t="shared" si="41"/>
        <v>129.64410000000004</v>
      </c>
      <c r="M225" s="97">
        <f t="shared" si="41"/>
        <v>136.47510000000003</v>
      </c>
    </row>
    <row r="226" spans="1:13" x14ac:dyDescent="0.2">
      <c r="A226" s="378"/>
      <c r="B226" s="148" t="s">
        <v>854</v>
      </c>
      <c r="E226" s="237">
        <f>E225*$E$210</f>
        <v>9.6279839999999997</v>
      </c>
      <c r="F226" s="237">
        <f t="shared" ref="F226:M226" si="42">F225*$E$210</f>
        <v>10.638972000000001</v>
      </c>
      <c r="G226" s="237">
        <f t="shared" si="42"/>
        <v>11.458692000000001</v>
      </c>
      <c r="H226" s="237">
        <f t="shared" si="42"/>
        <v>12.278412000000001</v>
      </c>
      <c r="I226" s="237">
        <f t="shared" si="42"/>
        <v>13.098132000000003</v>
      </c>
      <c r="J226" s="237">
        <f t="shared" si="42"/>
        <v>13.917852000000002</v>
      </c>
      <c r="K226" s="237">
        <f t="shared" si="42"/>
        <v>14.737572000000002</v>
      </c>
      <c r="L226" s="237">
        <f t="shared" si="42"/>
        <v>15.557292000000004</v>
      </c>
      <c r="M226" s="237">
        <f t="shared" si="42"/>
        <v>16.377012000000004</v>
      </c>
    </row>
    <row r="227" spans="1:13" x14ac:dyDescent="0.2">
      <c r="A227" s="378"/>
      <c r="B227" s="628" t="s">
        <v>850</v>
      </c>
      <c r="C227" s="629"/>
      <c r="D227" s="629"/>
      <c r="E227" s="629">
        <f>E225+E226</f>
        <v>89.861183999999994</v>
      </c>
      <c r="F227" s="629">
        <f t="shared" ref="F227:M227" si="43">F225+F226</f>
        <v>99.297072</v>
      </c>
      <c r="G227" s="629">
        <f t="shared" si="43"/>
        <v>106.94779200000001</v>
      </c>
      <c r="H227" s="629">
        <f t="shared" si="43"/>
        <v>114.59851200000001</v>
      </c>
      <c r="I227" s="629">
        <f t="shared" si="43"/>
        <v>122.24923200000003</v>
      </c>
      <c r="J227" s="629">
        <f t="shared" si="43"/>
        <v>129.89995200000001</v>
      </c>
      <c r="K227" s="629">
        <f t="shared" si="43"/>
        <v>137.55067200000002</v>
      </c>
      <c r="L227" s="629">
        <f t="shared" si="43"/>
        <v>145.20139200000006</v>
      </c>
      <c r="M227" s="629">
        <f t="shared" si="43"/>
        <v>152.85211200000003</v>
      </c>
    </row>
    <row r="228" spans="1:13" x14ac:dyDescent="0.2">
      <c r="A228" s="378"/>
      <c r="M228" s="181"/>
    </row>
    <row r="229" spans="1:13" x14ac:dyDescent="0.2">
      <c r="A229" s="378"/>
      <c r="E229" s="93">
        <f>E222*$I$212/10^7</f>
        <v>1.7387999999999999</v>
      </c>
      <c r="M229" s="181"/>
    </row>
    <row r="230" spans="1:13" x14ac:dyDescent="0.2">
      <c r="A230" s="378"/>
      <c r="E230" s="671">
        <f>E227*2%</f>
        <v>1.7972236799999999</v>
      </c>
      <c r="F230" s="626"/>
      <c r="G230" s="626"/>
      <c r="H230" s="626"/>
      <c r="I230" s="626"/>
      <c r="J230" s="626"/>
      <c r="K230" s="626"/>
      <c r="L230" s="626"/>
      <c r="M230" s="626"/>
    </row>
    <row r="231" spans="1:13" x14ac:dyDescent="0.2">
      <c r="A231" s="378"/>
      <c r="M231" s="181"/>
    </row>
    <row r="232" spans="1:13" x14ac:dyDescent="0.2">
      <c r="A232" s="378"/>
      <c r="M232" s="181"/>
    </row>
    <row r="233" spans="1:13" x14ac:dyDescent="0.2">
      <c r="A233" s="378"/>
      <c r="M233" s="181"/>
    </row>
    <row r="234" spans="1:13" x14ac:dyDescent="0.2">
      <c r="A234" s="379">
        <v>17</v>
      </c>
      <c r="B234" s="142" t="s">
        <v>526</v>
      </c>
      <c r="C234" s="97"/>
      <c r="D234" s="97"/>
      <c r="E234" s="571">
        <v>0.24481600000000001</v>
      </c>
      <c r="F234" s="142" t="s">
        <v>527</v>
      </c>
      <c r="G234" s="97"/>
      <c r="H234" s="571">
        <v>0.16692000000000001</v>
      </c>
      <c r="M234" s="181"/>
    </row>
    <row r="235" spans="1:13" x14ac:dyDescent="0.2">
      <c r="A235" s="378"/>
      <c r="B235" s="148"/>
      <c r="G235" s="148"/>
      <c r="M235" s="181"/>
    </row>
    <row r="236" spans="1:13" x14ac:dyDescent="0.2">
      <c r="A236" s="378"/>
      <c r="B236" s="148"/>
      <c r="G236" s="148"/>
      <c r="M236" s="181"/>
    </row>
    <row r="237" spans="1:13" x14ac:dyDescent="0.2">
      <c r="A237" s="378"/>
      <c r="B237" s="154" t="s">
        <v>443</v>
      </c>
      <c r="C237" s="140"/>
      <c r="D237" s="140"/>
      <c r="E237" s="151">
        <v>2024</v>
      </c>
      <c r="F237" s="151">
        <v>2025</v>
      </c>
      <c r="G237" s="151">
        <v>2026</v>
      </c>
      <c r="H237" s="151">
        <v>2027</v>
      </c>
      <c r="I237" s="151">
        <v>2028</v>
      </c>
      <c r="J237" s="151">
        <v>2029</v>
      </c>
      <c r="K237" s="151">
        <v>2030</v>
      </c>
      <c r="L237" s="151">
        <v>2031</v>
      </c>
      <c r="M237" s="155">
        <v>2032</v>
      </c>
    </row>
    <row r="238" spans="1:13" x14ac:dyDescent="0.2">
      <c r="A238" s="378"/>
      <c r="B238" s="401" t="s">
        <v>529</v>
      </c>
      <c r="C238" s="201"/>
      <c r="D238" s="201"/>
      <c r="E238" s="201">
        <f ca="1">'PROJECT RK'!D563</f>
        <v>1.3716870215366719</v>
      </c>
      <c r="F238" s="201">
        <f ca="1">'PROJECT RK'!E563</f>
        <v>2.1161547347349101</v>
      </c>
      <c r="G238" s="201">
        <f ca="1">'PROJECT RK'!F563</f>
        <v>2.9779268757701054</v>
      </c>
      <c r="H238" s="201">
        <f ca="1">'PROJECT RK'!G563</f>
        <v>3.8571455677997899</v>
      </c>
      <c r="I238" s="201">
        <f ca="1">'PROJECT RK'!H563</f>
        <v>4.6963435229066359</v>
      </c>
      <c r="J238" s="201">
        <f ca="1">'PROJECT RK'!I563</f>
        <v>5.5396289730072334</v>
      </c>
      <c r="K238" s="201">
        <f ca="1">'PROJECT RK'!J563</f>
        <v>6.3539835437440884</v>
      </c>
      <c r="L238" s="201">
        <f ca="1">'PROJECT RK'!K563</f>
        <v>7.1702487589288744</v>
      </c>
      <c r="M238" s="188">
        <f ca="1">'PROJECT RK'!L563</f>
        <v>7.9304795932660426</v>
      </c>
    </row>
    <row r="239" spans="1:13" x14ac:dyDescent="0.2">
      <c r="A239" s="378"/>
      <c r="B239" s="313" t="s">
        <v>969</v>
      </c>
      <c r="E239" s="93">
        <f>E193</f>
        <v>2.7729880429628957</v>
      </c>
      <c r="F239" s="93">
        <f t="shared" ref="F239:M239" si="44">F193</f>
        <v>2.3882877477633078</v>
      </c>
      <c r="G239" s="93">
        <f t="shared" si="44"/>
        <v>2.0570842601857433</v>
      </c>
      <c r="H239" s="93">
        <f t="shared" si="44"/>
        <v>1.7719227690379042</v>
      </c>
      <c r="I239" s="93">
        <f t="shared" si="44"/>
        <v>1.5263893804812168</v>
      </c>
      <c r="J239" s="93">
        <f t="shared" si="44"/>
        <v>1.3149654665280146</v>
      </c>
      <c r="K239" s="93">
        <f t="shared" si="44"/>
        <v>1.1329024429312327</v>
      </c>
      <c r="L239" s="93">
        <f t="shared" si="44"/>
        <v>0.97611410281794175</v>
      </c>
      <c r="M239" s="181">
        <f t="shared" si="44"/>
        <v>0.8410840380404454</v>
      </c>
    </row>
    <row r="240" spans="1:13" x14ac:dyDescent="0.2">
      <c r="A240" s="378"/>
      <c r="B240" s="469" t="s">
        <v>530</v>
      </c>
      <c r="C240" s="97"/>
      <c r="D240" s="97"/>
      <c r="E240" s="97">
        <f ca="1">E239+E238</f>
        <v>4.1446750644995678</v>
      </c>
      <c r="F240" s="97">
        <f t="shared" ref="F240:M240" ca="1" si="45">F239+F238</f>
        <v>4.5044424824982183</v>
      </c>
      <c r="G240" s="97">
        <f t="shared" ca="1" si="45"/>
        <v>5.0350111359558483</v>
      </c>
      <c r="H240" s="97">
        <f t="shared" ca="1" si="45"/>
        <v>5.6290683368376939</v>
      </c>
      <c r="I240" s="97">
        <f t="shared" ca="1" si="45"/>
        <v>6.2227329033878522</v>
      </c>
      <c r="J240" s="97">
        <f t="shared" ca="1" si="45"/>
        <v>6.8545944395352478</v>
      </c>
      <c r="K240" s="97">
        <f t="shared" ca="1" si="45"/>
        <v>7.486885986675321</v>
      </c>
      <c r="L240" s="97">
        <f t="shared" ca="1" si="45"/>
        <v>8.146362861746816</v>
      </c>
      <c r="M240" s="399">
        <f t="shared" ca="1" si="45"/>
        <v>8.7715636313064884</v>
      </c>
    </row>
    <row r="241" spans="1:23" x14ac:dyDescent="0.2">
      <c r="A241" s="378"/>
      <c r="B241" s="313" t="s">
        <v>970</v>
      </c>
      <c r="E241" s="93">
        <f>E180</f>
        <v>2.9833077724563188</v>
      </c>
      <c r="F241" s="93">
        <f t="shared" ref="F241:M241" si="46">F180</f>
        <v>2.5381858860475734</v>
      </c>
      <c r="G241" s="93">
        <f t="shared" si="46"/>
        <v>2.1595948546541699</v>
      </c>
      <c r="H241" s="93">
        <f t="shared" si="46"/>
        <v>1.8375787928184029</v>
      </c>
      <c r="I241" s="93">
        <f t="shared" si="46"/>
        <v>1.5636728236217654</v>
      </c>
      <c r="J241" s="93">
        <f t="shared" si="46"/>
        <v>1.3306796648320112</v>
      </c>
      <c r="K241" s="93">
        <f t="shared" si="46"/>
        <v>1.1324797033853686</v>
      </c>
      <c r="L241" s="93">
        <f t="shared" si="46"/>
        <v>0.96386953732790692</v>
      </c>
      <c r="M241" s="181">
        <f t="shared" si="46"/>
        <v>0.82042471723403021</v>
      </c>
    </row>
    <row r="242" spans="1:23" x14ac:dyDescent="0.2">
      <c r="A242" s="378"/>
      <c r="B242" s="313" t="s">
        <v>531</v>
      </c>
      <c r="E242" s="93">
        <f ca="1">E240-E241</f>
        <v>1.161367292043249</v>
      </c>
      <c r="F242" s="93">
        <f t="shared" ref="F242:M242" ca="1" si="47">F240-F241</f>
        <v>1.9662565964506449</v>
      </c>
      <c r="G242" s="93">
        <f t="shared" ca="1" si="47"/>
        <v>2.8754162813016784</v>
      </c>
      <c r="H242" s="93">
        <f t="shared" ca="1" si="47"/>
        <v>3.7914895440192913</v>
      </c>
      <c r="I242" s="93">
        <f t="shared" ca="1" si="47"/>
        <v>4.6590600797660873</v>
      </c>
      <c r="J242" s="93">
        <f t="shared" ca="1" si="47"/>
        <v>5.5239147747032362</v>
      </c>
      <c r="K242" s="93">
        <f t="shared" ca="1" si="47"/>
        <v>6.3544062832899524</v>
      </c>
      <c r="L242" s="93">
        <f t="shared" ca="1" si="47"/>
        <v>7.1824933244189086</v>
      </c>
      <c r="M242" s="181">
        <f t="shared" ca="1" si="47"/>
        <v>7.951138914072458</v>
      </c>
    </row>
    <row r="243" spans="1:23" x14ac:dyDescent="0.2">
      <c r="A243" s="378"/>
      <c r="B243" s="313" t="s">
        <v>532</v>
      </c>
      <c r="E243" s="93">
        <v>0</v>
      </c>
      <c r="F243" s="93">
        <v>0</v>
      </c>
      <c r="G243" s="93">
        <v>0</v>
      </c>
      <c r="H243" s="93">
        <v>0</v>
      </c>
      <c r="I243" s="93">
        <v>0</v>
      </c>
      <c r="J243" s="93">
        <v>0</v>
      </c>
      <c r="K243" s="93">
        <v>0</v>
      </c>
      <c r="L243" s="93">
        <v>0</v>
      </c>
      <c r="M243" s="181">
        <v>0</v>
      </c>
    </row>
    <row r="244" spans="1:23" x14ac:dyDescent="0.2">
      <c r="A244" s="378"/>
      <c r="B244" s="313" t="s">
        <v>423</v>
      </c>
      <c r="E244" s="93">
        <f ca="1">E242</f>
        <v>1.161367292043249</v>
      </c>
      <c r="F244" s="93">
        <f t="shared" ref="F244:M244" ca="1" si="48">F242</f>
        <v>1.9662565964506449</v>
      </c>
      <c r="G244" s="93">
        <f t="shared" ca="1" si="48"/>
        <v>2.8754162813016784</v>
      </c>
      <c r="H244" s="93">
        <f t="shared" ca="1" si="48"/>
        <v>3.7914895440192913</v>
      </c>
      <c r="I244" s="93">
        <f t="shared" ca="1" si="48"/>
        <v>4.6590600797660873</v>
      </c>
      <c r="J244" s="93">
        <f t="shared" ca="1" si="48"/>
        <v>5.5239147747032362</v>
      </c>
      <c r="K244" s="93">
        <f t="shared" ca="1" si="48"/>
        <v>6.3544062832899524</v>
      </c>
      <c r="L244" s="93">
        <f t="shared" ca="1" si="48"/>
        <v>7.1824933244189086</v>
      </c>
      <c r="M244" s="181">
        <f t="shared" ca="1" si="48"/>
        <v>7.951138914072458</v>
      </c>
    </row>
    <row r="245" spans="1:23" x14ac:dyDescent="0.2">
      <c r="A245" s="378"/>
      <c r="B245" s="194" t="s">
        <v>422</v>
      </c>
      <c r="E245" s="93">
        <v>0</v>
      </c>
      <c r="F245" s="93">
        <v>0</v>
      </c>
      <c r="G245" s="93">
        <v>0</v>
      </c>
      <c r="H245" s="93">
        <v>0</v>
      </c>
      <c r="I245" s="93">
        <v>0</v>
      </c>
      <c r="J245" s="93">
        <v>0</v>
      </c>
      <c r="K245" s="93">
        <v>0</v>
      </c>
      <c r="L245" s="93">
        <v>0</v>
      </c>
      <c r="M245" s="181">
        <v>0</v>
      </c>
    </row>
    <row r="246" spans="1:23" x14ac:dyDescent="0.2">
      <c r="A246" s="378"/>
      <c r="B246" s="313" t="s">
        <v>533</v>
      </c>
      <c r="E246" s="93">
        <f ca="1">E244-E245</f>
        <v>1.161367292043249</v>
      </c>
      <c r="F246" s="93">
        <f t="shared" ref="F246:M246" ca="1" si="49">F244-F245</f>
        <v>1.9662565964506449</v>
      </c>
      <c r="G246" s="93">
        <f t="shared" ca="1" si="49"/>
        <v>2.8754162813016784</v>
      </c>
      <c r="H246" s="93">
        <f t="shared" ca="1" si="49"/>
        <v>3.7914895440192913</v>
      </c>
      <c r="I246" s="93">
        <f t="shared" ca="1" si="49"/>
        <v>4.6590600797660873</v>
      </c>
      <c r="J246" s="93">
        <f t="shared" ca="1" si="49"/>
        <v>5.5239147747032362</v>
      </c>
      <c r="K246" s="93">
        <f t="shared" ca="1" si="49"/>
        <v>6.3544062832899524</v>
      </c>
      <c r="L246" s="93">
        <f t="shared" ca="1" si="49"/>
        <v>7.1824933244189086</v>
      </c>
      <c r="M246" s="181">
        <f t="shared" ca="1" si="49"/>
        <v>7.951138914072458</v>
      </c>
    </row>
    <row r="247" spans="1:23" x14ac:dyDescent="0.2">
      <c r="A247" s="378"/>
      <c r="B247" s="313" t="s">
        <v>534</v>
      </c>
      <c r="E247" s="93">
        <f ca="1">E238*$H$234</f>
        <v>0.2289619976349013</v>
      </c>
      <c r="F247" s="93">
        <f t="shared" ref="F247:M247" ca="1" si="50">F238*$H$234</f>
        <v>0.35322854832195122</v>
      </c>
      <c r="G247" s="93">
        <f t="shared" ca="1" si="50"/>
        <v>0.49707555410354604</v>
      </c>
      <c r="H247" s="93">
        <f t="shared" ca="1" si="50"/>
        <v>0.64383473817714099</v>
      </c>
      <c r="I247" s="93">
        <f t="shared" ca="1" si="50"/>
        <v>0.78391366084357572</v>
      </c>
      <c r="J247" s="93">
        <f t="shared" ca="1" si="50"/>
        <v>0.9246748681743675</v>
      </c>
      <c r="K247" s="93">
        <f t="shared" ca="1" si="50"/>
        <v>1.0606069331217634</v>
      </c>
      <c r="L247" s="93">
        <f t="shared" ca="1" si="50"/>
        <v>1.1968579228404077</v>
      </c>
      <c r="M247" s="181">
        <f t="shared" ca="1" si="50"/>
        <v>1.323755653707968</v>
      </c>
      <c r="O247" s="635"/>
      <c r="P247" s="635"/>
      <c r="Q247" s="635"/>
      <c r="R247" s="635"/>
      <c r="S247" s="635"/>
      <c r="T247" s="635"/>
      <c r="U247" s="635"/>
      <c r="V247" s="635"/>
      <c r="W247" s="635"/>
    </row>
    <row r="248" spans="1:23" x14ac:dyDescent="0.2">
      <c r="A248" s="378"/>
      <c r="B248" s="313" t="s">
        <v>535</v>
      </c>
      <c r="E248" s="93">
        <f ca="1">E246*$E$234</f>
        <v>0.28432129496886005</v>
      </c>
      <c r="F248" s="93">
        <f t="shared" ref="F248:M248" ca="1" si="51">F246*$E$234</f>
        <v>0.48137107491666109</v>
      </c>
      <c r="G248" s="93">
        <f t="shared" ca="1" si="51"/>
        <v>0.70394791232315168</v>
      </c>
      <c r="H248" s="93">
        <f t="shared" ca="1" si="51"/>
        <v>0.9282173042086268</v>
      </c>
      <c r="I248" s="93">
        <f t="shared" ca="1" si="51"/>
        <v>1.1406124524880144</v>
      </c>
      <c r="J248" s="93">
        <f t="shared" ca="1" si="51"/>
        <v>1.3523427194837474</v>
      </c>
      <c r="K248" s="93">
        <f t="shared" ca="1" si="51"/>
        <v>1.5556603286499131</v>
      </c>
      <c r="L248" s="93">
        <f t="shared" ca="1" si="51"/>
        <v>1.7583892857109396</v>
      </c>
      <c r="M248" s="181">
        <f t="shared" ca="1" si="51"/>
        <v>1.9465660243875629</v>
      </c>
    </row>
    <row r="249" spans="1:23" x14ac:dyDescent="0.2">
      <c r="A249" s="378"/>
      <c r="B249" s="314" t="s">
        <v>536</v>
      </c>
      <c r="C249" s="245"/>
      <c r="D249" s="245"/>
      <c r="E249" s="245">
        <f ca="1">MAX(E247:E248)</f>
        <v>0.28432129496886005</v>
      </c>
      <c r="F249" s="245">
        <f t="shared" ref="F249:M249" ca="1" si="52">MAX(F247:F248)</f>
        <v>0.48137107491666109</v>
      </c>
      <c r="G249" s="245">
        <f t="shared" ca="1" si="52"/>
        <v>0.70394791232315168</v>
      </c>
      <c r="H249" s="245">
        <f t="shared" ca="1" si="52"/>
        <v>0.9282173042086268</v>
      </c>
      <c r="I249" s="245">
        <f t="shared" ca="1" si="52"/>
        <v>1.1406124524880144</v>
      </c>
      <c r="J249" s="245">
        <f t="shared" ca="1" si="52"/>
        <v>1.3523427194837474</v>
      </c>
      <c r="K249" s="245">
        <f t="shared" ca="1" si="52"/>
        <v>1.5556603286499131</v>
      </c>
      <c r="L249" s="245">
        <f t="shared" ca="1" si="52"/>
        <v>1.7583892857109396</v>
      </c>
      <c r="M249" s="183">
        <f t="shared" ca="1" si="52"/>
        <v>1.9465660243875629</v>
      </c>
    </row>
    <row r="250" spans="1:23" x14ac:dyDescent="0.2">
      <c r="A250" s="378"/>
      <c r="E250" s="236"/>
      <c r="F250" s="236"/>
      <c r="G250" s="236"/>
      <c r="H250" s="236"/>
      <c r="I250" s="236"/>
      <c r="J250" s="236"/>
      <c r="K250" s="236"/>
      <c r="L250" s="236"/>
      <c r="M250" s="236"/>
    </row>
    <row r="251" spans="1:23" x14ac:dyDescent="0.2">
      <c r="A251" s="378"/>
      <c r="E251" s="572"/>
      <c r="F251" s="572"/>
      <c r="H251" s="572"/>
      <c r="I251" s="572"/>
      <c r="M251" s="181"/>
    </row>
    <row r="252" spans="1:23" x14ac:dyDescent="0.2">
      <c r="A252" s="378"/>
      <c r="E252" s="572"/>
      <c r="F252" s="572"/>
      <c r="H252" s="572"/>
      <c r="I252" s="572"/>
      <c r="M252" s="181"/>
    </row>
    <row r="253" spans="1:23" x14ac:dyDescent="0.2">
      <c r="A253" s="378"/>
      <c r="E253" s="572"/>
      <c r="F253" s="572"/>
      <c r="H253" s="572"/>
      <c r="I253" s="572"/>
      <c r="M253" s="181"/>
    </row>
    <row r="254" spans="1:23" x14ac:dyDescent="0.2">
      <c r="A254" s="381"/>
      <c r="B254" s="390"/>
      <c r="C254" s="245"/>
      <c r="D254" s="245"/>
      <c r="E254" s="400"/>
      <c r="F254" s="382"/>
      <c r="G254" s="245"/>
      <c r="H254" s="400"/>
      <c r="I254" s="400"/>
      <c r="J254" s="245"/>
      <c r="K254" s="245"/>
      <c r="L254" s="245"/>
      <c r="M254" s="183"/>
    </row>
    <row r="255" spans="1:23" x14ac:dyDescent="0.2">
      <c r="A255" s="381"/>
      <c r="B255" s="390"/>
      <c r="C255" s="245"/>
      <c r="D255" s="245"/>
      <c r="E255" s="400"/>
      <c r="F255" s="400"/>
      <c r="G255" s="245"/>
      <c r="H255" s="400"/>
      <c r="I255" s="400"/>
      <c r="J255" s="245"/>
      <c r="K255" s="245"/>
      <c r="L255" s="245"/>
      <c r="M255" s="245"/>
    </row>
    <row r="256" spans="1:23" x14ac:dyDescent="0.2">
      <c r="A256" s="736" t="s">
        <v>843</v>
      </c>
      <c r="B256" s="737"/>
      <c r="C256" s="737"/>
      <c r="D256" s="737"/>
      <c r="E256" s="737"/>
      <c r="F256" s="737"/>
      <c r="G256" s="737"/>
      <c r="H256" s="737"/>
      <c r="I256" s="737"/>
      <c r="J256" s="737"/>
      <c r="K256" s="737"/>
      <c r="L256" s="737"/>
      <c r="M256" s="738"/>
    </row>
    <row r="257" spans="1:13" x14ac:dyDescent="0.2">
      <c r="A257" s="743" t="s">
        <v>845</v>
      </c>
      <c r="B257" s="744"/>
      <c r="C257" s="744"/>
      <c r="D257" s="744"/>
      <c r="E257" s="744"/>
      <c r="F257" s="744"/>
      <c r="G257" s="744"/>
      <c r="H257" s="744"/>
      <c r="I257" s="744"/>
      <c r="J257" s="744"/>
      <c r="K257" s="744"/>
      <c r="L257" s="744"/>
      <c r="M257" s="745"/>
    </row>
    <row r="258" spans="1:13" x14ac:dyDescent="0.2">
      <c r="A258" s="743" t="s">
        <v>844</v>
      </c>
      <c r="B258" s="744"/>
      <c r="C258" s="744"/>
      <c r="D258" s="744"/>
      <c r="E258" s="744"/>
      <c r="F258" s="744"/>
      <c r="G258" s="744"/>
      <c r="H258" s="744"/>
      <c r="I258" s="744"/>
      <c r="J258" s="744"/>
      <c r="K258" s="744"/>
      <c r="L258" s="744"/>
      <c r="M258" s="745"/>
    </row>
    <row r="259" spans="1:13" x14ac:dyDescent="0.2">
      <c r="A259" s="743" t="s">
        <v>1139</v>
      </c>
      <c r="B259" s="744"/>
      <c r="C259" s="744"/>
      <c r="D259" s="744"/>
      <c r="E259" s="744"/>
      <c r="F259" s="744"/>
      <c r="G259" s="744"/>
      <c r="H259" s="744"/>
      <c r="I259" s="744"/>
      <c r="J259" s="744"/>
      <c r="K259" s="744"/>
      <c r="L259" s="744"/>
      <c r="M259" s="745"/>
    </row>
    <row r="260" spans="1:13" x14ac:dyDescent="0.2">
      <c r="A260" s="378"/>
      <c r="E260" s="572"/>
      <c r="F260" s="572"/>
      <c r="H260" s="572"/>
      <c r="I260" s="572"/>
      <c r="M260" s="181"/>
    </row>
    <row r="261" spans="1:13" x14ac:dyDescent="0.2">
      <c r="A261" s="379">
        <v>18</v>
      </c>
      <c r="B261" s="238" t="s">
        <v>386</v>
      </c>
      <c r="M261" s="181"/>
    </row>
    <row r="262" spans="1:13" ht="12" customHeight="1" x14ac:dyDescent="0.2">
      <c r="A262" s="378"/>
      <c r="B262" s="758" t="s">
        <v>443</v>
      </c>
      <c r="C262" s="759"/>
      <c r="D262" s="759"/>
      <c r="E262" s="759"/>
      <c r="F262" s="759"/>
      <c r="G262" s="759"/>
      <c r="H262" s="759"/>
      <c r="I262" s="759"/>
      <c r="J262" s="759"/>
      <c r="K262" s="759"/>
      <c r="L262" s="760"/>
      <c r="M262" s="181"/>
    </row>
    <row r="263" spans="1:13" ht="12" customHeight="1" x14ac:dyDescent="0.2">
      <c r="A263" s="378"/>
      <c r="B263" s="523"/>
      <c r="C263" s="524"/>
      <c r="D263" s="524"/>
      <c r="E263" s="524"/>
      <c r="F263" s="524"/>
      <c r="G263" s="413" t="s">
        <v>1188</v>
      </c>
      <c r="H263" s="524"/>
      <c r="I263" s="413" t="s">
        <v>1189</v>
      </c>
      <c r="J263" s="524"/>
      <c r="K263" s="524"/>
      <c r="L263" s="235"/>
      <c r="M263" s="181"/>
    </row>
    <row r="264" spans="1:13" x14ac:dyDescent="0.2">
      <c r="A264" s="378"/>
      <c r="B264" s="746" t="s">
        <v>372</v>
      </c>
      <c r="C264" s="747"/>
      <c r="D264" s="747"/>
      <c r="E264" s="747"/>
      <c r="F264" s="748"/>
      <c r="G264" s="230">
        <v>8</v>
      </c>
      <c r="H264" s="363"/>
      <c r="I264" s="530">
        <v>4</v>
      </c>
      <c r="J264" s="363"/>
      <c r="K264" s="363"/>
      <c r="M264" s="181"/>
    </row>
    <row r="265" spans="1:13" ht="12.75" x14ac:dyDescent="0.2">
      <c r="A265" s="378"/>
      <c r="B265" s="746" t="s">
        <v>373</v>
      </c>
      <c r="C265" s="747"/>
      <c r="D265" s="747"/>
      <c r="E265" s="747"/>
      <c r="F265" s="748"/>
      <c r="G265" s="163">
        <v>0.09</v>
      </c>
      <c r="H265" s="522"/>
      <c r="I265" s="532">
        <v>0.09</v>
      </c>
      <c r="J265" s="522"/>
      <c r="K265" s="522"/>
      <c r="M265" s="181"/>
    </row>
    <row r="266" spans="1:13" ht="12.75" x14ac:dyDescent="0.2">
      <c r="A266" s="378"/>
      <c r="B266" s="746" t="s">
        <v>856</v>
      </c>
      <c r="C266" s="747"/>
      <c r="D266" s="747"/>
      <c r="E266" s="747"/>
      <c r="F266" s="748"/>
      <c r="G266" s="164">
        <v>45046</v>
      </c>
      <c r="H266" s="522"/>
      <c r="I266" s="164">
        <v>45046</v>
      </c>
      <c r="J266" s="522"/>
      <c r="K266" s="522"/>
      <c r="M266" s="181"/>
    </row>
    <row r="267" spans="1:13" ht="12.75" x14ac:dyDescent="0.2">
      <c r="A267" s="378"/>
      <c r="B267" s="746" t="s">
        <v>857</v>
      </c>
      <c r="C267" s="747"/>
      <c r="D267" s="747"/>
      <c r="E267" s="747"/>
      <c r="F267" s="748"/>
      <c r="G267" s="164">
        <v>44742</v>
      </c>
      <c r="H267" s="522"/>
      <c r="I267" s="164">
        <v>44957</v>
      </c>
      <c r="J267" s="522"/>
      <c r="K267" s="522"/>
      <c r="M267" s="181"/>
    </row>
    <row r="268" spans="1:13" ht="12.75" x14ac:dyDescent="0.2">
      <c r="A268" s="378"/>
      <c r="B268" s="746" t="s">
        <v>858</v>
      </c>
      <c r="C268" s="747"/>
      <c r="D268" s="747"/>
      <c r="E268" s="747"/>
      <c r="F268" s="748"/>
      <c r="G268" s="164">
        <v>45230</v>
      </c>
      <c r="H268" s="522"/>
      <c r="I268" s="164">
        <v>45230</v>
      </c>
      <c r="J268" s="522"/>
      <c r="K268" s="522"/>
      <c r="M268" s="181"/>
    </row>
    <row r="269" spans="1:13" ht="12.75" x14ac:dyDescent="0.2">
      <c r="A269" s="378"/>
      <c r="B269" s="746" t="s">
        <v>859</v>
      </c>
      <c r="C269" s="747"/>
      <c r="D269" s="747"/>
      <c r="E269" s="747"/>
      <c r="F269" s="748"/>
      <c r="G269" s="170">
        <v>8</v>
      </c>
      <c r="H269" s="522"/>
      <c r="I269" s="170">
        <v>8</v>
      </c>
      <c r="J269" s="522"/>
      <c r="K269" s="522"/>
      <c r="M269" s="181"/>
    </row>
    <row r="270" spans="1:13" ht="12.75" x14ac:dyDescent="0.2">
      <c r="A270" s="378"/>
      <c r="B270" s="746" t="s">
        <v>860</v>
      </c>
      <c r="C270" s="747"/>
      <c r="D270" s="747"/>
      <c r="E270" s="747"/>
      <c r="F270" s="748"/>
      <c r="G270" s="170">
        <v>96</v>
      </c>
      <c r="H270" s="522"/>
      <c r="I270" s="165">
        <v>96</v>
      </c>
      <c r="J270" s="522"/>
      <c r="K270" s="522"/>
      <c r="M270" s="181"/>
    </row>
    <row r="271" spans="1:13" ht="12.75" x14ac:dyDescent="0.2">
      <c r="A271" s="378"/>
      <c r="B271" s="746" t="s">
        <v>861</v>
      </c>
      <c r="C271" s="747"/>
      <c r="D271" s="747"/>
      <c r="E271" s="747"/>
      <c r="F271" s="748"/>
      <c r="G271" s="165">
        <v>16</v>
      </c>
      <c r="H271" s="522"/>
      <c r="I271" s="170">
        <v>16</v>
      </c>
      <c r="J271" s="522"/>
      <c r="K271" s="522"/>
      <c r="M271" s="181"/>
    </row>
    <row r="272" spans="1:13" ht="12.75" x14ac:dyDescent="0.2">
      <c r="A272" s="378"/>
      <c r="B272" s="749" t="s">
        <v>862</v>
      </c>
      <c r="C272" s="750"/>
      <c r="D272" s="750"/>
      <c r="E272" s="750"/>
      <c r="F272" s="751"/>
      <c r="G272" s="170">
        <v>10</v>
      </c>
      <c r="H272" s="522"/>
      <c r="I272" s="170">
        <v>10</v>
      </c>
      <c r="J272" s="522"/>
      <c r="K272" s="522"/>
      <c r="M272" s="181"/>
    </row>
    <row r="273" spans="1:17" ht="12.75" x14ac:dyDescent="0.2">
      <c r="A273" s="378"/>
      <c r="B273" s="746" t="s">
        <v>863</v>
      </c>
      <c r="C273" s="747"/>
      <c r="D273" s="747"/>
      <c r="E273" s="747"/>
      <c r="F273" s="748"/>
      <c r="G273" s="170">
        <v>112</v>
      </c>
      <c r="H273" s="522"/>
      <c r="I273" s="531">
        <v>112</v>
      </c>
      <c r="J273" s="522"/>
      <c r="K273" s="522"/>
      <c r="M273" s="181"/>
    </row>
    <row r="274" spans="1:17" x14ac:dyDescent="0.2">
      <c r="A274" s="378"/>
      <c r="C274" s="148"/>
      <c r="M274" s="181"/>
    </row>
    <row r="275" spans="1:17" x14ac:dyDescent="0.2">
      <c r="A275" s="378"/>
      <c r="C275" s="739" t="s">
        <v>1190</v>
      </c>
      <c r="D275" s="739"/>
      <c r="E275" s="739"/>
      <c r="F275" s="739"/>
      <c r="G275" s="739"/>
      <c r="H275" s="739"/>
      <c r="I275" s="739" t="s">
        <v>1210</v>
      </c>
      <c r="J275" s="739"/>
      <c r="K275" s="739"/>
      <c r="L275" s="739"/>
      <c r="M275" s="740"/>
    </row>
    <row r="276" spans="1:17" ht="25.5" customHeight="1" x14ac:dyDescent="0.2">
      <c r="A276" s="402"/>
      <c r="C276" s="533" t="s">
        <v>864</v>
      </c>
      <c r="D276" s="534" t="s">
        <v>518</v>
      </c>
      <c r="E276" s="535" t="s">
        <v>865</v>
      </c>
      <c r="F276" s="535" t="s">
        <v>866</v>
      </c>
      <c r="G276" s="534" t="s">
        <v>906</v>
      </c>
      <c r="H276" s="536" t="s">
        <v>867</v>
      </c>
      <c r="I276" s="534" t="s">
        <v>518</v>
      </c>
      <c r="J276" s="535" t="s">
        <v>865</v>
      </c>
      <c r="K276" s="535" t="s">
        <v>866</v>
      </c>
      <c r="L276" s="534" t="s">
        <v>906</v>
      </c>
      <c r="M276" s="536" t="s">
        <v>867</v>
      </c>
      <c r="O276" s="144"/>
    </row>
    <row r="277" spans="1:17" x14ac:dyDescent="0.2">
      <c r="A277" s="402"/>
      <c r="C277" s="537">
        <v>44652</v>
      </c>
      <c r="D277" s="538">
        <v>0</v>
      </c>
      <c r="E277" s="539">
        <v>0</v>
      </c>
      <c r="F277" s="540">
        <v>0</v>
      </c>
      <c r="G277" s="538">
        <f>D277+E277-F277</f>
        <v>0</v>
      </c>
      <c r="H277" s="545">
        <f>(D277+(E277/2))*(9%/12)</f>
        <v>0</v>
      </c>
      <c r="I277" s="538">
        <v>0</v>
      </c>
      <c r="J277" s="539">
        <v>0</v>
      </c>
      <c r="K277" s="540">
        <v>0</v>
      </c>
      <c r="L277" s="538">
        <f>I277+J277-K277</f>
        <v>0</v>
      </c>
      <c r="M277" s="545">
        <f>(I277+(J277/2))*(9%/12)</f>
        <v>0</v>
      </c>
      <c r="O277" s="144">
        <v>0.05</v>
      </c>
    </row>
    <row r="278" spans="1:17" x14ac:dyDescent="0.2">
      <c r="A278" s="402"/>
      <c r="C278" s="541">
        <v>44712</v>
      </c>
      <c r="D278" s="542">
        <f>G277</f>
        <v>0</v>
      </c>
      <c r="E278" s="543">
        <v>0</v>
      </c>
      <c r="F278" s="544">
        <v>0</v>
      </c>
      <c r="G278" s="538">
        <f t="shared" ref="G278:G288" si="53">D278+E278-F278</f>
        <v>0</v>
      </c>
      <c r="H278" s="545">
        <f>(D278+(E278/2))*(9%/12)</f>
        <v>0</v>
      </c>
      <c r="I278" s="542">
        <f>L277</f>
        <v>0</v>
      </c>
      <c r="J278" s="543">
        <v>0</v>
      </c>
      <c r="K278" s="544">
        <v>0</v>
      </c>
      <c r="L278" s="538">
        <f t="shared" ref="L278:L288" si="54">I278+J278-K278</f>
        <v>0</v>
      </c>
      <c r="M278" s="545">
        <f t="shared" ref="M278:M288" si="55">(I278+(J278/2))*(9%/12)</f>
        <v>0</v>
      </c>
      <c r="O278" s="144">
        <v>0.2</v>
      </c>
    </row>
    <row r="279" spans="1:17" x14ac:dyDescent="0.2">
      <c r="A279" s="402"/>
      <c r="C279" s="541">
        <v>44742</v>
      </c>
      <c r="D279" s="542">
        <f t="shared" ref="D279:D288" si="56">G278</f>
        <v>0</v>
      </c>
      <c r="E279" s="543">
        <v>2.95</v>
      </c>
      <c r="F279" s="544">
        <v>0</v>
      </c>
      <c r="G279" s="538">
        <f t="shared" si="53"/>
        <v>2.95</v>
      </c>
      <c r="H279" s="545">
        <f>(D279+(E279/2))*(9%/12)</f>
        <v>1.1062499999999999E-2</v>
      </c>
      <c r="I279" s="542">
        <f t="shared" ref="I279:I288" si="57">L278</f>
        <v>0</v>
      </c>
      <c r="J279" s="543">
        <v>0</v>
      </c>
      <c r="K279" s="544">
        <v>0</v>
      </c>
      <c r="L279" s="538">
        <f t="shared" si="54"/>
        <v>0</v>
      </c>
      <c r="M279" s="545">
        <f t="shared" si="55"/>
        <v>0</v>
      </c>
      <c r="O279" s="144">
        <v>0.15</v>
      </c>
      <c r="P279" s="674"/>
      <c r="Q279" s="673"/>
    </row>
    <row r="280" spans="1:17" x14ac:dyDescent="0.2">
      <c r="A280" s="402"/>
      <c r="C280" s="541">
        <v>44773</v>
      </c>
      <c r="D280" s="542">
        <f t="shared" si="56"/>
        <v>2.95</v>
      </c>
      <c r="E280" s="543">
        <v>0.25</v>
      </c>
      <c r="F280" s="544">
        <v>0</v>
      </c>
      <c r="G280" s="538">
        <f t="shared" si="53"/>
        <v>3.2</v>
      </c>
      <c r="H280" s="545">
        <f t="shared" ref="H280:H288" si="58">(D280+(E280/2))*(9%/12)</f>
        <v>2.30625E-2</v>
      </c>
      <c r="I280" s="542">
        <f t="shared" si="57"/>
        <v>0</v>
      </c>
      <c r="J280" s="543"/>
      <c r="K280" s="544">
        <v>0</v>
      </c>
      <c r="L280" s="538">
        <f t="shared" si="54"/>
        <v>0</v>
      </c>
      <c r="M280" s="545">
        <f t="shared" si="55"/>
        <v>0</v>
      </c>
      <c r="O280" s="144">
        <v>0.2</v>
      </c>
      <c r="P280" s="674"/>
    </row>
    <row r="281" spans="1:17" x14ac:dyDescent="0.2">
      <c r="A281" s="402"/>
      <c r="C281" s="541">
        <v>44804</v>
      </c>
      <c r="D281" s="542">
        <f t="shared" si="56"/>
        <v>3.2</v>
      </c>
      <c r="E281" s="543">
        <v>1.85</v>
      </c>
      <c r="F281" s="544">
        <v>0</v>
      </c>
      <c r="G281" s="538">
        <f t="shared" si="53"/>
        <v>5.0500000000000007</v>
      </c>
      <c r="H281" s="545">
        <f t="shared" si="58"/>
        <v>3.09375E-2</v>
      </c>
      <c r="I281" s="542">
        <f t="shared" si="57"/>
        <v>0</v>
      </c>
      <c r="J281" s="543"/>
      <c r="K281" s="544">
        <v>0</v>
      </c>
      <c r="L281" s="538">
        <f t="shared" si="54"/>
        <v>0</v>
      </c>
      <c r="M281" s="545">
        <f t="shared" si="55"/>
        <v>0</v>
      </c>
      <c r="O281" s="144">
        <v>0.2</v>
      </c>
      <c r="P281" s="674"/>
    </row>
    <row r="282" spans="1:17" x14ac:dyDescent="0.2">
      <c r="A282" s="402"/>
      <c r="C282" s="541">
        <v>44834</v>
      </c>
      <c r="D282" s="542">
        <f t="shared" si="56"/>
        <v>5.0500000000000007</v>
      </c>
      <c r="E282" s="543">
        <v>1.54</v>
      </c>
      <c r="F282" s="544">
        <v>0</v>
      </c>
      <c r="G282" s="538">
        <f t="shared" si="53"/>
        <v>6.5900000000000007</v>
      </c>
      <c r="H282" s="545">
        <f t="shared" si="58"/>
        <v>4.3650000000000001E-2</v>
      </c>
      <c r="I282" s="542">
        <f t="shared" si="57"/>
        <v>0</v>
      </c>
      <c r="J282" s="543"/>
      <c r="K282" s="544">
        <v>0</v>
      </c>
      <c r="L282" s="538">
        <f t="shared" si="54"/>
        <v>0</v>
      </c>
      <c r="M282" s="545">
        <f t="shared" si="55"/>
        <v>0</v>
      </c>
      <c r="O282" s="144">
        <v>0.1</v>
      </c>
      <c r="P282" s="674"/>
    </row>
    <row r="283" spans="1:17" x14ac:dyDescent="0.2">
      <c r="A283" s="402"/>
      <c r="C283" s="541">
        <v>44865</v>
      </c>
      <c r="D283" s="542">
        <f t="shared" si="56"/>
        <v>6.5900000000000007</v>
      </c>
      <c r="E283" s="543">
        <v>0.43</v>
      </c>
      <c r="F283" s="544">
        <v>0</v>
      </c>
      <c r="G283" s="538">
        <f t="shared" si="53"/>
        <v>7.0200000000000005</v>
      </c>
      <c r="H283" s="545">
        <f t="shared" si="58"/>
        <v>5.10375E-2</v>
      </c>
      <c r="I283" s="542">
        <f t="shared" si="57"/>
        <v>0</v>
      </c>
      <c r="J283" s="543"/>
      <c r="K283" s="544">
        <v>0</v>
      </c>
      <c r="L283" s="538">
        <f t="shared" si="54"/>
        <v>0</v>
      </c>
      <c r="M283" s="545">
        <f t="shared" si="55"/>
        <v>0</v>
      </c>
      <c r="O283" s="144">
        <v>0</v>
      </c>
      <c r="P283" s="674"/>
    </row>
    <row r="284" spans="1:17" x14ac:dyDescent="0.2">
      <c r="A284" s="402"/>
      <c r="C284" s="541">
        <v>44895</v>
      </c>
      <c r="D284" s="542">
        <f t="shared" si="56"/>
        <v>7.0200000000000005</v>
      </c>
      <c r="E284" s="543">
        <v>0.74</v>
      </c>
      <c r="F284" s="544">
        <v>0</v>
      </c>
      <c r="G284" s="538">
        <f t="shared" si="53"/>
        <v>7.7600000000000007</v>
      </c>
      <c r="H284" s="545">
        <f t="shared" si="58"/>
        <v>5.5425000000000002E-2</v>
      </c>
      <c r="I284" s="542">
        <f t="shared" si="57"/>
        <v>0</v>
      </c>
      <c r="J284" s="543"/>
      <c r="K284" s="544">
        <v>0</v>
      </c>
      <c r="L284" s="538">
        <f t="shared" si="54"/>
        <v>0</v>
      </c>
      <c r="M284" s="545">
        <f t="shared" si="55"/>
        <v>0</v>
      </c>
      <c r="O284" s="144">
        <v>0</v>
      </c>
      <c r="P284" s="674"/>
    </row>
    <row r="285" spans="1:17" x14ac:dyDescent="0.2">
      <c r="A285" s="403"/>
      <c r="C285" s="541">
        <v>44926</v>
      </c>
      <c r="D285" s="542">
        <f t="shared" si="56"/>
        <v>7.7600000000000007</v>
      </c>
      <c r="E285" s="543">
        <v>0</v>
      </c>
      <c r="F285" s="544">
        <v>0</v>
      </c>
      <c r="G285" s="538">
        <f t="shared" si="53"/>
        <v>7.7600000000000007</v>
      </c>
      <c r="H285" s="545">
        <f t="shared" si="58"/>
        <v>5.8200000000000002E-2</v>
      </c>
      <c r="I285" s="542">
        <f t="shared" si="57"/>
        <v>0</v>
      </c>
      <c r="J285" s="543">
        <v>0</v>
      </c>
      <c r="K285" s="544">
        <v>0</v>
      </c>
      <c r="L285" s="538">
        <f t="shared" si="54"/>
        <v>0</v>
      </c>
      <c r="M285" s="545">
        <f t="shared" si="55"/>
        <v>0</v>
      </c>
      <c r="O285" s="144">
        <v>0</v>
      </c>
      <c r="P285" s="674"/>
    </row>
    <row r="286" spans="1:17" x14ac:dyDescent="0.2">
      <c r="A286" s="403"/>
      <c r="C286" s="541">
        <v>44957</v>
      </c>
      <c r="D286" s="542">
        <f t="shared" si="56"/>
        <v>7.7600000000000007</v>
      </c>
      <c r="E286" s="543">
        <v>0.24</v>
      </c>
      <c r="F286" s="544">
        <v>0</v>
      </c>
      <c r="G286" s="538">
        <f t="shared" si="53"/>
        <v>8</v>
      </c>
      <c r="H286" s="545">
        <f t="shared" si="58"/>
        <v>5.9100000000000007E-2</v>
      </c>
      <c r="I286" s="542">
        <f t="shared" si="57"/>
        <v>0</v>
      </c>
      <c r="J286" s="543">
        <v>1</v>
      </c>
      <c r="K286" s="544">
        <v>0</v>
      </c>
      <c r="L286" s="538">
        <f t="shared" si="54"/>
        <v>1</v>
      </c>
      <c r="M286" s="545">
        <f t="shared" si="55"/>
        <v>3.7499999999999999E-3</v>
      </c>
      <c r="O286" s="144">
        <v>0</v>
      </c>
      <c r="P286" s="674"/>
    </row>
    <row r="287" spans="1:17" x14ac:dyDescent="0.2">
      <c r="A287" s="403"/>
      <c r="C287" s="541">
        <v>44985</v>
      </c>
      <c r="D287" s="542">
        <f t="shared" si="56"/>
        <v>8</v>
      </c>
      <c r="E287" s="543">
        <v>0</v>
      </c>
      <c r="F287" s="544">
        <v>0</v>
      </c>
      <c r="G287" s="538">
        <f t="shared" si="53"/>
        <v>8</v>
      </c>
      <c r="H287" s="545">
        <f t="shared" si="58"/>
        <v>0.06</v>
      </c>
      <c r="I287" s="542">
        <f t="shared" si="57"/>
        <v>1</v>
      </c>
      <c r="J287" s="543">
        <v>1.5</v>
      </c>
      <c r="K287" s="544">
        <v>0</v>
      </c>
      <c r="L287" s="538">
        <f t="shared" si="54"/>
        <v>2.5</v>
      </c>
      <c r="M287" s="545">
        <f t="shared" si="55"/>
        <v>1.3125E-2</v>
      </c>
      <c r="O287" s="144">
        <v>0</v>
      </c>
      <c r="P287" s="674"/>
    </row>
    <row r="288" spans="1:17" x14ac:dyDescent="0.2">
      <c r="A288" s="403"/>
      <c r="C288" s="541">
        <v>45016</v>
      </c>
      <c r="D288" s="542">
        <f t="shared" si="56"/>
        <v>8</v>
      </c>
      <c r="E288" s="543">
        <v>0</v>
      </c>
      <c r="F288" s="544">
        <v>0</v>
      </c>
      <c r="G288" s="538">
        <f t="shared" si="53"/>
        <v>8</v>
      </c>
      <c r="H288" s="545">
        <f t="shared" si="58"/>
        <v>0.06</v>
      </c>
      <c r="I288" s="542">
        <f t="shared" si="57"/>
        <v>2.5</v>
      </c>
      <c r="J288" s="543">
        <v>1.5</v>
      </c>
      <c r="K288" s="544">
        <v>0</v>
      </c>
      <c r="L288" s="538">
        <f t="shared" si="54"/>
        <v>4</v>
      </c>
      <c r="M288" s="545">
        <f t="shared" si="55"/>
        <v>2.4375000000000001E-2</v>
      </c>
      <c r="O288" s="144">
        <v>0</v>
      </c>
      <c r="P288" s="674"/>
    </row>
    <row r="289" spans="1:15" x14ac:dyDescent="0.2">
      <c r="A289" s="403"/>
      <c r="C289" s="546"/>
      <c r="D289" s="547" t="s">
        <v>454</v>
      </c>
      <c r="E289" s="548">
        <f>SUM(E277:E288)</f>
        <v>8</v>
      </c>
      <c r="F289" s="548">
        <v>0</v>
      </c>
      <c r="G289" s="549"/>
      <c r="H289" s="550">
        <f>SUM(H277:H288)</f>
        <v>0.45247500000000002</v>
      </c>
      <c r="I289" s="547" t="s">
        <v>454</v>
      </c>
      <c r="J289" s="548">
        <v>4</v>
      </c>
      <c r="K289" s="548">
        <v>0</v>
      </c>
      <c r="L289" s="549"/>
      <c r="M289" s="550">
        <f>SUM(M277:M288)</f>
        <v>4.1250000000000002E-2</v>
      </c>
      <c r="O289" s="144">
        <v>0.9</v>
      </c>
    </row>
    <row r="290" spans="1:15" ht="12" customHeight="1" x14ac:dyDescent="0.2">
      <c r="A290" s="403"/>
      <c r="C290" s="197" t="s">
        <v>864</v>
      </c>
      <c r="D290" s="520" t="s">
        <v>518</v>
      </c>
      <c r="E290" s="521" t="s">
        <v>865</v>
      </c>
      <c r="F290" s="521" t="s">
        <v>866</v>
      </c>
      <c r="G290" s="520" t="s">
        <v>906</v>
      </c>
      <c r="H290" s="198" t="s">
        <v>867</v>
      </c>
      <c r="I290" s="520" t="s">
        <v>518</v>
      </c>
      <c r="J290" s="521" t="s">
        <v>865</v>
      </c>
      <c r="K290" s="521" t="s">
        <v>866</v>
      </c>
      <c r="L290" s="520" t="s">
        <v>906</v>
      </c>
      <c r="M290" s="198" t="s">
        <v>867</v>
      </c>
      <c r="O290" s="144"/>
    </row>
    <row r="291" spans="1:15" x14ac:dyDescent="0.2">
      <c r="A291" s="403"/>
      <c r="C291" s="186">
        <v>45046</v>
      </c>
      <c r="D291" s="189">
        <f>G288</f>
        <v>8</v>
      </c>
      <c r="E291" s="193">
        <v>0</v>
      </c>
      <c r="F291" s="189">
        <v>0</v>
      </c>
      <c r="G291" s="187">
        <f>D291+E291-F291</f>
        <v>8</v>
      </c>
      <c r="H291" s="681">
        <f>(D291-(F291/2))*(9%/12)</f>
        <v>0.06</v>
      </c>
      <c r="I291" s="189">
        <f>L288</f>
        <v>4</v>
      </c>
      <c r="J291" s="193">
        <v>0</v>
      </c>
      <c r="K291" s="189">
        <v>0</v>
      </c>
      <c r="L291" s="187">
        <f>I291+J291-K291</f>
        <v>4</v>
      </c>
      <c r="M291" s="681">
        <f>(I291-(K291/2))*(9%/12)</f>
        <v>0.03</v>
      </c>
      <c r="O291" s="673"/>
    </row>
    <row r="292" spans="1:15" x14ac:dyDescent="0.2">
      <c r="A292" s="403"/>
      <c r="C292" s="179">
        <v>45077</v>
      </c>
      <c r="D292" s="184">
        <f>G291</f>
        <v>8</v>
      </c>
      <c r="E292" s="180">
        <v>0</v>
      </c>
      <c r="F292" s="194"/>
      <c r="G292" s="187">
        <f t="shared" ref="G292:G302" si="59">D292+E292-F292</f>
        <v>8</v>
      </c>
      <c r="H292" s="681">
        <f t="shared" ref="H292:H302" si="60">(D292-(F292/2))*(9%/12)</f>
        <v>0.06</v>
      </c>
      <c r="I292" s="184">
        <f>L291</f>
        <v>4</v>
      </c>
      <c r="J292" s="180">
        <v>0</v>
      </c>
      <c r="K292" s="194"/>
      <c r="L292" s="187">
        <f t="shared" ref="L292:L302" si="61">I292+J292-K292</f>
        <v>4</v>
      </c>
      <c r="M292" s="681">
        <f t="shared" ref="M292:M302" si="62">(I292-(K292/2))*(9%/12)</f>
        <v>0.03</v>
      </c>
      <c r="O292" s="673"/>
    </row>
    <row r="293" spans="1:15" x14ac:dyDescent="0.2">
      <c r="A293" s="403"/>
      <c r="C293" s="179">
        <v>45107</v>
      </c>
      <c r="D293" s="184">
        <f t="shared" ref="D293:D302" si="63">G292</f>
        <v>8</v>
      </c>
      <c r="E293" s="180">
        <v>0</v>
      </c>
      <c r="F293" s="194"/>
      <c r="G293" s="187">
        <f t="shared" si="59"/>
        <v>8</v>
      </c>
      <c r="H293" s="681">
        <f t="shared" si="60"/>
        <v>0.06</v>
      </c>
      <c r="I293" s="184">
        <f t="shared" ref="I293:I302" si="64">L292</f>
        <v>4</v>
      </c>
      <c r="J293" s="180">
        <v>0</v>
      </c>
      <c r="K293" s="194"/>
      <c r="L293" s="187">
        <f t="shared" si="61"/>
        <v>4</v>
      </c>
      <c r="M293" s="681">
        <f t="shared" si="62"/>
        <v>0.03</v>
      </c>
      <c r="O293" s="673"/>
    </row>
    <row r="294" spans="1:15" x14ac:dyDescent="0.2">
      <c r="A294" s="403"/>
      <c r="C294" s="179">
        <v>45138</v>
      </c>
      <c r="D294" s="184">
        <f t="shared" si="63"/>
        <v>8</v>
      </c>
      <c r="E294" s="180">
        <v>0</v>
      </c>
      <c r="F294" s="194"/>
      <c r="G294" s="187">
        <f t="shared" si="59"/>
        <v>8</v>
      </c>
      <c r="H294" s="681">
        <f t="shared" si="60"/>
        <v>0.06</v>
      </c>
      <c r="I294" s="184">
        <f t="shared" si="64"/>
        <v>4</v>
      </c>
      <c r="J294" s="180">
        <v>0</v>
      </c>
      <c r="K294" s="194"/>
      <c r="L294" s="187">
        <f t="shared" si="61"/>
        <v>4</v>
      </c>
      <c r="M294" s="681">
        <f t="shared" si="62"/>
        <v>0.03</v>
      </c>
      <c r="O294" s="673"/>
    </row>
    <row r="295" spans="1:15" x14ac:dyDescent="0.2">
      <c r="A295" s="403"/>
      <c r="C295" s="179">
        <v>45169</v>
      </c>
      <c r="D295" s="184">
        <f t="shared" si="63"/>
        <v>8</v>
      </c>
      <c r="E295" s="180">
        <v>0</v>
      </c>
      <c r="F295" s="194"/>
      <c r="G295" s="187">
        <f t="shared" si="59"/>
        <v>8</v>
      </c>
      <c r="H295" s="681">
        <f t="shared" si="60"/>
        <v>0.06</v>
      </c>
      <c r="I295" s="184">
        <f t="shared" si="64"/>
        <v>4</v>
      </c>
      <c r="J295" s="180">
        <v>0</v>
      </c>
      <c r="K295" s="194"/>
      <c r="L295" s="187">
        <f t="shared" si="61"/>
        <v>4</v>
      </c>
      <c r="M295" s="681">
        <f t="shared" si="62"/>
        <v>0.03</v>
      </c>
      <c r="O295" s="673"/>
    </row>
    <row r="296" spans="1:15" x14ac:dyDescent="0.2">
      <c r="A296" s="403"/>
      <c r="C296" s="179">
        <v>45199</v>
      </c>
      <c r="D296" s="184">
        <f t="shared" si="63"/>
        <v>8</v>
      </c>
      <c r="E296" s="180">
        <v>0</v>
      </c>
      <c r="F296" s="194"/>
      <c r="G296" s="187">
        <f t="shared" si="59"/>
        <v>8</v>
      </c>
      <c r="H296" s="681">
        <f t="shared" si="60"/>
        <v>0.06</v>
      </c>
      <c r="I296" s="184">
        <f t="shared" si="64"/>
        <v>4</v>
      </c>
      <c r="J296" s="180">
        <v>0</v>
      </c>
      <c r="K296" s="194"/>
      <c r="L296" s="187">
        <f t="shared" si="61"/>
        <v>4</v>
      </c>
      <c r="M296" s="681">
        <f t="shared" si="62"/>
        <v>0.03</v>
      </c>
      <c r="O296" s="673"/>
    </row>
    <row r="297" spans="1:15" x14ac:dyDescent="0.2">
      <c r="A297" s="403"/>
      <c r="C297" s="179">
        <v>45230</v>
      </c>
      <c r="D297" s="184">
        <f t="shared" si="63"/>
        <v>8</v>
      </c>
      <c r="E297" s="180">
        <v>0</v>
      </c>
      <c r="F297" s="194">
        <v>0.04</v>
      </c>
      <c r="G297" s="187">
        <f t="shared" si="59"/>
        <v>7.96</v>
      </c>
      <c r="H297" s="681">
        <f t="shared" si="60"/>
        <v>5.985E-2</v>
      </c>
      <c r="I297" s="184">
        <f t="shared" si="64"/>
        <v>4</v>
      </c>
      <c r="J297" s="180">
        <v>0</v>
      </c>
      <c r="K297" s="194">
        <v>0.02</v>
      </c>
      <c r="L297" s="187">
        <f t="shared" si="61"/>
        <v>3.98</v>
      </c>
      <c r="M297" s="681">
        <f t="shared" si="62"/>
        <v>2.9925E-2</v>
      </c>
      <c r="O297" s="673"/>
    </row>
    <row r="298" spans="1:15" x14ac:dyDescent="0.2">
      <c r="A298" s="403"/>
      <c r="C298" s="179">
        <v>45260</v>
      </c>
      <c r="D298" s="184">
        <f t="shared" si="63"/>
        <v>7.96</v>
      </c>
      <c r="E298" s="180">
        <v>0</v>
      </c>
      <c r="F298" s="194">
        <v>0.04</v>
      </c>
      <c r="G298" s="187">
        <f t="shared" si="59"/>
        <v>7.92</v>
      </c>
      <c r="H298" s="681">
        <f t="shared" si="60"/>
        <v>5.9549999999999999E-2</v>
      </c>
      <c r="I298" s="184">
        <f t="shared" si="64"/>
        <v>3.98</v>
      </c>
      <c r="J298" s="180">
        <v>0</v>
      </c>
      <c r="K298" s="194">
        <v>0.02</v>
      </c>
      <c r="L298" s="187">
        <f t="shared" si="61"/>
        <v>3.96</v>
      </c>
      <c r="M298" s="681">
        <f t="shared" si="62"/>
        <v>2.9774999999999999E-2</v>
      </c>
      <c r="O298" s="673"/>
    </row>
    <row r="299" spans="1:15" x14ac:dyDescent="0.2">
      <c r="A299" s="403"/>
      <c r="C299" s="179">
        <v>45291</v>
      </c>
      <c r="D299" s="184">
        <f t="shared" si="63"/>
        <v>7.92</v>
      </c>
      <c r="E299" s="180">
        <v>0</v>
      </c>
      <c r="F299" s="194">
        <v>0.04</v>
      </c>
      <c r="G299" s="187">
        <f t="shared" si="59"/>
        <v>7.88</v>
      </c>
      <c r="H299" s="681">
        <f t="shared" si="60"/>
        <v>5.9249999999999997E-2</v>
      </c>
      <c r="I299" s="184">
        <f t="shared" si="64"/>
        <v>3.96</v>
      </c>
      <c r="J299" s="180">
        <v>0</v>
      </c>
      <c r="K299" s="194">
        <v>0.02</v>
      </c>
      <c r="L299" s="187">
        <f t="shared" si="61"/>
        <v>3.94</v>
      </c>
      <c r="M299" s="681">
        <f t="shared" si="62"/>
        <v>2.9624999999999999E-2</v>
      </c>
      <c r="O299" s="673"/>
    </row>
    <row r="300" spans="1:15" x14ac:dyDescent="0.2">
      <c r="A300" s="403"/>
      <c r="C300" s="179">
        <v>45322</v>
      </c>
      <c r="D300" s="184">
        <f t="shared" si="63"/>
        <v>7.88</v>
      </c>
      <c r="E300" s="180">
        <v>0</v>
      </c>
      <c r="F300" s="194">
        <v>0.04</v>
      </c>
      <c r="G300" s="187">
        <f t="shared" si="59"/>
        <v>7.84</v>
      </c>
      <c r="H300" s="681">
        <f t="shared" si="60"/>
        <v>5.8950000000000002E-2</v>
      </c>
      <c r="I300" s="184">
        <f t="shared" si="64"/>
        <v>3.94</v>
      </c>
      <c r="J300" s="180">
        <v>0</v>
      </c>
      <c r="K300" s="194">
        <v>0.02</v>
      </c>
      <c r="L300" s="187">
        <f t="shared" si="61"/>
        <v>3.92</v>
      </c>
      <c r="M300" s="681">
        <f t="shared" si="62"/>
        <v>2.9475000000000001E-2</v>
      </c>
      <c r="O300" s="673"/>
    </row>
    <row r="301" spans="1:15" x14ac:dyDescent="0.2">
      <c r="A301" s="403"/>
      <c r="C301" s="179">
        <v>45351</v>
      </c>
      <c r="D301" s="184">
        <f t="shared" si="63"/>
        <v>7.84</v>
      </c>
      <c r="E301" s="180">
        <v>0</v>
      </c>
      <c r="F301" s="194">
        <v>0.04</v>
      </c>
      <c r="G301" s="187">
        <f t="shared" si="59"/>
        <v>7.8</v>
      </c>
      <c r="H301" s="681">
        <f t="shared" si="60"/>
        <v>5.8650000000000001E-2</v>
      </c>
      <c r="I301" s="184">
        <f t="shared" si="64"/>
        <v>3.92</v>
      </c>
      <c r="J301" s="180">
        <v>0</v>
      </c>
      <c r="K301" s="194">
        <v>0.02</v>
      </c>
      <c r="L301" s="187">
        <f t="shared" si="61"/>
        <v>3.9</v>
      </c>
      <c r="M301" s="681">
        <f t="shared" si="62"/>
        <v>2.9325E-2</v>
      </c>
      <c r="O301" s="673"/>
    </row>
    <row r="302" spans="1:15" x14ac:dyDescent="0.2">
      <c r="A302" s="403"/>
      <c r="C302" s="179">
        <v>45382</v>
      </c>
      <c r="D302" s="184">
        <f t="shared" si="63"/>
        <v>7.8</v>
      </c>
      <c r="E302" s="180">
        <v>0</v>
      </c>
      <c r="F302" s="194">
        <v>0.04</v>
      </c>
      <c r="G302" s="187">
        <f t="shared" si="59"/>
        <v>7.76</v>
      </c>
      <c r="H302" s="681">
        <f t="shared" si="60"/>
        <v>5.8349999999999999E-2</v>
      </c>
      <c r="I302" s="184">
        <f t="shared" si="64"/>
        <v>3.9</v>
      </c>
      <c r="J302" s="180">
        <v>0</v>
      </c>
      <c r="K302" s="194">
        <v>0.02</v>
      </c>
      <c r="L302" s="187">
        <f t="shared" si="61"/>
        <v>3.88</v>
      </c>
      <c r="M302" s="681">
        <f t="shared" si="62"/>
        <v>2.9175E-2</v>
      </c>
      <c r="O302" s="673"/>
    </row>
    <row r="303" spans="1:15" x14ac:dyDescent="0.2">
      <c r="A303" s="404"/>
      <c r="B303" s="390"/>
      <c r="C303" s="177"/>
      <c r="D303" s="178" t="s">
        <v>454</v>
      </c>
      <c r="E303" s="191">
        <v>0</v>
      </c>
      <c r="F303" s="191">
        <f>SUM(F297:F302)</f>
        <v>0.24000000000000002</v>
      </c>
      <c r="G303" s="149"/>
      <c r="H303" s="192">
        <f>SUM(H291:H302)</f>
        <v>0.7145999999999999</v>
      </c>
      <c r="I303" s="178" t="s">
        <v>454</v>
      </c>
      <c r="J303" s="191">
        <v>0</v>
      </c>
      <c r="K303" s="191">
        <f>SUM(K297:K302)</f>
        <v>0.12000000000000001</v>
      </c>
      <c r="L303" s="149"/>
      <c r="M303" s="192">
        <f>SUM(M291:M302)</f>
        <v>0.35729999999999995</v>
      </c>
    </row>
    <row r="304" spans="1:15" x14ac:dyDescent="0.2">
      <c r="A304" s="324"/>
      <c r="B304" s="406"/>
      <c r="C304" s="407"/>
      <c r="D304" s="385"/>
      <c r="E304" s="201"/>
      <c r="F304" s="386"/>
      <c r="G304" s="201"/>
      <c r="H304" s="386"/>
      <c r="I304" s="201"/>
      <c r="J304" s="201"/>
      <c r="K304" s="201"/>
      <c r="L304" s="386"/>
      <c r="M304" s="573"/>
    </row>
    <row r="305" spans="1:13" x14ac:dyDescent="0.2">
      <c r="A305" s="404"/>
      <c r="B305" s="390"/>
      <c r="C305" s="411"/>
      <c r="D305" s="412"/>
      <c r="E305" s="245"/>
      <c r="F305" s="405"/>
      <c r="G305" s="245"/>
      <c r="H305" s="405"/>
      <c r="I305" s="245"/>
      <c r="J305" s="245"/>
      <c r="K305" s="245"/>
      <c r="L305" s="405"/>
      <c r="M305" s="574"/>
    </row>
    <row r="306" spans="1:13" x14ac:dyDescent="0.2">
      <c r="A306" s="736" t="s">
        <v>843</v>
      </c>
      <c r="B306" s="737"/>
      <c r="C306" s="737"/>
      <c r="D306" s="737"/>
      <c r="E306" s="737"/>
      <c r="F306" s="737"/>
      <c r="G306" s="737"/>
      <c r="H306" s="737"/>
      <c r="I306" s="737"/>
      <c r="J306" s="737"/>
      <c r="K306" s="737"/>
      <c r="L306" s="737"/>
      <c r="M306" s="738"/>
    </row>
    <row r="307" spans="1:13" x14ac:dyDescent="0.2">
      <c r="A307" s="743" t="s">
        <v>845</v>
      </c>
      <c r="B307" s="744"/>
      <c r="C307" s="744"/>
      <c r="D307" s="744"/>
      <c r="E307" s="744"/>
      <c r="F307" s="744"/>
      <c r="G307" s="744"/>
      <c r="H307" s="744"/>
      <c r="I307" s="744"/>
      <c r="J307" s="744"/>
      <c r="K307" s="744"/>
      <c r="L307" s="744"/>
      <c r="M307" s="745"/>
    </row>
    <row r="308" spans="1:13" x14ac:dyDescent="0.2">
      <c r="A308" s="743" t="s">
        <v>844</v>
      </c>
      <c r="B308" s="744"/>
      <c r="C308" s="744"/>
      <c r="D308" s="744"/>
      <c r="E308" s="744"/>
      <c r="F308" s="744"/>
      <c r="G308" s="744"/>
      <c r="H308" s="744"/>
      <c r="I308" s="744"/>
      <c r="J308" s="744"/>
      <c r="K308" s="744"/>
      <c r="L308" s="744"/>
      <c r="M308" s="745"/>
    </row>
    <row r="309" spans="1:13" x14ac:dyDescent="0.2">
      <c r="A309" s="743" t="s">
        <v>1139</v>
      </c>
      <c r="B309" s="744"/>
      <c r="C309" s="744"/>
      <c r="D309" s="744"/>
      <c r="E309" s="744"/>
      <c r="F309" s="744"/>
      <c r="G309" s="744"/>
      <c r="H309" s="744"/>
      <c r="I309" s="744"/>
      <c r="J309" s="744"/>
      <c r="K309" s="744"/>
      <c r="L309" s="744"/>
      <c r="M309" s="745"/>
    </row>
    <row r="310" spans="1:13" x14ac:dyDescent="0.2">
      <c r="A310" s="403"/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  <c r="M310" s="551"/>
    </row>
    <row r="311" spans="1:13" ht="12" customHeight="1" x14ac:dyDescent="0.2">
      <c r="A311" s="403"/>
      <c r="C311" s="197" t="s">
        <v>864</v>
      </c>
      <c r="D311" s="520" t="s">
        <v>518</v>
      </c>
      <c r="E311" s="521" t="s">
        <v>865</v>
      </c>
      <c r="F311" s="521" t="s">
        <v>866</v>
      </c>
      <c r="G311" s="520" t="s">
        <v>906</v>
      </c>
      <c r="H311" s="198" t="s">
        <v>867</v>
      </c>
      <c r="I311" s="520" t="s">
        <v>518</v>
      </c>
      <c r="J311" s="521" t="s">
        <v>865</v>
      </c>
      <c r="K311" s="521" t="s">
        <v>866</v>
      </c>
      <c r="L311" s="520" t="s">
        <v>906</v>
      </c>
      <c r="M311" s="198" t="s">
        <v>867</v>
      </c>
    </row>
    <row r="312" spans="1:13" x14ac:dyDescent="0.2">
      <c r="A312" s="403"/>
      <c r="C312" s="179">
        <v>45412</v>
      </c>
      <c r="D312" s="184">
        <f>G302</f>
        <v>7.76</v>
      </c>
      <c r="E312" s="180"/>
      <c r="F312" s="194">
        <v>0.04</v>
      </c>
      <c r="G312" s="182">
        <f>D312+E312-F312</f>
        <v>7.72</v>
      </c>
      <c r="H312" s="185">
        <f>(D312-(F312/2))*(9%/12)</f>
        <v>5.8049999999999997E-2</v>
      </c>
      <c r="I312" s="184">
        <f>L302</f>
        <v>3.88</v>
      </c>
      <c r="J312" s="180"/>
      <c r="K312" s="194">
        <v>0.02</v>
      </c>
      <c r="L312" s="182">
        <f>I312+J312-K312</f>
        <v>3.86</v>
      </c>
      <c r="M312" s="185">
        <f>(I312-(K312/2))*(9%/12)</f>
        <v>2.9024999999999999E-2</v>
      </c>
    </row>
    <row r="313" spans="1:13" x14ac:dyDescent="0.2">
      <c r="A313" s="403"/>
      <c r="C313" s="179">
        <v>45443</v>
      </c>
      <c r="D313" s="184">
        <f>G312</f>
        <v>7.72</v>
      </c>
      <c r="E313" s="180"/>
      <c r="F313" s="194">
        <v>0.04</v>
      </c>
      <c r="G313" s="182">
        <f t="shared" ref="G313:G323" si="65">D313+E313-F313</f>
        <v>7.68</v>
      </c>
      <c r="H313" s="185">
        <f t="shared" ref="H313:H323" si="66">(D313-(F313/2))*(9%/12)</f>
        <v>5.7749999999999996E-2</v>
      </c>
      <c r="I313" s="184">
        <f>L312</f>
        <v>3.86</v>
      </c>
      <c r="J313" s="180"/>
      <c r="K313" s="194">
        <v>0.02</v>
      </c>
      <c r="L313" s="182">
        <f t="shared" ref="L313:L323" si="67">I313+J313-K313</f>
        <v>3.84</v>
      </c>
      <c r="M313" s="185">
        <f t="shared" ref="M313:M323" si="68">(I313-(K313/2))*(9%/12)</f>
        <v>2.8874999999999998E-2</v>
      </c>
    </row>
    <row r="314" spans="1:13" x14ac:dyDescent="0.2">
      <c r="A314" s="403"/>
      <c r="C314" s="179">
        <v>45473</v>
      </c>
      <c r="D314" s="184">
        <f t="shared" ref="D314:D323" si="69">G313</f>
        <v>7.68</v>
      </c>
      <c r="E314" s="180"/>
      <c r="F314" s="194">
        <v>0.04</v>
      </c>
      <c r="G314" s="182">
        <f t="shared" si="65"/>
        <v>7.64</v>
      </c>
      <c r="H314" s="185">
        <f t="shared" si="66"/>
        <v>5.7450000000000001E-2</v>
      </c>
      <c r="I314" s="184">
        <f t="shared" ref="I314:I323" si="70">L313</f>
        <v>3.84</v>
      </c>
      <c r="J314" s="180"/>
      <c r="K314" s="194">
        <v>0.02</v>
      </c>
      <c r="L314" s="182">
        <f t="shared" si="67"/>
        <v>3.82</v>
      </c>
      <c r="M314" s="185">
        <f t="shared" si="68"/>
        <v>2.8725000000000001E-2</v>
      </c>
    </row>
    <row r="315" spans="1:13" x14ac:dyDescent="0.2">
      <c r="A315" s="403"/>
      <c r="C315" s="179">
        <v>45504</v>
      </c>
      <c r="D315" s="184">
        <f t="shared" si="69"/>
        <v>7.64</v>
      </c>
      <c r="E315" s="180"/>
      <c r="F315" s="194">
        <v>0.04</v>
      </c>
      <c r="G315" s="182">
        <f t="shared" si="65"/>
        <v>7.6</v>
      </c>
      <c r="H315" s="185">
        <f t="shared" si="66"/>
        <v>5.7149999999999999E-2</v>
      </c>
      <c r="I315" s="184">
        <f t="shared" si="70"/>
        <v>3.82</v>
      </c>
      <c r="J315" s="180"/>
      <c r="K315" s="194">
        <v>0.02</v>
      </c>
      <c r="L315" s="182">
        <f t="shared" si="67"/>
        <v>3.8</v>
      </c>
      <c r="M315" s="185">
        <f t="shared" si="68"/>
        <v>2.8575E-2</v>
      </c>
    </row>
    <row r="316" spans="1:13" x14ac:dyDescent="0.2">
      <c r="A316" s="403"/>
      <c r="C316" s="179">
        <v>45535</v>
      </c>
      <c r="D316" s="184">
        <f t="shared" si="69"/>
        <v>7.6</v>
      </c>
      <c r="E316" s="180"/>
      <c r="F316" s="194">
        <v>0.04</v>
      </c>
      <c r="G316" s="182">
        <f t="shared" si="65"/>
        <v>7.56</v>
      </c>
      <c r="H316" s="185">
        <f t="shared" si="66"/>
        <v>5.6849999999999998E-2</v>
      </c>
      <c r="I316" s="184">
        <f t="shared" si="70"/>
        <v>3.8</v>
      </c>
      <c r="J316" s="180"/>
      <c r="K316" s="194">
        <v>0.02</v>
      </c>
      <c r="L316" s="182">
        <f t="shared" si="67"/>
        <v>3.78</v>
      </c>
      <c r="M316" s="185">
        <f t="shared" si="68"/>
        <v>2.8424999999999999E-2</v>
      </c>
    </row>
    <row r="317" spans="1:13" x14ac:dyDescent="0.2">
      <c r="A317" s="403"/>
      <c r="C317" s="179">
        <v>45565</v>
      </c>
      <c r="D317" s="184">
        <f t="shared" si="69"/>
        <v>7.56</v>
      </c>
      <c r="E317" s="180"/>
      <c r="F317" s="194">
        <v>0.04</v>
      </c>
      <c r="G317" s="182">
        <f t="shared" si="65"/>
        <v>7.52</v>
      </c>
      <c r="H317" s="185">
        <f t="shared" si="66"/>
        <v>5.6549999999999996E-2</v>
      </c>
      <c r="I317" s="184">
        <f t="shared" si="70"/>
        <v>3.78</v>
      </c>
      <c r="J317" s="180"/>
      <c r="K317" s="194">
        <v>0.02</v>
      </c>
      <c r="L317" s="182">
        <f t="shared" si="67"/>
        <v>3.76</v>
      </c>
      <c r="M317" s="185">
        <f t="shared" si="68"/>
        <v>2.8274999999999998E-2</v>
      </c>
    </row>
    <row r="318" spans="1:13" x14ac:dyDescent="0.2">
      <c r="A318" s="403"/>
      <c r="C318" s="179">
        <v>45596</v>
      </c>
      <c r="D318" s="184">
        <f t="shared" si="69"/>
        <v>7.52</v>
      </c>
      <c r="E318" s="180"/>
      <c r="F318" s="194">
        <v>0.04</v>
      </c>
      <c r="G318" s="182">
        <f t="shared" si="65"/>
        <v>7.4799999999999995</v>
      </c>
      <c r="H318" s="185">
        <f t="shared" si="66"/>
        <v>5.6249999999999994E-2</v>
      </c>
      <c r="I318" s="184">
        <f t="shared" si="70"/>
        <v>3.76</v>
      </c>
      <c r="J318" s="180"/>
      <c r="K318" s="194">
        <v>0.02</v>
      </c>
      <c r="L318" s="182">
        <f t="shared" si="67"/>
        <v>3.7399999999999998</v>
      </c>
      <c r="M318" s="185">
        <f t="shared" si="68"/>
        <v>2.8124999999999997E-2</v>
      </c>
    </row>
    <row r="319" spans="1:13" x14ac:dyDescent="0.2">
      <c r="A319" s="403"/>
      <c r="C319" s="179">
        <v>45626</v>
      </c>
      <c r="D319" s="184">
        <f t="shared" si="69"/>
        <v>7.4799999999999995</v>
      </c>
      <c r="E319" s="180"/>
      <c r="F319" s="194">
        <v>0.04</v>
      </c>
      <c r="G319" s="182">
        <f t="shared" si="65"/>
        <v>7.4399999999999995</v>
      </c>
      <c r="H319" s="185">
        <f t="shared" si="66"/>
        <v>5.595E-2</v>
      </c>
      <c r="I319" s="184">
        <f t="shared" si="70"/>
        <v>3.7399999999999998</v>
      </c>
      <c r="J319" s="180"/>
      <c r="K319" s="194">
        <v>0.02</v>
      </c>
      <c r="L319" s="182">
        <f t="shared" si="67"/>
        <v>3.7199999999999998</v>
      </c>
      <c r="M319" s="185">
        <f t="shared" si="68"/>
        <v>2.7975E-2</v>
      </c>
    </row>
    <row r="320" spans="1:13" x14ac:dyDescent="0.2">
      <c r="A320" s="403"/>
      <c r="C320" s="179">
        <v>45657</v>
      </c>
      <c r="D320" s="184">
        <f t="shared" si="69"/>
        <v>7.4399999999999995</v>
      </c>
      <c r="E320" s="180"/>
      <c r="F320" s="194">
        <v>0.04</v>
      </c>
      <c r="G320" s="182">
        <f t="shared" si="65"/>
        <v>7.3999999999999995</v>
      </c>
      <c r="H320" s="185">
        <f t="shared" si="66"/>
        <v>5.5649999999999998E-2</v>
      </c>
      <c r="I320" s="184">
        <f t="shared" si="70"/>
        <v>3.7199999999999998</v>
      </c>
      <c r="J320" s="180"/>
      <c r="K320" s="194">
        <v>0.02</v>
      </c>
      <c r="L320" s="182">
        <f t="shared" si="67"/>
        <v>3.6999999999999997</v>
      </c>
      <c r="M320" s="185">
        <f t="shared" si="68"/>
        <v>2.7824999999999999E-2</v>
      </c>
    </row>
    <row r="321" spans="1:13" x14ac:dyDescent="0.2">
      <c r="A321" s="403"/>
      <c r="C321" s="179">
        <v>45688</v>
      </c>
      <c r="D321" s="184">
        <f t="shared" si="69"/>
        <v>7.3999999999999995</v>
      </c>
      <c r="E321" s="180"/>
      <c r="F321" s="194">
        <v>0.04</v>
      </c>
      <c r="G321" s="182">
        <f t="shared" si="65"/>
        <v>7.3599999999999994</v>
      </c>
      <c r="H321" s="185">
        <f t="shared" si="66"/>
        <v>5.5349999999999996E-2</v>
      </c>
      <c r="I321" s="184">
        <f t="shared" si="70"/>
        <v>3.6999999999999997</v>
      </c>
      <c r="J321" s="180"/>
      <c r="K321" s="194">
        <v>0.02</v>
      </c>
      <c r="L321" s="182">
        <f t="shared" si="67"/>
        <v>3.6799999999999997</v>
      </c>
      <c r="M321" s="185">
        <f t="shared" si="68"/>
        <v>2.7674999999999998E-2</v>
      </c>
    </row>
    <row r="322" spans="1:13" x14ac:dyDescent="0.2">
      <c r="A322" s="403"/>
      <c r="C322" s="179">
        <v>45716</v>
      </c>
      <c r="D322" s="184">
        <f t="shared" si="69"/>
        <v>7.3599999999999994</v>
      </c>
      <c r="E322" s="180"/>
      <c r="F322" s="194">
        <v>0.04</v>
      </c>
      <c r="G322" s="182">
        <f t="shared" si="65"/>
        <v>7.3199999999999994</v>
      </c>
      <c r="H322" s="185">
        <f t="shared" si="66"/>
        <v>5.5049999999999995E-2</v>
      </c>
      <c r="I322" s="184">
        <f t="shared" si="70"/>
        <v>3.6799999999999997</v>
      </c>
      <c r="J322" s="180"/>
      <c r="K322" s="194">
        <v>0.02</v>
      </c>
      <c r="L322" s="182">
        <f t="shared" si="67"/>
        <v>3.6599999999999997</v>
      </c>
      <c r="M322" s="185">
        <f t="shared" si="68"/>
        <v>2.7524999999999997E-2</v>
      </c>
    </row>
    <row r="323" spans="1:13" x14ac:dyDescent="0.2">
      <c r="A323" s="403"/>
      <c r="C323" s="179">
        <v>45747</v>
      </c>
      <c r="D323" s="184">
        <f t="shared" si="69"/>
        <v>7.3199999999999994</v>
      </c>
      <c r="E323" s="180"/>
      <c r="F323" s="194">
        <v>0.04</v>
      </c>
      <c r="G323" s="182">
        <f t="shared" si="65"/>
        <v>7.2799999999999994</v>
      </c>
      <c r="H323" s="185">
        <f t="shared" si="66"/>
        <v>5.475E-2</v>
      </c>
      <c r="I323" s="184">
        <f t="shared" si="70"/>
        <v>3.6599999999999997</v>
      </c>
      <c r="J323" s="180"/>
      <c r="K323" s="194">
        <v>0.02</v>
      </c>
      <c r="L323" s="182">
        <f t="shared" si="67"/>
        <v>3.6399999999999997</v>
      </c>
      <c r="M323" s="185">
        <f t="shared" si="68"/>
        <v>2.7375E-2</v>
      </c>
    </row>
    <row r="324" spans="1:13" x14ac:dyDescent="0.2">
      <c r="A324" s="403"/>
      <c r="C324" s="167"/>
      <c r="D324" s="231" t="s">
        <v>454</v>
      </c>
      <c r="E324" s="174">
        <v>0</v>
      </c>
      <c r="F324" s="174">
        <f>SUM(F312:F323)</f>
        <v>0.47999999999999993</v>
      </c>
      <c r="G324" s="169"/>
      <c r="H324" s="162">
        <f>SUM(H312:H323)</f>
        <v>0.67680000000000007</v>
      </c>
      <c r="I324" s="231" t="s">
        <v>454</v>
      </c>
      <c r="J324" s="174">
        <v>0</v>
      </c>
      <c r="K324" s="174">
        <f>SUM(K312:K323)</f>
        <v>0.23999999999999996</v>
      </c>
      <c r="L324" s="169"/>
      <c r="M324" s="162">
        <f>SUM(M312:M323)</f>
        <v>0.33840000000000003</v>
      </c>
    </row>
    <row r="325" spans="1:13" ht="12" customHeight="1" x14ac:dyDescent="0.2">
      <c r="A325" s="403"/>
      <c r="C325" s="197" t="s">
        <v>864</v>
      </c>
      <c r="D325" s="520" t="s">
        <v>518</v>
      </c>
      <c r="E325" s="521" t="s">
        <v>865</v>
      </c>
      <c r="F325" s="521" t="s">
        <v>866</v>
      </c>
      <c r="G325" s="520" t="s">
        <v>906</v>
      </c>
      <c r="H325" s="198" t="s">
        <v>867</v>
      </c>
      <c r="I325" s="520" t="s">
        <v>518</v>
      </c>
      <c r="J325" s="521" t="s">
        <v>865</v>
      </c>
      <c r="K325" s="521" t="s">
        <v>866</v>
      </c>
      <c r="L325" s="520" t="s">
        <v>906</v>
      </c>
      <c r="M325" s="198" t="s">
        <v>867</v>
      </c>
    </row>
    <row r="326" spans="1:13" x14ac:dyDescent="0.2">
      <c r="A326" s="403"/>
      <c r="C326" s="186">
        <v>45777</v>
      </c>
      <c r="D326" s="189">
        <f>G323</f>
        <v>7.2799999999999994</v>
      </c>
      <c r="E326" s="193"/>
      <c r="F326" s="189">
        <v>0.06</v>
      </c>
      <c r="G326" s="187">
        <f>D326+E326-F326</f>
        <v>7.22</v>
      </c>
      <c r="H326" s="185">
        <f>(D326-(F326/2))*(9%/12)</f>
        <v>5.4374999999999993E-2</v>
      </c>
      <c r="I326" s="189">
        <f>L323</f>
        <v>3.6399999999999997</v>
      </c>
      <c r="J326" s="193"/>
      <c r="K326" s="189">
        <v>0.03</v>
      </c>
      <c r="L326" s="187">
        <f>I326+J326-K326</f>
        <v>3.61</v>
      </c>
      <c r="M326" s="185">
        <f>(I326-(K326/2))*(9%/12)</f>
        <v>2.7187499999999996E-2</v>
      </c>
    </row>
    <row r="327" spans="1:13" x14ac:dyDescent="0.2">
      <c r="A327" s="403"/>
      <c r="C327" s="179">
        <v>45808</v>
      </c>
      <c r="D327" s="184">
        <f>G326</f>
        <v>7.22</v>
      </c>
      <c r="E327" s="180"/>
      <c r="F327" s="184">
        <v>0.06</v>
      </c>
      <c r="G327" s="187">
        <f t="shared" ref="G327:G337" si="71">D327+E327-F327</f>
        <v>7.16</v>
      </c>
      <c r="H327" s="185">
        <f t="shared" ref="H327:H337" si="72">(D327-(F327/2))*(9%/12)</f>
        <v>5.3924999999999994E-2</v>
      </c>
      <c r="I327" s="184">
        <f>L326</f>
        <v>3.61</v>
      </c>
      <c r="J327" s="180"/>
      <c r="K327" s="184">
        <v>0.03</v>
      </c>
      <c r="L327" s="187">
        <f t="shared" ref="L327:L337" si="73">I327+J327-K327</f>
        <v>3.58</v>
      </c>
      <c r="M327" s="185">
        <f t="shared" ref="M327:M337" si="74">(I327-(K327/2))*(9%/12)</f>
        <v>2.6962499999999997E-2</v>
      </c>
    </row>
    <row r="328" spans="1:13" x14ac:dyDescent="0.2">
      <c r="A328" s="403"/>
      <c r="C328" s="179">
        <v>45838</v>
      </c>
      <c r="D328" s="184">
        <f t="shared" ref="D328:D337" si="75">G327</f>
        <v>7.16</v>
      </c>
      <c r="E328" s="180"/>
      <c r="F328" s="184">
        <v>0.06</v>
      </c>
      <c r="G328" s="187">
        <f t="shared" si="71"/>
        <v>7.1000000000000005</v>
      </c>
      <c r="H328" s="185">
        <f t="shared" si="72"/>
        <v>5.3474999999999995E-2</v>
      </c>
      <c r="I328" s="184">
        <f t="shared" ref="I328:I337" si="76">L327</f>
        <v>3.58</v>
      </c>
      <c r="J328" s="180"/>
      <c r="K328" s="184">
        <v>0.03</v>
      </c>
      <c r="L328" s="187">
        <f t="shared" si="73"/>
        <v>3.5500000000000003</v>
      </c>
      <c r="M328" s="185">
        <f t="shared" si="74"/>
        <v>2.6737499999999997E-2</v>
      </c>
    </row>
    <row r="329" spans="1:13" x14ac:dyDescent="0.2">
      <c r="A329" s="403"/>
      <c r="C329" s="179">
        <v>45869</v>
      </c>
      <c r="D329" s="184">
        <f t="shared" si="75"/>
        <v>7.1000000000000005</v>
      </c>
      <c r="E329" s="180"/>
      <c r="F329" s="184">
        <v>0.06</v>
      </c>
      <c r="G329" s="187">
        <f t="shared" si="71"/>
        <v>7.0400000000000009</v>
      </c>
      <c r="H329" s="185">
        <f t="shared" si="72"/>
        <v>5.3025000000000003E-2</v>
      </c>
      <c r="I329" s="184">
        <f t="shared" si="76"/>
        <v>3.5500000000000003</v>
      </c>
      <c r="J329" s="180"/>
      <c r="K329" s="184">
        <v>0.03</v>
      </c>
      <c r="L329" s="187">
        <f t="shared" si="73"/>
        <v>3.5200000000000005</v>
      </c>
      <c r="M329" s="185">
        <f t="shared" si="74"/>
        <v>2.6512500000000001E-2</v>
      </c>
    </row>
    <row r="330" spans="1:13" x14ac:dyDescent="0.2">
      <c r="A330" s="403"/>
      <c r="C330" s="179">
        <v>45900</v>
      </c>
      <c r="D330" s="184">
        <f t="shared" si="75"/>
        <v>7.0400000000000009</v>
      </c>
      <c r="E330" s="180"/>
      <c r="F330" s="184">
        <v>0.06</v>
      </c>
      <c r="G330" s="187">
        <f t="shared" si="71"/>
        <v>6.9800000000000013</v>
      </c>
      <c r="H330" s="185">
        <f t="shared" si="72"/>
        <v>5.2575000000000004E-2</v>
      </c>
      <c r="I330" s="184">
        <f t="shared" si="76"/>
        <v>3.5200000000000005</v>
      </c>
      <c r="J330" s="180"/>
      <c r="K330" s="184">
        <v>0.03</v>
      </c>
      <c r="L330" s="187">
        <f t="shared" si="73"/>
        <v>3.4900000000000007</v>
      </c>
      <c r="M330" s="185">
        <f t="shared" si="74"/>
        <v>2.6287500000000002E-2</v>
      </c>
    </row>
    <row r="331" spans="1:13" x14ac:dyDescent="0.2">
      <c r="A331" s="403"/>
      <c r="C331" s="179">
        <v>45930</v>
      </c>
      <c r="D331" s="184">
        <f t="shared" si="75"/>
        <v>6.9800000000000013</v>
      </c>
      <c r="E331" s="180"/>
      <c r="F331" s="184">
        <v>0.06</v>
      </c>
      <c r="G331" s="187">
        <f t="shared" si="71"/>
        <v>6.9200000000000017</v>
      </c>
      <c r="H331" s="185">
        <f t="shared" si="72"/>
        <v>5.2125000000000005E-2</v>
      </c>
      <c r="I331" s="184">
        <f t="shared" si="76"/>
        <v>3.4900000000000007</v>
      </c>
      <c r="J331" s="180"/>
      <c r="K331" s="184">
        <v>0.03</v>
      </c>
      <c r="L331" s="187">
        <f t="shared" si="73"/>
        <v>3.4600000000000009</v>
      </c>
      <c r="M331" s="185">
        <f t="shared" si="74"/>
        <v>2.6062500000000002E-2</v>
      </c>
    </row>
    <row r="332" spans="1:13" x14ac:dyDescent="0.2">
      <c r="A332" s="403"/>
      <c r="C332" s="179">
        <v>45961</v>
      </c>
      <c r="D332" s="184">
        <f t="shared" si="75"/>
        <v>6.9200000000000017</v>
      </c>
      <c r="E332" s="180"/>
      <c r="F332" s="184">
        <v>0.06</v>
      </c>
      <c r="G332" s="187">
        <f t="shared" si="71"/>
        <v>6.8600000000000021</v>
      </c>
      <c r="H332" s="185">
        <f t="shared" si="72"/>
        <v>5.1675000000000006E-2</v>
      </c>
      <c r="I332" s="184">
        <f t="shared" si="76"/>
        <v>3.4600000000000009</v>
      </c>
      <c r="J332" s="180"/>
      <c r="K332" s="184">
        <v>0.03</v>
      </c>
      <c r="L332" s="187">
        <f t="shared" si="73"/>
        <v>3.430000000000001</v>
      </c>
      <c r="M332" s="185">
        <f t="shared" si="74"/>
        <v>2.5837500000000003E-2</v>
      </c>
    </row>
    <row r="333" spans="1:13" x14ac:dyDescent="0.2">
      <c r="A333" s="403"/>
      <c r="C333" s="179">
        <v>45991</v>
      </c>
      <c r="D333" s="184">
        <f t="shared" si="75"/>
        <v>6.8600000000000021</v>
      </c>
      <c r="E333" s="180"/>
      <c r="F333" s="184">
        <v>0.06</v>
      </c>
      <c r="G333" s="187">
        <f t="shared" si="71"/>
        <v>6.8000000000000025</v>
      </c>
      <c r="H333" s="185">
        <f t="shared" si="72"/>
        <v>5.1225000000000014E-2</v>
      </c>
      <c r="I333" s="184">
        <f t="shared" si="76"/>
        <v>3.430000000000001</v>
      </c>
      <c r="J333" s="180"/>
      <c r="K333" s="184">
        <v>0.03</v>
      </c>
      <c r="L333" s="187">
        <f t="shared" si="73"/>
        <v>3.4000000000000012</v>
      </c>
      <c r="M333" s="185">
        <f t="shared" si="74"/>
        <v>2.5612500000000007E-2</v>
      </c>
    </row>
    <row r="334" spans="1:13" x14ac:dyDescent="0.2">
      <c r="A334" s="403"/>
      <c r="C334" s="179">
        <v>46022</v>
      </c>
      <c r="D334" s="184">
        <f t="shared" si="75"/>
        <v>6.8000000000000025</v>
      </c>
      <c r="E334" s="180"/>
      <c r="F334" s="184">
        <v>0.06</v>
      </c>
      <c r="G334" s="187">
        <f t="shared" si="71"/>
        <v>6.7400000000000029</v>
      </c>
      <c r="H334" s="185">
        <f t="shared" si="72"/>
        <v>5.0775000000000015E-2</v>
      </c>
      <c r="I334" s="184">
        <f t="shared" si="76"/>
        <v>3.4000000000000012</v>
      </c>
      <c r="J334" s="180"/>
      <c r="K334" s="184">
        <v>0.03</v>
      </c>
      <c r="L334" s="187">
        <f t="shared" si="73"/>
        <v>3.3700000000000014</v>
      </c>
      <c r="M334" s="185">
        <f t="shared" si="74"/>
        <v>2.5387500000000007E-2</v>
      </c>
    </row>
    <row r="335" spans="1:13" x14ac:dyDescent="0.2">
      <c r="A335" s="403"/>
      <c r="C335" s="179">
        <v>46053</v>
      </c>
      <c r="D335" s="184">
        <f t="shared" si="75"/>
        <v>6.7400000000000029</v>
      </c>
      <c r="E335" s="180"/>
      <c r="F335" s="184">
        <v>0.06</v>
      </c>
      <c r="G335" s="187">
        <f t="shared" si="71"/>
        <v>6.6800000000000033</v>
      </c>
      <c r="H335" s="185">
        <f t="shared" si="72"/>
        <v>5.0325000000000016E-2</v>
      </c>
      <c r="I335" s="184">
        <f t="shared" si="76"/>
        <v>3.3700000000000014</v>
      </c>
      <c r="J335" s="180"/>
      <c r="K335" s="184">
        <v>0.03</v>
      </c>
      <c r="L335" s="187">
        <f t="shared" si="73"/>
        <v>3.3400000000000016</v>
      </c>
      <c r="M335" s="185">
        <f t="shared" si="74"/>
        <v>2.5162500000000008E-2</v>
      </c>
    </row>
    <row r="336" spans="1:13" x14ac:dyDescent="0.2">
      <c r="A336" s="403"/>
      <c r="C336" s="179">
        <v>46081</v>
      </c>
      <c r="D336" s="184">
        <f t="shared" si="75"/>
        <v>6.6800000000000033</v>
      </c>
      <c r="E336" s="180"/>
      <c r="F336" s="184">
        <v>0.06</v>
      </c>
      <c r="G336" s="187">
        <f t="shared" si="71"/>
        <v>6.6200000000000037</v>
      </c>
      <c r="H336" s="185">
        <f t="shared" si="72"/>
        <v>4.9875000000000023E-2</v>
      </c>
      <c r="I336" s="184">
        <f t="shared" si="76"/>
        <v>3.3400000000000016</v>
      </c>
      <c r="J336" s="180"/>
      <c r="K336" s="184">
        <v>0.03</v>
      </c>
      <c r="L336" s="187">
        <f t="shared" si="73"/>
        <v>3.3100000000000018</v>
      </c>
      <c r="M336" s="185">
        <f t="shared" si="74"/>
        <v>2.4937500000000012E-2</v>
      </c>
    </row>
    <row r="337" spans="1:13" x14ac:dyDescent="0.2">
      <c r="A337" s="403"/>
      <c r="C337" s="179">
        <v>46112</v>
      </c>
      <c r="D337" s="184">
        <f t="shared" si="75"/>
        <v>6.6200000000000037</v>
      </c>
      <c r="E337" s="180"/>
      <c r="F337" s="184">
        <v>0.06</v>
      </c>
      <c r="G337" s="187">
        <f t="shared" si="71"/>
        <v>6.5600000000000041</v>
      </c>
      <c r="H337" s="185">
        <f t="shared" si="72"/>
        <v>4.9425000000000024E-2</v>
      </c>
      <c r="I337" s="184">
        <f t="shared" si="76"/>
        <v>3.3100000000000018</v>
      </c>
      <c r="J337" s="180"/>
      <c r="K337" s="184">
        <v>0.03</v>
      </c>
      <c r="L337" s="187">
        <f t="shared" si="73"/>
        <v>3.280000000000002</v>
      </c>
      <c r="M337" s="185">
        <f t="shared" si="74"/>
        <v>2.4712500000000012E-2</v>
      </c>
    </row>
    <row r="338" spans="1:13" x14ac:dyDescent="0.2">
      <c r="A338" s="403"/>
      <c r="C338" s="167"/>
      <c r="D338" s="231" t="s">
        <v>454</v>
      </c>
      <c r="E338" s="174">
        <v>0</v>
      </c>
      <c r="F338" s="174">
        <f>SUM(F326:F337)</f>
        <v>0.7200000000000002</v>
      </c>
      <c r="G338" s="169"/>
      <c r="H338" s="162">
        <f>SUM(H326:H337)</f>
        <v>0.62280000000000013</v>
      </c>
      <c r="I338" s="231" t="s">
        <v>454</v>
      </c>
      <c r="J338" s="174">
        <v>0</v>
      </c>
      <c r="K338" s="174">
        <f>SUM(K326:K337)</f>
        <v>0.3600000000000001</v>
      </c>
      <c r="L338" s="169"/>
      <c r="M338" s="162">
        <f>SUM(M326:M337)</f>
        <v>0.31140000000000007</v>
      </c>
    </row>
    <row r="339" spans="1:13" ht="12" customHeight="1" x14ac:dyDescent="0.2">
      <c r="A339" s="403"/>
      <c r="C339" s="197" t="s">
        <v>864</v>
      </c>
      <c r="D339" s="520" t="s">
        <v>518</v>
      </c>
      <c r="E339" s="521" t="s">
        <v>865</v>
      </c>
      <c r="F339" s="521" t="s">
        <v>866</v>
      </c>
      <c r="G339" s="520" t="s">
        <v>906</v>
      </c>
      <c r="H339" s="198" t="s">
        <v>867</v>
      </c>
      <c r="I339" s="520" t="s">
        <v>518</v>
      </c>
      <c r="J339" s="521" t="s">
        <v>865</v>
      </c>
      <c r="K339" s="521" t="s">
        <v>866</v>
      </c>
      <c r="L339" s="520" t="s">
        <v>906</v>
      </c>
      <c r="M339" s="198" t="s">
        <v>867</v>
      </c>
    </row>
    <row r="340" spans="1:13" x14ac:dyDescent="0.2">
      <c r="A340" s="403"/>
      <c r="C340" s="186">
        <v>46142</v>
      </c>
      <c r="D340" s="189">
        <f>G337</f>
        <v>6.5600000000000041</v>
      </c>
      <c r="E340" s="193"/>
      <c r="F340" s="189">
        <v>0.06</v>
      </c>
      <c r="G340" s="187">
        <f>D340+E340-F340</f>
        <v>6.5000000000000044</v>
      </c>
      <c r="H340" s="185">
        <f>(D340-(F340/2))*(9%/12)</f>
        <v>4.8975000000000025E-2</v>
      </c>
      <c r="I340" s="189">
        <f>L337</f>
        <v>3.280000000000002</v>
      </c>
      <c r="J340" s="193"/>
      <c r="K340" s="189">
        <v>0.03</v>
      </c>
      <c r="L340" s="187">
        <f>I340+J340-K340</f>
        <v>3.2500000000000022</v>
      </c>
      <c r="M340" s="185">
        <f>(I340-(K340/2))*(9%/12)</f>
        <v>2.4487500000000013E-2</v>
      </c>
    </row>
    <row r="341" spans="1:13" x14ac:dyDescent="0.2">
      <c r="A341" s="403"/>
      <c r="C341" s="179">
        <v>46173</v>
      </c>
      <c r="D341" s="184">
        <f>G340</f>
        <v>6.5000000000000044</v>
      </c>
      <c r="E341" s="180"/>
      <c r="F341" s="184">
        <v>0.06</v>
      </c>
      <c r="G341" s="187">
        <f t="shared" ref="G341:G351" si="77">D341+E341-F341</f>
        <v>6.4400000000000048</v>
      </c>
      <c r="H341" s="185">
        <f t="shared" ref="H341:H351" si="78">(D341-(F341/2))*(9%/12)</f>
        <v>4.8525000000000026E-2</v>
      </c>
      <c r="I341" s="184">
        <f>L340</f>
        <v>3.2500000000000022</v>
      </c>
      <c r="J341" s="180"/>
      <c r="K341" s="184">
        <v>0.03</v>
      </c>
      <c r="L341" s="187">
        <f t="shared" ref="L341:L351" si="79">I341+J341-K341</f>
        <v>3.2200000000000024</v>
      </c>
      <c r="M341" s="185">
        <f t="shared" ref="M341:M351" si="80">(I341-(K341/2))*(9%/12)</f>
        <v>2.4262500000000013E-2</v>
      </c>
    </row>
    <row r="342" spans="1:13" x14ac:dyDescent="0.2">
      <c r="A342" s="403"/>
      <c r="C342" s="179">
        <v>46203</v>
      </c>
      <c r="D342" s="184">
        <f t="shared" ref="D342:D351" si="81">G341</f>
        <v>6.4400000000000048</v>
      </c>
      <c r="E342" s="180"/>
      <c r="F342" s="184">
        <v>0.06</v>
      </c>
      <c r="G342" s="187">
        <f t="shared" si="77"/>
        <v>6.3800000000000052</v>
      </c>
      <c r="H342" s="185">
        <f t="shared" si="78"/>
        <v>4.8075000000000034E-2</v>
      </c>
      <c r="I342" s="184">
        <f t="shared" ref="I342:I351" si="82">L341</f>
        <v>3.2200000000000024</v>
      </c>
      <c r="J342" s="180"/>
      <c r="K342" s="184">
        <v>0.03</v>
      </c>
      <c r="L342" s="187">
        <f t="shared" si="79"/>
        <v>3.1900000000000026</v>
      </c>
      <c r="M342" s="185">
        <f t="shared" si="80"/>
        <v>2.4037500000000017E-2</v>
      </c>
    </row>
    <row r="343" spans="1:13" x14ac:dyDescent="0.2">
      <c r="A343" s="403"/>
      <c r="C343" s="179">
        <v>46234</v>
      </c>
      <c r="D343" s="184">
        <f t="shared" si="81"/>
        <v>6.3800000000000052</v>
      </c>
      <c r="E343" s="180"/>
      <c r="F343" s="184">
        <v>0.06</v>
      </c>
      <c r="G343" s="187">
        <f t="shared" si="77"/>
        <v>6.3200000000000056</v>
      </c>
      <c r="H343" s="185">
        <f t="shared" si="78"/>
        <v>4.7625000000000035E-2</v>
      </c>
      <c r="I343" s="184">
        <f t="shared" si="82"/>
        <v>3.1900000000000026</v>
      </c>
      <c r="J343" s="180"/>
      <c r="K343" s="184">
        <v>0.03</v>
      </c>
      <c r="L343" s="187">
        <f t="shared" si="79"/>
        <v>3.1600000000000028</v>
      </c>
      <c r="M343" s="185">
        <f t="shared" si="80"/>
        <v>2.3812500000000018E-2</v>
      </c>
    </row>
    <row r="344" spans="1:13" x14ac:dyDescent="0.2">
      <c r="A344" s="403"/>
      <c r="C344" s="179">
        <v>46265</v>
      </c>
      <c r="D344" s="184">
        <f t="shared" si="81"/>
        <v>6.3200000000000056</v>
      </c>
      <c r="E344" s="180"/>
      <c r="F344" s="184">
        <v>0.06</v>
      </c>
      <c r="G344" s="187">
        <f t="shared" si="77"/>
        <v>6.260000000000006</v>
      </c>
      <c r="H344" s="185">
        <f t="shared" si="78"/>
        <v>4.7175000000000036E-2</v>
      </c>
      <c r="I344" s="184">
        <f t="shared" si="82"/>
        <v>3.1600000000000028</v>
      </c>
      <c r="J344" s="180"/>
      <c r="K344" s="184">
        <v>0.03</v>
      </c>
      <c r="L344" s="187">
        <f t="shared" si="79"/>
        <v>3.130000000000003</v>
      </c>
      <c r="M344" s="185">
        <f t="shared" si="80"/>
        <v>2.3587500000000018E-2</v>
      </c>
    </row>
    <row r="345" spans="1:13" x14ac:dyDescent="0.2">
      <c r="A345" s="403"/>
      <c r="C345" s="179">
        <v>46295</v>
      </c>
      <c r="D345" s="184">
        <f t="shared" si="81"/>
        <v>6.260000000000006</v>
      </c>
      <c r="E345" s="180"/>
      <c r="F345" s="184">
        <v>0.06</v>
      </c>
      <c r="G345" s="187">
        <f t="shared" si="77"/>
        <v>6.2000000000000064</v>
      </c>
      <c r="H345" s="185">
        <f t="shared" si="78"/>
        <v>4.6725000000000044E-2</v>
      </c>
      <c r="I345" s="184">
        <f t="shared" si="82"/>
        <v>3.130000000000003</v>
      </c>
      <c r="J345" s="180"/>
      <c r="K345" s="184">
        <v>0.03</v>
      </c>
      <c r="L345" s="187">
        <f t="shared" si="79"/>
        <v>3.1000000000000032</v>
      </c>
      <c r="M345" s="185">
        <f t="shared" si="80"/>
        <v>2.3362500000000022E-2</v>
      </c>
    </row>
    <row r="346" spans="1:13" x14ac:dyDescent="0.2">
      <c r="A346" s="403"/>
      <c r="C346" s="179">
        <v>46326</v>
      </c>
      <c r="D346" s="184">
        <f t="shared" si="81"/>
        <v>6.2000000000000064</v>
      </c>
      <c r="E346" s="180"/>
      <c r="F346" s="184">
        <v>0.06</v>
      </c>
      <c r="G346" s="187">
        <f t="shared" si="77"/>
        <v>6.1400000000000068</v>
      </c>
      <c r="H346" s="185">
        <f t="shared" si="78"/>
        <v>4.6275000000000045E-2</v>
      </c>
      <c r="I346" s="184">
        <f t="shared" si="82"/>
        <v>3.1000000000000032</v>
      </c>
      <c r="J346" s="180"/>
      <c r="K346" s="184">
        <v>0.03</v>
      </c>
      <c r="L346" s="187">
        <f t="shared" si="79"/>
        <v>3.0700000000000034</v>
      </c>
      <c r="M346" s="185">
        <f t="shared" si="80"/>
        <v>2.3137500000000023E-2</v>
      </c>
    </row>
    <row r="347" spans="1:13" x14ac:dyDescent="0.2">
      <c r="A347" s="403"/>
      <c r="C347" s="179">
        <v>46356</v>
      </c>
      <c r="D347" s="184">
        <f t="shared" si="81"/>
        <v>6.1400000000000068</v>
      </c>
      <c r="E347" s="180"/>
      <c r="F347" s="184">
        <v>0.06</v>
      </c>
      <c r="G347" s="187">
        <f t="shared" si="77"/>
        <v>6.0800000000000072</v>
      </c>
      <c r="H347" s="185">
        <f t="shared" si="78"/>
        <v>4.5825000000000046E-2</v>
      </c>
      <c r="I347" s="184">
        <f t="shared" si="82"/>
        <v>3.0700000000000034</v>
      </c>
      <c r="J347" s="180"/>
      <c r="K347" s="184">
        <v>0.03</v>
      </c>
      <c r="L347" s="187">
        <f t="shared" si="79"/>
        <v>3.0400000000000036</v>
      </c>
      <c r="M347" s="185">
        <f t="shared" si="80"/>
        <v>2.2912500000000023E-2</v>
      </c>
    </row>
    <row r="348" spans="1:13" x14ac:dyDescent="0.2">
      <c r="A348" s="403"/>
      <c r="C348" s="179">
        <v>46387</v>
      </c>
      <c r="D348" s="184">
        <f t="shared" si="81"/>
        <v>6.0800000000000072</v>
      </c>
      <c r="E348" s="180"/>
      <c r="F348" s="184">
        <v>0.06</v>
      </c>
      <c r="G348" s="187">
        <f t="shared" si="77"/>
        <v>6.0200000000000076</v>
      </c>
      <c r="H348" s="185">
        <f t="shared" si="78"/>
        <v>4.5375000000000047E-2</v>
      </c>
      <c r="I348" s="184">
        <f t="shared" si="82"/>
        <v>3.0400000000000036</v>
      </c>
      <c r="J348" s="180"/>
      <c r="K348" s="184">
        <v>0.03</v>
      </c>
      <c r="L348" s="187">
        <f t="shared" si="79"/>
        <v>3.0100000000000038</v>
      </c>
      <c r="M348" s="185">
        <f t="shared" si="80"/>
        <v>2.2687500000000024E-2</v>
      </c>
    </row>
    <row r="349" spans="1:13" x14ac:dyDescent="0.2">
      <c r="A349" s="403"/>
      <c r="C349" s="179">
        <v>46418</v>
      </c>
      <c r="D349" s="184">
        <f t="shared" si="81"/>
        <v>6.0200000000000076</v>
      </c>
      <c r="E349" s="180"/>
      <c r="F349" s="184">
        <v>0.06</v>
      </c>
      <c r="G349" s="187">
        <f t="shared" si="77"/>
        <v>5.960000000000008</v>
      </c>
      <c r="H349" s="185">
        <f t="shared" si="78"/>
        <v>4.4925000000000055E-2</v>
      </c>
      <c r="I349" s="184">
        <f t="shared" si="82"/>
        <v>3.0100000000000038</v>
      </c>
      <c r="J349" s="180"/>
      <c r="K349" s="184">
        <v>0.03</v>
      </c>
      <c r="L349" s="187">
        <f t="shared" si="79"/>
        <v>2.980000000000004</v>
      </c>
      <c r="M349" s="185">
        <f t="shared" si="80"/>
        <v>2.2462500000000028E-2</v>
      </c>
    </row>
    <row r="350" spans="1:13" x14ac:dyDescent="0.2">
      <c r="A350" s="403"/>
      <c r="C350" s="179">
        <v>46446</v>
      </c>
      <c r="D350" s="184">
        <f t="shared" si="81"/>
        <v>5.960000000000008</v>
      </c>
      <c r="E350" s="180"/>
      <c r="F350" s="184">
        <v>0.06</v>
      </c>
      <c r="G350" s="187">
        <f t="shared" si="77"/>
        <v>5.9000000000000083</v>
      </c>
      <c r="H350" s="185">
        <f t="shared" si="78"/>
        <v>4.4475000000000056E-2</v>
      </c>
      <c r="I350" s="184">
        <f t="shared" si="82"/>
        <v>2.980000000000004</v>
      </c>
      <c r="J350" s="180"/>
      <c r="K350" s="184">
        <v>0.03</v>
      </c>
      <c r="L350" s="187">
        <f t="shared" si="79"/>
        <v>2.9500000000000042</v>
      </c>
      <c r="M350" s="185">
        <f t="shared" si="80"/>
        <v>2.2237500000000028E-2</v>
      </c>
    </row>
    <row r="351" spans="1:13" x14ac:dyDescent="0.2">
      <c r="A351" s="403"/>
      <c r="C351" s="179">
        <v>46477</v>
      </c>
      <c r="D351" s="184">
        <f t="shared" si="81"/>
        <v>5.9000000000000083</v>
      </c>
      <c r="E351" s="180"/>
      <c r="F351" s="184">
        <v>0.06</v>
      </c>
      <c r="G351" s="187">
        <f t="shared" si="77"/>
        <v>5.8400000000000087</v>
      </c>
      <c r="H351" s="185">
        <f t="shared" si="78"/>
        <v>4.4025000000000057E-2</v>
      </c>
      <c r="I351" s="184">
        <f t="shared" si="82"/>
        <v>2.9500000000000042</v>
      </c>
      <c r="J351" s="180"/>
      <c r="K351" s="184">
        <v>0.03</v>
      </c>
      <c r="L351" s="187">
        <f t="shared" si="79"/>
        <v>2.9200000000000044</v>
      </c>
      <c r="M351" s="185">
        <f t="shared" si="80"/>
        <v>2.2012500000000029E-2</v>
      </c>
    </row>
    <row r="352" spans="1:13" x14ac:dyDescent="0.2">
      <c r="A352" s="403"/>
      <c r="C352" s="167"/>
      <c r="D352" s="231" t="s">
        <v>454</v>
      </c>
      <c r="E352" s="174">
        <v>0</v>
      </c>
      <c r="F352" s="174">
        <f>SUM(F340:F351)</f>
        <v>0.7200000000000002</v>
      </c>
      <c r="G352" s="169"/>
      <c r="H352" s="162">
        <f>SUM(H340:H351)</f>
        <v>0.55800000000000061</v>
      </c>
      <c r="I352" s="231" t="s">
        <v>454</v>
      </c>
      <c r="J352" s="174">
        <v>0</v>
      </c>
      <c r="K352" s="174">
        <f>SUM(K340:K351)</f>
        <v>0.3600000000000001</v>
      </c>
      <c r="L352" s="169"/>
      <c r="M352" s="162">
        <f>SUM(M340:M351)</f>
        <v>0.2790000000000003</v>
      </c>
    </row>
    <row r="353" spans="1:13" x14ac:dyDescent="0.2">
      <c r="A353" s="403"/>
      <c r="M353" s="575"/>
    </row>
    <row r="354" spans="1:13" x14ac:dyDescent="0.2">
      <c r="A354" s="403"/>
      <c r="C354" s="576"/>
      <c r="D354" s="576"/>
      <c r="E354" s="576"/>
      <c r="F354" s="577"/>
      <c r="G354" s="577"/>
      <c r="H354" s="577"/>
      <c r="I354" s="577"/>
      <c r="J354" s="576"/>
      <c r="K354" s="576"/>
      <c r="L354" s="578"/>
      <c r="M354" s="575"/>
    </row>
    <row r="355" spans="1:13" x14ac:dyDescent="0.2">
      <c r="A355" s="403"/>
      <c r="C355" s="576"/>
      <c r="D355" s="576"/>
      <c r="E355" s="576"/>
      <c r="F355" s="577"/>
      <c r="G355" s="577"/>
      <c r="H355" s="577"/>
      <c r="I355" s="577"/>
      <c r="J355" s="576"/>
      <c r="K355" s="576"/>
      <c r="L355" s="578"/>
      <c r="M355" s="575"/>
    </row>
    <row r="356" spans="1:13" x14ac:dyDescent="0.2">
      <c r="A356" s="403"/>
      <c r="C356" s="576"/>
      <c r="D356" s="576"/>
      <c r="E356" s="576"/>
      <c r="F356" s="577"/>
      <c r="G356" s="577"/>
      <c r="H356" s="577"/>
      <c r="I356" s="577"/>
      <c r="J356" s="576"/>
      <c r="K356" s="576"/>
      <c r="L356" s="578"/>
      <c r="M356" s="575"/>
    </row>
    <row r="357" spans="1:13" x14ac:dyDescent="0.2">
      <c r="A357" s="404"/>
      <c r="B357" s="390"/>
      <c r="C357" s="408"/>
      <c r="D357" s="408"/>
      <c r="E357" s="408"/>
      <c r="F357" s="409"/>
      <c r="G357" s="409"/>
      <c r="H357" s="409"/>
      <c r="I357" s="409"/>
      <c r="J357" s="408"/>
      <c r="K357" s="408"/>
      <c r="L357" s="410"/>
      <c r="M357" s="574"/>
    </row>
    <row r="358" spans="1:13" x14ac:dyDescent="0.2">
      <c r="A358" s="736" t="s">
        <v>843</v>
      </c>
      <c r="B358" s="737"/>
      <c r="C358" s="737"/>
      <c r="D358" s="737"/>
      <c r="E358" s="737"/>
      <c r="F358" s="737"/>
      <c r="G358" s="737"/>
      <c r="H358" s="737"/>
      <c r="I358" s="737"/>
      <c r="J358" s="737"/>
      <c r="K358" s="737"/>
      <c r="L358" s="737"/>
      <c r="M358" s="738"/>
    </row>
    <row r="359" spans="1:13" x14ac:dyDescent="0.2">
      <c r="A359" s="743" t="s">
        <v>845</v>
      </c>
      <c r="B359" s="744"/>
      <c r="C359" s="744"/>
      <c r="D359" s="744"/>
      <c r="E359" s="744"/>
      <c r="F359" s="744"/>
      <c r="G359" s="744"/>
      <c r="H359" s="744"/>
      <c r="I359" s="744"/>
      <c r="J359" s="744"/>
      <c r="K359" s="744"/>
      <c r="L359" s="744"/>
      <c r="M359" s="745"/>
    </row>
    <row r="360" spans="1:13" x14ac:dyDescent="0.2">
      <c r="A360" s="743" t="s">
        <v>844</v>
      </c>
      <c r="B360" s="744"/>
      <c r="C360" s="744"/>
      <c r="D360" s="744"/>
      <c r="E360" s="744"/>
      <c r="F360" s="744"/>
      <c r="G360" s="744"/>
      <c r="H360" s="744"/>
      <c r="I360" s="744"/>
      <c r="J360" s="744"/>
      <c r="K360" s="744"/>
      <c r="L360" s="744"/>
      <c r="M360" s="745"/>
    </row>
    <row r="361" spans="1:13" x14ac:dyDescent="0.2">
      <c r="A361" s="743" t="s">
        <v>1139</v>
      </c>
      <c r="B361" s="744"/>
      <c r="C361" s="744"/>
      <c r="D361" s="744"/>
      <c r="E361" s="744"/>
      <c r="F361" s="744"/>
      <c r="G361" s="744"/>
      <c r="H361" s="744"/>
      <c r="I361" s="744"/>
      <c r="J361" s="744"/>
      <c r="K361" s="744"/>
      <c r="L361" s="744"/>
      <c r="M361" s="745"/>
    </row>
    <row r="362" spans="1:13" ht="12" customHeight="1" x14ac:dyDescent="0.2">
      <c r="A362" s="403"/>
      <c r="C362" s="197" t="s">
        <v>864</v>
      </c>
      <c r="D362" s="520" t="s">
        <v>518</v>
      </c>
      <c r="E362" s="521" t="s">
        <v>865</v>
      </c>
      <c r="F362" s="521" t="s">
        <v>866</v>
      </c>
      <c r="G362" s="520" t="s">
        <v>906</v>
      </c>
      <c r="H362" s="198" t="s">
        <v>867</v>
      </c>
      <c r="I362" s="520" t="s">
        <v>518</v>
      </c>
      <c r="J362" s="521" t="s">
        <v>865</v>
      </c>
      <c r="K362" s="521" t="s">
        <v>866</v>
      </c>
      <c r="L362" s="520" t="s">
        <v>906</v>
      </c>
      <c r="M362" s="198" t="s">
        <v>867</v>
      </c>
    </row>
    <row r="363" spans="1:13" x14ac:dyDescent="0.2">
      <c r="A363" s="403"/>
      <c r="C363" s="186">
        <v>46507</v>
      </c>
      <c r="D363" s="189">
        <f>G351</f>
        <v>5.8400000000000087</v>
      </c>
      <c r="E363" s="193"/>
      <c r="F363" s="189">
        <v>0.08</v>
      </c>
      <c r="G363" s="187">
        <f t="shared" ref="G363:G374" si="83">D363+E363-F363</f>
        <v>5.7600000000000087</v>
      </c>
      <c r="H363" s="185">
        <f t="shared" ref="H363:H374" si="84">(D363-(F363/2))*(9%/12)</f>
        <v>4.3500000000000066E-2</v>
      </c>
      <c r="I363" s="189">
        <f>L351</f>
        <v>2.9200000000000044</v>
      </c>
      <c r="J363" s="193"/>
      <c r="K363" s="189">
        <v>0.04</v>
      </c>
      <c r="L363" s="187">
        <f t="shared" ref="L363:L374" si="85">I363+J363-K363</f>
        <v>2.8800000000000043</v>
      </c>
      <c r="M363" s="185">
        <f t="shared" ref="M363:M374" si="86">(I363-(K363/2))*(9%/12)</f>
        <v>2.1750000000000033E-2</v>
      </c>
    </row>
    <row r="364" spans="1:13" x14ac:dyDescent="0.2">
      <c r="A364" s="403"/>
      <c r="C364" s="179">
        <v>46538</v>
      </c>
      <c r="D364" s="184">
        <f>G363</f>
        <v>5.7600000000000087</v>
      </c>
      <c r="E364" s="180"/>
      <c r="F364" s="184">
        <v>0.08</v>
      </c>
      <c r="G364" s="187">
        <f t="shared" si="83"/>
        <v>5.6800000000000086</v>
      </c>
      <c r="H364" s="185">
        <f t="shared" si="84"/>
        <v>4.2900000000000063E-2</v>
      </c>
      <c r="I364" s="184">
        <f t="shared" ref="I364:I374" si="87">L363</f>
        <v>2.8800000000000043</v>
      </c>
      <c r="J364" s="180"/>
      <c r="K364" s="189">
        <v>0.04</v>
      </c>
      <c r="L364" s="187">
        <f t="shared" si="85"/>
        <v>2.8400000000000043</v>
      </c>
      <c r="M364" s="185">
        <f t="shared" si="86"/>
        <v>2.1450000000000032E-2</v>
      </c>
    </row>
    <row r="365" spans="1:13" x14ac:dyDescent="0.2">
      <c r="A365" s="403"/>
      <c r="C365" s="179">
        <v>46568</v>
      </c>
      <c r="D365" s="184">
        <f t="shared" ref="D365:D374" si="88">G364</f>
        <v>5.6800000000000086</v>
      </c>
      <c r="E365" s="180"/>
      <c r="F365" s="184">
        <v>0.08</v>
      </c>
      <c r="G365" s="187">
        <f t="shared" si="83"/>
        <v>5.6000000000000085</v>
      </c>
      <c r="H365" s="185">
        <f t="shared" si="84"/>
        <v>4.230000000000006E-2</v>
      </c>
      <c r="I365" s="184">
        <f t="shared" si="87"/>
        <v>2.8400000000000043</v>
      </c>
      <c r="J365" s="180"/>
      <c r="K365" s="184">
        <v>0.04</v>
      </c>
      <c r="L365" s="187">
        <f t="shared" si="85"/>
        <v>2.8000000000000043</v>
      </c>
      <c r="M365" s="185">
        <f t="shared" si="86"/>
        <v>2.115000000000003E-2</v>
      </c>
    </row>
    <row r="366" spans="1:13" x14ac:dyDescent="0.2">
      <c r="A366" s="403"/>
      <c r="C366" s="179">
        <v>46599</v>
      </c>
      <c r="D366" s="184">
        <f t="shared" si="88"/>
        <v>5.6000000000000085</v>
      </c>
      <c r="E366" s="180"/>
      <c r="F366" s="184">
        <v>0.08</v>
      </c>
      <c r="G366" s="187">
        <f t="shared" si="83"/>
        <v>5.5200000000000085</v>
      </c>
      <c r="H366" s="185">
        <f t="shared" si="84"/>
        <v>4.1700000000000063E-2</v>
      </c>
      <c r="I366" s="184">
        <f t="shared" si="87"/>
        <v>2.8000000000000043</v>
      </c>
      <c r="J366" s="180"/>
      <c r="K366" s="184">
        <v>0.04</v>
      </c>
      <c r="L366" s="187">
        <f t="shared" si="85"/>
        <v>2.7600000000000042</v>
      </c>
      <c r="M366" s="185">
        <f t="shared" si="86"/>
        <v>2.0850000000000032E-2</v>
      </c>
    </row>
    <row r="367" spans="1:13" x14ac:dyDescent="0.2">
      <c r="A367" s="403"/>
      <c r="C367" s="179">
        <v>46630</v>
      </c>
      <c r="D367" s="184">
        <f t="shared" si="88"/>
        <v>5.5200000000000085</v>
      </c>
      <c r="E367" s="180"/>
      <c r="F367" s="184">
        <v>0.08</v>
      </c>
      <c r="G367" s="187">
        <f t="shared" si="83"/>
        <v>5.4400000000000084</v>
      </c>
      <c r="H367" s="185">
        <f t="shared" si="84"/>
        <v>4.110000000000006E-2</v>
      </c>
      <c r="I367" s="184">
        <f t="shared" si="87"/>
        <v>2.7600000000000042</v>
      </c>
      <c r="J367" s="180"/>
      <c r="K367" s="184">
        <v>0.04</v>
      </c>
      <c r="L367" s="187">
        <f t="shared" si="85"/>
        <v>2.7200000000000042</v>
      </c>
      <c r="M367" s="185">
        <f t="shared" si="86"/>
        <v>2.055000000000003E-2</v>
      </c>
    </row>
    <row r="368" spans="1:13" x14ac:dyDescent="0.2">
      <c r="A368" s="403"/>
      <c r="C368" s="179">
        <v>46660</v>
      </c>
      <c r="D368" s="184">
        <f t="shared" si="88"/>
        <v>5.4400000000000084</v>
      </c>
      <c r="E368" s="180"/>
      <c r="F368" s="184">
        <v>0.08</v>
      </c>
      <c r="G368" s="187">
        <f t="shared" si="83"/>
        <v>5.3600000000000083</v>
      </c>
      <c r="H368" s="185">
        <f t="shared" si="84"/>
        <v>4.0500000000000064E-2</v>
      </c>
      <c r="I368" s="184">
        <f t="shared" si="87"/>
        <v>2.7200000000000042</v>
      </c>
      <c r="J368" s="180"/>
      <c r="K368" s="184">
        <v>0.04</v>
      </c>
      <c r="L368" s="187">
        <f t="shared" si="85"/>
        <v>2.6800000000000042</v>
      </c>
      <c r="M368" s="185">
        <f t="shared" si="86"/>
        <v>2.0250000000000032E-2</v>
      </c>
    </row>
    <row r="369" spans="1:13" x14ac:dyDescent="0.2">
      <c r="A369" s="403"/>
      <c r="C369" s="179">
        <v>46691</v>
      </c>
      <c r="D369" s="184">
        <f t="shared" si="88"/>
        <v>5.3600000000000083</v>
      </c>
      <c r="E369" s="180"/>
      <c r="F369" s="184">
        <v>0.08</v>
      </c>
      <c r="G369" s="187">
        <f t="shared" si="83"/>
        <v>5.2800000000000082</v>
      </c>
      <c r="H369" s="185">
        <f t="shared" si="84"/>
        <v>3.990000000000006E-2</v>
      </c>
      <c r="I369" s="184">
        <f t="shared" si="87"/>
        <v>2.6800000000000042</v>
      </c>
      <c r="J369" s="180"/>
      <c r="K369" s="184">
        <v>0.04</v>
      </c>
      <c r="L369" s="187">
        <f t="shared" si="85"/>
        <v>2.6400000000000041</v>
      </c>
      <c r="M369" s="185">
        <f t="shared" si="86"/>
        <v>1.995000000000003E-2</v>
      </c>
    </row>
    <row r="370" spans="1:13" x14ac:dyDescent="0.2">
      <c r="A370" s="403"/>
      <c r="C370" s="179">
        <v>46721</v>
      </c>
      <c r="D370" s="184">
        <f t="shared" si="88"/>
        <v>5.2800000000000082</v>
      </c>
      <c r="E370" s="180"/>
      <c r="F370" s="184">
        <v>0.08</v>
      </c>
      <c r="G370" s="187">
        <f t="shared" si="83"/>
        <v>5.2000000000000082</v>
      </c>
      <c r="H370" s="185">
        <f t="shared" si="84"/>
        <v>3.9300000000000057E-2</v>
      </c>
      <c r="I370" s="184">
        <f t="shared" si="87"/>
        <v>2.6400000000000041</v>
      </c>
      <c r="J370" s="180"/>
      <c r="K370" s="184">
        <v>0.04</v>
      </c>
      <c r="L370" s="187">
        <f t="shared" si="85"/>
        <v>2.6000000000000041</v>
      </c>
      <c r="M370" s="185">
        <f t="shared" si="86"/>
        <v>1.9650000000000029E-2</v>
      </c>
    </row>
    <row r="371" spans="1:13" x14ac:dyDescent="0.2">
      <c r="A371" s="403"/>
      <c r="C371" s="179">
        <v>46752</v>
      </c>
      <c r="D371" s="184">
        <f t="shared" si="88"/>
        <v>5.2000000000000082</v>
      </c>
      <c r="E371" s="180"/>
      <c r="F371" s="184">
        <v>0.08</v>
      </c>
      <c r="G371" s="187">
        <f t="shared" si="83"/>
        <v>5.1200000000000081</v>
      </c>
      <c r="H371" s="185">
        <f t="shared" si="84"/>
        <v>3.8700000000000061E-2</v>
      </c>
      <c r="I371" s="184">
        <f t="shared" si="87"/>
        <v>2.6000000000000041</v>
      </c>
      <c r="J371" s="180"/>
      <c r="K371" s="184">
        <v>0.04</v>
      </c>
      <c r="L371" s="187">
        <f t="shared" si="85"/>
        <v>2.5600000000000041</v>
      </c>
      <c r="M371" s="185">
        <f t="shared" si="86"/>
        <v>1.935000000000003E-2</v>
      </c>
    </row>
    <row r="372" spans="1:13" x14ac:dyDescent="0.2">
      <c r="A372" s="403"/>
      <c r="C372" s="179">
        <v>46783</v>
      </c>
      <c r="D372" s="184">
        <f t="shared" si="88"/>
        <v>5.1200000000000081</v>
      </c>
      <c r="E372" s="180"/>
      <c r="F372" s="184">
        <v>0.08</v>
      </c>
      <c r="G372" s="187">
        <f t="shared" si="83"/>
        <v>5.040000000000008</v>
      </c>
      <c r="H372" s="185">
        <f t="shared" si="84"/>
        <v>3.8100000000000057E-2</v>
      </c>
      <c r="I372" s="184">
        <f t="shared" si="87"/>
        <v>2.5600000000000041</v>
      </c>
      <c r="J372" s="180"/>
      <c r="K372" s="184">
        <v>0.04</v>
      </c>
      <c r="L372" s="187">
        <f t="shared" si="85"/>
        <v>2.520000000000004</v>
      </c>
      <c r="M372" s="185">
        <f t="shared" si="86"/>
        <v>1.9050000000000029E-2</v>
      </c>
    </row>
    <row r="373" spans="1:13" x14ac:dyDescent="0.2">
      <c r="A373" s="403"/>
      <c r="C373" s="179">
        <v>46812</v>
      </c>
      <c r="D373" s="184">
        <f t="shared" si="88"/>
        <v>5.040000000000008</v>
      </c>
      <c r="E373" s="180"/>
      <c r="F373" s="184">
        <v>0.08</v>
      </c>
      <c r="G373" s="187">
        <f t="shared" si="83"/>
        <v>4.960000000000008</v>
      </c>
      <c r="H373" s="185">
        <f t="shared" si="84"/>
        <v>3.7500000000000061E-2</v>
      </c>
      <c r="I373" s="184">
        <f t="shared" si="87"/>
        <v>2.520000000000004</v>
      </c>
      <c r="J373" s="180"/>
      <c r="K373" s="184">
        <v>0.04</v>
      </c>
      <c r="L373" s="187">
        <f t="shared" si="85"/>
        <v>2.480000000000004</v>
      </c>
      <c r="M373" s="185">
        <f t="shared" si="86"/>
        <v>1.8750000000000031E-2</v>
      </c>
    </row>
    <row r="374" spans="1:13" x14ac:dyDescent="0.2">
      <c r="A374" s="403"/>
      <c r="C374" s="179">
        <v>46843</v>
      </c>
      <c r="D374" s="184">
        <f t="shared" si="88"/>
        <v>4.960000000000008</v>
      </c>
      <c r="E374" s="180"/>
      <c r="F374" s="184">
        <v>0.08</v>
      </c>
      <c r="G374" s="187">
        <f t="shared" si="83"/>
        <v>4.8800000000000079</v>
      </c>
      <c r="H374" s="185">
        <f t="shared" si="84"/>
        <v>3.6900000000000058E-2</v>
      </c>
      <c r="I374" s="184">
        <f t="shared" si="87"/>
        <v>2.480000000000004</v>
      </c>
      <c r="J374" s="180"/>
      <c r="K374" s="184">
        <v>0.04</v>
      </c>
      <c r="L374" s="187">
        <f t="shared" si="85"/>
        <v>2.4400000000000039</v>
      </c>
      <c r="M374" s="185">
        <f t="shared" si="86"/>
        <v>1.8450000000000029E-2</v>
      </c>
    </row>
    <row r="375" spans="1:13" x14ac:dyDescent="0.2">
      <c r="A375" s="403"/>
      <c r="C375" s="167"/>
      <c r="D375" s="231" t="s">
        <v>454</v>
      </c>
      <c r="E375" s="174">
        <v>0</v>
      </c>
      <c r="F375" s="174">
        <f>SUM(F363:F374)</f>
        <v>0.95999999999999985</v>
      </c>
      <c r="G375" s="149"/>
      <c r="H375" s="162">
        <f>SUM(H363:H374)</f>
        <v>0.48240000000000072</v>
      </c>
      <c r="I375" s="231" t="s">
        <v>454</v>
      </c>
      <c r="J375" s="174">
        <v>0</v>
      </c>
      <c r="K375" s="174">
        <f>SUM(K363:K374)</f>
        <v>0.47999999999999993</v>
      </c>
      <c r="L375" s="149"/>
      <c r="M375" s="162">
        <f>SUM(M363:M374)</f>
        <v>0.24120000000000036</v>
      </c>
    </row>
    <row r="376" spans="1:13" ht="12" customHeight="1" x14ac:dyDescent="0.2">
      <c r="A376" s="403"/>
      <c r="C376" s="197" t="s">
        <v>864</v>
      </c>
      <c r="D376" s="520" t="s">
        <v>518</v>
      </c>
      <c r="E376" s="521" t="s">
        <v>865</v>
      </c>
      <c r="F376" s="521" t="s">
        <v>866</v>
      </c>
      <c r="G376" s="520" t="s">
        <v>906</v>
      </c>
      <c r="H376" s="198" t="s">
        <v>867</v>
      </c>
      <c r="I376" s="520" t="s">
        <v>518</v>
      </c>
      <c r="J376" s="521" t="s">
        <v>865</v>
      </c>
      <c r="K376" s="521" t="s">
        <v>866</v>
      </c>
      <c r="L376" s="520" t="s">
        <v>906</v>
      </c>
      <c r="M376" s="198" t="s">
        <v>867</v>
      </c>
    </row>
    <row r="377" spans="1:13" x14ac:dyDescent="0.2">
      <c r="A377" s="403"/>
      <c r="C377" s="186">
        <v>46873</v>
      </c>
      <c r="D377" s="189">
        <f>G374</f>
        <v>4.8800000000000079</v>
      </c>
      <c r="E377" s="193"/>
      <c r="F377" s="189">
        <v>9.9999999999999992E-2</v>
      </c>
      <c r="G377" s="187">
        <f t="shared" ref="G377" si="89">D377+E377-F377</f>
        <v>4.7800000000000082</v>
      </c>
      <c r="H377" s="185">
        <f t="shared" ref="H377" si="90">(D377-(F377/2))*(9%/12)</f>
        <v>3.6225000000000056E-2</v>
      </c>
      <c r="I377" s="189">
        <f>L374</f>
        <v>2.4400000000000039</v>
      </c>
      <c r="J377" s="193"/>
      <c r="K377" s="189">
        <v>4.9999999999999996E-2</v>
      </c>
      <c r="L377" s="187">
        <f t="shared" ref="L377" si="91">I377+J377-K377</f>
        <v>2.3900000000000041</v>
      </c>
      <c r="M377" s="185">
        <f t="shared" ref="M377" si="92">(I377-(K377/2))*(9%/12)</f>
        <v>1.8112500000000028E-2</v>
      </c>
    </row>
    <row r="378" spans="1:13" x14ac:dyDescent="0.2">
      <c r="A378" s="403"/>
      <c r="C378" s="179">
        <v>46904</v>
      </c>
      <c r="D378" s="184">
        <f>G377</f>
        <v>4.7800000000000082</v>
      </c>
      <c r="E378" s="180"/>
      <c r="F378" s="184">
        <v>9.9999999999999992E-2</v>
      </c>
      <c r="G378" s="187">
        <f t="shared" ref="G378:G388" si="93">D378+E378-F378</f>
        <v>4.6800000000000086</v>
      </c>
      <c r="H378" s="185">
        <f t="shared" ref="H378:H388" si="94">(D378-(F378/2))*(9%/12)</f>
        <v>3.5475000000000062E-2</v>
      </c>
      <c r="I378" s="184">
        <f>L377</f>
        <v>2.3900000000000041</v>
      </c>
      <c r="J378" s="180"/>
      <c r="K378" s="184">
        <v>4.9999999999999996E-2</v>
      </c>
      <c r="L378" s="187">
        <f t="shared" ref="L378:L388" si="95">I378+J378-K378</f>
        <v>2.3400000000000043</v>
      </c>
      <c r="M378" s="185">
        <f t="shared" ref="M378:M388" si="96">(I378-(K378/2))*(9%/12)</f>
        <v>1.7737500000000031E-2</v>
      </c>
    </row>
    <row r="379" spans="1:13" x14ac:dyDescent="0.2">
      <c r="A379" s="403"/>
      <c r="C379" s="179">
        <v>46934</v>
      </c>
      <c r="D379" s="184">
        <f t="shared" ref="D379:D388" si="97">G378</f>
        <v>4.6800000000000086</v>
      </c>
      <c r="E379" s="180"/>
      <c r="F379" s="184">
        <v>9.9999999999999992E-2</v>
      </c>
      <c r="G379" s="187">
        <f t="shared" si="93"/>
        <v>4.580000000000009</v>
      </c>
      <c r="H379" s="185">
        <f t="shared" si="94"/>
        <v>3.4725000000000061E-2</v>
      </c>
      <c r="I379" s="184">
        <f t="shared" ref="I379:I388" si="98">L378</f>
        <v>2.3400000000000043</v>
      </c>
      <c r="J379" s="180"/>
      <c r="K379" s="184">
        <v>4.9999999999999996E-2</v>
      </c>
      <c r="L379" s="187">
        <f t="shared" si="95"/>
        <v>2.2900000000000045</v>
      </c>
      <c r="M379" s="185">
        <f t="shared" si="96"/>
        <v>1.7362500000000031E-2</v>
      </c>
    </row>
    <row r="380" spans="1:13" x14ac:dyDescent="0.2">
      <c r="A380" s="403"/>
      <c r="C380" s="179">
        <v>46965</v>
      </c>
      <c r="D380" s="184">
        <f t="shared" si="97"/>
        <v>4.580000000000009</v>
      </c>
      <c r="E380" s="180"/>
      <c r="F380" s="184">
        <v>9.9999999999999992E-2</v>
      </c>
      <c r="G380" s="187">
        <f t="shared" si="93"/>
        <v>4.4800000000000093</v>
      </c>
      <c r="H380" s="185">
        <f t="shared" si="94"/>
        <v>3.3975000000000068E-2</v>
      </c>
      <c r="I380" s="184">
        <f t="shared" si="98"/>
        <v>2.2900000000000045</v>
      </c>
      <c r="J380" s="180"/>
      <c r="K380" s="184">
        <v>4.9999999999999996E-2</v>
      </c>
      <c r="L380" s="187">
        <f t="shared" si="95"/>
        <v>2.2400000000000047</v>
      </c>
      <c r="M380" s="185">
        <f t="shared" si="96"/>
        <v>1.6987500000000034E-2</v>
      </c>
    </row>
    <row r="381" spans="1:13" x14ac:dyDescent="0.2">
      <c r="A381" s="403"/>
      <c r="C381" s="179">
        <v>46996</v>
      </c>
      <c r="D381" s="184">
        <f t="shared" si="97"/>
        <v>4.4800000000000093</v>
      </c>
      <c r="E381" s="180"/>
      <c r="F381" s="184">
        <v>9.9999999999999992E-2</v>
      </c>
      <c r="G381" s="187">
        <f t="shared" si="93"/>
        <v>4.3800000000000097</v>
      </c>
      <c r="H381" s="185">
        <f t="shared" si="94"/>
        <v>3.3225000000000067E-2</v>
      </c>
      <c r="I381" s="184">
        <f t="shared" si="98"/>
        <v>2.2400000000000047</v>
      </c>
      <c r="J381" s="180"/>
      <c r="K381" s="184">
        <v>4.9999999999999996E-2</v>
      </c>
      <c r="L381" s="187">
        <f t="shared" si="95"/>
        <v>2.1900000000000048</v>
      </c>
      <c r="M381" s="185">
        <f t="shared" si="96"/>
        <v>1.6612500000000033E-2</v>
      </c>
    </row>
    <row r="382" spans="1:13" x14ac:dyDescent="0.2">
      <c r="A382" s="403"/>
      <c r="C382" s="179">
        <v>47026</v>
      </c>
      <c r="D382" s="184">
        <f t="shared" si="97"/>
        <v>4.3800000000000097</v>
      </c>
      <c r="E382" s="180"/>
      <c r="F382" s="184">
        <v>9.9999999999999992E-2</v>
      </c>
      <c r="G382" s="187">
        <f t="shared" si="93"/>
        <v>4.28000000000001</v>
      </c>
      <c r="H382" s="185">
        <f t="shared" si="94"/>
        <v>3.2475000000000073E-2</v>
      </c>
      <c r="I382" s="184">
        <f t="shared" si="98"/>
        <v>2.1900000000000048</v>
      </c>
      <c r="J382" s="180"/>
      <c r="K382" s="184">
        <v>4.9999999999999996E-2</v>
      </c>
      <c r="L382" s="187">
        <f t="shared" si="95"/>
        <v>2.140000000000005</v>
      </c>
      <c r="M382" s="185">
        <f t="shared" si="96"/>
        <v>1.6237500000000037E-2</v>
      </c>
    </row>
    <row r="383" spans="1:13" x14ac:dyDescent="0.2">
      <c r="A383" s="403"/>
      <c r="C383" s="179">
        <v>47057</v>
      </c>
      <c r="D383" s="184">
        <f t="shared" si="97"/>
        <v>4.28000000000001</v>
      </c>
      <c r="E383" s="180"/>
      <c r="F383" s="184">
        <v>9.9999999999999992E-2</v>
      </c>
      <c r="G383" s="187">
        <f t="shared" si="93"/>
        <v>4.1800000000000104</v>
      </c>
      <c r="H383" s="185">
        <f t="shared" si="94"/>
        <v>3.1725000000000073E-2</v>
      </c>
      <c r="I383" s="184">
        <f t="shared" si="98"/>
        <v>2.140000000000005</v>
      </c>
      <c r="J383" s="180"/>
      <c r="K383" s="184">
        <v>4.9999999999999996E-2</v>
      </c>
      <c r="L383" s="187">
        <f t="shared" si="95"/>
        <v>2.0900000000000052</v>
      </c>
      <c r="M383" s="185">
        <f t="shared" si="96"/>
        <v>1.5862500000000036E-2</v>
      </c>
    </row>
    <row r="384" spans="1:13" x14ac:dyDescent="0.2">
      <c r="A384" s="403"/>
      <c r="C384" s="179">
        <v>47087</v>
      </c>
      <c r="D384" s="184">
        <f t="shared" si="97"/>
        <v>4.1800000000000104</v>
      </c>
      <c r="E384" s="180"/>
      <c r="F384" s="184">
        <v>9.9999999999999992E-2</v>
      </c>
      <c r="G384" s="187">
        <f t="shared" si="93"/>
        <v>4.0800000000000107</v>
      </c>
      <c r="H384" s="185">
        <f t="shared" si="94"/>
        <v>3.0975000000000079E-2</v>
      </c>
      <c r="I384" s="184">
        <f t="shared" si="98"/>
        <v>2.0900000000000052</v>
      </c>
      <c r="J384" s="180"/>
      <c r="K384" s="184">
        <v>4.9999999999999996E-2</v>
      </c>
      <c r="L384" s="187">
        <f t="shared" si="95"/>
        <v>2.0400000000000054</v>
      </c>
      <c r="M384" s="185">
        <f t="shared" si="96"/>
        <v>1.5487500000000039E-2</v>
      </c>
    </row>
    <row r="385" spans="1:13" x14ac:dyDescent="0.2">
      <c r="A385" s="403"/>
      <c r="C385" s="179">
        <v>47118</v>
      </c>
      <c r="D385" s="184">
        <f t="shared" si="97"/>
        <v>4.0800000000000107</v>
      </c>
      <c r="E385" s="180"/>
      <c r="F385" s="184">
        <v>9.9999999999999992E-2</v>
      </c>
      <c r="G385" s="187">
        <f t="shared" si="93"/>
        <v>3.9800000000000106</v>
      </c>
      <c r="H385" s="185">
        <f t="shared" si="94"/>
        <v>3.0225000000000082E-2</v>
      </c>
      <c r="I385" s="184">
        <f t="shared" si="98"/>
        <v>2.0400000000000054</v>
      </c>
      <c r="J385" s="180"/>
      <c r="K385" s="184">
        <v>4.9999999999999996E-2</v>
      </c>
      <c r="L385" s="187">
        <f t="shared" si="95"/>
        <v>1.9900000000000053</v>
      </c>
      <c r="M385" s="185">
        <f t="shared" si="96"/>
        <v>1.5112500000000041E-2</v>
      </c>
    </row>
    <row r="386" spans="1:13" x14ac:dyDescent="0.2">
      <c r="A386" s="403"/>
      <c r="C386" s="179">
        <v>47149</v>
      </c>
      <c r="D386" s="184">
        <f t="shared" si="97"/>
        <v>3.9800000000000106</v>
      </c>
      <c r="E386" s="180"/>
      <c r="F386" s="184">
        <v>9.9999999999999992E-2</v>
      </c>
      <c r="G386" s="187">
        <f t="shared" si="93"/>
        <v>3.8800000000000106</v>
      </c>
      <c r="H386" s="185">
        <f t="shared" si="94"/>
        <v>2.9475000000000081E-2</v>
      </c>
      <c r="I386" s="184">
        <f t="shared" si="98"/>
        <v>1.9900000000000053</v>
      </c>
      <c r="J386" s="180"/>
      <c r="K386" s="184">
        <v>4.9999999999999996E-2</v>
      </c>
      <c r="L386" s="187">
        <f t="shared" si="95"/>
        <v>1.9400000000000053</v>
      </c>
      <c r="M386" s="185">
        <f t="shared" si="96"/>
        <v>1.473750000000004E-2</v>
      </c>
    </row>
    <row r="387" spans="1:13" x14ac:dyDescent="0.2">
      <c r="A387" s="403"/>
      <c r="C387" s="179">
        <v>47177</v>
      </c>
      <c r="D387" s="184">
        <f t="shared" si="97"/>
        <v>3.8800000000000106</v>
      </c>
      <c r="E387" s="180"/>
      <c r="F387" s="184">
        <v>9.9999999999999992E-2</v>
      </c>
      <c r="G387" s="187">
        <f t="shared" si="93"/>
        <v>3.7800000000000105</v>
      </c>
      <c r="H387" s="185">
        <f t="shared" si="94"/>
        <v>2.872500000000008E-2</v>
      </c>
      <c r="I387" s="184">
        <f t="shared" si="98"/>
        <v>1.9400000000000053</v>
      </c>
      <c r="J387" s="180"/>
      <c r="K387" s="184">
        <v>4.9999999999999996E-2</v>
      </c>
      <c r="L387" s="187">
        <f t="shared" si="95"/>
        <v>1.8900000000000052</v>
      </c>
      <c r="M387" s="185">
        <f t="shared" si="96"/>
        <v>1.436250000000004E-2</v>
      </c>
    </row>
    <row r="388" spans="1:13" x14ac:dyDescent="0.2">
      <c r="A388" s="403"/>
      <c r="C388" s="179">
        <v>47208</v>
      </c>
      <c r="D388" s="184">
        <f t="shared" si="97"/>
        <v>3.7800000000000105</v>
      </c>
      <c r="E388" s="180"/>
      <c r="F388" s="184">
        <v>9.9999999999999992E-2</v>
      </c>
      <c r="G388" s="187">
        <f t="shared" si="93"/>
        <v>3.6800000000000104</v>
      </c>
      <c r="H388" s="185">
        <f t="shared" si="94"/>
        <v>2.797500000000008E-2</v>
      </c>
      <c r="I388" s="184">
        <f t="shared" si="98"/>
        <v>1.8900000000000052</v>
      </c>
      <c r="J388" s="180"/>
      <c r="K388" s="184">
        <v>4.9999999999999996E-2</v>
      </c>
      <c r="L388" s="187">
        <f t="shared" si="95"/>
        <v>1.8400000000000052</v>
      </c>
      <c r="M388" s="185">
        <f t="shared" si="96"/>
        <v>1.398750000000004E-2</v>
      </c>
    </row>
    <row r="389" spans="1:13" x14ac:dyDescent="0.2">
      <c r="A389" s="403"/>
      <c r="C389" s="167"/>
      <c r="D389" s="231" t="s">
        <v>454</v>
      </c>
      <c r="E389" s="174">
        <v>0</v>
      </c>
      <c r="F389" s="174">
        <f>SUM(F377:F388)</f>
        <v>1.2</v>
      </c>
      <c r="G389" s="149"/>
      <c r="H389" s="162">
        <f>SUM(H377:H388)</f>
        <v>0.38520000000000082</v>
      </c>
      <c r="I389" s="231" t="s">
        <v>454</v>
      </c>
      <c r="J389" s="174">
        <v>0</v>
      </c>
      <c r="K389" s="174">
        <f>SUM(K377:K388)</f>
        <v>0.6</v>
      </c>
      <c r="L389" s="149"/>
      <c r="M389" s="162">
        <f>SUM(M377:M388)</f>
        <v>0.19260000000000041</v>
      </c>
    </row>
    <row r="390" spans="1:13" ht="12" customHeight="1" x14ac:dyDescent="0.2">
      <c r="A390" s="403"/>
      <c r="C390" s="197" t="s">
        <v>864</v>
      </c>
      <c r="D390" s="520" t="s">
        <v>518</v>
      </c>
      <c r="E390" s="521" t="s">
        <v>865</v>
      </c>
      <c r="F390" s="521" t="s">
        <v>866</v>
      </c>
      <c r="G390" s="520" t="s">
        <v>906</v>
      </c>
      <c r="H390" s="198" t="s">
        <v>867</v>
      </c>
      <c r="I390" s="520" t="s">
        <v>518</v>
      </c>
      <c r="J390" s="521" t="s">
        <v>865</v>
      </c>
      <c r="K390" s="521" t="s">
        <v>866</v>
      </c>
      <c r="L390" s="520" t="s">
        <v>906</v>
      </c>
      <c r="M390" s="198" t="s">
        <v>867</v>
      </c>
    </row>
    <row r="391" spans="1:13" x14ac:dyDescent="0.2">
      <c r="A391" s="403"/>
      <c r="C391" s="186">
        <v>47238</v>
      </c>
      <c r="D391" s="189">
        <f>G388</f>
        <v>3.6800000000000104</v>
      </c>
      <c r="E391" s="193"/>
      <c r="F391" s="189">
        <v>0.12</v>
      </c>
      <c r="G391" s="187">
        <f t="shared" ref="G391" si="99">D391+E391-F391</f>
        <v>3.5600000000000103</v>
      </c>
      <c r="H391" s="185">
        <f t="shared" ref="H391" si="100">(D391-(F391/2))*(9%/12)</f>
        <v>2.7150000000000077E-2</v>
      </c>
      <c r="I391" s="189">
        <f>L388</f>
        <v>1.8400000000000052</v>
      </c>
      <c r="J391" s="193"/>
      <c r="K391" s="189">
        <v>0.06</v>
      </c>
      <c r="L391" s="187">
        <f t="shared" ref="L391" si="101">I391+J391-K391</f>
        <v>1.7800000000000051</v>
      </c>
      <c r="M391" s="185">
        <f t="shared" ref="M391" si="102">(I391-(K391/2))*(9%/12)</f>
        <v>1.3575000000000038E-2</v>
      </c>
    </row>
    <row r="392" spans="1:13" x14ac:dyDescent="0.2">
      <c r="A392" s="403"/>
      <c r="C392" s="179">
        <v>47269</v>
      </c>
      <c r="D392" s="184">
        <f>G391</f>
        <v>3.5600000000000103</v>
      </c>
      <c r="E392" s="180"/>
      <c r="F392" s="184">
        <v>0.12</v>
      </c>
      <c r="G392" s="187">
        <f t="shared" ref="G392:G402" si="103">D392+E392-F392</f>
        <v>3.4400000000000102</v>
      </c>
      <c r="H392" s="185">
        <f t="shared" ref="H392:H402" si="104">(D392-(F392/2))*(9%/12)</f>
        <v>2.6250000000000075E-2</v>
      </c>
      <c r="I392" s="184">
        <f>L391</f>
        <v>1.7800000000000051</v>
      </c>
      <c r="J392" s="180"/>
      <c r="K392" s="184">
        <v>0.06</v>
      </c>
      <c r="L392" s="187">
        <f t="shared" ref="L392:L402" si="105">I392+J392-K392</f>
        <v>1.7200000000000051</v>
      </c>
      <c r="M392" s="185">
        <f t="shared" ref="M392:M402" si="106">(I392-(K392/2))*(9%/12)</f>
        <v>1.3125000000000038E-2</v>
      </c>
    </row>
    <row r="393" spans="1:13" x14ac:dyDescent="0.2">
      <c r="A393" s="403"/>
      <c r="C393" s="179">
        <v>47299</v>
      </c>
      <c r="D393" s="184">
        <f t="shared" ref="D393:D402" si="107">G392</f>
        <v>3.4400000000000102</v>
      </c>
      <c r="E393" s="180"/>
      <c r="F393" s="184">
        <v>0.12</v>
      </c>
      <c r="G393" s="187">
        <f t="shared" si="103"/>
        <v>3.3200000000000101</v>
      </c>
      <c r="H393" s="185">
        <f t="shared" si="104"/>
        <v>2.5350000000000074E-2</v>
      </c>
      <c r="I393" s="184">
        <f t="shared" ref="I393:I402" si="108">L392</f>
        <v>1.7200000000000051</v>
      </c>
      <c r="J393" s="180"/>
      <c r="K393" s="184">
        <v>0.06</v>
      </c>
      <c r="L393" s="187">
        <f t="shared" si="105"/>
        <v>1.660000000000005</v>
      </c>
      <c r="M393" s="185">
        <f t="shared" si="106"/>
        <v>1.2675000000000037E-2</v>
      </c>
    </row>
    <row r="394" spans="1:13" x14ac:dyDescent="0.2">
      <c r="A394" s="403"/>
      <c r="C394" s="179">
        <v>47330</v>
      </c>
      <c r="D394" s="184">
        <f t="shared" si="107"/>
        <v>3.3200000000000101</v>
      </c>
      <c r="E394" s="180"/>
      <c r="F394" s="184">
        <v>0.12</v>
      </c>
      <c r="G394" s="187">
        <f t="shared" si="103"/>
        <v>3.2000000000000099</v>
      </c>
      <c r="H394" s="185">
        <f t="shared" si="104"/>
        <v>2.4450000000000072E-2</v>
      </c>
      <c r="I394" s="184">
        <f t="shared" si="108"/>
        <v>1.660000000000005</v>
      </c>
      <c r="J394" s="180"/>
      <c r="K394" s="184">
        <v>0.06</v>
      </c>
      <c r="L394" s="187">
        <f t="shared" si="105"/>
        <v>1.600000000000005</v>
      </c>
      <c r="M394" s="185">
        <f t="shared" si="106"/>
        <v>1.2225000000000036E-2</v>
      </c>
    </row>
    <row r="395" spans="1:13" x14ac:dyDescent="0.2">
      <c r="A395" s="403"/>
      <c r="C395" s="179">
        <v>47361</v>
      </c>
      <c r="D395" s="184">
        <f t="shared" si="107"/>
        <v>3.2000000000000099</v>
      </c>
      <c r="E395" s="180"/>
      <c r="F395" s="184">
        <v>0.12</v>
      </c>
      <c r="G395" s="187">
        <f t="shared" si="103"/>
        <v>3.0800000000000098</v>
      </c>
      <c r="H395" s="185">
        <f t="shared" si="104"/>
        <v>2.3550000000000074E-2</v>
      </c>
      <c r="I395" s="184">
        <f t="shared" si="108"/>
        <v>1.600000000000005</v>
      </c>
      <c r="J395" s="180"/>
      <c r="K395" s="184">
        <v>0.06</v>
      </c>
      <c r="L395" s="187">
        <f t="shared" si="105"/>
        <v>1.5400000000000049</v>
      </c>
      <c r="M395" s="185">
        <f t="shared" si="106"/>
        <v>1.1775000000000037E-2</v>
      </c>
    </row>
    <row r="396" spans="1:13" x14ac:dyDescent="0.2">
      <c r="A396" s="403"/>
      <c r="C396" s="179">
        <v>47391</v>
      </c>
      <c r="D396" s="184">
        <f t="shared" si="107"/>
        <v>3.0800000000000098</v>
      </c>
      <c r="E396" s="180"/>
      <c r="F396" s="184">
        <v>0.12</v>
      </c>
      <c r="G396" s="187">
        <f t="shared" si="103"/>
        <v>2.9600000000000097</v>
      </c>
      <c r="H396" s="185">
        <f t="shared" si="104"/>
        <v>2.2650000000000073E-2</v>
      </c>
      <c r="I396" s="184">
        <f t="shared" si="108"/>
        <v>1.5400000000000049</v>
      </c>
      <c r="J396" s="180"/>
      <c r="K396" s="184">
        <v>0.06</v>
      </c>
      <c r="L396" s="187">
        <f t="shared" si="105"/>
        <v>1.4800000000000049</v>
      </c>
      <c r="M396" s="185">
        <f t="shared" si="106"/>
        <v>1.1325000000000036E-2</v>
      </c>
    </row>
    <row r="397" spans="1:13" x14ac:dyDescent="0.2">
      <c r="A397" s="403"/>
      <c r="C397" s="179">
        <v>47422</v>
      </c>
      <c r="D397" s="184">
        <f t="shared" si="107"/>
        <v>2.9600000000000097</v>
      </c>
      <c r="E397" s="180"/>
      <c r="F397" s="184">
        <v>0.12</v>
      </c>
      <c r="G397" s="187">
        <f t="shared" si="103"/>
        <v>2.8400000000000096</v>
      </c>
      <c r="H397" s="185">
        <f t="shared" si="104"/>
        <v>2.1750000000000071E-2</v>
      </c>
      <c r="I397" s="184">
        <f t="shared" si="108"/>
        <v>1.4800000000000049</v>
      </c>
      <c r="J397" s="180"/>
      <c r="K397" s="184">
        <v>0.06</v>
      </c>
      <c r="L397" s="187">
        <f t="shared" si="105"/>
        <v>1.4200000000000048</v>
      </c>
      <c r="M397" s="185">
        <f t="shared" si="106"/>
        <v>1.0875000000000036E-2</v>
      </c>
    </row>
    <row r="398" spans="1:13" x14ac:dyDescent="0.2">
      <c r="A398" s="403"/>
      <c r="C398" s="179">
        <v>47452</v>
      </c>
      <c r="D398" s="184">
        <f t="shared" si="107"/>
        <v>2.8400000000000096</v>
      </c>
      <c r="E398" s="180"/>
      <c r="F398" s="184">
        <v>0.12</v>
      </c>
      <c r="G398" s="187">
        <f t="shared" si="103"/>
        <v>2.7200000000000095</v>
      </c>
      <c r="H398" s="185">
        <f t="shared" si="104"/>
        <v>2.085000000000007E-2</v>
      </c>
      <c r="I398" s="184">
        <f t="shared" si="108"/>
        <v>1.4200000000000048</v>
      </c>
      <c r="J398" s="180"/>
      <c r="K398" s="184">
        <v>0.06</v>
      </c>
      <c r="L398" s="187">
        <f t="shared" si="105"/>
        <v>1.3600000000000048</v>
      </c>
      <c r="M398" s="185">
        <f t="shared" si="106"/>
        <v>1.0425000000000035E-2</v>
      </c>
    </row>
    <row r="399" spans="1:13" x14ac:dyDescent="0.2">
      <c r="A399" s="403"/>
      <c r="C399" s="179">
        <v>47483</v>
      </c>
      <c r="D399" s="184">
        <f t="shared" si="107"/>
        <v>2.7200000000000095</v>
      </c>
      <c r="E399" s="180"/>
      <c r="F399" s="184">
        <v>0.12</v>
      </c>
      <c r="G399" s="187">
        <f t="shared" si="103"/>
        <v>2.6000000000000094</v>
      </c>
      <c r="H399" s="185">
        <f t="shared" si="104"/>
        <v>1.9950000000000072E-2</v>
      </c>
      <c r="I399" s="184">
        <f t="shared" si="108"/>
        <v>1.3600000000000048</v>
      </c>
      <c r="J399" s="180"/>
      <c r="K399" s="184">
        <v>0.06</v>
      </c>
      <c r="L399" s="187">
        <f t="shared" si="105"/>
        <v>1.3000000000000047</v>
      </c>
      <c r="M399" s="185">
        <f t="shared" si="106"/>
        <v>9.9750000000000359E-3</v>
      </c>
    </row>
    <row r="400" spans="1:13" x14ac:dyDescent="0.2">
      <c r="A400" s="403"/>
      <c r="C400" s="179">
        <v>47514</v>
      </c>
      <c r="D400" s="184">
        <f t="shared" si="107"/>
        <v>2.6000000000000094</v>
      </c>
      <c r="E400" s="180"/>
      <c r="F400" s="184">
        <v>0.12</v>
      </c>
      <c r="G400" s="187">
        <f t="shared" si="103"/>
        <v>2.4800000000000093</v>
      </c>
      <c r="H400" s="185">
        <f t="shared" si="104"/>
        <v>1.905000000000007E-2</v>
      </c>
      <c r="I400" s="184">
        <f t="shared" si="108"/>
        <v>1.3000000000000047</v>
      </c>
      <c r="J400" s="180"/>
      <c r="K400" s="184">
        <v>0.06</v>
      </c>
      <c r="L400" s="187">
        <f t="shared" si="105"/>
        <v>1.2400000000000047</v>
      </c>
      <c r="M400" s="185">
        <f t="shared" si="106"/>
        <v>9.5250000000000352E-3</v>
      </c>
    </row>
    <row r="401" spans="1:13" x14ac:dyDescent="0.2">
      <c r="A401" s="403"/>
      <c r="C401" s="179">
        <v>47542</v>
      </c>
      <c r="D401" s="184">
        <f t="shared" si="107"/>
        <v>2.4800000000000093</v>
      </c>
      <c r="E401" s="180"/>
      <c r="F401" s="184">
        <v>0.12</v>
      </c>
      <c r="G401" s="187">
        <f t="shared" si="103"/>
        <v>2.3600000000000092</v>
      </c>
      <c r="H401" s="185">
        <f t="shared" si="104"/>
        <v>1.8150000000000069E-2</v>
      </c>
      <c r="I401" s="184">
        <f t="shared" si="108"/>
        <v>1.2400000000000047</v>
      </c>
      <c r="J401" s="180"/>
      <c r="K401" s="184">
        <v>0.06</v>
      </c>
      <c r="L401" s="187">
        <f t="shared" si="105"/>
        <v>1.1800000000000046</v>
      </c>
      <c r="M401" s="185">
        <f t="shared" si="106"/>
        <v>9.0750000000000344E-3</v>
      </c>
    </row>
    <row r="402" spans="1:13" x14ac:dyDescent="0.2">
      <c r="A402" s="403"/>
      <c r="C402" s="179">
        <v>47573</v>
      </c>
      <c r="D402" s="184">
        <f t="shared" si="107"/>
        <v>2.3600000000000092</v>
      </c>
      <c r="E402" s="180"/>
      <c r="F402" s="184">
        <v>0.12</v>
      </c>
      <c r="G402" s="187">
        <f t="shared" si="103"/>
        <v>2.2400000000000091</v>
      </c>
      <c r="H402" s="185">
        <f t="shared" si="104"/>
        <v>1.7250000000000067E-2</v>
      </c>
      <c r="I402" s="184">
        <f t="shared" si="108"/>
        <v>1.1800000000000046</v>
      </c>
      <c r="J402" s="180"/>
      <c r="K402" s="184">
        <v>0.06</v>
      </c>
      <c r="L402" s="187">
        <f t="shared" si="105"/>
        <v>1.1200000000000045</v>
      </c>
      <c r="M402" s="185">
        <f t="shared" si="106"/>
        <v>8.6250000000000337E-3</v>
      </c>
    </row>
    <row r="403" spans="1:13" x14ac:dyDescent="0.2">
      <c r="A403" s="403"/>
      <c r="C403" s="167"/>
      <c r="D403" s="231" t="s">
        <v>454</v>
      </c>
      <c r="E403" s="174">
        <v>0</v>
      </c>
      <c r="F403" s="174">
        <f>SUM(F391:F402)</f>
        <v>1.4400000000000004</v>
      </c>
      <c r="G403" s="149"/>
      <c r="H403" s="162">
        <f>SUM(H391:H402)</f>
        <v>0.26640000000000086</v>
      </c>
      <c r="I403" s="231" t="s">
        <v>454</v>
      </c>
      <c r="J403" s="174">
        <v>0</v>
      </c>
      <c r="K403" s="174">
        <f>SUM(K391:K402)</f>
        <v>0.7200000000000002</v>
      </c>
      <c r="L403" s="149"/>
      <c r="M403" s="162">
        <f>SUM(M391:M402)</f>
        <v>0.13320000000000043</v>
      </c>
    </row>
    <row r="404" spans="1:13" x14ac:dyDescent="0.2">
      <c r="A404" s="403"/>
      <c r="C404" s="569"/>
      <c r="D404" s="570"/>
      <c r="F404" s="175"/>
      <c r="H404" s="175"/>
      <c r="L404" s="175"/>
      <c r="M404" s="575"/>
    </row>
    <row r="405" spans="1:13" x14ac:dyDescent="0.2">
      <c r="A405" s="403"/>
      <c r="C405" s="569"/>
      <c r="D405" s="570"/>
      <c r="F405" s="175"/>
      <c r="H405" s="175"/>
      <c r="L405" s="175"/>
      <c r="M405" s="575"/>
    </row>
    <row r="406" spans="1:13" x14ac:dyDescent="0.2">
      <c r="A406" s="403"/>
      <c r="C406" s="569"/>
      <c r="D406" s="570"/>
      <c r="F406" s="175"/>
      <c r="H406" s="175"/>
      <c r="L406" s="175"/>
      <c r="M406" s="575"/>
    </row>
    <row r="407" spans="1:13" x14ac:dyDescent="0.2">
      <c r="A407" s="403"/>
      <c r="C407" s="569"/>
      <c r="D407" s="570"/>
      <c r="F407" s="175"/>
      <c r="H407" s="175"/>
      <c r="L407" s="175"/>
      <c r="M407" s="575"/>
    </row>
    <row r="408" spans="1:13" x14ac:dyDescent="0.2">
      <c r="A408" s="404"/>
      <c r="B408" s="390"/>
      <c r="C408" s="411"/>
      <c r="D408" s="412"/>
      <c r="E408" s="245"/>
      <c r="F408" s="405"/>
      <c r="G408" s="245"/>
      <c r="H408" s="405"/>
      <c r="I408" s="245"/>
      <c r="J408" s="245"/>
      <c r="K408" s="245"/>
      <c r="L408" s="405"/>
      <c r="M408" s="574"/>
    </row>
    <row r="409" spans="1:13" x14ac:dyDescent="0.2">
      <c r="A409" s="404"/>
      <c r="B409" s="390"/>
      <c r="C409" s="411"/>
      <c r="D409" s="412"/>
      <c r="E409" s="245"/>
      <c r="F409" s="405"/>
      <c r="G409" s="245"/>
      <c r="H409" s="405"/>
      <c r="I409" s="245"/>
      <c r="J409" s="245"/>
      <c r="K409" s="245"/>
      <c r="L409" s="405"/>
      <c r="M409" s="405"/>
    </row>
    <row r="410" spans="1:13" x14ac:dyDescent="0.2">
      <c r="A410" s="736" t="s">
        <v>843</v>
      </c>
      <c r="B410" s="737"/>
      <c r="C410" s="737"/>
      <c r="D410" s="737"/>
      <c r="E410" s="737"/>
      <c r="F410" s="737"/>
      <c r="G410" s="737"/>
      <c r="H410" s="737"/>
      <c r="I410" s="737"/>
      <c r="J410" s="737"/>
      <c r="K410" s="737"/>
      <c r="L410" s="737"/>
      <c r="M410" s="738"/>
    </row>
    <row r="411" spans="1:13" x14ac:dyDescent="0.2">
      <c r="A411" s="743" t="s">
        <v>845</v>
      </c>
      <c r="B411" s="744"/>
      <c r="C411" s="744"/>
      <c r="D411" s="744"/>
      <c r="E411" s="744"/>
      <c r="F411" s="744"/>
      <c r="G411" s="744"/>
      <c r="H411" s="744"/>
      <c r="I411" s="744"/>
      <c r="J411" s="744"/>
      <c r="K411" s="744"/>
      <c r="L411" s="744"/>
      <c r="M411" s="745"/>
    </row>
    <row r="412" spans="1:13" x14ac:dyDescent="0.2">
      <c r="A412" s="743" t="s">
        <v>844</v>
      </c>
      <c r="B412" s="744"/>
      <c r="C412" s="744"/>
      <c r="D412" s="744"/>
      <c r="E412" s="744"/>
      <c r="F412" s="744"/>
      <c r="G412" s="744"/>
      <c r="H412" s="744"/>
      <c r="I412" s="744"/>
      <c r="J412" s="744"/>
      <c r="K412" s="744"/>
      <c r="L412" s="744"/>
      <c r="M412" s="745"/>
    </row>
    <row r="413" spans="1:13" x14ac:dyDescent="0.2">
      <c r="A413" s="743" t="s">
        <v>1139</v>
      </c>
      <c r="B413" s="744"/>
      <c r="C413" s="744"/>
      <c r="D413" s="744"/>
      <c r="E413" s="744"/>
      <c r="F413" s="744"/>
      <c r="G413" s="744"/>
      <c r="H413" s="744"/>
      <c r="I413" s="744"/>
      <c r="J413" s="744"/>
      <c r="K413" s="744"/>
      <c r="L413" s="744"/>
      <c r="M413" s="745"/>
    </row>
    <row r="414" spans="1:13" x14ac:dyDescent="0.2">
      <c r="A414" s="403"/>
      <c r="C414" s="569"/>
      <c r="D414" s="570"/>
      <c r="F414" s="175"/>
      <c r="H414" s="175"/>
      <c r="L414" s="175"/>
      <c r="M414" s="575"/>
    </row>
    <row r="415" spans="1:13" ht="12" customHeight="1" x14ac:dyDescent="0.2">
      <c r="A415" s="403"/>
      <c r="C415" s="197" t="s">
        <v>864</v>
      </c>
      <c r="D415" s="520" t="s">
        <v>518</v>
      </c>
      <c r="E415" s="521" t="s">
        <v>865</v>
      </c>
      <c r="F415" s="521" t="s">
        <v>866</v>
      </c>
      <c r="G415" s="520" t="s">
        <v>906</v>
      </c>
      <c r="H415" s="198" t="s">
        <v>867</v>
      </c>
      <c r="I415" s="520" t="s">
        <v>518</v>
      </c>
      <c r="J415" s="521" t="s">
        <v>865</v>
      </c>
      <c r="K415" s="521" t="s">
        <v>866</v>
      </c>
      <c r="L415" s="520" t="s">
        <v>906</v>
      </c>
      <c r="M415" s="198" t="s">
        <v>867</v>
      </c>
    </row>
    <row r="416" spans="1:13" x14ac:dyDescent="0.2">
      <c r="A416" s="403"/>
      <c r="C416" s="186">
        <v>47603</v>
      </c>
      <c r="D416" s="189">
        <f>G402</f>
        <v>2.2400000000000091</v>
      </c>
      <c r="E416" s="193"/>
      <c r="F416" s="189">
        <v>0.12</v>
      </c>
      <c r="G416" s="187">
        <f t="shared" ref="G416" si="109">D416+E416-F416</f>
        <v>2.120000000000009</v>
      </c>
      <c r="H416" s="185">
        <f t="shared" ref="H416" si="110">(D416-(F416/2))*(9%/12)</f>
        <v>1.6350000000000066E-2</v>
      </c>
      <c r="I416" s="189">
        <f>L402</f>
        <v>1.1200000000000045</v>
      </c>
      <c r="J416" s="193"/>
      <c r="K416" s="189">
        <v>0.06</v>
      </c>
      <c r="L416" s="187">
        <f t="shared" ref="L416" si="111">I416+J416-K416</f>
        <v>1.0600000000000045</v>
      </c>
      <c r="M416" s="185">
        <f t="shared" ref="M416" si="112">(I416-(K416/2))*(9%/12)</f>
        <v>8.1750000000000329E-3</v>
      </c>
    </row>
    <row r="417" spans="1:13" x14ac:dyDescent="0.2">
      <c r="A417" s="403"/>
      <c r="C417" s="179">
        <v>47634</v>
      </c>
      <c r="D417" s="184">
        <f>G416</f>
        <v>2.120000000000009</v>
      </c>
      <c r="E417" s="180"/>
      <c r="F417" s="184">
        <v>0.12</v>
      </c>
      <c r="G417" s="187">
        <f t="shared" ref="G417:G427" si="113">D417+E417-F417</f>
        <v>2.0000000000000089</v>
      </c>
      <c r="H417" s="185">
        <f t="shared" ref="H417:H427" si="114">(D417-(F417/2))*(9%/12)</f>
        <v>1.5450000000000066E-2</v>
      </c>
      <c r="I417" s="184">
        <f>L416</f>
        <v>1.0600000000000045</v>
      </c>
      <c r="J417" s="180"/>
      <c r="K417" s="184">
        <v>0.06</v>
      </c>
      <c r="L417" s="187">
        <f t="shared" ref="L417:L427" si="115">I417+J417-K417</f>
        <v>1.0000000000000044</v>
      </c>
      <c r="M417" s="185">
        <f t="shared" ref="M417:M427" si="116">(I417-(K417/2))*(9%/12)</f>
        <v>7.7250000000000331E-3</v>
      </c>
    </row>
    <row r="418" spans="1:13" x14ac:dyDescent="0.2">
      <c r="A418" s="403"/>
      <c r="C418" s="179">
        <v>47664</v>
      </c>
      <c r="D418" s="184">
        <f t="shared" ref="D418:D427" si="117">G417</f>
        <v>2.0000000000000089</v>
      </c>
      <c r="E418" s="180"/>
      <c r="F418" s="184">
        <v>0.12</v>
      </c>
      <c r="G418" s="187">
        <f t="shared" si="113"/>
        <v>1.8800000000000088</v>
      </c>
      <c r="H418" s="185">
        <f t="shared" si="114"/>
        <v>1.4550000000000066E-2</v>
      </c>
      <c r="I418" s="184">
        <f t="shared" ref="I418:I427" si="118">L417</f>
        <v>1.0000000000000044</v>
      </c>
      <c r="J418" s="180"/>
      <c r="K418" s="184">
        <v>0.06</v>
      </c>
      <c r="L418" s="187">
        <f t="shared" si="115"/>
        <v>0.94000000000000439</v>
      </c>
      <c r="M418" s="185">
        <f t="shared" si="116"/>
        <v>7.2750000000000332E-3</v>
      </c>
    </row>
    <row r="419" spans="1:13" x14ac:dyDescent="0.2">
      <c r="A419" s="403"/>
      <c r="C419" s="179">
        <v>47695</v>
      </c>
      <c r="D419" s="184">
        <f t="shared" si="117"/>
        <v>1.8800000000000088</v>
      </c>
      <c r="E419" s="180"/>
      <c r="F419" s="184">
        <v>0.12</v>
      </c>
      <c r="G419" s="187">
        <f t="shared" si="113"/>
        <v>1.7600000000000087</v>
      </c>
      <c r="H419" s="185">
        <f t="shared" si="114"/>
        <v>1.3650000000000065E-2</v>
      </c>
      <c r="I419" s="184">
        <f t="shared" si="118"/>
        <v>0.94000000000000439</v>
      </c>
      <c r="J419" s="180"/>
      <c r="K419" s="184">
        <v>0.06</v>
      </c>
      <c r="L419" s="187">
        <f t="shared" si="115"/>
        <v>0.88000000000000433</v>
      </c>
      <c r="M419" s="185">
        <f t="shared" si="116"/>
        <v>6.8250000000000324E-3</v>
      </c>
    </row>
    <row r="420" spans="1:13" x14ac:dyDescent="0.2">
      <c r="A420" s="403"/>
      <c r="C420" s="179">
        <v>47726</v>
      </c>
      <c r="D420" s="184">
        <f t="shared" si="117"/>
        <v>1.7600000000000087</v>
      </c>
      <c r="E420" s="180"/>
      <c r="F420" s="184">
        <v>0.12</v>
      </c>
      <c r="G420" s="187">
        <f t="shared" si="113"/>
        <v>1.6400000000000086</v>
      </c>
      <c r="H420" s="185">
        <f t="shared" si="114"/>
        <v>1.2750000000000063E-2</v>
      </c>
      <c r="I420" s="184">
        <f t="shared" si="118"/>
        <v>0.88000000000000433</v>
      </c>
      <c r="J420" s="180"/>
      <c r="K420" s="184">
        <v>0.06</v>
      </c>
      <c r="L420" s="187">
        <f t="shared" si="115"/>
        <v>0.82000000000000428</v>
      </c>
      <c r="M420" s="185">
        <f t="shared" si="116"/>
        <v>6.3750000000000317E-3</v>
      </c>
    </row>
    <row r="421" spans="1:13" x14ac:dyDescent="0.2">
      <c r="A421" s="403"/>
      <c r="C421" s="179">
        <v>47756</v>
      </c>
      <c r="D421" s="184">
        <f t="shared" si="117"/>
        <v>1.6400000000000086</v>
      </c>
      <c r="E421" s="180"/>
      <c r="F421" s="184">
        <v>0.12</v>
      </c>
      <c r="G421" s="187">
        <f t="shared" si="113"/>
        <v>1.5200000000000085</v>
      </c>
      <c r="H421" s="185">
        <f t="shared" si="114"/>
        <v>1.1850000000000064E-2</v>
      </c>
      <c r="I421" s="184">
        <f t="shared" si="118"/>
        <v>0.82000000000000428</v>
      </c>
      <c r="J421" s="180"/>
      <c r="K421" s="184">
        <v>0.06</v>
      </c>
      <c r="L421" s="187">
        <f t="shared" si="115"/>
        <v>0.76000000000000423</v>
      </c>
      <c r="M421" s="185">
        <f t="shared" si="116"/>
        <v>5.9250000000000318E-3</v>
      </c>
    </row>
    <row r="422" spans="1:13" x14ac:dyDescent="0.2">
      <c r="A422" s="403"/>
      <c r="C422" s="179">
        <v>47787</v>
      </c>
      <c r="D422" s="184">
        <f t="shared" si="117"/>
        <v>1.5200000000000085</v>
      </c>
      <c r="E422" s="180"/>
      <c r="F422" s="184">
        <v>0.12</v>
      </c>
      <c r="G422" s="187">
        <f t="shared" si="113"/>
        <v>1.4000000000000083</v>
      </c>
      <c r="H422" s="185">
        <f t="shared" si="114"/>
        <v>1.0950000000000062E-2</v>
      </c>
      <c r="I422" s="184">
        <f t="shared" si="118"/>
        <v>0.76000000000000423</v>
      </c>
      <c r="J422" s="180"/>
      <c r="K422" s="184">
        <v>0.06</v>
      </c>
      <c r="L422" s="187">
        <f t="shared" si="115"/>
        <v>0.70000000000000417</v>
      </c>
      <c r="M422" s="185">
        <f t="shared" si="116"/>
        <v>5.4750000000000311E-3</v>
      </c>
    </row>
    <row r="423" spans="1:13" x14ac:dyDescent="0.2">
      <c r="A423" s="403"/>
      <c r="C423" s="179">
        <v>47817</v>
      </c>
      <c r="D423" s="184">
        <f t="shared" si="117"/>
        <v>1.4000000000000083</v>
      </c>
      <c r="E423" s="180"/>
      <c r="F423" s="184">
        <v>0.12</v>
      </c>
      <c r="G423" s="187">
        <f t="shared" si="113"/>
        <v>1.2800000000000082</v>
      </c>
      <c r="H423" s="185">
        <f t="shared" si="114"/>
        <v>1.0050000000000062E-2</v>
      </c>
      <c r="I423" s="184">
        <f t="shared" si="118"/>
        <v>0.70000000000000417</v>
      </c>
      <c r="J423" s="180"/>
      <c r="K423" s="184">
        <v>0.06</v>
      </c>
      <c r="L423" s="187">
        <f t="shared" si="115"/>
        <v>0.64000000000000412</v>
      </c>
      <c r="M423" s="185">
        <f t="shared" si="116"/>
        <v>5.0250000000000312E-3</v>
      </c>
    </row>
    <row r="424" spans="1:13" x14ac:dyDescent="0.2">
      <c r="A424" s="403"/>
      <c r="C424" s="179">
        <v>47848</v>
      </c>
      <c r="D424" s="184">
        <f t="shared" si="117"/>
        <v>1.2800000000000082</v>
      </c>
      <c r="E424" s="180"/>
      <c r="F424" s="184">
        <v>0.12</v>
      </c>
      <c r="G424" s="187">
        <f t="shared" si="113"/>
        <v>1.1600000000000081</v>
      </c>
      <c r="H424" s="185">
        <f t="shared" si="114"/>
        <v>9.1500000000000609E-3</v>
      </c>
      <c r="I424" s="184">
        <f t="shared" si="118"/>
        <v>0.64000000000000412</v>
      </c>
      <c r="J424" s="180"/>
      <c r="K424" s="184">
        <v>0.06</v>
      </c>
      <c r="L424" s="187">
        <f t="shared" si="115"/>
        <v>0.58000000000000407</v>
      </c>
      <c r="M424" s="185">
        <f t="shared" si="116"/>
        <v>4.5750000000000304E-3</v>
      </c>
    </row>
    <row r="425" spans="1:13" x14ac:dyDescent="0.2">
      <c r="A425" s="403"/>
      <c r="C425" s="179">
        <v>47879</v>
      </c>
      <c r="D425" s="184">
        <f t="shared" si="117"/>
        <v>1.1600000000000081</v>
      </c>
      <c r="E425" s="180"/>
      <c r="F425" s="184">
        <v>0.12</v>
      </c>
      <c r="G425" s="187">
        <f t="shared" si="113"/>
        <v>1.040000000000008</v>
      </c>
      <c r="H425" s="185">
        <f t="shared" si="114"/>
        <v>8.2500000000000611E-3</v>
      </c>
      <c r="I425" s="184">
        <f t="shared" si="118"/>
        <v>0.58000000000000407</v>
      </c>
      <c r="J425" s="180"/>
      <c r="K425" s="184">
        <v>0.06</v>
      </c>
      <c r="L425" s="187">
        <f t="shared" si="115"/>
        <v>0.52000000000000401</v>
      </c>
      <c r="M425" s="185">
        <f t="shared" si="116"/>
        <v>4.1250000000000306E-3</v>
      </c>
    </row>
    <row r="426" spans="1:13" x14ac:dyDescent="0.2">
      <c r="A426" s="403"/>
      <c r="C426" s="179">
        <v>47907</v>
      </c>
      <c r="D426" s="184">
        <f t="shared" si="117"/>
        <v>1.040000000000008</v>
      </c>
      <c r="E426" s="180"/>
      <c r="F426" s="184">
        <v>0.12</v>
      </c>
      <c r="G426" s="187">
        <f t="shared" si="113"/>
        <v>0.92000000000000803</v>
      </c>
      <c r="H426" s="185">
        <f t="shared" si="114"/>
        <v>7.3500000000000596E-3</v>
      </c>
      <c r="I426" s="184">
        <f t="shared" si="118"/>
        <v>0.52000000000000401</v>
      </c>
      <c r="J426" s="180"/>
      <c r="K426" s="184">
        <v>0.06</v>
      </c>
      <c r="L426" s="187">
        <f t="shared" si="115"/>
        <v>0.46000000000000402</v>
      </c>
      <c r="M426" s="185">
        <f t="shared" si="116"/>
        <v>3.6750000000000298E-3</v>
      </c>
    </row>
    <row r="427" spans="1:13" x14ac:dyDescent="0.2">
      <c r="A427" s="403"/>
      <c r="C427" s="179">
        <v>47938</v>
      </c>
      <c r="D427" s="184">
        <f t="shared" si="117"/>
        <v>0.92000000000000803</v>
      </c>
      <c r="E427" s="180"/>
      <c r="F427" s="184">
        <v>0.12</v>
      </c>
      <c r="G427" s="187">
        <f t="shared" si="113"/>
        <v>0.80000000000000804</v>
      </c>
      <c r="H427" s="185">
        <f t="shared" si="114"/>
        <v>6.4500000000000607E-3</v>
      </c>
      <c r="I427" s="184">
        <f t="shared" si="118"/>
        <v>0.46000000000000402</v>
      </c>
      <c r="J427" s="180"/>
      <c r="K427" s="184">
        <v>0.06</v>
      </c>
      <c r="L427" s="187">
        <f t="shared" si="115"/>
        <v>0.40000000000000402</v>
      </c>
      <c r="M427" s="185">
        <f t="shared" si="116"/>
        <v>3.2250000000000304E-3</v>
      </c>
    </row>
    <row r="428" spans="1:13" x14ac:dyDescent="0.2">
      <c r="A428" s="403"/>
      <c r="C428" s="166" t="s">
        <v>454</v>
      </c>
      <c r="D428" s="169"/>
      <c r="E428" s="174">
        <v>0</v>
      </c>
      <c r="F428" s="174">
        <f>SUM(F416:F427)</f>
        <v>1.4400000000000004</v>
      </c>
      <c r="G428" s="169"/>
      <c r="H428" s="162">
        <f>SUM(H416:H427)</f>
        <v>0.13680000000000075</v>
      </c>
      <c r="I428" s="169"/>
      <c r="J428" s="174">
        <v>0</v>
      </c>
      <c r="K428" s="174">
        <f>SUM(K416:K427)</f>
        <v>0.7200000000000002</v>
      </c>
      <c r="L428" s="169"/>
      <c r="M428" s="162">
        <f>SUM(M416:M427)</f>
        <v>6.8400000000000377E-2</v>
      </c>
    </row>
    <row r="429" spans="1:13" ht="12" customHeight="1" x14ac:dyDescent="0.2">
      <c r="A429" s="403"/>
      <c r="C429" s="197" t="s">
        <v>864</v>
      </c>
      <c r="D429" s="520" t="s">
        <v>518</v>
      </c>
      <c r="E429" s="521" t="s">
        <v>865</v>
      </c>
      <c r="F429" s="521" t="s">
        <v>866</v>
      </c>
      <c r="G429" s="520" t="s">
        <v>906</v>
      </c>
      <c r="H429" s="198" t="s">
        <v>867</v>
      </c>
      <c r="I429" s="520" t="s">
        <v>518</v>
      </c>
      <c r="J429" s="521" t="s">
        <v>865</v>
      </c>
      <c r="K429" s="521" t="s">
        <v>866</v>
      </c>
      <c r="L429" s="520" t="s">
        <v>906</v>
      </c>
      <c r="M429" s="198" t="s">
        <v>867</v>
      </c>
    </row>
    <row r="430" spans="1:13" x14ac:dyDescent="0.2">
      <c r="A430" s="403"/>
      <c r="C430" s="186">
        <v>47968</v>
      </c>
      <c r="D430" s="189">
        <f>G427</f>
        <v>0.80000000000000804</v>
      </c>
      <c r="E430" s="193"/>
      <c r="F430" s="189">
        <v>0.13333333333333333</v>
      </c>
      <c r="G430" s="187">
        <f t="shared" ref="G430" si="119">D430+E430-F430</f>
        <v>0.66666666666667473</v>
      </c>
      <c r="H430" s="185">
        <f t="shared" ref="H430" si="120">(D430-(F430/2))*(9%/12)</f>
        <v>5.5000000000000604E-3</v>
      </c>
      <c r="I430" s="189">
        <f>L427</f>
        <v>0.40000000000000402</v>
      </c>
      <c r="J430" s="193"/>
      <c r="K430" s="189">
        <v>6.6666666666666666E-2</v>
      </c>
      <c r="L430" s="187">
        <f t="shared" ref="L430" si="121">I430+J430-K430</f>
        <v>0.33333333333333737</v>
      </c>
      <c r="M430" s="185">
        <f t="shared" ref="M430" si="122">(I430-(K430/2))*(9%/12)</f>
        <v>2.7500000000000302E-3</v>
      </c>
    </row>
    <row r="431" spans="1:13" x14ac:dyDescent="0.2">
      <c r="A431" s="403"/>
      <c r="C431" s="179">
        <v>47999</v>
      </c>
      <c r="D431" s="184">
        <f>G430</f>
        <v>0.66666666666667473</v>
      </c>
      <c r="E431" s="180"/>
      <c r="F431" s="184">
        <v>0.13333333333333333</v>
      </c>
      <c r="G431" s="187">
        <f t="shared" ref="G431:G441" si="123">D431+E431-F431</f>
        <v>0.53333333333334143</v>
      </c>
      <c r="H431" s="185">
        <f t="shared" ref="H431:H441" si="124">(D431-(F431/2))*(9%/12)</f>
        <v>4.5000000000000604E-3</v>
      </c>
      <c r="I431" s="184">
        <f>L430</f>
        <v>0.33333333333333737</v>
      </c>
      <c r="J431" s="180"/>
      <c r="K431" s="184">
        <v>6.6666666666666666E-2</v>
      </c>
      <c r="L431" s="187">
        <f t="shared" ref="L431:L441" si="125">I431+J431-K431</f>
        <v>0.26666666666667072</v>
      </c>
      <c r="M431" s="185">
        <f t="shared" ref="M431:M441" si="126">(I431-(K431/2))*(9%/12)</f>
        <v>2.2500000000000302E-3</v>
      </c>
    </row>
    <row r="432" spans="1:13" x14ac:dyDescent="0.2">
      <c r="A432" s="403"/>
      <c r="C432" s="179">
        <v>48029</v>
      </c>
      <c r="D432" s="184">
        <f t="shared" ref="D432:D441" si="127">G431</f>
        <v>0.53333333333334143</v>
      </c>
      <c r="E432" s="180"/>
      <c r="F432" s="184">
        <v>0.13333333333333333</v>
      </c>
      <c r="G432" s="187">
        <f t="shared" si="123"/>
        <v>0.40000000000000813</v>
      </c>
      <c r="H432" s="185">
        <f t="shared" si="124"/>
        <v>3.5000000000000608E-3</v>
      </c>
      <c r="I432" s="184">
        <f t="shared" ref="I432:I441" si="128">L431</f>
        <v>0.26666666666667072</v>
      </c>
      <c r="J432" s="180"/>
      <c r="K432" s="184">
        <v>6.6666666666666666E-2</v>
      </c>
      <c r="L432" s="187">
        <f t="shared" si="125"/>
        <v>0.20000000000000406</v>
      </c>
      <c r="M432" s="185">
        <f t="shared" si="126"/>
        <v>1.7500000000000304E-3</v>
      </c>
    </row>
    <row r="433" spans="1:13" x14ac:dyDescent="0.2">
      <c r="A433" s="403"/>
      <c r="C433" s="179">
        <v>48060</v>
      </c>
      <c r="D433" s="184">
        <f t="shared" si="127"/>
        <v>0.40000000000000813</v>
      </c>
      <c r="E433" s="180"/>
      <c r="F433" s="184">
        <v>0.13333333333333333</v>
      </c>
      <c r="G433" s="187">
        <f t="shared" si="123"/>
        <v>0.26666666666667482</v>
      </c>
      <c r="H433" s="185">
        <f t="shared" si="124"/>
        <v>2.5000000000000608E-3</v>
      </c>
      <c r="I433" s="184">
        <f t="shared" si="128"/>
        <v>0.20000000000000406</v>
      </c>
      <c r="J433" s="180"/>
      <c r="K433" s="184">
        <v>6.6666666666666666E-2</v>
      </c>
      <c r="L433" s="187">
        <f t="shared" si="125"/>
        <v>0.13333333333333741</v>
      </c>
      <c r="M433" s="185">
        <f t="shared" si="126"/>
        <v>1.2500000000000304E-3</v>
      </c>
    </row>
    <row r="434" spans="1:13" x14ac:dyDescent="0.2">
      <c r="A434" s="403"/>
      <c r="C434" s="179">
        <v>48091</v>
      </c>
      <c r="D434" s="184">
        <f t="shared" si="127"/>
        <v>0.26666666666667482</v>
      </c>
      <c r="E434" s="180"/>
      <c r="F434" s="184">
        <v>0.13333333333333333</v>
      </c>
      <c r="G434" s="187">
        <f t="shared" si="123"/>
        <v>0.13333333333334149</v>
      </c>
      <c r="H434" s="185">
        <f t="shared" si="124"/>
        <v>1.5000000000000612E-3</v>
      </c>
      <c r="I434" s="184">
        <f t="shared" si="128"/>
        <v>0.13333333333333741</v>
      </c>
      <c r="J434" s="180"/>
      <c r="K434" s="184">
        <v>6.6666666666666666E-2</v>
      </c>
      <c r="L434" s="187">
        <f t="shared" si="125"/>
        <v>6.6666666666670746E-2</v>
      </c>
      <c r="M434" s="185">
        <f t="shared" si="126"/>
        <v>7.5000000000003059E-4</v>
      </c>
    </row>
    <row r="435" spans="1:13" x14ac:dyDescent="0.2">
      <c r="A435" s="403"/>
      <c r="C435" s="179">
        <v>48121</v>
      </c>
      <c r="D435" s="184">
        <f t="shared" si="127"/>
        <v>0.13333333333334149</v>
      </c>
      <c r="E435" s="180"/>
      <c r="F435" s="184">
        <v>0.13333333333333333</v>
      </c>
      <c r="G435" s="187">
        <f t="shared" si="123"/>
        <v>8.1601392309949006E-15</v>
      </c>
      <c r="H435" s="185">
        <f t="shared" si="124"/>
        <v>5.0000000000006116E-4</v>
      </c>
      <c r="I435" s="184">
        <f t="shared" si="128"/>
        <v>6.6666666666670746E-2</v>
      </c>
      <c r="J435" s="180"/>
      <c r="K435" s="184">
        <v>6.6666666666666666E-2</v>
      </c>
      <c r="L435" s="187">
        <f t="shared" si="125"/>
        <v>4.0800696154974503E-15</v>
      </c>
      <c r="M435" s="185">
        <f t="shared" si="126"/>
        <v>2.5000000000003058E-4</v>
      </c>
    </row>
    <row r="436" spans="1:13" x14ac:dyDescent="0.2">
      <c r="A436" s="403"/>
      <c r="C436" s="179">
        <v>48152</v>
      </c>
      <c r="D436" s="184">
        <f t="shared" si="127"/>
        <v>8.1601392309949006E-15</v>
      </c>
      <c r="E436" s="180"/>
      <c r="F436" s="184">
        <v>0</v>
      </c>
      <c r="G436" s="187">
        <f t="shared" si="123"/>
        <v>8.1601392309949006E-15</v>
      </c>
      <c r="H436" s="185">
        <f t="shared" si="124"/>
        <v>6.1201044232461756E-17</v>
      </c>
      <c r="I436" s="184">
        <f t="shared" si="128"/>
        <v>4.0800696154974503E-15</v>
      </c>
      <c r="J436" s="180"/>
      <c r="K436" s="184">
        <v>0</v>
      </c>
      <c r="L436" s="187">
        <f t="shared" si="125"/>
        <v>4.0800696154974503E-15</v>
      </c>
      <c r="M436" s="185">
        <f t="shared" si="126"/>
        <v>3.0600522116230878E-17</v>
      </c>
    </row>
    <row r="437" spans="1:13" x14ac:dyDescent="0.2">
      <c r="A437" s="403"/>
      <c r="C437" s="179">
        <v>48182</v>
      </c>
      <c r="D437" s="184">
        <f t="shared" si="127"/>
        <v>8.1601392309949006E-15</v>
      </c>
      <c r="E437" s="180"/>
      <c r="F437" s="184">
        <v>0</v>
      </c>
      <c r="G437" s="187">
        <f t="shared" si="123"/>
        <v>8.1601392309949006E-15</v>
      </c>
      <c r="H437" s="185">
        <f t="shared" si="124"/>
        <v>6.1201044232461756E-17</v>
      </c>
      <c r="I437" s="184">
        <f t="shared" si="128"/>
        <v>4.0800696154974503E-15</v>
      </c>
      <c r="J437" s="180"/>
      <c r="K437" s="184">
        <v>0</v>
      </c>
      <c r="L437" s="187">
        <f t="shared" si="125"/>
        <v>4.0800696154974503E-15</v>
      </c>
      <c r="M437" s="185">
        <f t="shared" si="126"/>
        <v>3.0600522116230878E-17</v>
      </c>
    </row>
    <row r="438" spans="1:13" x14ac:dyDescent="0.2">
      <c r="A438" s="403"/>
      <c r="C438" s="179">
        <v>48213</v>
      </c>
      <c r="D438" s="184">
        <f t="shared" si="127"/>
        <v>8.1601392309949006E-15</v>
      </c>
      <c r="E438" s="180"/>
      <c r="F438" s="184">
        <v>0</v>
      </c>
      <c r="G438" s="187">
        <f t="shared" si="123"/>
        <v>8.1601392309949006E-15</v>
      </c>
      <c r="H438" s="185">
        <f t="shared" si="124"/>
        <v>6.1201044232461756E-17</v>
      </c>
      <c r="I438" s="184">
        <f t="shared" si="128"/>
        <v>4.0800696154974503E-15</v>
      </c>
      <c r="J438" s="180"/>
      <c r="K438" s="184">
        <v>0</v>
      </c>
      <c r="L438" s="187">
        <f t="shared" si="125"/>
        <v>4.0800696154974503E-15</v>
      </c>
      <c r="M438" s="185">
        <f t="shared" si="126"/>
        <v>3.0600522116230878E-17</v>
      </c>
    </row>
    <row r="439" spans="1:13" x14ac:dyDescent="0.2">
      <c r="A439" s="403"/>
      <c r="C439" s="179">
        <v>48244</v>
      </c>
      <c r="D439" s="184">
        <f t="shared" si="127"/>
        <v>8.1601392309949006E-15</v>
      </c>
      <c r="E439" s="180"/>
      <c r="F439" s="184">
        <v>0</v>
      </c>
      <c r="G439" s="187">
        <f t="shared" si="123"/>
        <v>8.1601392309949006E-15</v>
      </c>
      <c r="H439" s="185">
        <f t="shared" si="124"/>
        <v>6.1201044232461756E-17</v>
      </c>
      <c r="I439" s="184">
        <f t="shared" si="128"/>
        <v>4.0800696154974503E-15</v>
      </c>
      <c r="J439" s="180"/>
      <c r="K439" s="184">
        <v>0</v>
      </c>
      <c r="L439" s="187">
        <f t="shared" si="125"/>
        <v>4.0800696154974503E-15</v>
      </c>
      <c r="M439" s="185">
        <f t="shared" si="126"/>
        <v>3.0600522116230878E-17</v>
      </c>
    </row>
    <row r="440" spans="1:13" x14ac:dyDescent="0.2">
      <c r="A440" s="403"/>
      <c r="C440" s="179">
        <v>48273</v>
      </c>
      <c r="D440" s="184">
        <f t="shared" si="127"/>
        <v>8.1601392309949006E-15</v>
      </c>
      <c r="E440" s="180"/>
      <c r="F440" s="184">
        <v>0</v>
      </c>
      <c r="G440" s="187">
        <f t="shared" si="123"/>
        <v>8.1601392309949006E-15</v>
      </c>
      <c r="H440" s="185">
        <f t="shared" si="124"/>
        <v>6.1201044232461756E-17</v>
      </c>
      <c r="I440" s="184">
        <f t="shared" si="128"/>
        <v>4.0800696154974503E-15</v>
      </c>
      <c r="J440" s="180"/>
      <c r="K440" s="184">
        <v>0</v>
      </c>
      <c r="L440" s="187">
        <f t="shared" si="125"/>
        <v>4.0800696154974503E-15</v>
      </c>
      <c r="M440" s="185">
        <f t="shared" si="126"/>
        <v>3.0600522116230878E-17</v>
      </c>
    </row>
    <row r="441" spans="1:13" x14ac:dyDescent="0.2">
      <c r="A441" s="403"/>
      <c r="C441" s="179">
        <v>48304</v>
      </c>
      <c r="D441" s="184">
        <f t="shared" si="127"/>
        <v>8.1601392309949006E-15</v>
      </c>
      <c r="E441" s="180"/>
      <c r="F441" s="184">
        <v>0</v>
      </c>
      <c r="G441" s="187">
        <f t="shared" si="123"/>
        <v>8.1601392309949006E-15</v>
      </c>
      <c r="H441" s="185">
        <f t="shared" si="124"/>
        <v>6.1201044232461756E-17</v>
      </c>
      <c r="I441" s="184">
        <f t="shared" si="128"/>
        <v>4.0800696154974503E-15</v>
      </c>
      <c r="J441" s="180"/>
      <c r="K441" s="184">
        <v>0</v>
      </c>
      <c r="L441" s="187">
        <f t="shared" si="125"/>
        <v>4.0800696154974503E-15</v>
      </c>
      <c r="M441" s="185">
        <f t="shared" si="126"/>
        <v>3.0600522116230878E-17</v>
      </c>
    </row>
    <row r="442" spans="1:13" x14ac:dyDescent="0.2">
      <c r="A442" s="403"/>
      <c r="C442" s="166" t="s">
        <v>454</v>
      </c>
      <c r="D442" s="362"/>
      <c r="E442" s="162">
        <v>0</v>
      </c>
      <c r="F442" s="162">
        <f>SUM(F430:F441)</f>
        <v>0.79999999999999993</v>
      </c>
      <c r="G442" s="362"/>
      <c r="H442" s="162">
        <f>SUM(H430:H441)</f>
        <v>1.8000000000000738E-2</v>
      </c>
      <c r="I442" s="362"/>
      <c r="J442" s="162">
        <v>0</v>
      </c>
      <c r="K442" s="162">
        <f>SUM(K430:K441)</f>
        <v>0.39999999999999997</v>
      </c>
      <c r="L442" s="362"/>
      <c r="M442" s="162">
        <f>SUM(M430:M441)</f>
        <v>9.0000000000003688E-3</v>
      </c>
    </row>
    <row r="443" spans="1:13" x14ac:dyDescent="0.2">
      <c r="A443" s="403"/>
      <c r="B443" s="235"/>
      <c r="C443" s="463" t="s">
        <v>124</v>
      </c>
      <c r="D443" s="362"/>
      <c r="E443" s="162">
        <f>E442+E428+E403+E389+E375+E352+E338+E324+E303+E289</f>
        <v>8</v>
      </c>
      <c r="F443" s="162">
        <f>F442+F428+F403+F389+F375+F352+F338+F324+F303+F289</f>
        <v>8</v>
      </c>
      <c r="G443" s="362"/>
      <c r="H443" s="162">
        <f>H442+H428+H403+H389+H375+H352+H338+H324+H303+H289</f>
        <v>4.3134750000000048</v>
      </c>
      <c r="I443" s="362"/>
      <c r="J443" s="162">
        <f>J442+J428+J403+J389+J375+J352+J338+J324+J303+J289</f>
        <v>4</v>
      </c>
      <c r="K443" s="162">
        <f>K442+K428+K403+K389+K375+K352+K338+K324+K303+K289</f>
        <v>4</v>
      </c>
      <c r="L443" s="162">
        <v>0</v>
      </c>
      <c r="M443" s="162">
        <f>M442+M428+M403+M389+M375+M352+M338+M324+M303+M289</f>
        <v>1.9717500000000023</v>
      </c>
    </row>
    <row r="444" spans="1:13" x14ac:dyDescent="0.2">
      <c r="A444" s="403"/>
      <c r="B444" s="235"/>
      <c r="C444" s="143"/>
      <c r="F444" s="175"/>
      <c r="H444" s="175"/>
      <c r="L444" s="175"/>
      <c r="M444" s="575"/>
    </row>
    <row r="445" spans="1:13" x14ac:dyDescent="0.2">
      <c r="A445" s="403"/>
      <c r="B445" s="235"/>
      <c r="C445" s="143"/>
      <c r="F445" s="175"/>
      <c r="H445" s="175"/>
      <c r="L445" s="175"/>
      <c r="M445" s="575"/>
    </row>
    <row r="446" spans="1:13" x14ac:dyDescent="0.2">
      <c r="A446" s="403"/>
      <c r="B446" s="235"/>
      <c r="C446" s="143"/>
      <c r="F446" s="175"/>
      <c r="H446" s="175"/>
      <c r="L446" s="175"/>
      <c r="M446" s="575"/>
    </row>
    <row r="447" spans="1:13" x14ac:dyDescent="0.2">
      <c r="A447" s="403"/>
      <c r="B447" s="235"/>
      <c r="C447" s="143"/>
      <c r="F447" s="175"/>
      <c r="H447" s="175"/>
      <c r="L447" s="175"/>
      <c r="M447" s="575"/>
    </row>
    <row r="448" spans="1:13" x14ac:dyDescent="0.2">
      <c r="A448" s="403"/>
      <c r="B448" s="235"/>
      <c r="C448" s="143"/>
      <c r="F448" s="175"/>
      <c r="H448" s="175"/>
      <c r="L448" s="175"/>
      <c r="M448" s="575"/>
    </row>
    <row r="449" spans="1:13" x14ac:dyDescent="0.2">
      <c r="A449" s="403"/>
      <c r="B449" s="235"/>
      <c r="C449" s="143"/>
      <c r="F449" s="175"/>
      <c r="H449" s="175"/>
      <c r="L449" s="175"/>
      <c r="M449" s="575"/>
    </row>
    <row r="450" spans="1:13" x14ac:dyDescent="0.2">
      <c r="A450" s="403"/>
      <c r="B450" s="235"/>
      <c r="C450" s="143"/>
      <c r="F450" s="175"/>
      <c r="H450" s="175"/>
      <c r="L450" s="175"/>
      <c r="M450" s="575"/>
    </row>
    <row r="451" spans="1:13" x14ac:dyDescent="0.2">
      <c r="A451" s="403"/>
      <c r="B451" s="235"/>
      <c r="C451" s="143"/>
      <c r="F451" s="175"/>
      <c r="H451" s="175"/>
      <c r="L451" s="175"/>
      <c r="M451" s="575"/>
    </row>
    <row r="452" spans="1:13" x14ac:dyDescent="0.2">
      <c r="A452" s="403"/>
      <c r="B452" s="235"/>
      <c r="C452" s="143"/>
      <c r="F452" s="175"/>
      <c r="H452" s="175"/>
      <c r="L452" s="175"/>
      <c r="M452" s="575"/>
    </row>
    <row r="453" spans="1:13" x14ac:dyDescent="0.2">
      <c r="A453" s="403"/>
      <c r="B453" s="235"/>
      <c r="C453" s="143"/>
      <c r="F453" s="175"/>
      <c r="H453" s="175"/>
      <c r="L453" s="175"/>
      <c r="M453" s="575"/>
    </row>
    <row r="454" spans="1:13" x14ac:dyDescent="0.2">
      <c r="A454" s="403"/>
      <c r="B454" s="235"/>
      <c r="C454" s="143"/>
      <c r="F454" s="175"/>
      <c r="H454" s="175"/>
      <c r="L454" s="175"/>
      <c r="M454" s="575"/>
    </row>
    <row r="455" spans="1:13" x14ac:dyDescent="0.2">
      <c r="A455" s="403"/>
      <c r="B455" s="235"/>
      <c r="C455" s="143"/>
      <c r="F455" s="175"/>
      <c r="H455" s="175"/>
      <c r="L455" s="175"/>
      <c r="M455" s="575"/>
    </row>
    <row r="456" spans="1:13" x14ac:dyDescent="0.2">
      <c r="A456" s="403"/>
      <c r="B456" s="235"/>
      <c r="C456" s="143"/>
      <c r="F456" s="175"/>
      <c r="H456" s="175"/>
      <c r="L456" s="175"/>
      <c r="M456" s="575"/>
    </row>
    <row r="457" spans="1:13" x14ac:dyDescent="0.2">
      <c r="A457" s="403"/>
      <c r="B457" s="235"/>
      <c r="C457" s="143"/>
      <c r="F457" s="175"/>
      <c r="H457" s="175"/>
      <c r="L457" s="175"/>
      <c r="M457" s="575"/>
    </row>
    <row r="458" spans="1:13" x14ac:dyDescent="0.2">
      <c r="A458" s="403"/>
      <c r="B458" s="235"/>
      <c r="C458" s="143"/>
      <c r="F458" s="175"/>
      <c r="H458" s="175"/>
      <c r="L458" s="175"/>
      <c r="M458" s="575"/>
    </row>
    <row r="459" spans="1:13" x14ac:dyDescent="0.2">
      <c r="A459" s="403"/>
      <c r="B459" s="235"/>
      <c r="C459" s="143"/>
      <c r="F459" s="175"/>
      <c r="H459" s="175"/>
      <c r="L459" s="175"/>
      <c r="M459" s="575"/>
    </row>
    <row r="460" spans="1:13" x14ac:dyDescent="0.2">
      <c r="A460" s="403"/>
      <c r="B460" s="235"/>
      <c r="C460" s="143"/>
      <c r="F460" s="175"/>
      <c r="H460" s="175"/>
      <c r="L460" s="175"/>
      <c r="M460" s="575"/>
    </row>
    <row r="461" spans="1:13" x14ac:dyDescent="0.2">
      <c r="A461" s="404"/>
      <c r="B461" s="413"/>
      <c r="C461" s="331"/>
      <c r="D461" s="245"/>
      <c r="E461" s="245"/>
      <c r="F461" s="405"/>
      <c r="G461" s="245"/>
      <c r="H461" s="405"/>
      <c r="I461" s="245"/>
      <c r="J461" s="245"/>
      <c r="K461" s="245"/>
      <c r="L461" s="405"/>
      <c r="M461" s="574"/>
    </row>
    <row r="462" spans="1:13" x14ac:dyDescent="0.2">
      <c r="A462" s="736" t="s">
        <v>843</v>
      </c>
      <c r="B462" s="737"/>
      <c r="C462" s="737"/>
      <c r="D462" s="737"/>
      <c r="E462" s="737"/>
      <c r="F462" s="737"/>
      <c r="G462" s="737"/>
      <c r="H462" s="737"/>
      <c r="I462" s="737"/>
      <c r="J462" s="737"/>
      <c r="K462" s="737"/>
      <c r="L462" s="737"/>
      <c r="M462" s="738"/>
    </row>
    <row r="463" spans="1:13" x14ac:dyDescent="0.2">
      <c r="A463" s="743" t="s">
        <v>845</v>
      </c>
      <c r="B463" s="744"/>
      <c r="C463" s="744"/>
      <c r="D463" s="744"/>
      <c r="E463" s="744"/>
      <c r="F463" s="744"/>
      <c r="G463" s="744"/>
      <c r="H463" s="744"/>
      <c r="I463" s="744"/>
      <c r="J463" s="744"/>
      <c r="K463" s="744"/>
      <c r="L463" s="744"/>
      <c r="M463" s="745"/>
    </row>
    <row r="464" spans="1:13" x14ac:dyDescent="0.2">
      <c r="A464" s="743" t="s">
        <v>844</v>
      </c>
      <c r="B464" s="744"/>
      <c r="C464" s="744"/>
      <c r="D464" s="744"/>
      <c r="E464" s="744"/>
      <c r="F464" s="744"/>
      <c r="G464" s="744"/>
      <c r="H464" s="744"/>
      <c r="I464" s="744"/>
      <c r="J464" s="744"/>
      <c r="K464" s="744"/>
      <c r="L464" s="744"/>
      <c r="M464" s="745"/>
    </row>
    <row r="465" spans="1:13" x14ac:dyDescent="0.2">
      <c r="A465" s="743" t="s">
        <v>1139</v>
      </c>
      <c r="B465" s="744"/>
      <c r="C465" s="744"/>
      <c r="D465" s="744"/>
      <c r="E465" s="744"/>
      <c r="F465" s="744"/>
      <c r="G465" s="744"/>
      <c r="H465" s="744"/>
      <c r="I465" s="744"/>
      <c r="J465" s="744"/>
      <c r="K465" s="744"/>
      <c r="L465" s="744"/>
      <c r="M465" s="745"/>
    </row>
    <row r="466" spans="1:13" x14ac:dyDescent="0.2">
      <c r="A466" s="403"/>
      <c r="B466" s="235"/>
      <c r="C466" s="235"/>
      <c r="D466" s="235"/>
      <c r="E466" s="235"/>
      <c r="F466" s="235"/>
      <c r="G466" s="235"/>
      <c r="H466" s="235"/>
      <c r="I466" s="235"/>
      <c r="J466" s="235"/>
      <c r="K466" s="235"/>
      <c r="L466" s="235"/>
      <c r="M466" s="551"/>
    </row>
    <row r="467" spans="1:13" ht="15" x14ac:dyDescent="0.25">
      <c r="A467" s="403"/>
      <c r="B467" s="235"/>
      <c r="C467" s="763" t="s">
        <v>1132</v>
      </c>
      <c r="D467" s="763"/>
      <c r="E467" s="763"/>
      <c r="F467" s="763"/>
      <c r="G467" s="763"/>
      <c r="H467" s="763"/>
      <c r="I467" s="763"/>
      <c r="J467" s="763"/>
      <c r="K467" s="763"/>
      <c r="L467" s="763"/>
      <c r="M467" s="763"/>
    </row>
    <row r="468" spans="1:13" ht="15" x14ac:dyDescent="0.25">
      <c r="A468" s="403"/>
      <c r="B468" s="235"/>
      <c r="C468" s="361"/>
      <c r="D468" s="764" t="s">
        <v>1192</v>
      </c>
      <c r="E468" s="764"/>
      <c r="F468" s="764"/>
      <c r="G468" s="764"/>
      <c r="H468" s="764"/>
      <c r="I468" s="764" t="s">
        <v>1193</v>
      </c>
      <c r="J468" s="764"/>
      <c r="K468" s="764"/>
      <c r="L468" s="764"/>
      <c r="M468" s="764"/>
    </row>
    <row r="469" spans="1:13" ht="45" x14ac:dyDescent="0.25">
      <c r="A469" s="403"/>
      <c r="B469" s="235"/>
      <c r="C469" s="366" t="s">
        <v>537</v>
      </c>
      <c r="D469" s="367" t="s">
        <v>1133</v>
      </c>
      <c r="E469" s="366" t="s">
        <v>1134</v>
      </c>
      <c r="F469" s="368" t="s">
        <v>1135</v>
      </c>
      <c r="G469" s="366" t="s">
        <v>1136</v>
      </c>
      <c r="H469" s="368" t="s">
        <v>1137</v>
      </c>
      <c r="I469" s="367" t="s">
        <v>1133</v>
      </c>
      <c r="J469" s="366" t="s">
        <v>1134</v>
      </c>
      <c r="K469" s="368" t="s">
        <v>1135</v>
      </c>
      <c r="L469" s="366" t="s">
        <v>1136</v>
      </c>
      <c r="M469" s="368" t="s">
        <v>1137</v>
      </c>
    </row>
    <row r="470" spans="1:13" ht="12" customHeight="1" x14ac:dyDescent="0.25">
      <c r="A470" s="403"/>
      <c r="B470" s="235"/>
      <c r="C470" s="360" t="s">
        <v>1004</v>
      </c>
      <c r="D470" s="364">
        <f>F470/$F$479</f>
        <v>3.0000000000000002E-2</v>
      </c>
      <c r="E470" s="369">
        <f>COUNTIF(F291:F302,"&gt;0")</f>
        <v>6</v>
      </c>
      <c r="F470" s="362">
        <v>0.24</v>
      </c>
      <c r="G470" s="161">
        <v>0.04</v>
      </c>
      <c r="H470" s="273">
        <f>F479-(G470*E470)</f>
        <v>7.7599999999999989</v>
      </c>
      <c r="I470" s="364">
        <f>K470/$K$479</f>
        <v>3.0000000000000002E-2</v>
      </c>
      <c r="J470" s="369">
        <f>COUNTIF(K291:K302,"&gt;0")</f>
        <v>6</v>
      </c>
      <c r="K470" s="362">
        <v>0.12</v>
      </c>
      <c r="L470" s="161">
        <v>0.02</v>
      </c>
      <c r="M470" s="273">
        <f>K479-K470</f>
        <v>3.8799999999999994</v>
      </c>
    </row>
    <row r="471" spans="1:13" ht="12" customHeight="1" x14ac:dyDescent="0.25">
      <c r="A471" s="403"/>
      <c r="B471" s="235"/>
      <c r="C471" s="360" t="s">
        <v>1005</v>
      </c>
      <c r="D471" s="364">
        <f t="shared" ref="D471:D478" si="129">F471/$F$479</f>
        <v>6.0000000000000005E-2</v>
      </c>
      <c r="E471" s="369">
        <f>COUNTIF(F312:F323,"&gt;0")</f>
        <v>12</v>
      </c>
      <c r="F471" s="362">
        <v>0.48</v>
      </c>
      <c r="G471" s="161">
        <v>0.04</v>
      </c>
      <c r="H471" s="273">
        <f>H470-F471</f>
        <v>7.2799999999999994</v>
      </c>
      <c r="I471" s="364">
        <f t="shared" ref="I471:I478" si="130">K471/$K$479</f>
        <v>6.0000000000000005E-2</v>
      </c>
      <c r="J471" s="369">
        <f>COUNTIF(K312:K323,"&gt;0")</f>
        <v>12</v>
      </c>
      <c r="K471" s="362">
        <v>0.24</v>
      </c>
      <c r="L471" s="161">
        <v>0.02</v>
      </c>
      <c r="M471" s="273">
        <f>M470-K471</f>
        <v>3.6399999999999997</v>
      </c>
    </row>
    <row r="472" spans="1:13" ht="12" customHeight="1" x14ac:dyDescent="0.25">
      <c r="A472" s="403"/>
      <c r="B472" s="235"/>
      <c r="C472" s="360" t="s">
        <v>1006</v>
      </c>
      <c r="D472" s="364">
        <f t="shared" si="129"/>
        <v>9.0000000000000011E-2</v>
      </c>
      <c r="E472" s="369">
        <f>COUNTIF(F326:F337,"&gt;0")</f>
        <v>12</v>
      </c>
      <c r="F472" s="362">
        <v>0.72</v>
      </c>
      <c r="G472" s="161">
        <v>0.06</v>
      </c>
      <c r="H472" s="273">
        <f t="shared" ref="H472:H478" si="131">H471-F472</f>
        <v>6.56</v>
      </c>
      <c r="I472" s="364">
        <f t="shared" si="130"/>
        <v>9.0000000000000011E-2</v>
      </c>
      <c r="J472" s="369">
        <f>COUNTIF(K326:K337,"&gt;0")</f>
        <v>12</v>
      </c>
      <c r="K472" s="362">
        <v>0.36</v>
      </c>
      <c r="L472" s="161">
        <v>0.03</v>
      </c>
      <c r="M472" s="273">
        <f t="shared" ref="M472:M478" si="132">M471-K472</f>
        <v>3.28</v>
      </c>
    </row>
    <row r="473" spans="1:13" ht="12" customHeight="1" x14ac:dyDescent="0.25">
      <c r="A473" s="403"/>
      <c r="B473" s="235"/>
      <c r="C473" s="360" t="s">
        <v>1007</v>
      </c>
      <c r="D473" s="364">
        <f t="shared" si="129"/>
        <v>9.0000000000000011E-2</v>
      </c>
      <c r="E473" s="369">
        <f>COUNTIF(F340:F351,"&gt;0")</f>
        <v>12</v>
      </c>
      <c r="F473" s="362">
        <v>0.72</v>
      </c>
      <c r="G473" s="161">
        <v>0.06</v>
      </c>
      <c r="H473" s="273">
        <f t="shared" si="131"/>
        <v>5.84</v>
      </c>
      <c r="I473" s="364">
        <f t="shared" si="130"/>
        <v>9.0000000000000011E-2</v>
      </c>
      <c r="J473" s="369">
        <f>COUNTIF(K340:K351,"&gt;0")</f>
        <v>12</v>
      </c>
      <c r="K473" s="362">
        <v>0.36</v>
      </c>
      <c r="L473" s="161">
        <v>0.03</v>
      </c>
      <c r="M473" s="273">
        <f t="shared" si="132"/>
        <v>2.92</v>
      </c>
    </row>
    <row r="474" spans="1:13" ht="12" customHeight="1" x14ac:dyDescent="0.25">
      <c r="A474" s="403"/>
      <c r="B474" s="235"/>
      <c r="C474" s="360" t="s">
        <v>1008</v>
      </c>
      <c r="D474" s="364">
        <f t="shared" si="129"/>
        <v>0.12000000000000001</v>
      </c>
      <c r="E474" s="369">
        <f>COUNTIF(F363:F374,"&gt;0")</f>
        <v>12</v>
      </c>
      <c r="F474" s="362">
        <v>0.96</v>
      </c>
      <c r="G474" s="161">
        <v>0.08</v>
      </c>
      <c r="H474" s="273">
        <f t="shared" si="131"/>
        <v>4.88</v>
      </c>
      <c r="I474" s="364">
        <f t="shared" si="130"/>
        <v>0.12000000000000001</v>
      </c>
      <c r="J474" s="369">
        <f>COUNTIF(K363:K374,"&gt;0")</f>
        <v>12</v>
      </c>
      <c r="K474" s="362">
        <v>0.48</v>
      </c>
      <c r="L474" s="161">
        <v>0.04</v>
      </c>
      <c r="M474" s="273">
        <f t="shared" si="132"/>
        <v>2.44</v>
      </c>
    </row>
    <row r="475" spans="1:13" ht="12" customHeight="1" x14ac:dyDescent="0.25">
      <c r="A475" s="403"/>
      <c r="B475" s="235"/>
      <c r="C475" s="360" t="s">
        <v>1009</v>
      </c>
      <c r="D475" s="364">
        <f t="shared" si="129"/>
        <v>0.15000000000000002</v>
      </c>
      <c r="E475" s="369">
        <f>COUNTIF(F377:F388,"&gt;0")</f>
        <v>12</v>
      </c>
      <c r="F475" s="362">
        <v>1.2</v>
      </c>
      <c r="G475" s="161">
        <v>9.9999999999999992E-2</v>
      </c>
      <c r="H475" s="273">
        <f t="shared" si="131"/>
        <v>3.6799999999999997</v>
      </c>
      <c r="I475" s="364">
        <f t="shared" si="130"/>
        <v>0.15000000000000002</v>
      </c>
      <c r="J475" s="369">
        <f>COUNTIF(K377:K388,"&gt;0")</f>
        <v>12</v>
      </c>
      <c r="K475" s="362">
        <v>0.6</v>
      </c>
      <c r="L475" s="161">
        <v>4.9999999999999996E-2</v>
      </c>
      <c r="M475" s="273">
        <f t="shared" si="132"/>
        <v>1.8399999999999999</v>
      </c>
    </row>
    <row r="476" spans="1:13" ht="12" customHeight="1" x14ac:dyDescent="0.25">
      <c r="A476" s="403"/>
      <c r="B476" s="235"/>
      <c r="C476" s="362" t="s">
        <v>1010</v>
      </c>
      <c r="D476" s="364">
        <f t="shared" si="129"/>
        <v>0.18000000000000002</v>
      </c>
      <c r="E476" s="369">
        <f>COUNTIF(F391:F402,"&gt;0")</f>
        <v>12</v>
      </c>
      <c r="F476" s="362">
        <v>1.44</v>
      </c>
      <c r="G476" s="161">
        <v>0.12</v>
      </c>
      <c r="H476" s="273">
        <f t="shared" si="131"/>
        <v>2.2399999999999998</v>
      </c>
      <c r="I476" s="364">
        <f t="shared" si="130"/>
        <v>0.18000000000000002</v>
      </c>
      <c r="J476" s="369">
        <f>COUNTIF(K391:K402,"&gt;0")</f>
        <v>12</v>
      </c>
      <c r="K476" s="362">
        <v>0.72</v>
      </c>
      <c r="L476" s="161">
        <v>0.06</v>
      </c>
      <c r="M476" s="273">
        <f t="shared" si="132"/>
        <v>1.1199999999999999</v>
      </c>
    </row>
    <row r="477" spans="1:13" ht="12" customHeight="1" x14ac:dyDescent="0.25">
      <c r="A477" s="403"/>
      <c r="B477" s="235"/>
      <c r="C477" s="363" t="s">
        <v>1011</v>
      </c>
      <c r="D477" s="364">
        <f t="shared" si="129"/>
        <v>0.18000000000000002</v>
      </c>
      <c r="E477" s="369">
        <f>COUNTIF(F416:F427,"&gt;0")</f>
        <v>12</v>
      </c>
      <c r="F477" s="362">
        <v>1.44</v>
      </c>
      <c r="G477" s="161">
        <v>0.12</v>
      </c>
      <c r="H477" s="273">
        <f t="shared" si="131"/>
        <v>0.79999999999999982</v>
      </c>
      <c r="I477" s="364">
        <f t="shared" si="130"/>
        <v>0.18000000000000002</v>
      </c>
      <c r="J477" s="369">
        <f>COUNTIF(K416:K427,"&gt;0")</f>
        <v>12</v>
      </c>
      <c r="K477" s="362">
        <v>0.72</v>
      </c>
      <c r="L477" s="161">
        <v>0.06</v>
      </c>
      <c r="M477" s="273">
        <f t="shared" si="132"/>
        <v>0.39999999999999991</v>
      </c>
    </row>
    <row r="478" spans="1:13" ht="12" customHeight="1" x14ac:dyDescent="0.25">
      <c r="A478" s="403"/>
      <c r="B478" s="235"/>
      <c r="C478" s="363" t="s">
        <v>1012</v>
      </c>
      <c r="D478" s="364">
        <f t="shared" si="129"/>
        <v>0.10000000000000002</v>
      </c>
      <c r="E478" s="369">
        <f>COUNTIF(F430:F441,"&gt;0")</f>
        <v>6</v>
      </c>
      <c r="F478" s="362">
        <v>0.8</v>
      </c>
      <c r="G478" s="161">
        <v>0.13333333333333333</v>
      </c>
      <c r="H478" s="273">
        <f t="shared" si="131"/>
        <v>0</v>
      </c>
      <c r="I478" s="364">
        <f t="shared" si="130"/>
        <v>0.10000000000000002</v>
      </c>
      <c r="J478" s="369">
        <f>COUNTIF(K430:K441,"&gt;0")</f>
        <v>6</v>
      </c>
      <c r="K478" s="362">
        <v>0.4</v>
      </c>
      <c r="L478" s="161">
        <v>6.6666666666666666E-2</v>
      </c>
      <c r="M478" s="273">
        <f t="shared" si="132"/>
        <v>0</v>
      </c>
    </row>
    <row r="479" spans="1:13" ht="12" customHeight="1" x14ac:dyDescent="0.25">
      <c r="A479" s="403"/>
      <c r="B479" s="235"/>
      <c r="C479" s="361" t="s">
        <v>531</v>
      </c>
      <c r="D479" s="365">
        <f>SUM(D470:D478)</f>
        <v>1.0000000000000002</v>
      </c>
      <c r="E479" s="232">
        <f>SUM(E470:E478)</f>
        <v>96</v>
      </c>
      <c r="F479" s="370">
        <f>SUM(F470:F478)</f>
        <v>7.9999999999999991</v>
      </c>
      <c r="G479" s="162"/>
      <c r="H479" s="362"/>
      <c r="I479" s="552">
        <f>SUM(I470:I478)</f>
        <v>1.0000000000000002</v>
      </c>
      <c r="J479" s="232">
        <f>SUM(J470:J478)</f>
        <v>96</v>
      </c>
      <c r="K479" s="370">
        <f>SUM(K470:K478)</f>
        <v>3.9999999999999996</v>
      </c>
      <c r="L479" s="162"/>
      <c r="M479" s="362"/>
    </row>
    <row r="480" spans="1:13" x14ac:dyDescent="0.2">
      <c r="A480" s="403"/>
      <c r="B480" s="235"/>
      <c r="C480" s="143"/>
      <c r="F480" s="175"/>
      <c r="H480" s="175"/>
      <c r="L480" s="175"/>
      <c r="M480" s="575"/>
    </row>
    <row r="481" spans="1:13" x14ac:dyDescent="0.2">
      <c r="A481" s="403"/>
      <c r="B481" s="235"/>
      <c r="C481" s="143"/>
      <c r="F481" s="175"/>
      <c r="H481" s="175"/>
      <c r="L481" s="175"/>
      <c r="M481" s="575"/>
    </row>
    <row r="482" spans="1:13" x14ac:dyDescent="0.2">
      <c r="A482" s="403"/>
      <c r="B482" s="235"/>
      <c r="C482" s="143"/>
      <c r="F482" s="175"/>
      <c r="H482" s="175"/>
      <c r="L482" s="175"/>
      <c r="M482" s="575"/>
    </row>
    <row r="483" spans="1:13" x14ac:dyDescent="0.2">
      <c r="A483" s="378"/>
      <c r="B483" s="142" t="s">
        <v>868</v>
      </c>
      <c r="M483" s="181"/>
    </row>
    <row r="484" spans="1:13" x14ac:dyDescent="0.2">
      <c r="A484" s="378"/>
      <c r="B484" s="742" t="s">
        <v>443</v>
      </c>
      <c r="C484" s="742"/>
      <c r="D484" s="171">
        <v>2023</v>
      </c>
      <c r="E484" s="171">
        <v>2024</v>
      </c>
      <c r="F484" s="171">
        <v>2025</v>
      </c>
      <c r="G484" s="171">
        <v>2026</v>
      </c>
      <c r="H484" s="171">
        <v>2027</v>
      </c>
      <c r="I484" s="171">
        <v>2028</v>
      </c>
      <c r="J484" s="171">
        <v>2029</v>
      </c>
      <c r="K484" s="171">
        <v>2030</v>
      </c>
      <c r="L484" s="171">
        <v>2031</v>
      </c>
      <c r="M484" s="171">
        <v>2032</v>
      </c>
    </row>
    <row r="485" spans="1:13" x14ac:dyDescent="0.2">
      <c r="A485" s="378"/>
      <c r="B485" s="742" t="s">
        <v>1015</v>
      </c>
      <c r="C485" s="742"/>
      <c r="D485" s="195">
        <f>F479+K479</f>
        <v>11.999999999999998</v>
      </c>
      <c r="E485" s="195">
        <f>D488</f>
        <v>11.639999999999999</v>
      </c>
      <c r="F485" s="195">
        <f t="shared" ref="F485:M485" si="133">E488</f>
        <v>10.919999999999998</v>
      </c>
      <c r="G485" s="195">
        <f t="shared" si="133"/>
        <v>9.8399999999999981</v>
      </c>
      <c r="H485" s="195">
        <f t="shared" si="133"/>
        <v>8.759999999999998</v>
      </c>
      <c r="I485" s="195">
        <f t="shared" si="133"/>
        <v>7.3199999999999985</v>
      </c>
      <c r="J485" s="195">
        <f t="shared" si="133"/>
        <v>5.5199999999999987</v>
      </c>
      <c r="K485" s="195">
        <f t="shared" si="133"/>
        <v>3.3599999999999985</v>
      </c>
      <c r="L485" s="676">
        <f t="shared" si="133"/>
        <v>1.1999999999999984</v>
      </c>
      <c r="M485" s="677">
        <f t="shared" si="133"/>
        <v>-1.7763568394002505E-15</v>
      </c>
    </row>
    <row r="486" spans="1:13" x14ac:dyDescent="0.2">
      <c r="A486" s="378"/>
      <c r="B486" s="742" t="s">
        <v>869</v>
      </c>
      <c r="C486" s="742"/>
      <c r="D486" s="195">
        <v>0</v>
      </c>
      <c r="E486" s="195">
        <f>F470+K470</f>
        <v>0.36</v>
      </c>
      <c r="F486" s="195">
        <f>F471+K471</f>
        <v>0.72</v>
      </c>
      <c r="G486" s="195">
        <f>F472+K472</f>
        <v>1.08</v>
      </c>
      <c r="H486" s="195">
        <f>F473+K473</f>
        <v>1.08</v>
      </c>
      <c r="I486" s="195">
        <f>F474+K474</f>
        <v>1.44</v>
      </c>
      <c r="J486" s="195">
        <f>F475+K475</f>
        <v>1.7999999999999998</v>
      </c>
      <c r="K486" s="195">
        <f>F476+K476</f>
        <v>2.16</v>
      </c>
      <c r="L486" s="678">
        <f>F477+K477</f>
        <v>2.16</v>
      </c>
      <c r="M486" s="679">
        <f>F478+K478</f>
        <v>1.2000000000000002</v>
      </c>
    </row>
    <row r="487" spans="1:13" x14ac:dyDescent="0.2">
      <c r="A487" s="378"/>
      <c r="B487" s="741" t="s">
        <v>1013</v>
      </c>
      <c r="C487" s="741"/>
      <c r="D487" s="274">
        <f>E486</f>
        <v>0.36</v>
      </c>
      <c r="E487" s="274">
        <f t="shared" ref="E487:M487" si="134">F486</f>
        <v>0.72</v>
      </c>
      <c r="F487" s="274">
        <f t="shared" si="134"/>
        <v>1.08</v>
      </c>
      <c r="G487" s="274">
        <f t="shared" si="134"/>
        <v>1.08</v>
      </c>
      <c r="H487" s="274">
        <f t="shared" si="134"/>
        <v>1.44</v>
      </c>
      <c r="I487" s="274">
        <f t="shared" si="134"/>
        <v>1.7999999999999998</v>
      </c>
      <c r="J487" s="274">
        <f t="shared" si="134"/>
        <v>2.16</v>
      </c>
      <c r="K487" s="274">
        <f t="shared" si="134"/>
        <v>2.16</v>
      </c>
      <c r="L487" s="680">
        <f t="shared" si="134"/>
        <v>1.2000000000000002</v>
      </c>
      <c r="M487" s="680">
        <f t="shared" si="134"/>
        <v>0</v>
      </c>
    </row>
    <row r="488" spans="1:13" x14ac:dyDescent="0.2">
      <c r="A488" s="378"/>
      <c r="B488" s="741" t="s">
        <v>1014</v>
      </c>
      <c r="C488" s="741"/>
      <c r="D488" s="195">
        <f>D485-D487</f>
        <v>11.639999999999999</v>
      </c>
      <c r="E488" s="195">
        <f t="shared" ref="E488:M488" si="135">E485-E487</f>
        <v>10.919999999999998</v>
      </c>
      <c r="F488" s="195">
        <f t="shared" si="135"/>
        <v>9.8399999999999981</v>
      </c>
      <c r="G488" s="195">
        <f t="shared" si="135"/>
        <v>8.759999999999998</v>
      </c>
      <c r="H488" s="195">
        <f t="shared" si="135"/>
        <v>7.3199999999999985</v>
      </c>
      <c r="I488" s="195">
        <f t="shared" si="135"/>
        <v>5.5199999999999987</v>
      </c>
      <c r="J488" s="195">
        <f t="shared" si="135"/>
        <v>3.3599999999999985</v>
      </c>
      <c r="K488" s="195">
        <f t="shared" si="135"/>
        <v>1.1999999999999984</v>
      </c>
      <c r="L488" s="677">
        <f t="shared" si="135"/>
        <v>-1.7763568394002505E-15</v>
      </c>
      <c r="M488" s="677">
        <f t="shared" si="135"/>
        <v>-1.7763568394002505E-15</v>
      </c>
    </row>
    <row r="489" spans="1:13" x14ac:dyDescent="0.2">
      <c r="A489" s="414"/>
      <c r="B489" s="741" t="s">
        <v>304</v>
      </c>
      <c r="C489" s="741"/>
      <c r="D489" s="362">
        <f>H289+M289</f>
        <v>0.49372500000000002</v>
      </c>
      <c r="E489" s="362">
        <f>H303+M303</f>
        <v>1.0718999999999999</v>
      </c>
      <c r="F489" s="362">
        <f>H324+M324</f>
        <v>1.0152000000000001</v>
      </c>
      <c r="G489" s="362">
        <f>H338+M338</f>
        <v>0.93420000000000014</v>
      </c>
      <c r="H489" s="362">
        <f>H352+M352</f>
        <v>0.83700000000000085</v>
      </c>
      <c r="I489" s="362">
        <f>H375+M375</f>
        <v>0.72360000000000113</v>
      </c>
      <c r="J489" s="362">
        <f>H389+M389</f>
        <v>0.5778000000000012</v>
      </c>
      <c r="K489" s="362">
        <f>H403+M403</f>
        <v>0.39960000000000129</v>
      </c>
      <c r="L489" s="362">
        <f>H428+M428</f>
        <v>0.20520000000000113</v>
      </c>
      <c r="M489" s="362">
        <f>H442+M442</f>
        <v>2.7000000000001106E-2</v>
      </c>
    </row>
    <row r="490" spans="1:13" x14ac:dyDescent="0.2">
      <c r="A490" s="378"/>
      <c r="M490" s="181"/>
    </row>
    <row r="491" spans="1:13" x14ac:dyDescent="0.2">
      <c r="A491" s="381"/>
      <c r="B491" s="390"/>
      <c r="C491" s="245"/>
      <c r="D491" s="245"/>
      <c r="E491" s="245"/>
      <c r="F491" s="245"/>
      <c r="G491" s="245"/>
      <c r="H491" s="245"/>
      <c r="I491" s="245"/>
      <c r="J491" s="245"/>
      <c r="K491" s="245"/>
      <c r="L491" s="245"/>
      <c r="M491" s="183"/>
    </row>
  </sheetData>
  <mergeCells count="65">
    <mergeCell ref="C31:D31"/>
    <mergeCell ref="C467:M467"/>
    <mergeCell ref="D468:H468"/>
    <mergeCell ref="I468:M468"/>
    <mergeCell ref="A410:M410"/>
    <mergeCell ref="A411:M411"/>
    <mergeCell ref="A412:M412"/>
    <mergeCell ref="A413:M413"/>
    <mergeCell ref="A309:M309"/>
    <mergeCell ref="A358:M358"/>
    <mergeCell ref="A359:M359"/>
    <mergeCell ref="A360:M360"/>
    <mergeCell ref="A361:M361"/>
    <mergeCell ref="A307:M307"/>
    <mergeCell ref="A308:M308"/>
    <mergeCell ref="B264:F264"/>
    <mergeCell ref="A256:M256"/>
    <mergeCell ref="A257:M257"/>
    <mergeCell ref="A258:M258"/>
    <mergeCell ref="A259:M259"/>
    <mergeCell ref="A306:M306"/>
    <mergeCell ref="B262:L262"/>
    <mergeCell ref="C275:H275"/>
    <mergeCell ref="B265:F265"/>
    <mergeCell ref="B266:F266"/>
    <mergeCell ref="B267:F267"/>
    <mergeCell ref="B268:F268"/>
    <mergeCell ref="B269:F269"/>
    <mergeCell ref="A52:M52"/>
    <mergeCell ref="A53:M53"/>
    <mergeCell ref="A54:M54"/>
    <mergeCell ref="A207:M207"/>
    <mergeCell ref="A208:M208"/>
    <mergeCell ref="A206:M206"/>
    <mergeCell ref="A102:M102"/>
    <mergeCell ref="A103:M103"/>
    <mergeCell ref="A104:M104"/>
    <mergeCell ref="A105:M105"/>
    <mergeCell ref="A154:M154"/>
    <mergeCell ref="A155:M155"/>
    <mergeCell ref="A156:M156"/>
    <mergeCell ref="A157:M157"/>
    <mergeCell ref="A205:M205"/>
    <mergeCell ref="A1:M1"/>
    <mergeCell ref="A2:M2"/>
    <mergeCell ref="A3:M3"/>
    <mergeCell ref="A4:M4"/>
    <mergeCell ref="A7:M7"/>
    <mergeCell ref="A6:M6"/>
    <mergeCell ref="A51:M51"/>
    <mergeCell ref="I275:M275"/>
    <mergeCell ref="B489:C489"/>
    <mergeCell ref="B486:C486"/>
    <mergeCell ref="B484:C484"/>
    <mergeCell ref="B487:C487"/>
    <mergeCell ref="B485:C485"/>
    <mergeCell ref="B488:C488"/>
    <mergeCell ref="A462:M462"/>
    <mergeCell ref="A463:M463"/>
    <mergeCell ref="A464:M464"/>
    <mergeCell ref="A465:M465"/>
    <mergeCell ref="B270:F270"/>
    <mergeCell ref="B271:F271"/>
    <mergeCell ref="B272:F272"/>
    <mergeCell ref="B273:F273"/>
  </mergeCells>
  <phoneticPr fontId="0" type="noConversion"/>
  <pageMargins left="0.36811023599999998" right="0.118110236220472" top="0.98425196850393704" bottom="0.98425196850393704" header="0.511811023622047" footer="0.511811023622047"/>
  <pageSetup orientation="portrait" r:id="rId1"/>
  <headerFooter alignWithMargins="0"/>
  <cellWatches>
    <cellWatch r="J280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093"/>
  <sheetViews>
    <sheetView topLeftCell="A752" zoomScaleNormal="100" zoomScaleSheetLayoutView="115" workbookViewId="0">
      <selection activeCell="D776" sqref="D776"/>
    </sheetView>
  </sheetViews>
  <sheetFormatPr defaultColWidth="9.625" defaultRowHeight="12" x14ac:dyDescent="0.2"/>
  <cols>
    <col min="1" max="1" width="3.5" style="168" customWidth="1"/>
    <col min="2" max="2" width="28.375" style="93" customWidth="1"/>
    <col min="3" max="3" width="17.5" style="93" customWidth="1"/>
    <col min="4" max="4" width="8.25" style="93" customWidth="1"/>
    <col min="5" max="6" width="8.125" style="93" customWidth="1"/>
    <col min="7" max="7" width="8.25" style="93" customWidth="1"/>
    <col min="8" max="8" width="8.25" style="359" customWidth="1"/>
    <col min="9" max="9" width="7.875" style="93" customWidth="1"/>
    <col min="10" max="10" width="8.125" style="93" customWidth="1"/>
    <col min="11" max="11" width="7.75" style="93" customWidth="1"/>
    <col min="12" max="12" width="8.375" style="93" customWidth="1"/>
    <col min="13" max="13" width="5.875" style="93" customWidth="1"/>
    <col min="14" max="16384" width="9.625" style="93"/>
  </cols>
  <sheetData>
    <row r="1" spans="1:13" ht="15" customHeight="1" x14ac:dyDescent="0.2">
      <c r="A1" s="752" t="s">
        <v>843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4"/>
    </row>
    <row r="2" spans="1:13" ht="15" customHeight="1" x14ac:dyDescent="0.2">
      <c r="A2" s="755" t="s">
        <v>845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7"/>
    </row>
    <row r="3" spans="1:13" x14ac:dyDescent="0.2">
      <c r="A3" s="755" t="s">
        <v>844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7"/>
    </row>
    <row r="4" spans="1:13" x14ac:dyDescent="0.2">
      <c r="A4" s="755" t="s">
        <v>1139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7"/>
    </row>
    <row r="5" spans="1:13" x14ac:dyDescent="0.2">
      <c r="A5" s="417"/>
      <c r="D5" s="579"/>
      <c r="H5" s="246"/>
      <c r="M5" s="181"/>
    </row>
    <row r="6" spans="1:13" x14ac:dyDescent="0.2">
      <c r="A6" s="755" t="s">
        <v>982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7"/>
    </row>
    <row r="7" spans="1:13" x14ac:dyDescent="0.2">
      <c r="A7" s="417"/>
      <c r="C7" s="168"/>
      <c r="D7" s="283"/>
      <c r="H7" s="246"/>
      <c r="M7" s="181"/>
    </row>
    <row r="8" spans="1:13" x14ac:dyDescent="0.2">
      <c r="A8" s="755" t="s">
        <v>465</v>
      </c>
      <c r="B8" s="756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7"/>
    </row>
    <row r="9" spans="1:13" x14ac:dyDescent="0.2">
      <c r="A9" s="417"/>
      <c r="C9" s="168"/>
      <c r="H9" s="246"/>
      <c r="I9" s="246"/>
      <c r="L9" s="147" t="s">
        <v>846</v>
      </c>
      <c r="M9" s="181"/>
    </row>
    <row r="10" spans="1:13" ht="24" x14ac:dyDescent="0.2">
      <c r="A10" s="418" t="s">
        <v>442</v>
      </c>
      <c r="B10" s="290" t="s">
        <v>443</v>
      </c>
      <c r="C10" s="291"/>
      <c r="D10" s="292"/>
      <c r="E10" s="292"/>
      <c r="F10" s="292"/>
      <c r="G10" s="292"/>
      <c r="H10" s="293"/>
      <c r="I10" s="294"/>
      <c r="J10" s="149"/>
      <c r="K10" s="149"/>
      <c r="L10" s="415" t="s">
        <v>445</v>
      </c>
      <c r="M10" s="181"/>
    </row>
    <row r="11" spans="1:13" x14ac:dyDescent="0.2">
      <c r="A11" s="417"/>
      <c r="H11" s="246"/>
      <c r="I11" s="246"/>
      <c r="M11" s="181"/>
    </row>
    <row r="12" spans="1:13" x14ac:dyDescent="0.2">
      <c r="A12" s="419">
        <v>1</v>
      </c>
      <c r="B12" s="148" t="s">
        <v>381</v>
      </c>
      <c r="H12" s="246"/>
      <c r="I12" s="244"/>
      <c r="L12" s="147">
        <v>0</v>
      </c>
      <c r="M12" s="181"/>
    </row>
    <row r="13" spans="1:13" x14ac:dyDescent="0.2">
      <c r="A13" s="417"/>
      <c r="H13" s="246"/>
      <c r="I13" s="244"/>
      <c r="M13" s="181"/>
    </row>
    <row r="14" spans="1:13" x14ac:dyDescent="0.2">
      <c r="A14" s="419">
        <v>2</v>
      </c>
      <c r="B14" s="93" t="s">
        <v>336</v>
      </c>
      <c r="H14" s="246"/>
      <c r="I14" s="244"/>
      <c r="L14" s="93">
        <v>0.44960000000000006</v>
      </c>
      <c r="M14" s="181"/>
    </row>
    <row r="15" spans="1:13" x14ac:dyDescent="0.2">
      <c r="A15" s="417"/>
      <c r="H15" s="244"/>
      <c r="I15" s="244"/>
      <c r="M15" s="181"/>
    </row>
    <row r="16" spans="1:13" x14ac:dyDescent="0.2">
      <c r="A16" s="419">
        <v>3</v>
      </c>
      <c r="B16" s="148" t="s">
        <v>467</v>
      </c>
      <c r="H16" s="246"/>
      <c r="I16" s="244"/>
      <c r="L16" s="93">
        <v>12.113978074520002</v>
      </c>
      <c r="M16" s="181"/>
    </row>
    <row r="17" spans="1:13" x14ac:dyDescent="0.2">
      <c r="A17" s="419"/>
      <c r="H17" s="246"/>
      <c r="I17" s="244"/>
      <c r="M17" s="181"/>
    </row>
    <row r="18" spans="1:13" x14ac:dyDescent="0.2">
      <c r="A18" s="419">
        <v>4</v>
      </c>
      <c r="B18" s="148" t="s">
        <v>1185</v>
      </c>
      <c r="H18" s="246"/>
      <c r="I18" s="244"/>
      <c r="L18" s="93">
        <v>6.2995081199999987</v>
      </c>
      <c r="M18" s="181"/>
    </row>
    <row r="19" spans="1:13" x14ac:dyDescent="0.2">
      <c r="A19" s="419"/>
      <c r="H19" s="246"/>
      <c r="I19" s="244"/>
      <c r="M19" s="181"/>
    </row>
    <row r="20" spans="1:13" x14ac:dyDescent="0.2">
      <c r="A20" s="419">
        <v>5</v>
      </c>
      <c r="B20" s="148" t="s">
        <v>476</v>
      </c>
      <c r="F20" s="148" t="s">
        <v>441</v>
      </c>
      <c r="H20" s="246"/>
      <c r="I20" s="244"/>
      <c r="L20" s="93">
        <v>0.12429999999999999</v>
      </c>
      <c r="M20" s="181"/>
    </row>
    <row r="21" spans="1:13" x14ac:dyDescent="0.2">
      <c r="A21" s="417"/>
      <c r="H21" s="246"/>
      <c r="I21" s="244"/>
      <c r="M21" s="181"/>
    </row>
    <row r="22" spans="1:13" x14ac:dyDescent="0.2">
      <c r="A22" s="417">
        <v>6</v>
      </c>
      <c r="B22" s="93" t="s">
        <v>382</v>
      </c>
      <c r="H22" s="246"/>
      <c r="I22" s="244"/>
      <c r="L22" s="93">
        <v>0.49372500000000002</v>
      </c>
      <c r="M22" s="181"/>
    </row>
    <row r="23" spans="1:13" x14ac:dyDescent="0.2">
      <c r="A23" s="417"/>
      <c r="H23" s="246"/>
      <c r="I23" s="244"/>
      <c r="M23" s="181"/>
    </row>
    <row r="24" spans="1:13" x14ac:dyDescent="0.2">
      <c r="A24" s="419">
        <v>7</v>
      </c>
      <c r="B24" s="93" t="s">
        <v>953</v>
      </c>
      <c r="H24" s="246"/>
      <c r="I24" s="244"/>
      <c r="L24" s="93">
        <v>0.56589258583560009</v>
      </c>
      <c r="M24" s="181"/>
    </row>
    <row r="25" spans="1:13" x14ac:dyDescent="0.2">
      <c r="A25" s="417"/>
      <c r="H25" s="246"/>
      <c r="I25" s="244"/>
      <c r="M25" s="181"/>
    </row>
    <row r="26" spans="1:13" x14ac:dyDescent="0.2">
      <c r="A26" s="417">
        <v>8</v>
      </c>
      <c r="B26" s="148" t="s">
        <v>126</v>
      </c>
      <c r="E26" s="148" t="s">
        <v>441</v>
      </c>
      <c r="H26" s="246"/>
      <c r="I26" s="244"/>
      <c r="L26" s="93">
        <v>7.0000000000000007E-2</v>
      </c>
      <c r="M26" s="181"/>
    </row>
    <row r="27" spans="1:13" x14ac:dyDescent="0.2">
      <c r="A27" s="417"/>
      <c r="H27" s="246"/>
      <c r="I27" s="244"/>
      <c r="M27" s="181"/>
    </row>
    <row r="28" spans="1:13" x14ac:dyDescent="0.2">
      <c r="A28" s="417">
        <v>9</v>
      </c>
      <c r="B28" s="93" t="s">
        <v>973</v>
      </c>
      <c r="H28" s="246"/>
      <c r="I28" s="244"/>
      <c r="L28" s="93">
        <v>0.33</v>
      </c>
      <c r="M28" s="181"/>
    </row>
    <row r="29" spans="1:13" x14ac:dyDescent="0.2">
      <c r="A29" s="417"/>
      <c r="H29" s="246"/>
      <c r="I29" s="244"/>
      <c r="M29" s="181"/>
    </row>
    <row r="30" spans="1:13" x14ac:dyDescent="0.2">
      <c r="A30" s="417">
        <v>10</v>
      </c>
      <c r="B30" s="148" t="s">
        <v>477</v>
      </c>
      <c r="H30" s="246"/>
      <c r="I30" s="244"/>
      <c r="L30" s="93">
        <v>1.2170469623781979</v>
      </c>
      <c r="M30" s="181"/>
    </row>
    <row r="31" spans="1:13" ht="12.75" thickBot="1" x14ac:dyDescent="0.25">
      <c r="A31" s="417"/>
      <c r="H31" s="246"/>
      <c r="I31" s="276" t="s">
        <v>478</v>
      </c>
      <c r="L31" s="295">
        <f>SUM(L12:L30)</f>
        <v>21.664050742733799</v>
      </c>
      <c r="M31" s="682"/>
    </row>
    <row r="32" spans="1:13" ht="12.75" thickTop="1" x14ac:dyDescent="0.2">
      <c r="A32" s="755" t="s">
        <v>334</v>
      </c>
      <c r="B32" s="756"/>
      <c r="C32" s="756"/>
      <c r="D32" s="756"/>
      <c r="E32" s="756"/>
      <c r="F32" s="756"/>
      <c r="G32" s="756"/>
      <c r="H32" s="756"/>
      <c r="I32" s="756"/>
      <c r="J32" s="756"/>
      <c r="K32" s="756"/>
      <c r="L32" s="756"/>
      <c r="M32" s="757"/>
    </row>
    <row r="33" spans="1:13" x14ac:dyDescent="0.2">
      <c r="A33" s="417"/>
      <c r="H33" s="246"/>
      <c r="I33" s="246"/>
      <c r="L33" s="147" t="s">
        <v>846</v>
      </c>
      <c r="M33" s="181"/>
    </row>
    <row r="34" spans="1:13" ht="24" x14ac:dyDescent="0.2">
      <c r="A34" s="418" t="s">
        <v>442</v>
      </c>
      <c r="B34" s="290" t="s">
        <v>443</v>
      </c>
      <c r="C34" s="292"/>
      <c r="D34" s="292"/>
      <c r="E34" s="292"/>
      <c r="F34" s="292"/>
      <c r="G34" s="292"/>
      <c r="H34" s="293"/>
      <c r="I34" s="294"/>
      <c r="J34" s="296"/>
      <c r="K34" s="296"/>
      <c r="L34" s="415" t="s">
        <v>445</v>
      </c>
      <c r="M34" s="181"/>
    </row>
    <row r="35" spans="1:13" x14ac:dyDescent="0.2">
      <c r="A35" s="417">
        <v>1</v>
      </c>
      <c r="B35" s="148" t="s">
        <v>525</v>
      </c>
      <c r="H35" s="246"/>
      <c r="L35" s="93">
        <v>6.6</v>
      </c>
      <c r="M35" s="181"/>
    </row>
    <row r="36" spans="1:13" x14ac:dyDescent="0.2">
      <c r="A36" s="417"/>
      <c r="B36" s="93" t="s">
        <v>350</v>
      </c>
      <c r="H36" s="246"/>
      <c r="M36" s="181"/>
    </row>
    <row r="37" spans="1:13" x14ac:dyDescent="0.2">
      <c r="A37" s="419"/>
      <c r="H37" s="246"/>
      <c r="M37" s="181"/>
    </row>
    <row r="38" spans="1:13" x14ac:dyDescent="0.2">
      <c r="A38" s="417"/>
      <c r="B38" s="148" t="s">
        <v>300</v>
      </c>
      <c r="H38" s="246"/>
      <c r="L38" s="147">
        <v>3.0640507427337997</v>
      </c>
      <c r="M38" s="181"/>
    </row>
    <row r="39" spans="1:13" x14ac:dyDescent="0.2">
      <c r="A39" s="417"/>
      <c r="B39" s="148" t="s">
        <v>1194</v>
      </c>
      <c r="H39" s="246"/>
      <c r="L39" s="147"/>
      <c r="M39" s="181"/>
    </row>
    <row r="40" spans="1:13" x14ac:dyDescent="0.2">
      <c r="A40" s="419">
        <v>2</v>
      </c>
      <c r="B40" s="148" t="s">
        <v>1186</v>
      </c>
      <c r="C40" s="93" t="s">
        <v>101</v>
      </c>
      <c r="H40" s="246"/>
      <c r="L40" s="93">
        <v>8</v>
      </c>
      <c r="M40" s="181"/>
    </row>
    <row r="41" spans="1:13" x14ac:dyDescent="0.2">
      <c r="A41" s="419"/>
      <c r="B41" s="148" t="s">
        <v>1186</v>
      </c>
      <c r="C41" s="93" t="s">
        <v>1187</v>
      </c>
      <c r="H41" s="529"/>
      <c r="L41" s="93">
        <v>4</v>
      </c>
      <c r="M41" s="181"/>
    </row>
    <row r="42" spans="1:13" x14ac:dyDescent="0.2">
      <c r="A42" s="417"/>
      <c r="H42" s="246"/>
      <c r="I42" s="246"/>
      <c r="L42" s="216"/>
      <c r="M42" s="181"/>
    </row>
    <row r="43" spans="1:13" ht="12.75" thickBot="1" x14ac:dyDescent="0.25">
      <c r="A43" s="417"/>
      <c r="B43" s="142" t="s">
        <v>478</v>
      </c>
      <c r="H43" s="246"/>
      <c r="I43" s="276" t="s">
        <v>478</v>
      </c>
      <c r="L43" s="295">
        <f>SUM(L35:L42)</f>
        <v>21.664050742733799</v>
      </c>
      <c r="M43" s="181"/>
    </row>
    <row r="44" spans="1:13" ht="12.75" thickTop="1" x14ac:dyDescent="0.2">
      <c r="A44" s="417"/>
      <c r="D44" s="216"/>
      <c r="H44" s="244"/>
      <c r="M44" s="181"/>
    </row>
    <row r="45" spans="1:13" x14ac:dyDescent="0.2">
      <c r="A45" s="420"/>
      <c r="E45" s="148"/>
      <c r="H45" s="246"/>
      <c r="M45" s="181"/>
    </row>
    <row r="46" spans="1:13" x14ac:dyDescent="0.2">
      <c r="A46" s="420"/>
      <c r="E46" s="148"/>
      <c r="H46" s="244"/>
      <c r="M46" s="181"/>
    </row>
    <row r="47" spans="1:13" x14ac:dyDescent="0.2">
      <c r="A47" s="420"/>
      <c r="B47" s="97" t="s">
        <v>562</v>
      </c>
      <c r="C47" s="147"/>
      <c r="E47" s="148"/>
      <c r="H47" s="246"/>
      <c r="K47" s="205"/>
      <c r="L47" s="97">
        <f>(L38+L40+L41)/L35</f>
        <v>2.2824319307172427</v>
      </c>
      <c r="M47" s="181"/>
    </row>
    <row r="48" spans="1:13" x14ac:dyDescent="0.2">
      <c r="A48" s="420"/>
      <c r="B48" s="97"/>
      <c r="C48" s="147"/>
      <c r="E48" s="148"/>
      <c r="H48" s="244"/>
      <c r="M48" s="181"/>
    </row>
    <row r="49" spans="1:13" x14ac:dyDescent="0.2">
      <c r="A49" s="420"/>
      <c r="B49" s="97"/>
      <c r="C49" s="147"/>
      <c r="E49" s="148"/>
      <c r="H49" s="244"/>
      <c r="M49" s="181"/>
    </row>
    <row r="50" spans="1:13" x14ac:dyDescent="0.2">
      <c r="A50" s="420"/>
      <c r="H50" s="246"/>
      <c r="M50" s="181"/>
    </row>
    <row r="51" spans="1:13" x14ac:dyDescent="0.2">
      <c r="A51" s="421"/>
      <c r="B51" s="245"/>
      <c r="C51" s="245"/>
      <c r="D51" s="245"/>
      <c r="E51" s="245"/>
      <c r="F51" s="245"/>
      <c r="G51" s="245"/>
      <c r="H51" s="422"/>
      <c r="I51" s="245"/>
      <c r="J51" s="245"/>
      <c r="K51" s="245"/>
      <c r="L51" s="245"/>
      <c r="M51" s="183"/>
    </row>
    <row r="52" spans="1:13" x14ac:dyDescent="0.2">
      <c r="A52" s="423"/>
      <c r="B52" s="201"/>
      <c r="C52" s="201"/>
      <c r="D52" s="201"/>
      <c r="E52" s="201"/>
      <c r="F52" s="201"/>
      <c r="G52" s="201"/>
      <c r="H52" s="424"/>
      <c r="I52" s="201"/>
      <c r="J52" s="201"/>
      <c r="K52" s="201"/>
      <c r="L52" s="201"/>
      <c r="M52" s="188"/>
    </row>
    <row r="53" spans="1:13" x14ac:dyDescent="0.2">
      <c r="A53" s="755" t="s">
        <v>843</v>
      </c>
      <c r="B53" s="756"/>
      <c r="C53" s="756"/>
      <c r="D53" s="756"/>
      <c r="E53" s="756"/>
      <c r="F53" s="756"/>
      <c r="G53" s="756"/>
      <c r="H53" s="756"/>
      <c r="I53" s="756"/>
      <c r="J53" s="756"/>
      <c r="K53" s="756"/>
      <c r="L53" s="756"/>
      <c r="M53" s="757"/>
    </row>
    <row r="54" spans="1:13" x14ac:dyDescent="0.2">
      <c r="A54" s="755" t="s">
        <v>845</v>
      </c>
      <c r="B54" s="756"/>
      <c r="C54" s="756"/>
      <c r="D54" s="756"/>
      <c r="E54" s="756"/>
      <c r="F54" s="756"/>
      <c r="G54" s="756"/>
      <c r="H54" s="756"/>
      <c r="I54" s="756"/>
      <c r="J54" s="756"/>
      <c r="K54" s="756"/>
      <c r="L54" s="756"/>
      <c r="M54" s="757"/>
    </row>
    <row r="55" spans="1:13" x14ac:dyDescent="0.2">
      <c r="A55" s="755" t="s">
        <v>844</v>
      </c>
      <c r="B55" s="756"/>
      <c r="C55" s="756"/>
      <c r="D55" s="756"/>
      <c r="E55" s="756"/>
      <c r="F55" s="756"/>
      <c r="G55" s="756"/>
      <c r="H55" s="756"/>
      <c r="I55" s="756"/>
      <c r="J55" s="756"/>
      <c r="K55" s="756"/>
      <c r="L55" s="756"/>
      <c r="M55" s="757"/>
    </row>
    <row r="56" spans="1:13" x14ac:dyDescent="0.2">
      <c r="A56" s="755" t="s">
        <v>1139</v>
      </c>
      <c r="B56" s="756"/>
      <c r="C56" s="756"/>
      <c r="D56" s="756"/>
      <c r="E56" s="756"/>
      <c r="F56" s="756"/>
      <c r="G56" s="756"/>
      <c r="H56" s="756"/>
      <c r="I56" s="756"/>
      <c r="J56" s="756"/>
      <c r="K56" s="756"/>
      <c r="L56" s="756"/>
      <c r="M56" s="757"/>
    </row>
    <row r="57" spans="1:13" x14ac:dyDescent="0.2">
      <c r="A57" s="377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M57" s="181"/>
    </row>
    <row r="58" spans="1:13" x14ac:dyDescent="0.2">
      <c r="A58" s="743" t="s">
        <v>983</v>
      </c>
      <c r="B58" s="744"/>
      <c r="C58" s="744"/>
      <c r="D58" s="744"/>
      <c r="E58" s="744"/>
      <c r="F58" s="744"/>
      <c r="G58" s="744"/>
      <c r="H58" s="744"/>
      <c r="I58" s="744"/>
      <c r="J58" s="744"/>
      <c r="K58" s="744"/>
      <c r="L58" s="744"/>
      <c r="M58" s="745"/>
    </row>
    <row r="59" spans="1:13" x14ac:dyDescent="0.2">
      <c r="A59" s="194"/>
      <c r="H59" s="93"/>
      <c r="J59" s="283"/>
      <c r="K59" s="283"/>
      <c r="M59" s="181"/>
    </row>
    <row r="60" spans="1:13" x14ac:dyDescent="0.2">
      <c r="A60" s="194"/>
      <c r="B60" s="148" t="s">
        <v>907</v>
      </c>
      <c r="H60" s="93"/>
      <c r="K60" s="148" t="s">
        <v>1138</v>
      </c>
      <c r="L60" s="283"/>
      <c r="M60" s="181"/>
    </row>
    <row r="61" spans="1:13" x14ac:dyDescent="0.2">
      <c r="A61" s="194"/>
      <c r="H61" s="93"/>
      <c r="K61" s="148" t="s">
        <v>949</v>
      </c>
      <c r="L61" s="283"/>
      <c r="M61" s="181"/>
    </row>
    <row r="62" spans="1:13" x14ac:dyDescent="0.2">
      <c r="A62" s="194"/>
      <c r="E62" s="148"/>
      <c r="H62" s="93"/>
      <c r="K62" s="93" t="s">
        <v>908</v>
      </c>
      <c r="L62" s="283"/>
      <c r="M62" s="181"/>
    </row>
    <row r="63" spans="1:13" x14ac:dyDescent="0.2">
      <c r="A63" s="313"/>
      <c r="H63" s="93"/>
      <c r="K63" s="283"/>
      <c r="L63" s="283"/>
      <c r="M63" s="181"/>
    </row>
    <row r="64" spans="1:13" x14ac:dyDescent="0.2">
      <c r="A64" s="313"/>
      <c r="H64" s="93"/>
      <c r="K64" s="283"/>
      <c r="L64" s="283"/>
      <c r="M64" s="181"/>
    </row>
    <row r="65" spans="1:13" x14ac:dyDescent="0.2">
      <c r="A65" s="313"/>
      <c r="H65" s="93"/>
      <c r="K65" s="283"/>
      <c r="L65" s="283"/>
      <c r="M65" s="181"/>
    </row>
    <row r="66" spans="1:13" x14ac:dyDescent="0.2">
      <c r="A66" s="313"/>
      <c r="B66" s="93" t="s">
        <v>909</v>
      </c>
      <c r="H66" s="246"/>
      <c r="K66" s="93" t="s">
        <v>910</v>
      </c>
      <c r="M66" s="181"/>
    </row>
    <row r="67" spans="1:13" x14ac:dyDescent="0.2">
      <c r="A67" s="313"/>
      <c r="H67" s="246"/>
      <c r="M67" s="181"/>
    </row>
    <row r="68" spans="1:13" x14ac:dyDescent="0.2">
      <c r="A68" s="313"/>
      <c r="B68" s="93" t="s">
        <v>911</v>
      </c>
      <c r="H68" s="246"/>
      <c r="M68" s="181"/>
    </row>
    <row r="69" spans="1:13" x14ac:dyDescent="0.2">
      <c r="A69" s="313"/>
      <c r="H69" s="246"/>
      <c r="M69" s="181"/>
    </row>
    <row r="70" spans="1:13" x14ac:dyDescent="0.2">
      <c r="A70" s="313"/>
      <c r="B70" s="93" t="s">
        <v>912</v>
      </c>
      <c r="H70" s="246"/>
      <c r="M70" s="181"/>
    </row>
    <row r="71" spans="1:13" x14ac:dyDescent="0.2">
      <c r="A71" s="313"/>
      <c r="H71" s="246"/>
      <c r="M71" s="181"/>
    </row>
    <row r="72" spans="1:13" x14ac:dyDescent="0.2">
      <c r="A72" s="313"/>
      <c r="B72" s="93" t="s">
        <v>913</v>
      </c>
      <c r="H72" s="246"/>
      <c r="M72" s="181"/>
    </row>
    <row r="73" spans="1:13" x14ac:dyDescent="0.2">
      <c r="A73" s="313"/>
      <c r="H73" s="246"/>
      <c r="M73" s="181"/>
    </row>
    <row r="74" spans="1:13" ht="12.75" thickBot="1" x14ac:dyDescent="0.25">
      <c r="A74" s="313"/>
      <c r="B74" s="93" t="s">
        <v>454</v>
      </c>
      <c r="H74" s="246"/>
      <c r="K74" s="240">
        <v>0</v>
      </c>
      <c r="M74" s="181"/>
    </row>
    <row r="75" spans="1:13" ht="12.75" thickTop="1" x14ac:dyDescent="0.2">
      <c r="A75" s="313"/>
      <c r="H75" s="93"/>
      <c r="J75" s="283"/>
      <c r="K75" s="283"/>
      <c r="M75" s="181"/>
    </row>
    <row r="76" spans="1:13" x14ac:dyDescent="0.2">
      <c r="A76" s="377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M76" s="181"/>
    </row>
    <row r="77" spans="1:13" x14ac:dyDescent="0.2">
      <c r="A77" s="377"/>
      <c r="B77" s="580" t="s">
        <v>950</v>
      </c>
      <c r="C77" s="283"/>
      <c r="D77" s="283"/>
      <c r="E77" s="283"/>
      <c r="F77" s="283"/>
      <c r="G77" s="283"/>
      <c r="H77" s="283"/>
      <c r="I77" s="283"/>
      <c r="J77" s="283"/>
      <c r="K77" s="283"/>
      <c r="M77" s="181"/>
    </row>
    <row r="78" spans="1:13" x14ac:dyDescent="0.2">
      <c r="A78" s="377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M78" s="181"/>
    </row>
    <row r="79" spans="1:13" x14ac:dyDescent="0.2">
      <c r="A79" s="377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M79" s="181"/>
    </row>
    <row r="80" spans="1:13" x14ac:dyDescent="0.2">
      <c r="A80" s="377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M80" s="181"/>
    </row>
    <row r="81" spans="1:13" x14ac:dyDescent="0.2">
      <c r="A81" s="377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M81" s="181"/>
    </row>
    <row r="82" spans="1:13" x14ac:dyDescent="0.2">
      <c r="A82" s="377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M82" s="181"/>
    </row>
    <row r="83" spans="1:13" x14ac:dyDescent="0.2">
      <c r="A83" s="377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M83" s="181"/>
    </row>
    <row r="84" spans="1:13" x14ac:dyDescent="0.2">
      <c r="A84" s="377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M84" s="181"/>
    </row>
    <row r="85" spans="1:13" x14ac:dyDescent="0.2">
      <c r="A85" s="377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M85" s="181"/>
    </row>
    <row r="86" spans="1:13" x14ac:dyDescent="0.2">
      <c r="A86" s="377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M86" s="181"/>
    </row>
    <row r="87" spans="1:13" x14ac:dyDescent="0.2">
      <c r="A87" s="377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M87" s="181"/>
    </row>
    <row r="88" spans="1:13" x14ac:dyDescent="0.2">
      <c r="A88" s="377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M88" s="181"/>
    </row>
    <row r="89" spans="1:13" x14ac:dyDescent="0.2">
      <c r="A89" s="377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M89" s="181"/>
    </row>
    <row r="90" spans="1:13" x14ac:dyDescent="0.2">
      <c r="A90" s="377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M90" s="181"/>
    </row>
    <row r="91" spans="1:13" x14ac:dyDescent="0.2">
      <c r="A91" s="377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M91" s="181"/>
    </row>
    <row r="92" spans="1:13" x14ac:dyDescent="0.2">
      <c r="A92" s="377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M92" s="181"/>
    </row>
    <row r="93" spans="1:13" x14ac:dyDescent="0.2">
      <c r="A93" s="377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M93" s="181"/>
    </row>
    <row r="94" spans="1:13" x14ac:dyDescent="0.2">
      <c r="A94" s="377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M94" s="181"/>
    </row>
    <row r="95" spans="1:13" x14ac:dyDescent="0.2">
      <c r="A95" s="377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M95" s="181"/>
    </row>
    <row r="96" spans="1:13" x14ac:dyDescent="0.2">
      <c r="A96" s="377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M96" s="181"/>
    </row>
    <row r="97" spans="1:13" x14ac:dyDescent="0.2">
      <c r="A97" s="377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M97" s="181"/>
    </row>
    <row r="98" spans="1:13" x14ac:dyDescent="0.2">
      <c r="A98" s="377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M98" s="181"/>
    </row>
    <row r="99" spans="1:13" x14ac:dyDescent="0.2">
      <c r="A99" s="377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M99" s="181"/>
    </row>
    <row r="100" spans="1:13" x14ac:dyDescent="0.2">
      <c r="A100" s="377"/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M100" s="181"/>
    </row>
    <row r="101" spans="1:13" x14ac:dyDescent="0.2">
      <c r="A101" s="377"/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M101" s="181"/>
    </row>
    <row r="102" spans="1:13" x14ac:dyDescent="0.2">
      <c r="A102" s="377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M102" s="181"/>
    </row>
    <row r="103" spans="1:13" x14ac:dyDescent="0.2">
      <c r="A103" s="377"/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M103" s="181"/>
    </row>
    <row r="104" spans="1:13" x14ac:dyDescent="0.2">
      <c r="A104" s="425"/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245"/>
      <c r="M104" s="183"/>
    </row>
    <row r="105" spans="1:13" x14ac:dyDescent="0.2">
      <c r="A105" s="427"/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201"/>
      <c r="M105" s="188"/>
    </row>
    <row r="106" spans="1:13" x14ac:dyDescent="0.2">
      <c r="A106" s="755" t="s">
        <v>843</v>
      </c>
      <c r="B106" s="756"/>
      <c r="C106" s="756"/>
      <c r="D106" s="756"/>
      <c r="E106" s="756"/>
      <c r="F106" s="756"/>
      <c r="G106" s="756"/>
      <c r="H106" s="756"/>
      <c r="I106" s="756"/>
      <c r="J106" s="756"/>
      <c r="K106" s="756"/>
      <c r="L106" s="756"/>
      <c r="M106" s="757"/>
    </row>
    <row r="107" spans="1:13" x14ac:dyDescent="0.2">
      <c r="A107" s="755" t="s">
        <v>845</v>
      </c>
      <c r="B107" s="756"/>
      <c r="C107" s="756"/>
      <c r="D107" s="756"/>
      <c r="E107" s="756"/>
      <c r="F107" s="756"/>
      <c r="G107" s="756"/>
      <c r="H107" s="756"/>
      <c r="I107" s="756"/>
      <c r="J107" s="756"/>
      <c r="K107" s="756"/>
      <c r="L107" s="756"/>
      <c r="M107" s="757"/>
    </row>
    <row r="108" spans="1:13" x14ac:dyDescent="0.2">
      <c r="A108" s="755" t="s">
        <v>844</v>
      </c>
      <c r="B108" s="756"/>
      <c r="C108" s="756"/>
      <c r="D108" s="756"/>
      <c r="E108" s="756"/>
      <c r="F108" s="756"/>
      <c r="G108" s="756"/>
      <c r="H108" s="756"/>
      <c r="I108" s="756"/>
      <c r="J108" s="756"/>
      <c r="K108" s="756"/>
      <c r="L108" s="756"/>
      <c r="M108" s="757"/>
    </row>
    <row r="109" spans="1:13" x14ac:dyDescent="0.2">
      <c r="A109" s="755" t="s">
        <v>1139</v>
      </c>
      <c r="B109" s="756"/>
      <c r="C109" s="756"/>
      <c r="D109" s="756"/>
      <c r="E109" s="756"/>
      <c r="F109" s="756"/>
      <c r="G109" s="756"/>
      <c r="H109" s="756"/>
      <c r="I109" s="756"/>
      <c r="J109" s="756"/>
      <c r="K109" s="756"/>
      <c r="L109" s="756"/>
      <c r="M109" s="757"/>
    </row>
    <row r="110" spans="1:13" x14ac:dyDescent="0.2">
      <c r="A110" s="377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M110" s="181"/>
    </row>
    <row r="111" spans="1:13" x14ac:dyDescent="0.2">
      <c r="A111" s="755"/>
      <c r="B111" s="756"/>
      <c r="C111" s="756"/>
      <c r="D111" s="756"/>
      <c r="E111" s="756"/>
      <c r="F111" s="756"/>
      <c r="G111" s="756"/>
      <c r="H111" s="756"/>
      <c r="I111" s="756"/>
      <c r="J111" s="756"/>
      <c r="K111" s="756"/>
      <c r="L111" s="756"/>
      <c r="M111" s="757"/>
    </row>
    <row r="112" spans="1:13" x14ac:dyDescent="0.2">
      <c r="A112" s="755" t="s">
        <v>984</v>
      </c>
      <c r="B112" s="756"/>
      <c r="C112" s="756"/>
      <c r="D112" s="756"/>
      <c r="E112" s="756"/>
      <c r="F112" s="756"/>
      <c r="G112" s="756"/>
      <c r="H112" s="756"/>
      <c r="I112" s="756"/>
      <c r="J112" s="756"/>
      <c r="K112" s="756"/>
      <c r="L112" s="756"/>
      <c r="M112" s="757"/>
    </row>
    <row r="113" spans="1:13" x14ac:dyDescent="0.2">
      <c r="A113" s="417"/>
      <c r="C113" s="168"/>
      <c r="E113" s="168"/>
      <c r="H113" s="246"/>
      <c r="I113" s="246"/>
      <c r="J113" s="147" t="s">
        <v>846</v>
      </c>
      <c r="M113" s="181"/>
    </row>
    <row r="114" spans="1:13" ht="24" x14ac:dyDescent="0.2">
      <c r="A114" s="418" t="s">
        <v>442</v>
      </c>
      <c r="B114" s="139" t="s">
        <v>456</v>
      </c>
      <c r="C114" s="297" t="s">
        <v>944</v>
      </c>
      <c r="D114" s="227" t="s">
        <v>378</v>
      </c>
      <c r="E114" s="140"/>
      <c r="F114" s="140"/>
      <c r="G114" s="141"/>
      <c r="H114" s="298"/>
      <c r="I114" s="149"/>
      <c r="J114" s="299" t="s">
        <v>444</v>
      </c>
      <c r="K114" s="149"/>
      <c r="L114" s="312" t="s">
        <v>445</v>
      </c>
      <c r="M114" s="181"/>
    </row>
    <row r="115" spans="1:13" x14ac:dyDescent="0.2">
      <c r="A115" s="419">
        <v>1</v>
      </c>
      <c r="B115" s="148" t="s">
        <v>428</v>
      </c>
      <c r="C115" s="168">
        <v>14400</v>
      </c>
      <c r="D115" s="148" t="s">
        <v>945</v>
      </c>
      <c r="H115" s="246"/>
      <c r="J115" s="300">
        <v>200</v>
      </c>
      <c r="L115" s="181">
        <f>C115*J115/10^7</f>
        <v>0.28799999999999998</v>
      </c>
      <c r="M115" s="181"/>
    </row>
    <row r="116" spans="1:13" x14ac:dyDescent="0.2">
      <c r="A116" s="194"/>
      <c r="B116" s="148" t="s">
        <v>849</v>
      </c>
      <c r="C116" s="168"/>
      <c r="D116" s="148" t="s">
        <v>946</v>
      </c>
      <c r="H116" s="246"/>
      <c r="J116" s="300"/>
      <c r="M116" s="181"/>
    </row>
    <row r="117" spans="1:13" x14ac:dyDescent="0.2">
      <c r="A117" s="194"/>
      <c r="C117" s="168"/>
      <c r="D117" s="148"/>
      <c r="H117" s="246"/>
      <c r="J117" s="300"/>
      <c r="M117" s="181"/>
    </row>
    <row r="118" spans="1:13" x14ac:dyDescent="0.2">
      <c r="A118" s="417"/>
      <c r="D118" s="148"/>
      <c r="H118" s="246"/>
      <c r="J118" s="246"/>
      <c r="M118" s="181"/>
    </row>
    <row r="119" spans="1:13" x14ac:dyDescent="0.2">
      <c r="A119" s="419">
        <v>2</v>
      </c>
      <c r="B119" s="148" t="s">
        <v>663</v>
      </c>
      <c r="C119" s="168">
        <v>540</v>
      </c>
      <c r="D119" s="148" t="s">
        <v>847</v>
      </c>
      <c r="H119" s="246"/>
      <c r="J119" s="300">
        <v>400</v>
      </c>
      <c r="L119" s="93">
        <f>C119*J119/10^7</f>
        <v>2.1600000000000001E-2</v>
      </c>
      <c r="M119" s="181"/>
    </row>
    <row r="120" spans="1:13" x14ac:dyDescent="0.2">
      <c r="A120" s="417"/>
      <c r="B120" s="148" t="s">
        <v>870</v>
      </c>
      <c r="D120" s="148" t="s">
        <v>848</v>
      </c>
      <c r="H120" s="246"/>
      <c r="J120" s="246"/>
      <c r="M120" s="181"/>
    </row>
    <row r="121" spans="1:13" x14ac:dyDescent="0.2">
      <c r="A121" s="417"/>
      <c r="D121" s="148"/>
      <c r="H121" s="246"/>
      <c r="J121" s="246"/>
      <c r="M121" s="181"/>
    </row>
    <row r="122" spans="1:13" x14ac:dyDescent="0.2">
      <c r="A122" s="419">
        <v>2</v>
      </c>
      <c r="B122" s="148" t="s">
        <v>664</v>
      </c>
      <c r="D122" s="148"/>
      <c r="H122" s="246"/>
      <c r="J122" s="301" t="s">
        <v>294</v>
      </c>
      <c r="L122" s="93">
        <v>0.02</v>
      </c>
      <c r="M122" s="181"/>
    </row>
    <row r="123" spans="1:13" x14ac:dyDescent="0.2">
      <c r="A123" s="194"/>
      <c r="B123" s="148" t="s">
        <v>871</v>
      </c>
      <c r="H123" s="246"/>
      <c r="J123" s="246"/>
      <c r="M123" s="181"/>
    </row>
    <row r="124" spans="1:13" x14ac:dyDescent="0.2">
      <c r="A124" s="194"/>
      <c r="B124" s="148"/>
      <c r="H124" s="246"/>
      <c r="J124" s="246"/>
      <c r="M124" s="181"/>
    </row>
    <row r="125" spans="1:13" x14ac:dyDescent="0.2">
      <c r="A125" s="419">
        <v>4</v>
      </c>
      <c r="B125" s="148" t="s">
        <v>665</v>
      </c>
      <c r="H125" s="246"/>
      <c r="J125" s="301" t="s">
        <v>294</v>
      </c>
      <c r="L125" s="93">
        <v>0.01</v>
      </c>
      <c r="M125" s="181"/>
    </row>
    <row r="126" spans="1:13" x14ac:dyDescent="0.2">
      <c r="A126" s="419">
        <v>5</v>
      </c>
      <c r="B126" s="148" t="s">
        <v>666</v>
      </c>
      <c r="H126" s="246"/>
      <c r="J126" s="301" t="s">
        <v>294</v>
      </c>
      <c r="L126" s="93">
        <v>0.01</v>
      </c>
      <c r="M126" s="181"/>
    </row>
    <row r="127" spans="1:13" x14ac:dyDescent="0.2">
      <c r="A127" s="419">
        <v>6</v>
      </c>
      <c r="B127" s="93" t="s">
        <v>667</v>
      </c>
      <c r="H127" s="246"/>
      <c r="J127" s="301" t="s">
        <v>294</v>
      </c>
      <c r="L127" s="93">
        <v>0.01</v>
      </c>
      <c r="M127" s="181"/>
    </row>
    <row r="128" spans="1:13" x14ac:dyDescent="0.2">
      <c r="A128" s="419">
        <v>7</v>
      </c>
      <c r="B128" s="93" t="s">
        <v>668</v>
      </c>
      <c r="H128" s="246"/>
      <c r="J128" s="301" t="s">
        <v>294</v>
      </c>
      <c r="L128" s="93">
        <v>0.01</v>
      </c>
      <c r="M128" s="181"/>
    </row>
    <row r="129" spans="1:13" x14ac:dyDescent="0.2">
      <c r="A129" s="419">
        <v>8</v>
      </c>
      <c r="B129" s="93" t="s">
        <v>669</v>
      </c>
      <c r="H129" s="246"/>
      <c r="J129" s="301" t="s">
        <v>294</v>
      </c>
      <c r="L129" s="93">
        <v>0.01</v>
      </c>
      <c r="M129" s="181"/>
    </row>
    <row r="130" spans="1:13" x14ac:dyDescent="0.2">
      <c r="A130" s="419">
        <v>9</v>
      </c>
      <c r="B130" s="148" t="s">
        <v>662</v>
      </c>
      <c r="C130" s="196"/>
      <c r="D130" s="148" t="s">
        <v>296</v>
      </c>
      <c r="H130" s="246"/>
      <c r="J130" s="301" t="s">
        <v>294</v>
      </c>
      <c r="L130" s="93">
        <v>0.01</v>
      </c>
      <c r="M130" s="181"/>
    </row>
    <row r="131" spans="1:13" x14ac:dyDescent="0.2">
      <c r="A131" s="417"/>
      <c r="B131" s="148"/>
      <c r="D131" s="148" t="s">
        <v>301</v>
      </c>
      <c r="H131" s="246"/>
      <c r="J131" s="246"/>
      <c r="M131" s="181"/>
    </row>
    <row r="132" spans="1:13" x14ac:dyDescent="0.2">
      <c r="A132" s="419">
        <v>10</v>
      </c>
      <c r="B132" s="148" t="s">
        <v>661</v>
      </c>
      <c r="D132" s="148" t="s">
        <v>302</v>
      </c>
      <c r="H132" s="246"/>
      <c r="J132" s="301" t="s">
        <v>294</v>
      </c>
      <c r="L132" s="93">
        <v>0.01</v>
      </c>
      <c r="M132" s="181"/>
    </row>
    <row r="133" spans="1:13" x14ac:dyDescent="0.2">
      <c r="A133" s="194"/>
      <c r="D133" s="148" t="s">
        <v>303</v>
      </c>
      <c r="H133" s="246"/>
      <c r="J133" s="246"/>
      <c r="M133" s="181"/>
    </row>
    <row r="134" spans="1:13" x14ac:dyDescent="0.2">
      <c r="A134" s="417"/>
      <c r="D134" s="148"/>
      <c r="H134" s="246"/>
      <c r="J134" s="301"/>
      <c r="M134" s="181"/>
    </row>
    <row r="135" spans="1:13" x14ac:dyDescent="0.2">
      <c r="A135" s="417"/>
      <c r="D135" s="148"/>
      <c r="H135" s="246"/>
      <c r="J135" s="301"/>
      <c r="M135" s="181"/>
    </row>
    <row r="136" spans="1:13" x14ac:dyDescent="0.2">
      <c r="A136" s="417">
        <v>11</v>
      </c>
      <c r="B136" s="93" t="s">
        <v>872</v>
      </c>
      <c r="D136" s="148"/>
      <c r="H136" s="246"/>
      <c r="J136" s="301" t="s">
        <v>294</v>
      </c>
      <c r="L136" s="93">
        <v>0.05</v>
      </c>
      <c r="M136" s="181"/>
    </row>
    <row r="137" spans="1:13" x14ac:dyDescent="0.2">
      <c r="A137" s="194"/>
      <c r="B137" s="148"/>
      <c r="H137" s="246"/>
      <c r="J137" s="246"/>
      <c r="M137" s="181"/>
    </row>
    <row r="138" spans="1:13" x14ac:dyDescent="0.2">
      <c r="A138" s="194"/>
      <c r="H138" s="246"/>
      <c r="J138" s="302"/>
      <c r="M138" s="181"/>
    </row>
    <row r="139" spans="1:13" x14ac:dyDescent="0.2">
      <c r="A139" s="194"/>
      <c r="B139" s="148"/>
      <c r="H139" s="246"/>
      <c r="J139" s="300"/>
      <c r="M139" s="181"/>
    </row>
    <row r="140" spans="1:13" ht="12.75" thickBot="1" x14ac:dyDescent="0.25">
      <c r="A140" s="194"/>
      <c r="H140" s="246"/>
      <c r="J140" s="303" t="s">
        <v>454</v>
      </c>
      <c r="L140" s="295">
        <f>SUM(L115:L139)</f>
        <v>0.44960000000000006</v>
      </c>
      <c r="M140" s="181"/>
    </row>
    <row r="141" spans="1:13" ht="12.75" thickTop="1" x14ac:dyDescent="0.2">
      <c r="A141" s="194"/>
      <c r="D141" s="283"/>
      <c r="H141" s="246"/>
      <c r="M141" s="181"/>
    </row>
    <row r="142" spans="1:13" x14ac:dyDescent="0.2">
      <c r="A142" s="194"/>
      <c r="D142" s="283"/>
      <c r="H142" s="246"/>
      <c r="M142" s="181"/>
    </row>
    <row r="143" spans="1:13" x14ac:dyDescent="0.2">
      <c r="A143" s="194"/>
      <c r="D143" s="283"/>
      <c r="H143" s="246"/>
      <c r="M143" s="181"/>
    </row>
    <row r="144" spans="1:13" x14ac:dyDescent="0.2">
      <c r="A144" s="194"/>
      <c r="D144" s="283"/>
      <c r="H144" s="246"/>
      <c r="M144" s="181"/>
    </row>
    <row r="145" spans="1:13" x14ac:dyDescent="0.2">
      <c r="A145" s="194"/>
      <c r="D145" s="283"/>
      <c r="H145" s="246"/>
      <c r="M145" s="181"/>
    </row>
    <row r="146" spans="1:13" x14ac:dyDescent="0.2">
      <c r="A146" s="194"/>
      <c r="D146" s="283"/>
      <c r="H146" s="246"/>
      <c r="M146" s="181"/>
    </row>
    <row r="147" spans="1:13" x14ac:dyDescent="0.2">
      <c r="A147" s="194"/>
      <c r="D147" s="283"/>
      <c r="H147" s="246"/>
      <c r="M147" s="181"/>
    </row>
    <row r="148" spans="1:13" x14ac:dyDescent="0.2">
      <c r="A148" s="194"/>
      <c r="D148" s="283"/>
      <c r="H148" s="246"/>
      <c r="M148" s="181"/>
    </row>
    <row r="149" spans="1:13" x14ac:dyDescent="0.2">
      <c r="A149" s="194"/>
      <c r="D149" s="283"/>
      <c r="H149" s="246"/>
      <c r="M149" s="181"/>
    </row>
    <row r="150" spans="1:13" x14ac:dyDescent="0.2">
      <c r="A150" s="194"/>
      <c r="D150" s="283"/>
      <c r="H150" s="246"/>
      <c r="M150" s="181"/>
    </row>
    <row r="151" spans="1:13" x14ac:dyDescent="0.2">
      <c r="A151" s="194"/>
      <c r="D151" s="283"/>
      <c r="H151" s="246"/>
      <c r="M151" s="181"/>
    </row>
    <row r="152" spans="1:13" x14ac:dyDescent="0.2">
      <c r="A152" s="194"/>
      <c r="D152" s="283"/>
      <c r="H152" s="246"/>
      <c r="M152" s="181"/>
    </row>
    <row r="153" spans="1:13" x14ac:dyDescent="0.2">
      <c r="A153" s="194"/>
      <c r="D153" s="283"/>
      <c r="H153" s="246"/>
      <c r="M153" s="181"/>
    </row>
    <row r="154" spans="1:13" x14ac:dyDescent="0.2">
      <c r="A154" s="194"/>
      <c r="D154" s="283"/>
      <c r="H154" s="246"/>
      <c r="M154" s="181"/>
    </row>
    <row r="155" spans="1:13" x14ac:dyDescent="0.2">
      <c r="A155" s="194"/>
      <c r="D155" s="283"/>
      <c r="H155" s="246"/>
      <c r="M155" s="181"/>
    </row>
    <row r="156" spans="1:13" x14ac:dyDescent="0.2">
      <c r="A156" s="190"/>
      <c r="B156" s="245"/>
      <c r="C156" s="245"/>
      <c r="D156" s="426"/>
      <c r="E156" s="245"/>
      <c r="F156" s="245"/>
      <c r="G156" s="245"/>
      <c r="H156" s="422"/>
      <c r="I156" s="245"/>
      <c r="J156" s="245"/>
      <c r="K156" s="245"/>
      <c r="L156" s="245"/>
      <c r="M156" s="183"/>
    </row>
    <row r="157" spans="1:13" x14ac:dyDescent="0.2">
      <c r="A157" s="752" t="s">
        <v>843</v>
      </c>
      <c r="B157" s="753"/>
      <c r="C157" s="753"/>
      <c r="D157" s="753"/>
      <c r="E157" s="753"/>
      <c r="F157" s="753"/>
      <c r="G157" s="753"/>
      <c r="H157" s="753"/>
      <c r="I157" s="753"/>
      <c r="J157" s="753"/>
      <c r="K157" s="753"/>
      <c r="L157" s="753"/>
      <c r="M157" s="754"/>
    </row>
    <row r="158" spans="1:13" x14ac:dyDescent="0.2">
      <c r="A158" s="755" t="s">
        <v>1139</v>
      </c>
      <c r="B158" s="756"/>
      <c r="C158" s="756"/>
      <c r="D158" s="756"/>
      <c r="E158" s="756"/>
      <c r="F158" s="756"/>
      <c r="G158" s="756"/>
      <c r="H158" s="756"/>
      <c r="I158" s="756"/>
      <c r="J158" s="756"/>
      <c r="K158" s="756"/>
      <c r="L158" s="756"/>
      <c r="M158" s="757"/>
    </row>
    <row r="159" spans="1:13" x14ac:dyDescent="0.2">
      <c r="A159" s="755"/>
      <c r="B159" s="756"/>
      <c r="C159" s="756"/>
      <c r="D159" s="756"/>
      <c r="E159" s="756"/>
      <c r="F159" s="756"/>
      <c r="G159" s="756"/>
      <c r="H159" s="756"/>
      <c r="I159" s="756"/>
      <c r="J159" s="756"/>
      <c r="K159" s="756"/>
      <c r="L159" s="756"/>
      <c r="M159" s="757"/>
    </row>
    <row r="160" spans="1:13" x14ac:dyDescent="0.2">
      <c r="A160" s="755" t="s">
        <v>985</v>
      </c>
      <c r="B160" s="756"/>
      <c r="C160" s="756"/>
      <c r="D160" s="756"/>
      <c r="E160" s="756"/>
      <c r="F160" s="756"/>
      <c r="G160" s="756"/>
      <c r="H160" s="756"/>
      <c r="I160" s="756"/>
      <c r="J160" s="756"/>
      <c r="K160" s="756"/>
      <c r="L160" s="756"/>
      <c r="M160" s="757"/>
    </row>
    <row r="161" spans="1:13" x14ac:dyDescent="0.2">
      <c r="A161" s="194"/>
      <c r="H161" s="246"/>
      <c r="L161" s="147" t="s">
        <v>846</v>
      </c>
      <c r="M161" s="181"/>
    </row>
    <row r="162" spans="1:13" ht="24" x14ac:dyDescent="0.2">
      <c r="A162" s="418" t="s">
        <v>442</v>
      </c>
      <c r="B162" s="139" t="s">
        <v>443</v>
      </c>
      <c r="C162" s="227"/>
      <c r="D162" s="149"/>
      <c r="E162" s="139" t="s">
        <v>379</v>
      </c>
      <c r="F162" s="149"/>
      <c r="G162" s="141"/>
      <c r="H162" s="304"/>
      <c r="I162" s="149"/>
      <c r="J162" s="149" t="s">
        <v>1054</v>
      </c>
      <c r="K162" s="149"/>
      <c r="L162" s="312" t="s">
        <v>445</v>
      </c>
      <c r="M162" s="181"/>
    </row>
    <row r="163" spans="1:13" x14ac:dyDescent="0.2">
      <c r="A163" s="430" t="s">
        <v>209</v>
      </c>
      <c r="B163" s="212" t="s">
        <v>292</v>
      </c>
      <c r="C163" s="223"/>
      <c r="D163" s="143"/>
      <c r="E163" s="97"/>
      <c r="G163" s="146"/>
      <c r="H163" s="246"/>
      <c r="K163" s="147"/>
      <c r="M163" s="181"/>
    </row>
    <row r="164" spans="1:13" x14ac:dyDescent="0.2">
      <c r="A164" s="430"/>
      <c r="B164" s="93" t="s">
        <v>1050</v>
      </c>
      <c r="C164" s="223"/>
      <c r="D164" s="143"/>
      <c r="G164" s="146"/>
      <c r="H164" s="246"/>
      <c r="K164" s="147"/>
      <c r="M164" s="181"/>
    </row>
    <row r="165" spans="1:13" x14ac:dyDescent="0.2">
      <c r="A165" s="430"/>
      <c r="B165" s="93" t="s">
        <v>1051</v>
      </c>
      <c r="C165" s="223"/>
      <c r="D165" s="143"/>
      <c r="E165" s="97"/>
      <c r="G165" s="146"/>
      <c r="H165" s="246"/>
      <c r="K165" s="147"/>
      <c r="M165" s="181"/>
    </row>
    <row r="166" spans="1:13" x14ac:dyDescent="0.2">
      <c r="A166" s="430"/>
      <c r="B166" s="93" t="s">
        <v>1052</v>
      </c>
      <c r="C166" s="223"/>
      <c r="D166" s="143"/>
      <c r="E166" s="97"/>
      <c r="G166" s="146"/>
      <c r="H166" s="246"/>
      <c r="K166" s="147"/>
      <c r="M166" s="181"/>
    </row>
    <row r="167" spans="1:13" x14ac:dyDescent="0.2">
      <c r="A167" s="430"/>
      <c r="B167" s="93" t="s">
        <v>1053</v>
      </c>
      <c r="C167" s="223"/>
      <c r="D167" s="143"/>
      <c r="E167" s="97"/>
      <c r="G167" s="146"/>
      <c r="H167" s="246"/>
      <c r="K167" s="147"/>
      <c r="M167" s="181"/>
    </row>
    <row r="168" spans="1:13" x14ac:dyDescent="0.2">
      <c r="A168" s="430"/>
      <c r="B168" s="148" t="s">
        <v>1055</v>
      </c>
      <c r="C168" s="223"/>
      <c r="D168" s="148"/>
      <c r="G168" s="147"/>
      <c r="H168" s="276"/>
      <c r="J168" s="93">
        <v>24</v>
      </c>
      <c r="K168" s="147"/>
      <c r="L168" s="93">
        <v>1.8</v>
      </c>
      <c r="M168" s="181"/>
    </row>
    <row r="169" spans="1:13" x14ac:dyDescent="0.2">
      <c r="A169" s="430"/>
      <c r="B169" s="148" t="s">
        <v>1056</v>
      </c>
      <c r="C169" s="223"/>
      <c r="D169" s="148"/>
      <c r="G169" s="147"/>
      <c r="H169" s="276"/>
      <c r="J169" s="93">
        <v>1</v>
      </c>
      <c r="K169" s="147"/>
      <c r="L169" s="93">
        <v>1.1000000000000001</v>
      </c>
      <c r="M169" s="181"/>
    </row>
    <row r="170" spans="1:13" x14ac:dyDescent="0.2">
      <c r="A170" s="430"/>
      <c r="B170" s="148" t="s">
        <v>1057</v>
      </c>
      <c r="C170" s="223"/>
      <c r="D170" s="148"/>
      <c r="G170" s="147"/>
      <c r="H170" s="276"/>
      <c r="J170" s="93">
        <v>1</v>
      </c>
      <c r="K170" s="147"/>
      <c r="L170" s="93">
        <v>0.03</v>
      </c>
      <c r="M170" s="181"/>
    </row>
    <row r="171" spans="1:13" x14ac:dyDescent="0.2">
      <c r="A171" s="430"/>
      <c r="B171" s="148" t="s">
        <v>1058</v>
      </c>
      <c r="C171" s="223"/>
      <c r="D171" s="148"/>
      <c r="E171" s="93" t="s">
        <v>1061</v>
      </c>
      <c r="G171" s="147"/>
      <c r="H171" s="276"/>
      <c r="J171" s="93">
        <v>1</v>
      </c>
      <c r="K171" s="147"/>
      <c r="L171" s="93">
        <v>0.1</v>
      </c>
      <c r="M171" s="181"/>
    </row>
    <row r="172" spans="1:13" x14ac:dyDescent="0.2">
      <c r="A172" s="430"/>
      <c r="B172" s="148" t="s">
        <v>935</v>
      </c>
      <c r="C172" s="223"/>
      <c r="D172" s="148"/>
      <c r="G172" s="147"/>
      <c r="H172" s="276"/>
      <c r="J172" s="93">
        <v>1</v>
      </c>
      <c r="K172" s="147"/>
      <c r="L172" s="93">
        <v>0.08</v>
      </c>
      <c r="M172" s="181"/>
    </row>
    <row r="173" spans="1:13" x14ac:dyDescent="0.2">
      <c r="A173" s="430"/>
      <c r="B173" s="148" t="s">
        <v>1059</v>
      </c>
      <c r="C173" s="223"/>
      <c r="D173" s="148"/>
      <c r="G173" s="147"/>
      <c r="H173" s="276"/>
      <c r="J173" s="93">
        <v>2</v>
      </c>
      <c r="K173" s="147"/>
      <c r="L173" s="93">
        <v>0.12</v>
      </c>
      <c r="M173" s="181"/>
    </row>
    <row r="174" spans="1:13" x14ac:dyDescent="0.2">
      <c r="A174" s="430"/>
      <c r="B174" s="148" t="s">
        <v>937</v>
      </c>
      <c r="C174" s="223"/>
      <c r="D174" s="148"/>
      <c r="G174" s="147"/>
      <c r="H174" s="276"/>
      <c r="J174" s="93">
        <v>1</v>
      </c>
      <c r="K174" s="147"/>
      <c r="L174" s="93">
        <v>0.2</v>
      </c>
      <c r="M174" s="181"/>
    </row>
    <row r="175" spans="1:13" x14ac:dyDescent="0.2">
      <c r="A175" s="430"/>
      <c r="B175" s="148" t="s">
        <v>933</v>
      </c>
      <c r="C175" s="223"/>
      <c r="D175" s="148"/>
      <c r="G175" s="147"/>
      <c r="H175" s="276"/>
      <c r="J175" s="93">
        <v>2</v>
      </c>
      <c r="K175" s="147"/>
      <c r="L175" s="93">
        <v>0.15</v>
      </c>
      <c r="M175" s="181"/>
    </row>
    <row r="176" spans="1:13" x14ac:dyDescent="0.2">
      <c r="A176" s="430"/>
      <c r="B176" s="148" t="s">
        <v>1060</v>
      </c>
      <c r="C176" s="223"/>
      <c r="D176" s="148"/>
      <c r="G176" s="147"/>
      <c r="H176" s="276"/>
      <c r="J176" s="93">
        <v>1</v>
      </c>
      <c r="K176" s="147"/>
      <c r="L176" s="93">
        <v>0.55000000000000004</v>
      </c>
      <c r="M176" s="181"/>
    </row>
    <row r="177" spans="1:13" x14ac:dyDescent="0.2">
      <c r="A177" s="430"/>
      <c r="H177" s="246"/>
      <c r="M177" s="181"/>
    </row>
    <row r="178" spans="1:13" x14ac:dyDescent="0.2">
      <c r="A178" s="430"/>
      <c r="B178" s="142" t="s">
        <v>1101</v>
      </c>
      <c r="C178" s="223"/>
      <c r="D178" s="148"/>
      <c r="G178" s="147"/>
      <c r="H178" s="276"/>
      <c r="K178" s="147"/>
      <c r="M178" s="181"/>
    </row>
    <row r="179" spans="1:13" x14ac:dyDescent="0.2">
      <c r="A179" s="430"/>
      <c r="B179" s="148" t="s">
        <v>1091</v>
      </c>
      <c r="C179" s="223"/>
      <c r="D179" s="148"/>
      <c r="E179" s="93" t="s">
        <v>1061</v>
      </c>
      <c r="G179" s="147"/>
      <c r="H179" s="276"/>
      <c r="J179" s="93">
        <v>7</v>
      </c>
      <c r="K179" s="147"/>
      <c r="L179" s="93">
        <v>0.3745</v>
      </c>
      <c r="M179" s="181"/>
    </row>
    <row r="180" spans="1:13" x14ac:dyDescent="0.2">
      <c r="A180" s="430"/>
      <c r="H180" s="246"/>
      <c r="M180" s="181"/>
    </row>
    <row r="181" spans="1:13" x14ac:dyDescent="0.2">
      <c r="A181" s="430"/>
      <c r="B181" s="148" t="s">
        <v>1093</v>
      </c>
      <c r="C181" s="223"/>
      <c r="D181" s="148"/>
      <c r="G181" s="147"/>
      <c r="H181" s="276"/>
      <c r="J181" s="93">
        <v>6</v>
      </c>
      <c r="K181" s="147"/>
      <c r="L181" s="93">
        <v>6.54E-2</v>
      </c>
      <c r="M181" s="181"/>
    </row>
    <row r="182" spans="1:13" x14ac:dyDescent="0.2">
      <c r="A182" s="430"/>
      <c r="B182" s="148" t="s">
        <v>1094</v>
      </c>
      <c r="C182" s="223"/>
      <c r="D182" s="148"/>
      <c r="G182" s="147"/>
      <c r="H182" s="276"/>
      <c r="J182" s="93">
        <v>150</v>
      </c>
      <c r="K182" s="147"/>
      <c r="L182" s="93">
        <v>0.10274999999999999</v>
      </c>
      <c r="M182" s="181"/>
    </row>
    <row r="183" spans="1:13" x14ac:dyDescent="0.2">
      <c r="A183" s="430"/>
      <c r="B183" s="148" t="s">
        <v>1095</v>
      </c>
      <c r="C183" s="223"/>
      <c r="D183" s="148"/>
      <c r="G183" s="147"/>
      <c r="H183" s="276"/>
      <c r="J183" s="93">
        <v>14</v>
      </c>
      <c r="K183" s="147"/>
      <c r="L183" s="93">
        <v>9.0999999999999998E-2</v>
      </c>
      <c r="M183" s="181"/>
    </row>
    <row r="184" spans="1:13" x14ac:dyDescent="0.2">
      <c r="A184" s="430"/>
      <c r="B184" s="148" t="s">
        <v>1096</v>
      </c>
      <c r="C184" s="223"/>
      <c r="D184" s="148"/>
      <c r="G184" s="147"/>
      <c r="H184" s="276"/>
      <c r="J184" s="93">
        <v>14</v>
      </c>
      <c r="K184" s="147"/>
      <c r="L184" s="93">
        <v>8.1900000000000001E-2</v>
      </c>
      <c r="M184" s="181"/>
    </row>
    <row r="185" spans="1:13" x14ac:dyDescent="0.2">
      <c r="A185" s="430"/>
      <c r="B185" s="148" t="s">
        <v>1097</v>
      </c>
      <c r="C185" s="223"/>
      <c r="D185" s="148"/>
      <c r="G185" s="147"/>
      <c r="H185" s="276"/>
      <c r="J185" s="93">
        <v>1</v>
      </c>
      <c r="K185" s="147"/>
      <c r="L185" s="93">
        <v>0.16800000000000001</v>
      </c>
      <c r="M185" s="181"/>
    </row>
    <row r="186" spans="1:13" x14ac:dyDescent="0.2">
      <c r="A186" s="430"/>
      <c r="B186" s="148" t="s">
        <v>1098</v>
      </c>
      <c r="C186" s="223"/>
      <c r="D186" s="148"/>
      <c r="G186" s="147"/>
      <c r="H186" s="276"/>
      <c r="J186" s="93">
        <v>28</v>
      </c>
      <c r="K186" s="147"/>
      <c r="L186" s="93">
        <v>9.8000000000000004E-2</v>
      </c>
      <c r="M186" s="181"/>
    </row>
    <row r="187" spans="1:13" x14ac:dyDescent="0.2">
      <c r="A187" s="430"/>
      <c r="B187" s="148" t="s">
        <v>1099</v>
      </c>
      <c r="C187" s="223"/>
      <c r="D187" s="148"/>
      <c r="G187" s="147"/>
      <c r="H187" s="276"/>
      <c r="J187" s="93">
        <v>4</v>
      </c>
      <c r="K187" s="147"/>
      <c r="L187" s="93">
        <v>1.0999999999999999E-2</v>
      </c>
      <c r="M187" s="181"/>
    </row>
    <row r="188" spans="1:13" x14ac:dyDescent="0.2">
      <c r="A188" s="430"/>
      <c r="B188" s="148" t="s">
        <v>1100</v>
      </c>
      <c r="C188" s="223"/>
      <c r="D188" s="148"/>
      <c r="G188" s="147"/>
      <c r="H188" s="276"/>
      <c r="J188" s="93">
        <v>20</v>
      </c>
      <c r="K188" s="147"/>
      <c r="L188" s="93">
        <v>5.5E-2</v>
      </c>
      <c r="M188" s="181"/>
    </row>
    <row r="189" spans="1:13" x14ac:dyDescent="0.2">
      <c r="A189" s="430"/>
      <c r="H189" s="246"/>
      <c r="M189" s="181"/>
    </row>
    <row r="190" spans="1:13" x14ac:dyDescent="0.2">
      <c r="A190" s="430"/>
      <c r="B190" s="142" t="s">
        <v>1108</v>
      </c>
      <c r="C190" s="223"/>
      <c r="D190" s="148"/>
      <c r="G190" s="147"/>
      <c r="H190" s="276"/>
      <c r="J190" s="93" t="s">
        <v>1064</v>
      </c>
      <c r="K190" s="147"/>
      <c r="L190" s="93">
        <v>0.18</v>
      </c>
      <c r="M190" s="181"/>
    </row>
    <row r="191" spans="1:13" x14ac:dyDescent="0.2">
      <c r="A191" s="430"/>
      <c r="B191" s="148" t="s">
        <v>1109</v>
      </c>
      <c r="C191" s="223"/>
      <c r="D191" s="148"/>
      <c r="G191" s="147"/>
      <c r="H191" s="276"/>
      <c r="K191" s="147"/>
      <c r="M191" s="181"/>
    </row>
    <row r="192" spans="1:13" x14ac:dyDescent="0.2">
      <c r="A192" s="430"/>
      <c r="B192" s="148" t="s">
        <v>1110</v>
      </c>
      <c r="C192" s="223"/>
      <c r="D192" s="148"/>
      <c r="G192" s="147"/>
      <c r="H192" s="276"/>
      <c r="K192" s="147"/>
      <c r="M192" s="181"/>
    </row>
    <row r="193" spans="1:13" x14ac:dyDescent="0.2">
      <c r="A193" s="430"/>
      <c r="B193" s="148" t="s">
        <v>1111</v>
      </c>
      <c r="C193" s="223"/>
      <c r="D193" s="148"/>
      <c r="G193" s="147"/>
      <c r="H193" s="276"/>
      <c r="K193" s="147"/>
      <c r="M193" s="181"/>
    </row>
    <row r="194" spans="1:13" x14ac:dyDescent="0.2">
      <c r="A194" s="430"/>
      <c r="B194" s="148" t="s">
        <v>1112</v>
      </c>
      <c r="C194" s="223"/>
      <c r="D194" s="148"/>
      <c r="G194" s="147"/>
      <c r="H194" s="276"/>
      <c r="K194" s="147"/>
      <c r="M194" s="181"/>
    </row>
    <row r="195" spans="1:13" x14ac:dyDescent="0.2">
      <c r="A195" s="430"/>
      <c r="B195" s="148" t="s">
        <v>1113</v>
      </c>
      <c r="C195" s="223"/>
      <c r="D195" s="148"/>
      <c r="G195" s="147"/>
      <c r="H195" s="276"/>
      <c r="K195" s="147"/>
      <c r="M195" s="181"/>
    </row>
    <row r="196" spans="1:13" ht="12.75" x14ac:dyDescent="0.2">
      <c r="A196" s="430"/>
      <c r="B196" s="277" t="s">
        <v>1114</v>
      </c>
      <c r="C196" s="223"/>
      <c r="D196" s="147"/>
      <c r="G196" s="147"/>
      <c r="H196" s="246"/>
      <c r="K196" s="147"/>
      <c r="M196" s="181"/>
    </row>
    <row r="197" spans="1:13" ht="12.75" x14ac:dyDescent="0.2">
      <c r="A197" s="430"/>
      <c r="B197" s="277"/>
      <c r="C197" s="223"/>
      <c r="D197" s="147"/>
      <c r="G197" s="147"/>
      <c r="H197" s="246"/>
      <c r="K197" s="147"/>
      <c r="L197" s="97"/>
      <c r="M197" s="181"/>
    </row>
    <row r="198" spans="1:13" ht="12.75" x14ac:dyDescent="0.2">
      <c r="A198" s="430"/>
      <c r="B198" s="277" t="s">
        <v>934</v>
      </c>
      <c r="C198" s="223"/>
      <c r="D198" s="147"/>
      <c r="E198" s="93" t="s">
        <v>1068</v>
      </c>
      <c r="G198" s="147"/>
      <c r="H198" s="246"/>
      <c r="K198" s="147"/>
      <c r="L198" s="93">
        <v>0.49680000000000002</v>
      </c>
      <c r="M198" s="181"/>
    </row>
    <row r="199" spans="1:13" ht="12.75" x14ac:dyDescent="0.2">
      <c r="A199" s="430"/>
      <c r="B199" s="277"/>
      <c r="C199" s="223"/>
      <c r="D199" s="147"/>
      <c r="G199" s="147"/>
      <c r="H199" s="246"/>
      <c r="K199" s="147"/>
      <c r="L199" s="97"/>
      <c r="M199" s="181"/>
    </row>
    <row r="200" spans="1:13" ht="12.75" x14ac:dyDescent="0.2">
      <c r="A200" s="430"/>
      <c r="B200" s="277" t="s">
        <v>936</v>
      </c>
      <c r="C200" s="223"/>
      <c r="D200" s="147"/>
      <c r="E200" s="93" t="s">
        <v>1074</v>
      </c>
      <c r="G200" s="147"/>
      <c r="H200" s="246"/>
      <c r="J200" s="93" t="s">
        <v>1064</v>
      </c>
      <c r="K200" s="147"/>
      <c r="L200" s="93">
        <v>0.119134114</v>
      </c>
      <c r="M200" s="181"/>
    </row>
    <row r="201" spans="1:13" ht="12.75" x14ac:dyDescent="0.2">
      <c r="A201" s="430"/>
      <c r="B201" s="277" t="s">
        <v>1075</v>
      </c>
      <c r="C201" s="223"/>
      <c r="D201" s="147"/>
      <c r="E201" s="93" t="s">
        <v>1076</v>
      </c>
      <c r="G201" s="147"/>
      <c r="H201" s="246"/>
      <c r="J201" s="93" t="s">
        <v>1064</v>
      </c>
      <c r="K201" s="147"/>
      <c r="L201" s="93">
        <v>7.4999999999999997E-2</v>
      </c>
      <c r="M201" s="181"/>
    </row>
    <row r="202" spans="1:13" ht="12.75" x14ac:dyDescent="0.2">
      <c r="A202" s="430"/>
      <c r="B202" s="277"/>
      <c r="C202" s="223"/>
      <c r="D202" s="147"/>
      <c r="G202" s="147"/>
      <c r="H202" s="246"/>
      <c r="K202" s="147"/>
      <c r="L202" s="97"/>
      <c r="M202" s="181"/>
    </row>
    <row r="203" spans="1:13" ht="12.75" x14ac:dyDescent="0.2">
      <c r="A203" s="430"/>
      <c r="B203" s="277" t="s">
        <v>1079</v>
      </c>
      <c r="C203" s="223"/>
      <c r="D203" s="147"/>
      <c r="E203" s="277" t="s">
        <v>1078</v>
      </c>
      <c r="F203" s="97"/>
      <c r="G203" s="147"/>
      <c r="H203" s="246"/>
      <c r="K203" s="147"/>
      <c r="L203" s="93">
        <v>8.0659999999999996E-2</v>
      </c>
      <c r="M203" s="181"/>
    </row>
    <row r="204" spans="1:13" ht="12.75" x14ac:dyDescent="0.2">
      <c r="A204" s="430"/>
      <c r="B204" s="277"/>
      <c r="C204" s="223"/>
      <c r="D204" s="147"/>
      <c r="G204" s="147"/>
      <c r="H204" s="246"/>
      <c r="K204" s="147"/>
      <c r="L204" s="97">
        <f>SUM(L163:L203)</f>
        <v>6.1291441140000025</v>
      </c>
      <c r="M204" s="181"/>
    </row>
    <row r="205" spans="1:13" ht="12.75" x14ac:dyDescent="0.2">
      <c r="A205" s="430"/>
      <c r="B205" s="277"/>
      <c r="C205" s="223"/>
      <c r="D205" s="147"/>
      <c r="G205" s="147"/>
      <c r="H205" s="246"/>
      <c r="K205" s="147"/>
      <c r="L205" s="674"/>
      <c r="M205" s="181"/>
    </row>
    <row r="206" spans="1:13" ht="12.75" x14ac:dyDescent="0.2">
      <c r="A206" s="431"/>
      <c r="B206" s="432"/>
      <c r="C206" s="433"/>
      <c r="D206" s="317"/>
      <c r="E206" s="245"/>
      <c r="F206" s="245"/>
      <c r="G206" s="317"/>
      <c r="H206" s="422"/>
      <c r="I206" s="245"/>
      <c r="J206" s="245"/>
      <c r="K206" s="317"/>
      <c r="L206" s="245"/>
      <c r="M206" s="183"/>
    </row>
    <row r="207" spans="1:13" ht="12.75" customHeight="1" x14ac:dyDescent="0.2">
      <c r="A207" s="780" t="s">
        <v>843</v>
      </c>
      <c r="B207" s="781"/>
      <c r="C207" s="781"/>
      <c r="D207" s="781"/>
      <c r="E207" s="781"/>
      <c r="F207" s="781"/>
      <c r="G207" s="781"/>
      <c r="H207" s="781"/>
      <c r="I207" s="781"/>
      <c r="J207" s="781"/>
      <c r="K207" s="781"/>
      <c r="L207" s="781"/>
      <c r="M207" s="782"/>
    </row>
    <row r="208" spans="1:13" x14ac:dyDescent="0.2">
      <c r="A208" s="774" t="s">
        <v>845</v>
      </c>
      <c r="B208" s="775"/>
      <c r="C208" s="775"/>
      <c r="D208" s="775"/>
      <c r="E208" s="775"/>
      <c r="F208" s="775"/>
      <c r="G208" s="775"/>
      <c r="H208" s="775"/>
      <c r="I208" s="775"/>
      <c r="J208" s="775"/>
      <c r="K208" s="775"/>
      <c r="L208" s="775"/>
      <c r="M208" s="776"/>
    </row>
    <row r="209" spans="1:13" x14ac:dyDescent="0.2">
      <c r="A209" s="774" t="s">
        <v>844</v>
      </c>
      <c r="B209" s="775"/>
      <c r="C209" s="775"/>
      <c r="D209" s="775"/>
      <c r="E209" s="775"/>
      <c r="F209" s="775"/>
      <c r="G209" s="775"/>
      <c r="H209" s="775"/>
      <c r="I209" s="775"/>
      <c r="J209" s="775"/>
      <c r="K209" s="775"/>
      <c r="L209" s="775"/>
      <c r="M209" s="776"/>
    </row>
    <row r="210" spans="1:13" x14ac:dyDescent="0.2">
      <c r="A210" s="774" t="s">
        <v>1139</v>
      </c>
      <c r="B210" s="775"/>
      <c r="C210" s="775"/>
      <c r="D210" s="775"/>
      <c r="E210" s="775"/>
      <c r="F210" s="775"/>
      <c r="G210" s="775"/>
      <c r="H210" s="775"/>
      <c r="I210" s="775"/>
      <c r="J210" s="775"/>
      <c r="K210" s="775"/>
      <c r="L210" s="775"/>
      <c r="M210" s="776"/>
    </row>
    <row r="211" spans="1:13" ht="12.75" x14ac:dyDescent="0.2">
      <c r="A211" s="430"/>
      <c r="B211" s="277"/>
      <c r="C211" s="223"/>
      <c r="D211" s="147"/>
      <c r="G211" s="147"/>
      <c r="H211" s="246"/>
      <c r="K211" s="147"/>
      <c r="L211" s="97"/>
      <c r="M211" s="181"/>
    </row>
    <row r="212" spans="1:13" ht="24" x14ac:dyDescent="0.2">
      <c r="A212" s="418" t="s">
        <v>442</v>
      </c>
      <c r="B212" s="139" t="s">
        <v>443</v>
      </c>
      <c r="C212" s="227"/>
      <c r="D212" s="149"/>
      <c r="E212" s="139" t="s">
        <v>379</v>
      </c>
      <c r="F212" s="149"/>
      <c r="G212" s="141"/>
      <c r="H212" s="304"/>
      <c r="I212" s="149"/>
      <c r="J212" s="149" t="s">
        <v>1054</v>
      </c>
      <c r="K212" s="149"/>
      <c r="L212" s="312" t="s">
        <v>445</v>
      </c>
      <c r="M212" s="181"/>
    </row>
    <row r="213" spans="1:13" x14ac:dyDescent="0.2">
      <c r="A213" s="429"/>
      <c r="B213" s="142"/>
      <c r="C213" s="223"/>
      <c r="E213" s="142"/>
      <c r="G213" s="143"/>
      <c r="H213" s="305"/>
      <c r="K213" s="93" t="s">
        <v>1130</v>
      </c>
      <c r="L213" s="143">
        <f>L204</f>
        <v>6.1291441140000025</v>
      </c>
      <c r="M213" s="181"/>
    </row>
    <row r="214" spans="1:13" x14ac:dyDescent="0.2">
      <c r="A214" s="430"/>
      <c r="H214" s="93"/>
      <c r="M214" s="181"/>
    </row>
    <row r="215" spans="1:13" ht="12.75" x14ac:dyDescent="0.2">
      <c r="A215" s="430"/>
      <c r="B215" s="306" t="s">
        <v>1089</v>
      </c>
      <c r="C215" s="223"/>
      <c r="D215" s="147"/>
      <c r="E215" s="307" t="s">
        <v>1088</v>
      </c>
      <c r="F215" s="97"/>
      <c r="G215" s="147"/>
      <c r="H215" s="246"/>
      <c r="K215" s="147"/>
      <c r="L215" s="93">
        <v>4.1265000000000003E-2</v>
      </c>
      <c r="M215" s="181"/>
    </row>
    <row r="216" spans="1:13" ht="12.75" x14ac:dyDescent="0.2">
      <c r="A216" s="430"/>
      <c r="B216" s="277" t="s">
        <v>1116</v>
      </c>
      <c r="C216" s="223"/>
      <c r="D216" s="147"/>
      <c r="E216" s="277" t="s">
        <v>1117</v>
      </c>
      <c r="F216" s="97"/>
      <c r="G216" s="147"/>
      <c r="H216" s="246"/>
      <c r="K216" s="147"/>
      <c r="L216" s="93">
        <v>6.0400000000000002E-2</v>
      </c>
      <c r="M216" s="181"/>
    </row>
    <row r="217" spans="1:13" ht="12.75" x14ac:dyDescent="0.2">
      <c r="A217" s="430"/>
      <c r="B217" s="277" t="s">
        <v>1118</v>
      </c>
      <c r="C217" s="223"/>
      <c r="D217" s="147"/>
      <c r="E217" s="277" t="s">
        <v>1073</v>
      </c>
      <c r="F217" s="97"/>
      <c r="G217" s="147"/>
      <c r="H217" s="246"/>
      <c r="J217" s="93">
        <v>11</v>
      </c>
      <c r="K217" s="147"/>
      <c r="M217" s="181"/>
    </row>
    <row r="218" spans="1:13" ht="12.75" x14ac:dyDescent="0.2">
      <c r="A218" s="430"/>
      <c r="B218" s="277" t="s">
        <v>1119</v>
      </c>
      <c r="C218" s="223"/>
      <c r="D218" s="147"/>
      <c r="E218" s="277" t="s">
        <v>1073</v>
      </c>
      <c r="F218" s="97"/>
      <c r="G218" s="147"/>
      <c r="H218" s="246"/>
      <c r="J218" s="93">
        <v>12</v>
      </c>
      <c r="K218" s="147"/>
      <c r="M218" s="181"/>
    </row>
    <row r="219" spans="1:13" ht="12.75" x14ac:dyDescent="0.2">
      <c r="A219" s="430"/>
      <c r="B219" s="277" t="s">
        <v>1120</v>
      </c>
      <c r="C219" s="223"/>
      <c r="D219" s="147"/>
      <c r="E219" s="277" t="s">
        <v>1073</v>
      </c>
      <c r="F219" s="97"/>
      <c r="G219" s="147"/>
      <c r="H219" s="246"/>
      <c r="J219" s="93">
        <v>4</v>
      </c>
      <c r="K219" s="147"/>
      <c r="M219" s="181"/>
    </row>
    <row r="220" spans="1:13" ht="12.75" x14ac:dyDescent="0.2">
      <c r="A220" s="430"/>
      <c r="B220" s="277" t="s">
        <v>1121</v>
      </c>
      <c r="C220" s="223"/>
      <c r="D220" s="147"/>
      <c r="E220" s="277" t="s">
        <v>1073</v>
      </c>
      <c r="F220" s="97"/>
      <c r="G220" s="147"/>
      <c r="H220" s="246"/>
      <c r="J220" s="93">
        <v>300</v>
      </c>
      <c r="K220" s="147"/>
      <c r="L220" s="93">
        <v>0.18</v>
      </c>
      <c r="M220" s="181"/>
    </row>
    <row r="221" spans="1:13" x14ac:dyDescent="0.2">
      <c r="A221" s="430"/>
      <c r="H221" s="246"/>
      <c r="M221" s="181"/>
    </row>
    <row r="222" spans="1:13" ht="12.75" x14ac:dyDescent="0.2">
      <c r="A222" s="430"/>
      <c r="B222" s="277" t="s">
        <v>1125</v>
      </c>
      <c r="C222" s="223"/>
      <c r="D222" s="147"/>
      <c r="E222" s="277" t="s">
        <v>1124</v>
      </c>
      <c r="F222" s="97"/>
      <c r="G222" s="147"/>
      <c r="H222" s="246"/>
      <c r="K222" s="147"/>
      <c r="L222" s="93">
        <v>0.18099999999999999</v>
      </c>
      <c r="M222" s="181"/>
    </row>
    <row r="223" spans="1:13" ht="12.75" x14ac:dyDescent="0.2">
      <c r="A223" s="430"/>
      <c r="B223" s="277" t="s">
        <v>1127</v>
      </c>
      <c r="C223" s="223"/>
      <c r="D223" s="147"/>
      <c r="E223" s="277" t="s">
        <v>1126</v>
      </c>
      <c r="F223" s="97"/>
      <c r="G223" s="147"/>
      <c r="H223" s="246"/>
      <c r="K223" s="147"/>
      <c r="L223" s="93">
        <v>0.32</v>
      </c>
      <c r="M223" s="181"/>
    </row>
    <row r="224" spans="1:13" ht="12.75" x14ac:dyDescent="0.2">
      <c r="A224" s="430"/>
      <c r="B224" s="277" t="s">
        <v>1128</v>
      </c>
      <c r="C224" s="223"/>
      <c r="D224" s="147"/>
      <c r="E224" s="277" t="s">
        <v>1126</v>
      </c>
      <c r="F224" s="97"/>
      <c r="G224" s="147"/>
      <c r="H224" s="246"/>
      <c r="K224" s="147"/>
      <c r="L224" s="93">
        <v>5.0299999999999997E-2</v>
      </c>
      <c r="M224" s="181"/>
    </row>
    <row r="225" spans="1:13" ht="12.75" x14ac:dyDescent="0.2">
      <c r="A225" s="419"/>
      <c r="B225" s="277"/>
      <c r="F225" s="97"/>
      <c r="G225" s="226"/>
      <c r="H225" s="246"/>
      <c r="K225" s="147"/>
      <c r="M225" s="181"/>
    </row>
    <row r="226" spans="1:13" x14ac:dyDescent="0.2">
      <c r="A226" s="430" t="s">
        <v>210</v>
      </c>
      <c r="B226" s="97" t="s">
        <v>291</v>
      </c>
      <c r="F226" s="97"/>
      <c r="G226" s="226"/>
      <c r="H226" s="246"/>
      <c r="I226" s="147"/>
      <c r="M226" s="181"/>
    </row>
    <row r="227" spans="1:13" x14ac:dyDescent="0.2">
      <c r="A227" s="419"/>
      <c r="H227" s="246"/>
      <c r="M227" s="181"/>
    </row>
    <row r="228" spans="1:13" ht="12.75" x14ac:dyDescent="0.2">
      <c r="A228" s="419"/>
      <c r="B228" s="277" t="s">
        <v>1086</v>
      </c>
      <c r="E228" s="93" t="s">
        <v>1087</v>
      </c>
      <c r="F228" s="97"/>
      <c r="G228" s="226"/>
      <c r="H228" s="246"/>
      <c r="K228" s="147"/>
      <c r="L228" s="93">
        <v>0.19950000000000001</v>
      </c>
      <c r="M228" s="181"/>
    </row>
    <row r="229" spans="1:13" ht="12.75" x14ac:dyDescent="0.2">
      <c r="A229" s="419"/>
      <c r="B229" s="277" t="s">
        <v>940</v>
      </c>
      <c r="E229" s="93" t="s">
        <v>1066</v>
      </c>
      <c r="F229" s="97"/>
      <c r="G229" s="226"/>
      <c r="H229" s="246"/>
      <c r="K229" s="147"/>
      <c r="L229" s="93">
        <v>0.76947399999999999</v>
      </c>
      <c r="M229" s="181"/>
    </row>
    <row r="230" spans="1:13" x14ac:dyDescent="0.2">
      <c r="A230" s="419"/>
      <c r="H230" s="246"/>
      <c r="M230" s="181"/>
    </row>
    <row r="231" spans="1:13" x14ac:dyDescent="0.2">
      <c r="A231" s="419"/>
      <c r="B231" s="97" t="s">
        <v>947</v>
      </c>
      <c r="E231" s="93" t="s">
        <v>1047</v>
      </c>
      <c r="F231" s="97"/>
      <c r="G231" s="226"/>
      <c r="H231" s="244">
        <v>0.43999999999999995</v>
      </c>
      <c r="K231" s="147"/>
      <c r="L231" s="93">
        <v>1.1399999999999999</v>
      </c>
      <c r="M231" s="181"/>
    </row>
    <row r="232" spans="1:13" x14ac:dyDescent="0.2">
      <c r="A232" s="194"/>
      <c r="B232" s="93" t="s">
        <v>1048</v>
      </c>
      <c r="F232" s="97"/>
      <c r="G232" s="226"/>
      <c r="H232" s="246"/>
      <c r="K232" s="147"/>
      <c r="M232" s="181"/>
    </row>
    <row r="233" spans="1:13" x14ac:dyDescent="0.2">
      <c r="A233" s="419"/>
      <c r="F233" s="97"/>
      <c r="G233" s="226"/>
      <c r="H233" s="246"/>
      <c r="K233" s="147"/>
      <c r="M233" s="181"/>
    </row>
    <row r="234" spans="1:13" x14ac:dyDescent="0.2">
      <c r="A234" s="419"/>
      <c r="B234" s="97" t="s">
        <v>948</v>
      </c>
      <c r="E234" s="93" t="s">
        <v>1049</v>
      </c>
      <c r="F234" s="97"/>
      <c r="G234" s="226"/>
      <c r="H234" s="244">
        <v>0.01</v>
      </c>
      <c r="K234" s="147"/>
      <c r="L234" s="93">
        <v>0.51</v>
      </c>
      <c r="M234" s="181"/>
    </row>
    <row r="235" spans="1:13" x14ac:dyDescent="0.2">
      <c r="A235" s="419"/>
      <c r="F235" s="97"/>
      <c r="G235" s="226"/>
      <c r="H235" s="246"/>
      <c r="K235" s="147"/>
      <c r="M235" s="181"/>
    </row>
    <row r="236" spans="1:13" x14ac:dyDescent="0.2">
      <c r="A236" s="419"/>
      <c r="B236" s="97" t="s">
        <v>942</v>
      </c>
      <c r="E236" s="93" t="s">
        <v>1067</v>
      </c>
      <c r="F236" s="97"/>
      <c r="G236" s="226"/>
      <c r="H236" s="246"/>
      <c r="K236" s="147"/>
      <c r="L236" s="245">
        <v>0.68500000000000005</v>
      </c>
      <c r="M236" s="181"/>
    </row>
    <row r="237" spans="1:13" x14ac:dyDescent="0.2">
      <c r="A237" s="419"/>
      <c r="F237" s="97"/>
      <c r="G237" s="226"/>
      <c r="H237" s="246"/>
      <c r="I237" s="97" t="s">
        <v>454</v>
      </c>
      <c r="K237" s="147"/>
      <c r="L237" s="97">
        <f>SUM(L213:L236)</f>
        <v>10.266083114000002</v>
      </c>
      <c r="M237" s="181"/>
    </row>
    <row r="238" spans="1:13" x14ac:dyDescent="0.2">
      <c r="A238" s="419"/>
      <c r="F238" s="97"/>
      <c r="G238" s="226"/>
      <c r="H238" s="246"/>
      <c r="L238" s="147"/>
      <c r="M238" s="181"/>
    </row>
    <row r="239" spans="1:13" x14ac:dyDescent="0.2">
      <c r="A239" s="419"/>
      <c r="B239" s="93" t="s">
        <v>1131</v>
      </c>
      <c r="E239" s="308">
        <v>0.18</v>
      </c>
      <c r="F239" s="97"/>
      <c r="G239" s="226"/>
      <c r="H239" s="246"/>
      <c r="L239" s="147">
        <f>L237*E239</f>
        <v>1.8478949605200004</v>
      </c>
      <c r="M239" s="181"/>
    </row>
    <row r="240" spans="1:13" x14ac:dyDescent="0.2">
      <c r="A240" s="419"/>
      <c r="B240" s="97" t="s">
        <v>124</v>
      </c>
      <c r="F240" s="97"/>
      <c r="G240" s="226"/>
      <c r="H240" s="246"/>
      <c r="I240" s="147"/>
      <c r="L240" s="140">
        <f>L239+L237</f>
        <v>12.113978074520002</v>
      </c>
      <c r="M240" s="181"/>
    </row>
    <row r="241" spans="1:13" x14ac:dyDescent="0.2">
      <c r="A241" s="419"/>
      <c r="F241" s="97"/>
      <c r="G241" s="226"/>
      <c r="H241" s="246"/>
      <c r="I241" s="147"/>
      <c r="M241" s="181"/>
    </row>
    <row r="242" spans="1:13" x14ac:dyDescent="0.2">
      <c r="A242" s="419"/>
      <c r="F242" s="97"/>
      <c r="G242" s="226"/>
      <c r="H242" s="246"/>
      <c r="I242" s="147"/>
      <c r="M242" s="181"/>
    </row>
    <row r="243" spans="1:13" x14ac:dyDescent="0.2">
      <c r="A243" s="419"/>
      <c r="F243" s="97"/>
      <c r="G243" s="226"/>
      <c r="H243" s="246"/>
      <c r="I243" s="147"/>
      <c r="M243" s="181"/>
    </row>
    <row r="244" spans="1:13" x14ac:dyDescent="0.2">
      <c r="A244" s="419"/>
      <c r="F244" s="97"/>
      <c r="G244" s="226"/>
      <c r="H244" s="246"/>
      <c r="I244" s="147"/>
      <c r="M244" s="181"/>
    </row>
    <row r="245" spans="1:13" x14ac:dyDescent="0.2">
      <c r="A245" s="419"/>
      <c r="F245" s="97"/>
      <c r="G245" s="226"/>
      <c r="H245" s="246"/>
      <c r="I245" s="147"/>
      <c r="M245" s="181"/>
    </row>
    <row r="246" spans="1:13" x14ac:dyDescent="0.2">
      <c r="A246" s="419"/>
      <c r="F246" s="97"/>
      <c r="G246" s="226"/>
      <c r="H246" s="246"/>
      <c r="I246" s="147"/>
      <c r="M246" s="181"/>
    </row>
    <row r="247" spans="1:13" x14ac:dyDescent="0.2">
      <c r="A247" s="419"/>
      <c r="F247" s="97"/>
      <c r="G247" s="226"/>
      <c r="H247" s="246"/>
      <c r="I247" s="147"/>
      <c r="M247" s="181"/>
    </row>
    <row r="248" spans="1:13" x14ac:dyDescent="0.2">
      <c r="A248" s="419"/>
      <c r="F248" s="97"/>
      <c r="G248" s="226"/>
      <c r="H248" s="246"/>
      <c r="I248" s="147"/>
      <c r="M248" s="181"/>
    </row>
    <row r="249" spans="1:13" x14ac:dyDescent="0.2">
      <c r="A249" s="419"/>
      <c r="F249" s="97"/>
      <c r="G249" s="226"/>
      <c r="H249" s="246"/>
      <c r="I249" s="147"/>
      <c r="M249" s="181"/>
    </row>
    <row r="250" spans="1:13" x14ac:dyDescent="0.2">
      <c r="A250" s="419"/>
      <c r="F250" s="97"/>
      <c r="G250" s="226"/>
      <c r="H250" s="246"/>
      <c r="I250" s="147"/>
      <c r="M250" s="181"/>
    </row>
    <row r="251" spans="1:13" x14ac:dyDescent="0.2">
      <c r="A251" s="419"/>
      <c r="F251" s="97"/>
      <c r="G251" s="226"/>
      <c r="H251" s="246"/>
      <c r="I251" s="147"/>
      <c r="M251" s="181"/>
    </row>
    <row r="252" spans="1:13" x14ac:dyDescent="0.2">
      <c r="A252" s="419"/>
      <c r="F252" s="97"/>
      <c r="G252" s="226"/>
      <c r="H252" s="246"/>
      <c r="I252" s="147"/>
      <c r="M252" s="181"/>
    </row>
    <row r="253" spans="1:13" x14ac:dyDescent="0.2">
      <c r="A253" s="419"/>
      <c r="F253" s="97"/>
      <c r="G253" s="226"/>
      <c r="H253" s="246"/>
      <c r="I253" s="147"/>
      <c r="M253" s="181"/>
    </row>
    <row r="254" spans="1:13" x14ac:dyDescent="0.2">
      <c r="A254" s="419"/>
      <c r="F254" s="97"/>
      <c r="G254" s="226"/>
      <c r="H254" s="246"/>
      <c r="I254" s="147"/>
      <c r="M254" s="181"/>
    </row>
    <row r="255" spans="1:13" x14ac:dyDescent="0.2">
      <c r="A255" s="388"/>
      <c r="B255" s="389"/>
      <c r="C255" s="389"/>
      <c r="D255" s="389"/>
      <c r="E255" s="389"/>
      <c r="F255" s="389"/>
      <c r="G255" s="389"/>
      <c r="H255" s="389"/>
      <c r="I255" s="389"/>
      <c r="J255" s="245"/>
      <c r="K255" s="245"/>
      <c r="L255" s="245"/>
      <c r="M255" s="183"/>
    </row>
    <row r="256" spans="1:13" x14ac:dyDescent="0.2">
      <c r="A256" s="736" t="s">
        <v>843</v>
      </c>
      <c r="B256" s="783"/>
      <c r="C256" s="783"/>
      <c r="D256" s="783"/>
      <c r="E256" s="783"/>
      <c r="F256" s="783"/>
      <c r="G256" s="783"/>
      <c r="H256" s="783"/>
      <c r="I256" s="783"/>
      <c r="J256" s="783"/>
      <c r="K256" s="783"/>
      <c r="L256" s="783"/>
      <c r="M256" s="784"/>
    </row>
    <row r="257" spans="1:13" x14ac:dyDescent="0.2">
      <c r="A257" s="744" t="s">
        <v>845</v>
      </c>
      <c r="B257" s="785"/>
      <c r="C257" s="785"/>
      <c r="D257" s="785"/>
      <c r="E257" s="785"/>
      <c r="F257" s="785"/>
      <c r="G257" s="785"/>
      <c r="H257" s="785"/>
      <c r="I257" s="785"/>
      <c r="J257" s="785"/>
      <c r="K257" s="785"/>
      <c r="L257" s="785"/>
      <c r="M257" s="785"/>
    </row>
    <row r="258" spans="1:13" x14ac:dyDescent="0.2">
      <c r="A258" s="744" t="s">
        <v>844</v>
      </c>
      <c r="B258" s="785"/>
      <c r="C258" s="785"/>
      <c r="D258" s="785"/>
      <c r="E258" s="785"/>
      <c r="F258" s="785"/>
      <c r="G258" s="785"/>
      <c r="H258" s="785"/>
      <c r="I258" s="785"/>
      <c r="J258" s="785"/>
      <c r="K258" s="785"/>
      <c r="L258" s="785"/>
      <c r="M258" s="785"/>
    </row>
    <row r="259" spans="1:13" x14ac:dyDescent="0.2">
      <c r="A259" s="744" t="s">
        <v>1139</v>
      </c>
      <c r="B259" s="785"/>
      <c r="C259" s="785"/>
      <c r="D259" s="785"/>
      <c r="E259" s="785"/>
      <c r="F259" s="785"/>
      <c r="G259" s="785"/>
      <c r="H259" s="785"/>
      <c r="I259" s="785"/>
      <c r="J259" s="785"/>
      <c r="K259" s="785"/>
      <c r="L259" s="785"/>
      <c r="M259" s="785"/>
    </row>
    <row r="260" spans="1:13" x14ac:dyDescent="0.2">
      <c r="A260" s="403"/>
      <c r="B260" s="525"/>
      <c r="C260" s="525"/>
      <c r="D260" s="525"/>
      <c r="E260" s="525"/>
      <c r="F260" s="525"/>
      <c r="G260" s="525"/>
      <c r="H260" s="525"/>
      <c r="I260" s="525"/>
      <c r="J260" s="525"/>
      <c r="K260" s="525"/>
      <c r="L260" s="525"/>
      <c r="M260" s="526"/>
    </row>
    <row r="261" spans="1:13" x14ac:dyDescent="0.2">
      <c r="A261" s="755" t="s">
        <v>1140</v>
      </c>
      <c r="B261" s="756"/>
      <c r="C261" s="756"/>
      <c r="D261" s="756"/>
      <c r="E261" s="756"/>
      <c r="F261" s="756"/>
      <c r="G261" s="756"/>
      <c r="H261" s="756"/>
      <c r="I261" s="756"/>
      <c r="J261" s="756"/>
      <c r="K261" s="756"/>
      <c r="L261" s="756"/>
      <c r="M261" s="757"/>
    </row>
    <row r="262" spans="1:13" ht="24" x14ac:dyDescent="0.2">
      <c r="A262" s="418" t="s">
        <v>442</v>
      </c>
      <c r="B262" s="139" t="s">
        <v>443</v>
      </c>
      <c r="C262" s="227"/>
      <c r="D262" s="149"/>
      <c r="E262" s="139" t="s">
        <v>379</v>
      </c>
      <c r="F262" s="149"/>
      <c r="G262" s="141"/>
      <c r="H262" s="304"/>
      <c r="I262" s="149"/>
      <c r="J262" s="149" t="s">
        <v>1054</v>
      </c>
      <c r="K262" s="149"/>
      <c r="L262" s="312" t="s">
        <v>445</v>
      </c>
      <c r="M262" s="181"/>
    </row>
    <row r="263" spans="1:13" x14ac:dyDescent="0.2">
      <c r="A263" s="387"/>
      <c r="B263" s="222"/>
      <c r="C263" s="222"/>
      <c r="D263" s="222"/>
      <c r="E263" s="222"/>
      <c r="F263" s="222"/>
      <c r="G263" s="222"/>
      <c r="H263" s="222"/>
      <c r="I263" s="222"/>
      <c r="M263" s="181"/>
    </row>
    <row r="264" spans="1:13" ht="12.75" x14ac:dyDescent="0.2">
      <c r="A264" s="387"/>
      <c r="B264" s="277" t="s">
        <v>1141</v>
      </c>
      <c r="C264" s="277"/>
      <c r="D264" s="277"/>
      <c r="E264" s="277" t="s">
        <v>1090</v>
      </c>
      <c r="F264" s="277"/>
      <c r="G264" s="277"/>
      <c r="H264" s="277"/>
      <c r="I264" s="277"/>
      <c r="J264" s="277"/>
      <c r="K264" s="277"/>
      <c r="L264" s="277">
        <v>0.14499999999999999</v>
      </c>
      <c r="M264" s="277"/>
    </row>
    <row r="265" spans="1:13" ht="12.75" x14ac:dyDescent="0.2">
      <c r="A265" s="387"/>
      <c r="B265" s="277" t="s">
        <v>1142</v>
      </c>
      <c r="C265" s="277"/>
      <c r="D265" s="277"/>
      <c r="E265" s="277" t="s">
        <v>1165</v>
      </c>
      <c r="F265" s="277"/>
      <c r="G265" s="277"/>
      <c r="H265" s="277"/>
      <c r="I265" s="277"/>
      <c r="J265" s="277"/>
      <c r="K265" s="277"/>
      <c r="L265" s="277">
        <v>7.3654999999999998E-2</v>
      </c>
      <c r="M265" s="277"/>
    </row>
    <row r="266" spans="1:13" ht="12.75" x14ac:dyDescent="0.2">
      <c r="A266" s="387"/>
      <c r="B266" s="277" t="s">
        <v>1143</v>
      </c>
      <c r="C266" s="277"/>
      <c r="D266" s="277"/>
      <c r="E266" s="277" t="s">
        <v>1066</v>
      </c>
      <c r="F266" s="277"/>
      <c r="G266" s="277"/>
      <c r="H266" s="277"/>
      <c r="I266" s="277"/>
      <c r="J266" s="277"/>
      <c r="K266" s="277"/>
      <c r="L266" s="277">
        <v>1</v>
      </c>
      <c r="M266" s="277"/>
    </row>
    <row r="267" spans="1:13" ht="12.75" x14ac:dyDescent="0.2">
      <c r="A267" s="387"/>
      <c r="B267" s="277" t="s">
        <v>1144</v>
      </c>
      <c r="C267" s="277"/>
      <c r="D267" s="277"/>
      <c r="E267" s="277" t="s">
        <v>1166</v>
      </c>
      <c r="F267" s="277"/>
      <c r="G267" s="277"/>
      <c r="H267" s="277"/>
      <c r="I267" s="277"/>
      <c r="J267" s="277"/>
      <c r="K267" s="277"/>
      <c r="L267" s="277">
        <v>8.2000000000000003E-2</v>
      </c>
      <c r="M267" s="277"/>
    </row>
    <row r="268" spans="1:13" ht="12.75" x14ac:dyDescent="0.2">
      <c r="A268" s="387"/>
      <c r="B268" s="277" t="s">
        <v>1145</v>
      </c>
      <c r="C268" s="277"/>
      <c r="D268" s="277"/>
      <c r="E268" s="277" t="s">
        <v>1166</v>
      </c>
      <c r="F268" s="277"/>
      <c r="G268" s="277"/>
      <c r="H268" s="277"/>
      <c r="I268" s="277"/>
      <c r="J268" s="277"/>
      <c r="K268" s="277"/>
      <c r="L268" s="277">
        <v>7.4999999999999997E-2</v>
      </c>
      <c r="M268" s="277"/>
    </row>
    <row r="269" spans="1:13" ht="12.75" x14ac:dyDescent="0.2">
      <c r="A269" s="387"/>
      <c r="B269" s="277" t="s">
        <v>1146</v>
      </c>
      <c r="C269" s="277"/>
      <c r="D269" s="277"/>
      <c r="E269" s="277" t="s">
        <v>1167</v>
      </c>
      <c r="F269" s="277"/>
      <c r="G269" s="277"/>
      <c r="H269" s="277"/>
      <c r="I269" s="277"/>
      <c r="J269" s="277"/>
      <c r="K269" s="277"/>
      <c r="L269" s="277">
        <v>2.4171999999999999E-2</v>
      </c>
      <c r="M269" s="277"/>
    </row>
    <row r="270" spans="1:13" ht="12.75" x14ac:dyDescent="0.2">
      <c r="A270" s="387"/>
      <c r="B270" s="277" t="s">
        <v>1147</v>
      </c>
      <c r="C270" s="277"/>
      <c r="D270" s="277"/>
      <c r="E270" s="277" t="s">
        <v>1168</v>
      </c>
      <c r="F270" s="277"/>
      <c r="G270" s="277"/>
      <c r="H270" s="277"/>
      <c r="I270" s="277"/>
      <c r="J270" s="277"/>
      <c r="K270" s="277"/>
      <c r="L270" s="277">
        <v>0.19500000000000001</v>
      </c>
      <c r="M270" s="277"/>
    </row>
    <row r="271" spans="1:13" ht="12.75" x14ac:dyDescent="0.2">
      <c r="A271" s="387"/>
      <c r="B271" s="277" t="s">
        <v>1148</v>
      </c>
      <c r="C271" s="277"/>
      <c r="D271" s="277"/>
      <c r="E271" s="277" t="s">
        <v>1169</v>
      </c>
      <c r="F271" s="277"/>
      <c r="G271" s="277"/>
      <c r="H271" s="277"/>
      <c r="I271" s="277"/>
      <c r="J271" s="277"/>
      <c r="K271" s="277"/>
      <c r="L271" s="277">
        <v>6.7000000000000004E-2</v>
      </c>
      <c r="M271" s="277"/>
    </row>
    <row r="272" spans="1:13" ht="12.75" x14ac:dyDescent="0.2">
      <c r="A272" s="387"/>
      <c r="B272" s="277" t="s">
        <v>1149</v>
      </c>
      <c r="C272" s="277"/>
      <c r="D272" s="277"/>
      <c r="E272" s="277" t="s">
        <v>1170</v>
      </c>
      <c r="F272" s="277"/>
      <c r="G272" s="277"/>
      <c r="H272" s="277"/>
      <c r="I272" s="277"/>
      <c r="J272" s="277"/>
      <c r="K272" s="277"/>
      <c r="L272" s="277">
        <v>0.435</v>
      </c>
      <c r="M272" s="277"/>
    </row>
    <row r="273" spans="1:13" ht="12.75" x14ac:dyDescent="0.2">
      <c r="A273" s="387"/>
      <c r="B273" s="277" t="s">
        <v>1150</v>
      </c>
      <c r="C273" s="277"/>
      <c r="D273" s="277"/>
      <c r="E273" s="277" t="s">
        <v>1171</v>
      </c>
      <c r="F273" s="277"/>
      <c r="G273" s="277"/>
      <c r="H273" s="277"/>
      <c r="I273" s="277"/>
      <c r="J273" s="277"/>
      <c r="K273" s="277"/>
      <c r="L273" s="277">
        <v>0.111468</v>
      </c>
      <c r="M273" s="277"/>
    </row>
    <row r="274" spans="1:13" ht="12.75" x14ac:dyDescent="0.2">
      <c r="A274" s="387"/>
      <c r="B274" s="277" t="s">
        <v>1151</v>
      </c>
      <c r="C274" s="277"/>
      <c r="D274" s="277"/>
      <c r="E274" s="277" t="s">
        <v>1172</v>
      </c>
      <c r="F274" s="277"/>
      <c r="G274" s="277"/>
      <c r="H274" s="277"/>
      <c r="I274" s="277"/>
      <c r="J274" s="277"/>
      <c r="K274" s="277"/>
      <c r="L274" s="277">
        <v>6.68044E-2</v>
      </c>
      <c r="M274" s="277"/>
    </row>
    <row r="275" spans="1:13" ht="12.75" x14ac:dyDescent="0.2">
      <c r="A275" s="387"/>
      <c r="B275" s="277" t="s">
        <v>1152</v>
      </c>
      <c r="C275" s="277"/>
      <c r="D275" s="277"/>
      <c r="E275" s="277" t="s">
        <v>1073</v>
      </c>
      <c r="F275" s="277"/>
      <c r="G275" s="277"/>
      <c r="H275" s="277"/>
      <c r="I275" s="277"/>
      <c r="J275" s="277"/>
      <c r="K275" s="277"/>
      <c r="L275" s="277">
        <v>0.23400000000000001</v>
      </c>
      <c r="M275" s="277"/>
    </row>
    <row r="276" spans="1:13" ht="12.75" x14ac:dyDescent="0.2">
      <c r="A276" s="387"/>
      <c r="B276" s="277" t="s">
        <v>1153</v>
      </c>
      <c r="C276" s="277"/>
      <c r="D276" s="277"/>
      <c r="E276" s="277" t="s">
        <v>1173</v>
      </c>
      <c r="F276" s="277"/>
      <c r="G276" s="277"/>
      <c r="H276" s="277"/>
      <c r="I276" s="277"/>
      <c r="J276" s="277"/>
      <c r="K276" s="277"/>
      <c r="L276" s="277">
        <v>1.5043000000000001E-2</v>
      </c>
      <c r="M276" s="277"/>
    </row>
    <row r="277" spans="1:13" ht="12.75" x14ac:dyDescent="0.2">
      <c r="A277" s="387"/>
      <c r="B277" s="277" t="s">
        <v>1154</v>
      </c>
      <c r="C277" s="277"/>
      <c r="D277" s="277"/>
      <c r="E277" s="277" t="s">
        <v>1174</v>
      </c>
      <c r="F277" s="277"/>
      <c r="G277" s="277"/>
      <c r="H277" s="277"/>
      <c r="I277" s="277"/>
      <c r="J277" s="277"/>
      <c r="K277" s="277"/>
      <c r="L277" s="277">
        <v>0.28736129999999999</v>
      </c>
      <c r="M277" s="277"/>
    </row>
    <row r="278" spans="1:13" ht="12.75" x14ac:dyDescent="0.2">
      <c r="A278" s="387"/>
      <c r="B278" s="277" t="s">
        <v>1155</v>
      </c>
      <c r="C278" s="277"/>
      <c r="D278" s="277"/>
      <c r="E278" s="277" t="s">
        <v>1175</v>
      </c>
      <c r="F278" s="277"/>
      <c r="G278" s="277"/>
      <c r="H278" s="277"/>
      <c r="I278" s="277"/>
      <c r="J278" s="277"/>
      <c r="K278" s="277"/>
      <c r="L278" s="277">
        <v>8.1074999999999994E-2</v>
      </c>
      <c r="M278" s="277"/>
    </row>
    <row r="279" spans="1:13" ht="12.75" x14ac:dyDescent="0.2">
      <c r="A279" s="387"/>
      <c r="B279" s="277" t="s">
        <v>1156</v>
      </c>
      <c r="C279" s="277"/>
      <c r="D279" s="277"/>
      <c r="E279" s="277" t="s">
        <v>1176</v>
      </c>
      <c r="F279" s="277"/>
      <c r="G279" s="277"/>
      <c r="H279" s="277"/>
      <c r="I279" s="277"/>
      <c r="J279" s="277"/>
      <c r="K279" s="277"/>
      <c r="L279" s="277">
        <v>8.5000000000000006E-2</v>
      </c>
      <c r="M279" s="277"/>
    </row>
    <row r="280" spans="1:13" ht="12.75" x14ac:dyDescent="0.2">
      <c r="A280" s="387"/>
      <c r="B280" s="277" t="s">
        <v>1157</v>
      </c>
      <c r="C280" s="277"/>
      <c r="D280" s="277"/>
      <c r="E280" s="277" t="s">
        <v>1177</v>
      </c>
      <c r="F280" s="277"/>
      <c r="G280" s="277"/>
      <c r="H280" s="277"/>
      <c r="I280" s="277"/>
      <c r="J280" s="277"/>
      <c r="K280" s="277"/>
      <c r="L280" s="277">
        <v>0.18553900000000001</v>
      </c>
      <c r="M280" s="277"/>
    </row>
    <row r="281" spans="1:13" ht="12.75" x14ac:dyDescent="0.2">
      <c r="A281" s="387"/>
      <c r="B281" s="277" t="s">
        <v>1158</v>
      </c>
      <c r="C281" s="277"/>
      <c r="D281" s="277"/>
      <c r="E281" s="277" t="s">
        <v>1177</v>
      </c>
      <c r="F281" s="277"/>
      <c r="G281" s="277"/>
      <c r="H281" s="277"/>
      <c r="I281" s="277"/>
      <c r="J281" s="277"/>
      <c r="K281" s="277"/>
      <c r="L281" s="277">
        <v>0.34499999999999997</v>
      </c>
      <c r="M281" s="277"/>
    </row>
    <row r="282" spans="1:13" ht="12.75" x14ac:dyDescent="0.2">
      <c r="A282" s="387"/>
      <c r="B282" s="277" t="s">
        <v>1159</v>
      </c>
      <c r="C282" s="277"/>
      <c r="D282" s="277"/>
      <c r="E282" s="277" t="s">
        <v>1178</v>
      </c>
      <c r="F282" s="277"/>
      <c r="G282" s="277"/>
      <c r="H282" s="277"/>
      <c r="I282" s="277"/>
      <c r="J282" s="277"/>
      <c r="K282" s="277"/>
      <c r="L282" s="277">
        <v>0.47299239999999998</v>
      </c>
      <c r="M282" s="277"/>
    </row>
    <row r="283" spans="1:13" ht="12.75" x14ac:dyDescent="0.2">
      <c r="A283" s="387"/>
      <c r="B283" s="277" t="s">
        <v>1160</v>
      </c>
      <c r="C283" s="277"/>
      <c r="D283" s="277"/>
      <c r="E283" s="277" t="s">
        <v>1179</v>
      </c>
      <c r="F283" s="277"/>
      <c r="G283" s="277"/>
      <c r="H283" s="277"/>
      <c r="I283" s="277"/>
      <c r="J283" s="277"/>
      <c r="K283" s="277"/>
      <c r="L283" s="277">
        <v>1.9640000000000001E-2</v>
      </c>
      <c r="M283" s="277"/>
    </row>
    <row r="284" spans="1:13" ht="12.75" x14ac:dyDescent="0.2">
      <c r="A284" s="387"/>
      <c r="B284" s="277" t="s">
        <v>1161</v>
      </c>
      <c r="C284" s="277"/>
      <c r="D284" s="277"/>
      <c r="E284" s="277" t="s">
        <v>1179</v>
      </c>
      <c r="F284" s="277"/>
      <c r="G284" s="277"/>
      <c r="H284" s="277"/>
      <c r="I284" s="277"/>
      <c r="J284" s="277"/>
      <c r="K284" s="277"/>
      <c r="L284" s="277">
        <v>3.6339999999999997E-2</v>
      </c>
      <c r="M284" s="277"/>
    </row>
    <row r="285" spans="1:13" ht="12.75" x14ac:dyDescent="0.2">
      <c r="A285" s="387"/>
      <c r="B285" s="277" t="s">
        <v>1162</v>
      </c>
      <c r="C285" s="277"/>
      <c r="D285" s="277"/>
      <c r="E285" s="277" t="s">
        <v>1180</v>
      </c>
      <c r="F285" s="277"/>
      <c r="G285" s="277"/>
      <c r="H285" s="277"/>
      <c r="I285" s="277"/>
      <c r="J285" s="277"/>
      <c r="K285" s="277"/>
      <c r="L285" s="277">
        <v>0.32</v>
      </c>
      <c r="M285" s="277"/>
    </row>
    <row r="286" spans="1:13" ht="12.75" x14ac:dyDescent="0.2">
      <c r="A286" s="387"/>
      <c r="B286" s="277" t="s">
        <v>1163</v>
      </c>
      <c r="C286" s="277"/>
      <c r="D286" s="277"/>
      <c r="E286" s="277" t="s">
        <v>1181</v>
      </c>
      <c r="F286" s="277"/>
      <c r="G286" s="277"/>
      <c r="H286" s="277"/>
      <c r="I286" s="277"/>
      <c r="J286" s="277"/>
      <c r="K286" s="277"/>
      <c r="L286" s="277">
        <v>8.2500000000000004E-2</v>
      </c>
      <c r="M286" s="277"/>
    </row>
    <row r="287" spans="1:13" ht="12.75" x14ac:dyDescent="0.2">
      <c r="A287" s="387"/>
      <c r="B287" s="277" t="s">
        <v>1184</v>
      </c>
      <c r="C287" s="277"/>
      <c r="D287" s="277"/>
      <c r="E287" s="277" t="s">
        <v>1182</v>
      </c>
      <c r="F287" s="277"/>
      <c r="G287" s="277"/>
      <c r="H287" s="277"/>
      <c r="I287" s="277"/>
      <c r="J287" s="277"/>
      <c r="K287" s="277"/>
      <c r="L287" s="277">
        <v>0.21</v>
      </c>
      <c r="M287" s="277"/>
    </row>
    <row r="288" spans="1:13" ht="12.75" x14ac:dyDescent="0.2">
      <c r="A288" s="387"/>
      <c r="B288" s="277" t="s">
        <v>1164</v>
      </c>
      <c r="C288" s="277"/>
      <c r="D288" s="277"/>
      <c r="E288" s="277" t="s">
        <v>1183</v>
      </c>
      <c r="F288" s="277"/>
      <c r="G288" s="277"/>
      <c r="H288" s="277"/>
      <c r="I288" s="277"/>
      <c r="J288" s="277"/>
      <c r="K288" s="277"/>
      <c r="L288" s="432">
        <v>0.6</v>
      </c>
      <c r="M288" s="277"/>
    </row>
    <row r="289" spans="1:13" ht="12.75" x14ac:dyDescent="0.2">
      <c r="A289" s="387"/>
      <c r="B289" s="277"/>
      <c r="C289" s="277"/>
      <c r="D289" s="277"/>
      <c r="E289" s="277"/>
      <c r="F289" s="277"/>
      <c r="G289" s="277"/>
      <c r="H289" s="277"/>
      <c r="I289" s="277"/>
      <c r="J289" s="277"/>
      <c r="K289" s="277"/>
      <c r="L289" s="527">
        <f>SUM(L264:L288)</f>
        <v>5.2495900999999989</v>
      </c>
      <c r="M289" s="277"/>
    </row>
    <row r="290" spans="1:13" ht="12.75" x14ac:dyDescent="0.2">
      <c r="A290" s="387"/>
      <c r="B290" s="93" t="s">
        <v>1191</v>
      </c>
      <c r="D290" s="308">
        <v>0.2</v>
      </c>
      <c r="F290" s="277"/>
      <c r="G290" s="277"/>
      <c r="H290" s="277"/>
      <c r="I290" s="277"/>
      <c r="J290" s="277"/>
      <c r="K290" s="277"/>
      <c r="L290" s="277">
        <f>L289*D290</f>
        <v>1.0499180199999998</v>
      </c>
      <c r="M290" s="277"/>
    </row>
    <row r="291" spans="1:13" ht="13.5" thickBot="1" x14ac:dyDescent="0.25">
      <c r="A291" s="387"/>
      <c r="B291" s="97" t="s">
        <v>124</v>
      </c>
      <c r="F291" s="277"/>
      <c r="G291" s="277"/>
      <c r="H291" s="277"/>
      <c r="I291" s="277"/>
      <c r="J291" s="277"/>
      <c r="K291" s="277"/>
      <c r="L291" s="528">
        <f>L289+L290</f>
        <v>6.2995081199999987</v>
      </c>
      <c r="M291" s="277"/>
    </row>
    <row r="292" spans="1:13" ht="12.75" thickTop="1" x14ac:dyDescent="0.2">
      <c r="A292" s="387"/>
      <c r="B292" s="222"/>
      <c r="C292" s="222"/>
      <c r="D292" s="222"/>
      <c r="E292" s="222"/>
      <c r="F292" s="222"/>
      <c r="G292" s="222"/>
      <c r="H292" s="222"/>
      <c r="I292" s="222"/>
      <c r="M292" s="181"/>
    </row>
    <row r="293" spans="1:13" x14ac:dyDescent="0.2">
      <c r="A293" s="387"/>
      <c r="B293" s="222"/>
      <c r="C293" s="222"/>
      <c r="D293" s="222"/>
      <c r="E293" s="222"/>
      <c r="F293" s="222"/>
      <c r="G293" s="222"/>
      <c r="H293" s="222"/>
      <c r="I293" s="222"/>
      <c r="M293" s="181"/>
    </row>
    <row r="294" spans="1:13" x14ac:dyDescent="0.2">
      <c r="A294" s="387"/>
      <c r="B294" s="222"/>
      <c r="C294" s="222"/>
      <c r="D294" s="222"/>
      <c r="E294" s="222"/>
      <c r="F294" s="222"/>
      <c r="G294" s="222"/>
      <c r="H294" s="222"/>
      <c r="I294" s="222"/>
      <c r="M294" s="181"/>
    </row>
    <row r="295" spans="1:13" x14ac:dyDescent="0.2">
      <c r="A295" s="387"/>
      <c r="B295" s="222"/>
      <c r="C295" s="222"/>
      <c r="D295" s="222"/>
      <c r="E295" s="222"/>
      <c r="F295" s="222"/>
      <c r="G295" s="222"/>
      <c r="H295" s="222"/>
      <c r="I295" s="222"/>
      <c r="M295" s="181"/>
    </row>
    <row r="296" spans="1:13" x14ac:dyDescent="0.2">
      <c r="A296" s="387"/>
      <c r="B296" s="222"/>
      <c r="C296" s="222"/>
      <c r="D296" s="222"/>
      <c r="E296" s="222"/>
      <c r="F296" s="222"/>
      <c r="G296" s="222"/>
      <c r="H296" s="222"/>
      <c r="I296" s="222"/>
      <c r="M296" s="181"/>
    </row>
    <row r="297" spans="1:13" x14ac:dyDescent="0.2">
      <c r="A297" s="387"/>
      <c r="B297" s="222"/>
      <c r="C297" s="222"/>
      <c r="D297" s="222"/>
      <c r="E297" s="222"/>
      <c r="F297" s="222"/>
      <c r="G297" s="222"/>
      <c r="H297" s="222"/>
      <c r="I297" s="222"/>
      <c r="M297" s="181"/>
    </row>
    <row r="298" spans="1:13" x14ac:dyDescent="0.2">
      <c r="A298" s="387"/>
      <c r="B298" s="222"/>
      <c r="C298" s="222"/>
      <c r="D298" s="222"/>
      <c r="E298" s="222"/>
      <c r="F298" s="222"/>
      <c r="G298" s="222"/>
      <c r="H298" s="222"/>
      <c r="I298" s="222"/>
      <c r="M298" s="181"/>
    </row>
    <row r="299" spans="1:13" x14ac:dyDescent="0.2">
      <c r="A299" s="387"/>
      <c r="B299" s="222"/>
      <c r="C299" s="222"/>
      <c r="D299" s="222"/>
      <c r="E299" s="222"/>
      <c r="F299" s="222"/>
      <c r="G299" s="222"/>
      <c r="H299" s="222"/>
      <c r="I299" s="222"/>
      <c r="M299" s="181"/>
    </row>
    <row r="300" spans="1:13" x14ac:dyDescent="0.2">
      <c r="A300" s="387"/>
      <c r="B300" s="222"/>
      <c r="C300" s="222"/>
      <c r="D300" s="222"/>
      <c r="E300" s="222"/>
      <c r="F300" s="222"/>
      <c r="G300" s="222"/>
      <c r="H300" s="222"/>
      <c r="I300" s="222"/>
      <c r="M300" s="181"/>
    </row>
    <row r="301" spans="1:13" x14ac:dyDescent="0.2">
      <c r="A301" s="387"/>
      <c r="B301" s="222"/>
      <c r="C301" s="222"/>
      <c r="D301" s="222"/>
      <c r="E301" s="222"/>
      <c r="F301" s="222"/>
      <c r="G301" s="222"/>
      <c r="H301" s="222"/>
      <c r="I301" s="222"/>
      <c r="M301" s="181"/>
    </row>
    <row r="302" spans="1:13" x14ac:dyDescent="0.2">
      <c r="A302" s="387"/>
      <c r="B302" s="222"/>
      <c r="C302" s="222"/>
      <c r="D302" s="222"/>
      <c r="E302" s="222"/>
      <c r="F302" s="222"/>
      <c r="G302" s="222"/>
      <c r="H302" s="222"/>
      <c r="I302" s="222"/>
      <c r="M302" s="181"/>
    </row>
    <row r="303" spans="1:13" x14ac:dyDescent="0.2">
      <c r="A303" s="387"/>
      <c r="B303" s="222"/>
      <c r="C303" s="222"/>
      <c r="D303" s="222"/>
      <c r="E303" s="222"/>
      <c r="F303" s="222"/>
      <c r="G303" s="222"/>
      <c r="H303" s="222"/>
      <c r="I303" s="222"/>
      <c r="M303" s="181"/>
    </row>
    <row r="304" spans="1:13" x14ac:dyDescent="0.2">
      <c r="A304" s="755" t="s">
        <v>843</v>
      </c>
      <c r="B304" s="756"/>
      <c r="C304" s="756"/>
      <c r="D304" s="756"/>
      <c r="E304" s="756"/>
      <c r="F304" s="756"/>
      <c r="G304" s="756"/>
      <c r="H304" s="756"/>
      <c r="I304" s="756"/>
      <c r="J304" s="756"/>
      <c r="K304" s="756"/>
      <c r="L304" s="756"/>
      <c r="M304" s="757"/>
    </row>
    <row r="305" spans="1:13" x14ac:dyDescent="0.2">
      <c r="A305" s="755" t="s">
        <v>845</v>
      </c>
      <c r="B305" s="756"/>
      <c r="C305" s="756"/>
      <c r="D305" s="756"/>
      <c r="E305" s="756"/>
      <c r="F305" s="756"/>
      <c r="G305" s="756"/>
      <c r="H305" s="756"/>
      <c r="I305" s="756"/>
      <c r="J305" s="756"/>
      <c r="K305" s="756"/>
      <c r="L305" s="756"/>
      <c r="M305" s="757"/>
    </row>
    <row r="306" spans="1:13" x14ac:dyDescent="0.2">
      <c r="A306" s="755" t="s">
        <v>844</v>
      </c>
      <c r="B306" s="756"/>
      <c r="C306" s="756"/>
      <c r="D306" s="756"/>
      <c r="E306" s="756"/>
      <c r="F306" s="756"/>
      <c r="G306" s="756"/>
      <c r="H306" s="756"/>
      <c r="I306" s="756"/>
      <c r="J306" s="756"/>
      <c r="K306" s="756"/>
      <c r="L306" s="756"/>
      <c r="M306" s="757"/>
    </row>
    <row r="307" spans="1:13" x14ac:dyDescent="0.2">
      <c r="A307" s="755" t="s">
        <v>1139</v>
      </c>
      <c r="B307" s="756"/>
      <c r="C307" s="756"/>
      <c r="D307" s="756"/>
      <c r="E307" s="756"/>
      <c r="F307" s="756"/>
      <c r="G307" s="756"/>
      <c r="H307" s="756"/>
      <c r="I307" s="756"/>
      <c r="J307" s="756"/>
      <c r="K307" s="756"/>
      <c r="L307" s="756"/>
      <c r="M307" s="757"/>
    </row>
    <row r="308" spans="1:13" x14ac:dyDescent="0.2">
      <c r="A308" s="377"/>
      <c r="B308" s="283"/>
      <c r="C308" s="283"/>
      <c r="D308" s="283"/>
      <c r="E308" s="283"/>
      <c r="F308" s="283"/>
      <c r="G308" s="283"/>
      <c r="H308" s="283"/>
      <c r="I308" s="283"/>
      <c r="J308" s="283"/>
      <c r="K308" s="283"/>
      <c r="M308" s="181"/>
    </row>
    <row r="309" spans="1:13" x14ac:dyDescent="0.2">
      <c r="A309" s="755"/>
      <c r="B309" s="756"/>
      <c r="C309" s="756"/>
      <c r="D309" s="756"/>
      <c r="E309" s="756"/>
      <c r="F309" s="756"/>
      <c r="G309" s="756"/>
      <c r="H309" s="756"/>
      <c r="I309" s="756"/>
      <c r="J309" s="756"/>
      <c r="K309" s="756"/>
      <c r="L309" s="756"/>
      <c r="M309" s="757"/>
    </row>
    <row r="310" spans="1:13" x14ac:dyDescent="0.2">
      <c r="A310" s="755" t="s">
        <v>986</v>
      </c>
      <c r="B310" s="756"/>
      <c r="C310" s="756"/>
      <c r="D310" s="756"/>
      <c r="E310" s="756"/>
      <c r="F310" s="756"/>
      <c r="G310" s="756"/>
      <c r="H310" s="756"/>
      <c r="I310" s="756"/>
      <c r="J310" s="756"/>
      <c r="K310" s="756"/>
      <c r="L310" s="756"/>
      <c r="M310" s="757"/>
    </row>
    <row r="311" spans="1:13" x14ac:dyDescent="0.2">
      <c r="A311" s="377"/>
      <c r="B311" s="283"/>
      <c r="C311" s="283"/>
      <c r="D311" s="283"/>
      <c r="E311" s="283"/>
      <c r="F311" s="283"/>
      <c r="G311" s="283"/>
      <c r="H311" s="283"/>
      <c r="I311" s="283"/>
      <c r="J311" s="283"/>
      <c r="K311" s="283"/>
      <c r="M311" s="181"/>
    </row>
    <row r="312" spans="1:13" x14ac:dyDescent="0.2">
      <c r="A312" s="377"/>
      <c r="B312" s="283"/>
      <c r="C312" s="283"/>
      <c r="D312" s="283"/>
      <c r="E312" s="283"/>
      <c r="F312" s="283"/>
      <c r="G312" s="283"/>
      <c r="H312" s="283"/>
      <c r="I312" s="283"/>
      <c r="J312" s="283"/>
      <c r="K312" s="283"/>
      <c r="M312" s="181"/>
    </row>
    <row r="313" spans="1:13" x14ac:dyDescent="0.2">
      <c r="A313" s="377"/>
      <c r="B313" s="283"/>
      <c r="C313" s="283"/>
      <c r="D313" s="283"/>
      <c r="E313" s="283"/>
      <c r="F313" s="283"/>
      <c r="G313" s="283"/>
      <c r="H313" s="283"/>
      <c r="I313" s="283"/>
      <c r="J313" s="283"/>
      <c r="K313" s="283"/>
      <c r="M313" s="181"/>
    </row>
    <row r="314" spans="1:13" x14ac:dyDescent="0.2">
      <c r="A314" s="377"/>
      <c r="B314" s="283"/>
      <c r="C314" s="283"/>
      <c r="D314" s="283"/>
      <c r="E314" s="283"/>
      <c r="F314" s="283"/>
      <c r="G314" s="283"/>
      <c r="H314" s="283"/>
      <c r="I314" s="283"/>
      <c r="J314" s="283"/>
      <c r="K314" s="283"/>
      <c r="M314" s="181"/>
    </row>
    <row r="315" spans="1:13" ht="24" x14ac:dyDescent="0.2">
      <c r="A315" s="418" t="s">
        <v>442</v>
      </c>
      <c r="B315" s="139" t="s">
        <v>443</v>
      </c>
      <c r="C315" s="227"/>
      <c r="D315" s="141" t="s">
        <v>379</v>
      </c>
      <c r="E315" s="227"/>
      <c r="F315" s="140"/>
      <c r="G315" s="141"/>
      <c r="H315" s="304"/>
      <c r="I315" s="149"/>
      <c r="J315" s="149"/>
      <c r="K315" s="149"/>
      <c r="L315" s="312" t="s">
        <v>445</v>
      </c>
      <c r="M315" s="181"/>
    </row>
    <row r="316" spans="1:13" x14ac:dyDescent="0.2">
      <c r="A316" s="417"/>
      <c r="G316" s="309"/>
      <c r="H316" s="271"/>
      <c r="M316" s="181"/>
    </row>
    <row r="317" spans="1:13" x14ac:dyDescent="0.2">
      <c r="A317" s="417">
        <v>1</v>
      </c>
      <c r="B317" s="93" t="s">
        <v>943</v>
      </c>
      <c r="D317" s="93" t="s">
        <v>1115</v>
      </c>
      <c r="F317" s="97"/>
      <c r="G317" s="309"/>
      <c r="H317" s="271"/>
      <c r="L317" s="93">
        <v>0.12429999999999999</v>
      </c>
      <c r="M317" s="181"/>
    </row>
    <row r="318" spans="1:13" x14ac:dyDescent="0.2">
      <c r="A318" s="420"/>
      <c r="H318" s="246"/>
      <c r="M318" s="181"/>
    </row>
    <row r="319" spans="1:13" ht="12.75" thickBot="1" x14ac:dyDescent="0.25">
      <c r="A319" s="420"/>
      <c r="C319" s="168"/>
      <c r="H319" s="246"/>
      <c r="L319" s="460">
        <v>0.12429999999999999</v>
      </c>
      <c r="M319" s="181"/>
    </row>
    <row r="320" spans="1:13" x14ac:dyDescent="0.2">
      <c r="A320" s="420"/>
      <c r="C320" s="168"/>
      <c r="H320" s="246"/>
      <c r="M320" s="181"/>
    </row>
    <row r="321" spans="1:13" x14ac:dyDescent="0.2">
      <c r="A321" s="420"/>
      <c r="C321" s="168"/>
      <c r="H321" s="246"/>
      <c r="M321" s="181"/>
    </row>
    <row r="322" spans="1:13" x14ac:dyDescent="0.2">
      <c r="A322" s="420"/>
      <c r="C322" s="168"/>
      <c r="H322" s="246"/>
      <c r="M322" s="181"/>
    </row>
    <row r="323" spans="1:13" x14ac:dyDescent="0.2">
      <c r="A323" s="420"/>
      <c r="C323" s="168"/>
      <c r="H323" s="246"/>
      <c r="M323" s="181"/>
    </row>
    <row r="324" spans="1:13" x14ac:dyDescent="0.2">
      <c r="A324" s="420"/>
      <c r="C324" s="168"/>
      <c r="H324" s="246"/>
      <c r="M324" s="181"/>
    </row>
    <row r="325" spans="1:13" x14ac:dyDescent="0.2">
      <c r="A325" s="420"/>
      <c r="C325" s="168"/>
      <c r="H325" s="246"/>
      <c r="M325" s="181"/>
    </row>
    <row r="326" spans="1:13" x14ac:dyDescent="0.2">
      <c r="A326" s="420"/>
      <c r="C326" s="168"/>
      <c r="H326" s="246"/>
      <c r="M326" s="181"/>
    </row>
    <row r="327" spans="1:13" x14ac:dyDescent="0.2">
      <c r="A327" s="420"/>
      <c r="C327" s="168"/>
      <c r="H327" s="246"/>
      <c r="M327" s="181"/>
    </row>
    <row r="328" spans="1:13" x14ac:dyDescent="0.2">
      <c r="A328" s="420"/>
      <c r="C328" s="168"/>
      <c r="H328" s="246"/>
      <c r="M328" s="181"/>
    </row>
    <row r="329" spans="1:13" x14ac:dyDescent="0.2">
      <c r="A329" s="420"/>
      <c r="C329" s="168"/>
      <c r="H329" s="246"/>
      <c r="M329" s="181"/>
    </row>
    <row r="330" spans="1:13" x14ac:dyDescent="0.2">
      <c r="A330" s="420"/>
      <c r="C330" s="168"/>
      <c r="H330" s="246"/>
      <c r="M330" s="181"/>
    </row>
    <row r="331" spans="1:13" x14ac:dyDescent="0.2">
      <c r="A331" s="420"/>
      <c r="C331" s="168"/>
      <c r="H331" s="246"/>
      <c r="M331" s="181"/>
    </row>
    <row r="332" spans="1:13" x14ac:dyDescent="0.2">
      <c r="A332" s="420"/>
      <c r="C332" s="168"/>
      <c r="H332" s="246"/>
      <c r="M332" s="181"/>
    </row>
    <row r="333" spans="1:13" x14ac:dyDescent="0.2">
      <c r="A333" s="420"/>
      <c r="C333" s="168"/>
      <c r="H333" s="246"/>
      <c r="M333" s="181"/>
    </row>
    <row r="334" spans="1:13" x14ac:dyDescent="0.2">
      <c r="A334" s="420"/>
      <c r="C334" s="168"/>
      <c r="H334" s="246"/>
      <c r="M334" s="181"/>
    </row>
    <row r="335" spans="1:13" x14ac:dyDescent="0.2">
      <c r="A335" s="420"/>
      <c r="C335" s="168"/>
      <c r="H335" s="246"/>
      <c r="M335" s="181"/>
    </row>
    <row r="336" spans="1:13" x14ac:dyDescent="0.2">
      <c r="A336" s="420"/>
      <c r="C336" s="168"/>
      <c r="H336" s="246"/>
      <c r="M336" s="181"/>
    </row>
    <row r="337" spans="1:13" x14ac:dyDescent="0.2">
      <c r="A337" s="420"/>
      <c r="C337" s="168"/>
      <c r="H337" s="246"/>
      <c r="M337" s="181"/>
    </row>
    <row r="338" spans="1:13" x14ac:dyDescent="0.2">
      <c r="A338" s="420"/>
      <c r="C338" s="168"/>
      <c r="H338" s="246"/>
      <c r="M338" s="181"/>
    </row>
    <row r="339" spans="1:13" x14ac:dyDescent="0.2">
      <c r="A339" s="420"/>
      <c r="C339" s="168"/>
      <c r="H339" s="246"/>
      <c r="M339" s="181"/>
    </row>
    <row r="340" spans="1:13" x14ac:dyDescent="0.2">
      <c r="A340" s="420"/>
      <c r="C340" s="168"/>
      <c r="H340" s="246"/>
      <c r="M340" s="181"/>
    </row>
    <row r="341" spans="1:13" x14ac:dyDescent="0.2">
      <c r="A341" s="420"/>
      <c r="C341" s="168"/>
      <c r="H341" s="246"/>
      <c r="M341" s="181"/>
    </row>
    <row r="342" spans="1:13" x14ac:dyDescent="0.2">
      <c r="A342" s="420"/>
      <c r="C342" s="168"/>
      <c r="H342" s="246"/>
      <c r="M342" s="181"/>
    </row>
    <row r="343" spans="1:13" x14ac:dyDescent="0.2">
      <c r="A343" s="420"/>
      <c r="C343" s="168"/>
      <c r="H343" s="246"/>
      <c r="M343" s="181"/>
    </row>
    <row r="344" spans="1:13" x14ac:dyDescent="0.2">
      <c r="A344" s="420"/>
      <c r="C344" s="168"/>
      <c r="H344" s="246"/>
      <c r="M344" s="181"/>
    </row>
    <row r="345" spans="1:13" x14ac:dyDescent="0.2">
      <c r="A345" s="420"/>
      <c r="C345" s="168"/>
      <c r="H345" s="246"/>
      <c r="M345" s="181"/>
    </row>
    <row r="346" spans="1:13" x14ac:dyDescent="0.2">
      <c r="A346" s="420"/>
      <c r="C346" s="168"/>
      <c r="H346" s="246"/>
      <c r="M346" s="181"/>
    </row>
    <row r="347" spans="1:13" x14ac:dyDescent="0.2">
      <c r="A347" s="420"/>
      <c r="C347" s="168"/>
      <c r="H347" s="246"/>
      <c r="M347" s="181"/>
    </row>
    <row r="348" spans="1:13" x14ac:dyDescent="0.2">
      <c r="A348" s="420"/>
      <c r="C348" s="168"/>
      <c r="H348" s="246"/>
      <c r="M348" s="181"/>
    </row>
    <row r="349" spans="1:13" x14ac:dyDescent="0.2">
      <c r="A349" s="420"/>
      <c r="C349" s="168"/>
      <c r="H349" s="246"/>
      <c r="M349" s="181"/>
    </row>
    <row r="350" spans="1:13" x14ac:dyDescent="0.2">
      <c r="A350" s="420"/>
      <c r="C350" s="168"/>
      <c r="H350" s="246"/>
      <c r="M350" s="181"/>
    </row>
    <row r="351" spans="1:13" x14ac:dyDescent="0.2">
      <c r="A351" s="420"/>
      <c r="C351" s="168"/>
      <c r="H351" s="246"/>
      <c r="M351" s="181"/>
    </row>
    <row r="352" spans="1:13" x14ac:dyDescent="0.2">
      <c r="A352" s="420"/>
      <c r="C352" s="168"/>
      <c r="H352" s="246"/>
      <c r="M352" s="181"/>
    </row>
    <row r="353" spans="1:13" x14ac:dyDescent="0.2">
      <c r="A353" s="420"/>
      <c r="C353" s="168"/>
      <c r="H353" s="246"/>
      <c r="M353" s="181"/>
    </row>
    <row r="354" spans="1:13" x14ac:dyDescent="0.2">
      <c r="A354" s="420"/>
      <c r="C354" s="168"/>
      <c r="H354" s="246"/>
      <c r="M354" s="181"/>
    </row>
    <row r="355" spans="1:13" x14ac:dyDescent="0.2">
      <c r="A355" s="420"/>
      <c r="C355" s="168"/>
      <c r="H355" s="246"/>
      <c r="M355" s="181"/>
    </row>
    <row r="356" spans="1:13" x14ac:dyDescent="0.2">
      <c r="A356" s="421"/>
      <c r="B356" s="245"/>
      <c r="C356" s="247"/>
      <c r="D356" s="245"/>
      <c r="E356" s="245"/>
      <c r="F356" s="245"/>
      <c r="G356" s="245"/>
      <c r="H356" s="422"/>
      <c r="I356" s="245"/>
      <c r="J356" s="245"/>
      <c r="K356" s="245"/>
      <c r="L356" s="245"/>
      <c r="M356" s="183"/>
    </row>
    <row r="357" spans="1:13" x14ac:dyDescent="0.2">
      <c r="A357" s="423"/>
      <c r="B357" s="201"/>
      <c r="C357" s="203"/>
      <c r="D357" s="201"/>
      <c r="E357" s="201"/>
      <c r="F357" s="201"/>
      <c r="G357" s="201"/>
      <c r="H357" s="424"/>
      <c r="I357" s="201"/>
      <c r="J357" s="201"/>
      <c r="K357" s="201"/>
      <c r="L357" s="201"/>
      <c r="M357" s="188"/>
    </row>
    <row r="358" spans="1:13" x14ac:dyDescent="0.2">
      <c r="A358" s="774" t="s">
        <v>843</v>
      </c>
      <c r="B358" s="775"/>
      <c r="C358" s="775"/>
      <c r="D358" s="775"/>
      <c r="E358" s="775"/>
      <c r="F358" s="775"/>
      <c r="G358" s="775"/>
      <c r="H358" s="775"/>
      <c r="I358" s="775"/>
      <c r="J358" s="775"/>
      <c r="K358" s="775"/>
      <c r="L358" s="775"/>
      <c r="M358" s="776"/>
    </row>
    <row r="359" spans="1:13" x14ac:dyDescent="0.2">
      <c r="A359" s="774" t="s">
        <v>845</v>
      </c>
      <c r="B359" s="775"/>
      <c r="C359" s="775"/>
      <c r="D359" s="775"/>
      <c r="E359" s="775"/>
      <c r="F359" s="775"/>
      <c r="G359" s="775"/>
      <c r="H359" s="775"/>
      <c r="I359" s="775"/>
      <c r="J359" s="775"/>
      <c r="K359" s="775"/>
      <c r="L359" s="775"/>
      <c r="M359" s="776"/>
    </row>
    <row r="360" spans="1:13" x14ac:dyDescent="0.2">
      <c r="A360" s="774" t="s">
        <v>844</v>
      </c>
      <c r="B360" s="775"/>
      <c r="C360" s="775"/>
      <c r="D360" s="775"/>
      <c r="E360" s="775"/>
      <c r="F360" s="775"/>
      <c r="G360" s="775"/>
      <c r="H360" s="775"/>
      <c r="I360" s="775"/>
      <c r="J360" s="775"/>
      <c r="K360" s="775"/>
      <c r="L360" s="775"/>
      <c r="M360" s="776"/>
    </row>
    <row r="361" spans="1:13" x14ac:dyDescent="0.2">
      <c r="A361" s="774" t="s">
        <v>1139</v>
      </c>
      <c r="B361" s="775"/>
      <c r="C361" s="775"/>
      <c r="D361" s="775"/>
      <c r="E361" s="775"/>
      <c r="F361" s="775"/>
      <c r="G361" s="775"/>
      <c r="H361" s="775"/>
      <c r="I361" s="775"/>
      <c r="J361" s="775"/>
      <c r="K361" s="775"/>
      <c r="L361" s="775"/>
      <c r="M361" s="776"/>
    </row>
    <row r="362" spans="1:13" x14ac:dyDescent="0.2">
      <c r="A362" s="420"/>
      <c r="C362" s="168"/>
      <c r="H362" s="246"/>
      <c r="M362" s="181"/>
    </row>
    <row r="363" spans="1:13" ht="12.75" customHeight="1" x14ac:dyDescent="0.2">
      <c r="A363" s="755" t="s">
        <v>987</v>
      </c>
      <c r="B363" s="756"/>
      <c r="C363" s="756"/>
      <c r="D363" s="756"/>
      <c r="E363" s="756"/>
      <c r="F363" s="756"/>
      <c r="G363" s="756"/>
      <c r="H363" s="756"/>
      <c r="I363" s="756"/>
      <c r="J363" s="756"/>
      <c r="K363" s="756"/>
      <c r="L363" s="756"/>
      <c r="M363" s="757"/>
    </row>
    <row r="364" spans="1:13" x14ac:dyDescent="0.2">
      <c r="A364" s="387"/>
      <c r="B364" s="168"/>
      <c r="C364" s="148"/>
      <c r="D364" s="148"/>
      <c r="E364" s="148"/>
      <c r="F364" s="310"/>
      <c r="H364" s="93"/>
      <c r="L364" s="246"/>
      <c r="M364" s="181"/>
    </row>
    <row r="365" spans="1:13" ht="24" x14ac:dyDescent="0.2">
      <c r="A365" s="458" t="s">
        <v>442</v>
      </c>
      <c r="B365" s="139" t="s">
        <v>443</v>
      </c>
      <c r="C365" s="139"/>
      <c r="D365" s="139"/>
      <c r="E365" s="227"/>
      <c r="F365" s="140"/>
      <c r="G365" s="140"/>
      <c r="H365" s="311"/>
      <c r="I365" s="149"/>
      <c r="J365" s="149"/>
      <c r="K365" s="149"/>
      <c r="L365" s="312" t="s">
        <v>445</v>
      </c>
      <c r="M365" s="181"/>
    </row>
    <row r="366" spans="1:13" x14ac:dyDescent="0.2">
      <c r="A366" s="435"/>
      <c r="B366" s="142"/>
      <c r="C366" s="142"/>
      <c r="D366" s="142"/>
      <c r="E366" s="223"/>
      <c r="F366" s="97"/>
      <c r="G366" s="97"/>
      <c r="H366" s="271"/>
      <c r="L366" s="143"/>
      <c r="M366" s="181"/>
    </row>
    <row r="367" spans="1:13" x14ac:dyDescent="0.2">
      <c r="A367" s="417"/>
      <c r="B367" s="93" t="s">
        <v>951</v>
      </c>
      <c r="E367" s="168"/>
      <c r="F367" s="229">
        <v>0.03</v>
      </c>
      <c r="H367" s="246"/>
      <c r="L367" s="244">
        <f>F367*L14</f>
        <v>1.3488000000000002E-2</v>
      </c>
      <c r="M367" s="181"/>
    </row>
    <row r="368" spans="1:13" x14ac:dyDescent="0.2">
      <c r="A368" s="417"/>
      <c r="E368" s="168"/>
      <c r="F368" s="229"/>
      <c r="H368" s="246"/>
      <c r="L368" s="244"/>
      <c r="M368" s="181"/>
    </row>
    <row r="369" spans="1:13" x14ac:dyDescent="0.2">
      <c r="A369" s="417"/>
      <c r="B369" s="93" t="s">
        <v>952</v>
      </c>
      <c r="E369" s="168"/>
      <c r="F369" s="229">
        <v>0.03</v>
      </c>
      <c r="H369" s="246"/>
      <c r="L369" s="244">
        <f>F369*(L16+L18)</f>
        <v>0.55240458583560004</v>
      </c>
      <c r="M369" s="181"/>
    </row>
    <row r="370" spans="1:13" x14ac:dyDescent="0.2">
      <c r="A370" s="417"/>
      <c r="E370" s="168"/>
      <c r="F370" s="229"/>
      <c r="H370" s="246"/>
      <c r="L370" s="175"/>
      <c r="M370" s="181"/>
    </row>
    <row r="371" spans="1:13" x14ac:dyDescent="0.2">
      <c r="A371" s="417"/>
      <c r="E371" s="168"/>
      <c r="F371" s="229"/>
      <c r="H371" s="246"/>
      <c r="L371" s="175"/>
      <c r="M371" s="181"/>
    </row>
    <row r="372" spans="1:13" x14ac:dyDescent="0.2">
      <c r="A372" s="417"/>
      <c r="E372" s="168"/>
      <c r="F372" s="229"/>
      <c r="H372" s="246"/>
      <c r="L372" s="244"/>
      <c r="M372" s="181"/>
    </row>
    <row r="373" spans="1:13" ht="12.75" thickBot="1" x14ac:dyDescent="0.25">
      <c r="A373" s="417"/>
      <c r="E373" s="168"/>
      <c r="H373" s="303" t="s">
        <v>454</v>
      </c>
      <c r="L373" s="461">
        <f>L369+L367</f>
        <v>0.56589258583560009</v>
      </c>
      <c r="M373" s="181"/>
    </row>
    <row r="374" spans="1:13" x14ac:dyDescent="0.2">
      <c r="A374" s="420"/>
      <c r="C374" s="168"/>
      <c r="H374" s="246"/>
      <c r="M374" s="181"/>
    </row>
    <row r="375" spans="1:13" x14ac:dyDescent="0.2">
      <c r="A375" s="420"/>
      <c r="C375" s="168"/>
      <c r="H375" s="246"/>
      <c r="M375" s="181"/>
    </row>
    <row r="376" spans="1:13" x14ac:dyDescent="0.2">
      <c r="A376" s="420"/>
      <c r="C376" s="168"/>
      <c r="H376" s="246"/>
      <c r="M376" s="181"/>
    </row>
    <row r="377" spans="1:13" x14ac:dyDescent="0.2">
      <c r="A377" s="420"/>
      <c r="C377" s="168"/>
      <c r="H377" s="246"/>
      <c r="M377" s="181"/>
    </row>
    <row r="378" spans="1:13" x14ac:dyDescent="0.2">
      <c r="A378" s="420"/>
      <c r="C378" s="168"/>
      <c r="H378" s="246"/>
      <c r="M378" s="181"/>
    </row>
    <row r="379" spans="1:13" x14ac:dyDescent="0.2">
      <c r="A379" s="420"/>
      <c r="C379" s="168"/>
      <c r="H379" s="246"/>
      <c r="M379" s="181"/>
    </row>
    <row r="380" spans="1:13" x14ac:dyDescent="0.2">
      <c r="A380" s="420"/>
      <c r="C380" s="168"/>
      <c r="H380" s="246"/>
      <c r="M380" s="181"/>
    </row>
    <row r="381" spans="1:13" x14ac:dyDescent="0.2">
      <c r="A381" s="420"/>
      <c r="C381" s="168"/>
      <c r="H381" s="246"/>
      <c r="M381" s="181"/>
    </row>
    <row r="382" spans="1:13" x14ac:dyDescent="0.2">
      <c r="A382" s="420"/>
      <c r="C382" s="168"/>
      <c r="H382" s="246"/>
      <c r="M382" s="181"/>
    </row>
    <row r="383" spans="1:13" x14ac:dyDescent="0.2">
      <c r="A383" s="420"/>
      <c r="C383" s="168"/>
      <c r="H383" s="246"/>
      <c r="M383" s="181"/>
    </row>
    <row r="384" spans="1:13" x14ac:dyDescent="0.2">
      <c r="A384" s="420"/>
      <c r="C384" s="168"/>
      <c r="H384" s="246"/>
      <c r="M384" s="181"/>
    </row>
    <row r="385" spans="1:13" x14ac:dyDescent="0.2">
      <c r="A385" s="420"/>
      <c r="C385" s="168"/>
      <c r="H385" s="246"/>
      <c r="M385" s="181"/>
    </row>
    <row r="386" spans="1:13" x14ac:dyDescent="0.2">
      <c r="A386" s="420"/>
      <c r="C386" s="168"/>
      <c r="H386" s="246"/>
      <c r="M386" s="181"/>
    </row>
    <row r="387" spans="1:13" x14ac:dyDescent="0.2">
      <c r="A387" s="420"/>
      <c r="C387" s="168"/>
      <c r="H387" s="246"/>
      <c r="M387" s="181"/>
    </row>
    <row r="388" spans="1:13" x14ac:dyDescent="0.2">
      <c r="A388" s="420"/>
      <c r="C388" s="168"/>
      <c r="H388" s="246"/>
      <c r="M388" s="181"/>
    </row>
    <row r="389" spans="1:13" x14ac:dyDescent="0.2">
      <c r="A389" s="420"/>
      <c r="C389" s="168"/>
      <c r="H389" s="246"/>
      <c r="M389" s="181"/>
    </row>
    <row r="390" spans="1:13" x14ac:dyDescent="0.2">
      <c r="A390" s="420"/>
      <c r="C390" s="168"/>
      <c r="H390" s="246"/>
      <c r="M390" s="181"/>
    </row>
    <row r="391" spans="1:13" x14ac:dyDescent="0.2">
      <c r="A391" s="420"/>
      <c r="C391" s="168"/>
      <c r="H391" s="246"/>
      <c r="M391" s="181"/>
    </row>
    <row r="392" spans="1:13" x14ac:dyDescent="0.2">
      <c r="A392" s="420"/>
      <c r="C392" s="168"/>
      <c r="H392" s="246"/>
      <c r="M392" s="181"/>
    </row>
    <row r="393" spans="1:13" x14ac:dyDescent="0.2">
      <c r="A393" s="420"/>
      <c r="C393" s="168"/>
      <c r="H393" s="246"/>
      <c r="M393" s="181"/>
    </row>
    <row r="394" spans="1:13" x14ac:dyDescent="0.2">
      <c r="A394" s="420"/>
      <c r="C394" s="168"/>
      <c r="H394" s="246"/>
      <c r="M394" s="181"/>
    </row>
    <row r="395" spans="1:13" x14ac:dyDescent="0.2">
      <c r="A395" s="420"/>
      <c r="C395" s="168"/>
      <c r="H395" s="246"/>
      <c r="M395" s="181"/>
    </row>
    <row r="396" spans="1:13" x14ac:dyDescent="0.2">
      <c r="A396" s="420"/>
      <c r="C396" s="168"/>
      <c r="H396" s="246"/>
      <c r="M396" s="181"/>
    </row>
    <row r="397" spans="1:13" x14ac:dyDescent="0.2">
      <c r="A397" s="420"/>
      <c r="C397" s="168"/>
      <c r="H397" s="246"/>
      <c r="M397" s="181"/>
    </row>
    <row r="398" spans="1:13" x14ac:dyDescent="0.2">
      <c r="A398" s="420"/>
      <c r="C398" s="168"/>
      <c r="H398" s="246"/>
      <c r="M398" s="181"/>
    </row>
    <row r="399" spans="1:13" x14ac:dyDescent="0.2">
      <c r="A399" s="420"/>
      <c r="C399" s="168"/>
      <c r="H399" s="246"/>
      <c r="M399" s="181"/>
    </row>
    <row r="400" spans="1:13" x14ac:dyDescent="0.2">
      <c r="A400" s="420"/>
      <c r="C400" s="168"/>
      <c r="H400" s="246"/>
      <c r="M400" s="181"/>
    </row>
    <row r="401" spans="1:13" x14ac:dyDescent="0.2">
      <c r="A401" s="420"/>
      <c r="C401" s="168"/>
      <c r="H401" s="246"/>
      <c r="M401" s="181"/>
    </row>
    <row r="402" spans="1:13" x14ac:dyDescent="0.2">
      <c r="A402" s="420"/>
      <c r="C402" s="168"/>
      <c r="H402" s="246"/>
      <c r="M402" s="181"/>
    </row>
    <row r="403" spans="1:13" x14ac:dyDescent="0.2">
      <c r="A403" s="420"/>
      <c r="C403" s="168"/>
      <c r="H403" s="246"/>
      <c r="M403" s="181"/>
    </row>
    <row r="404" spans="1:13" x14ac:dyDescent="0.2">
      <c r="A404" s="420"/>
      <c r="C404" s="168"/>
      <c r="H404" s="246"/>
      <c r="M404" s="181"/>
    </row>
    <row r="405" spans="1:13" x14ac:dyDescent="0.2">
      <c r="A405" s="420"/>
      <c r="C405" s="168"/>
      <c r="H405" s="246"/>
      <c r="M405" s="181"/>
    </row>
    <row r="406" spans="1:13" x14ac:dyDescent="0.2">
      <c r="A406" s="420"/>
      <c r="C406" s="168"/>
      <c r="H406" s="246"/>
      <c r="M406" s="181"/>
    </row>
    <row r="407" spans="1:13" x14ac:dyDescent="0.2">
      <c r="A407" s="420"/>
      <c r="C407" s="168"/>
      <c r="H407" s="246"/>
      <c r="M407" s="181"/>
    </row>
    <row r="408" spans="1:13" x14ac:dyDescent="0.2">
      <c r="A408" s="420"/>
      <c r="C408" s="168"/>
      <c r="H408" s="246"/>
      <c r="M408" s="181"/>
    </row>
    <row r="409" spans="1:13" x14ac:dyDescent="0.2">
      <c r="A409" s="420"/>
      <c r="C409" s="168"/>
      <c r="H409" s="246"/>
      <c r="M409" s="181"/>
    </row>
    <row r="410" spans="1:13" x14ac:dyDescent="0.2">
      <c r="A410" s="421"/>
      <c r="B410" s="245"/>
      <c r="C410" s="247"/>
      <c r="D410" s="245"/>
      <c r="E410" s="245"/>
      <c r="F410" s="245"/>
      <c r="G410" s="245"/>
      <c r="H410" s="422"/>
      <c r="I410" s="245"/>
      <c r="J410" s="245"/>
      <c r="K410" s="245"/>
      <c r="L410" s="245"/>
      <c r="M410" s="183"/>
    </row>
    <row r="411" spans="1:13" x14ac:dyDescent="0.2">
      <c r="A411" s="423"/>
      <c r="B411" s="201"/>
      <c r="C411" s="203"/>
      <c r="D411" s="201"/>
      <c r="E411" s="201"/>
      <c r="F411" s="201"/>
      <c r="G411" s="201"/>
      <c r="H411" s="424"/>
      <c r="I411" s="201"/>
      <c r="J411" s="201"/>
      <c r="K411" s="201"/>
      <c r="L411" s="201"/>
      <c r="M411" s="188"/>
    </row>
    <row r="412" spans="1:13" x14ac:dyDescent="0.2">
      <c r="A412" s="755" t="s">
        <v>843</v>
      </c>
      <c r="B412" s="756"/>
      <c r="C412" s="756"/>
      <c r="D412" s="756"/>
      <c r="E412" s="756"/>
      <c r="F412" s="756"/>
      <c r="G412" s="756"/>
      <c r="H412" s="756"/>
      <c r="I412" s="756"/>
      <c r="J412" s="756"/>
      <c r="K412" s="756"/>
      <c r="L412" s="756"/>
      <c r="M412" s="757"/>
    </row>
    <row r="413" spans="1:13" x14ac:dyDescent="0.2">
      <c r="A413" s="755" t="s">
        <v>845</v>
      </c>
      <c r="B413" s="756"/>
      <c r="C413" s="756"/>
      <c r="D413" s="756"/>
      <c r="E413" s="756"/>
      <c r="F413" s="756"/>
      <c r="G413" s="756"/>
      <c r="H413" s="756"/>
      <c r="I413" s="756"/>
      <c r="J413" s="756"/>
      <c r="K413" s="756"/>
      <c r="L413" s="756"/>
      <c r="M413" s="757"/>
    </row>
    <row r="414" spans="1:13" x14ac:dyDescent="0.2">
      <c r="A414" s="755" t="s">
        <v>844</v>
      </c>
      <c r="B414" s="756"/>
      <c r="C414" s="756"/>
      <c r="D414" s="756"/>
      <c r="E414" s="756"/>
      <c r="F414" s="756"/>
      <c r="G414" s="756"/>
      <c r="H414" s="756"/>
      <c r="I414" s="756"/>
      <c r="J414" s="756"/>
      <c r="K414" s="756"/>
      <c r="L414" s="756"/>
      <c r="M414" s="757"/>
    </row>
    <row r="415" spans="1:13" x14ac:dyDescent="0.2">
      <c r="A415" s="755" t="s">
        <v>1139</v>
      </c>
      <c r="B415" s="756"/>
      <c r="C415" s="756"/>
      <c r="D415" s="756"/>
      <c r="E415" s="756"/>
      <c r="F415" s="756"/>
      <c r="G415" s="756"/>
      <c r="H415" s="756"/>
      <c r="I415" s="756"/>
      <c r="J415" s="756"/>
      <c r="K415" s="756"/>
      <c r="L415" s="756"/>
      <c r="M415" s="757"/>
    </row>
    <row r="416" spans="1:13" x14ac:dyDescent="0.2">
      <c r="A416" s="377"/>
      <c r="B416" s="283"/>
      <c r="C416" s="283"/>
      <c r="D416" s="283"/>
      <c r="E416" s="283"/>
      <c r="F416" s="283"/>
      <c r="G416" s="283"/>
      <c r="H416" s="283"/>
      <c r="I416" s="283"/>
      <c r="J416" s="283"/>
      <c r="K416" s="283"/>
      <c r="M416" s="181"/>
    </row>
    <row r="417" spans="1:13" x14ac:dyDescent="0.2">
      <c r="A417" s="377"/>
      <c r="B417" s="283"/>
      <c r="C417" s="283"/>
      <c r="D417" s="283"/>
      <c r="E417" s="283"/>
      <c r="F417" s="283"/>
      <c r="G417" s="283"/>
      <c r="H417" s="283"/>
      <c r="I417" s="283"/>
      <c r="J417" s="283"/>
      <c r="K417" s="283"/>
      <c r="M417" s="181"/>
    </row>
    <row r="418" spans="1:13" x14ac:dyDescent="0.2">
      <c r="A418" s="755"/>
      <c r="B418" s="756"/>
      <c r="C418" s="756"/>
      <c r="D418" s="756"/>
      <c r="E418" s="756"/>
      <c r="F418" s="756"/>
      <c r="G418" s="756"/>
      <c r="H418" s="756"/>
      <c r="I418" s="756"/>
      <c r="J418" s="756"/>
      <c r="K418" s="756"/>
      <c r="L418" s="756"/>
      <c r="M418" s="757"/>
    </row>
    <row r="419" spans="1:13" x14ac:dyDescent="0.2">
      <c r="A419" s="755" t="s">
        <v>988</v>
      </c>
      <c r="B419" s="756"/>
      <c r="C419" s="756"/>
      <c r="D419" s="756"/>
      <c r="E419" s="756"/>
      <c r="F419" s="756"/>
      <c r="G419" s="756"/>
      <c r="H419" s="756"/>
      <c r="I419" s="756"/>
      <c r="J419" s="756"/>
      <c r="K419" s="756"/>
      <c r="L419" s="756"/>
      <c r="M419" s="757"/>
    </row>
    <row r="420" spans="1:13" x14ac:dyDescent="0.2">
      <c r="A420" s="417"/>
      <c r="B420" s="148"/>
      <c r="C420" s="310"/>
      <c r="H420" s="246"/>
      <c r="L420" s="147" t="s">
        <v>846</v>
      </c>
      <c r="M420" s="181"/>
    </row>
    <row r="421" spans="1:13" ht="24" x14ac:dyDescent="0.2">
      <c r="A421" s="418" t="s">
        <v>442</v>
      </c>
      <c r="B421" s="139" t="s">
        <v>443</v>
      </c>
      <c r="C421" s="227"/>
      <c r="D421" s="140"/>
      <c r="E421" s="140"/>
      <c r="F421" s="140"/>
      <c r="G421" s="140"/>
      <c r="H421" s="311"/>
      <c r="I421" s="149"/>
      <c r="J421" s="149"/>
      <c r="K421" s="149"/>
      <c r="L421" s="312" t="s">
        <v>445</v>
      </c>
      <c r="M421" s="181"/>
    </row>
    <row r="422" spans="1:13" x14ac:dyDescent="0.2">
      <c r="A422" s="417"/>
      <c r="C422" s="310" t="s">
        <v>441</v>
      </c>
      <c r="H422" s="246"/>
      <c r="L422" s="147"/>
      <c r="M422" s="181"/>
    </row>
    <row r="423" spans="1:13" x14ac:dyDescent="0.2">
      <c r="A423" s="417"/>
      <c r="C423" s="168"/>
      <c r="H423" s="246"/>
      <c r="M423" s="181"/>
    </row>
    <row r="424" spans="1:13" x14ac:dyDescent="0.2">
      <c r="A424" s="419" t="s">
        <v>446</v>
      </c>
      <c r="B424" s="148" t="s">
        <v>267</v>
      </c>
      <c r="C424" s="168"/>
      <c r="H424" s="246"/>
      <c r="L424" s="93">
        <v>0.02</v>
      </c>
      <c r="M424" s="181"/>
    </row>
    <row r="425" spans="1:13" x14ac:dyDescent="0.2">
      <c r="A425" s="417"/>
      <c r="B425" s="148"/>
      <c r="C425" s="168"/>
      <c r="H425" s="246"/>
      <c r="M425" s="181"/>
    </row>
    <row r="426" spans="1:13" x14ac:dyDescent="0.2">
      <c r="A426" s="419" t="s">
        <v>447</v>
      </c>
      <c r="B426" s="148" t="s">
        <v>295</v>
      </c>
      <c r="C426" s="168"/>
      <c r="H426" s="246"/>
      <c r="L426" s="93">
        <v>0.03</v>
      </c>
      <c r="M426" s="181"/>
    </row>
    <row r="427" spans="1:13" x14ac:dyDescent="0.2">
      <c r="A427" s="419"/>
      <c r="B427" s="148"/>
      <c r="C427" s="168"/>
      <c r="H427" s="246"/>
      <c r="M427" s="181"/>
    </row>
    <row r="428" spans="1:13" x14ac:dyDescent="0.2">
      <c r="A428" s="417">
        <v>3</v>
      </c>
      <c r="B428" s="93" t="s">
        <v>524</v>
      </c>
      <c r="C428" s="168"/>
      <c r="H428" s="246"/>
      <c r="L428" s="93">
        <v>0.02</v>
      </c>
      <c r="M428" s="181"/>
    </row>
    <row r="429" spans="1:13" x14ac:dyDescent="0.2">
      <c r="A429" s="417"/>
      <c r="C429" s="168"/>
      <c r="H429" s="246"/>
      <c r="M429" s="181"/>
    </row>
    <row r="430" spans="1:13" x14ac:dyDescent="0.2">
      <c r="A430" s="417"/>
      <c r="C430" s="168"/>
      <c r="H430" s="246"/>
      <c r="M430" s="181"/>
    </row>
    <row r="431" spans="1:13" ht="12.75" thickBot="1" x14ac:dyDescent="0.25">
      <c r="A431" s="417"/>
      <c r="C431" s="168"/>
      <c r="H431" s="303" t="s">
        <v>454</v>
      </c>
      <c r="L431" s="462">
        <v>7.0000000000000007E-2</v>
      </c>
      <c r="M431" s="181"/>
    </row>
    <row r="432" spans="1:13" x14ac:dyDescent="0.2">
      <c r="A432" s="417"/>
      <c r="C432" s="168"/>
      <c r="D432" s="216"/>
      <c r="H432" s="246"/>
      <c r="M432" s="181"/>
    </row>
    <row r="433" spans="1:13" x14ac:dyDescent="0.2">
      <c r="A433" s="420"/>
      <c r="C433" s="168"/>
      <c r="H433" s="246"/>
      <c r="M433" s="181"/>
    </row>
    <row r="434" spans="1:13" x14ac:dyDescent="0.2">
      <c r="A434" s="420"/>
      <c r="C434" s="168"/>
      <c r="H434" s="246"/>
      <c r="M434" s="181"/>
    </row>
    <row r="435" spans="1:13" x14ac:dyDescent="0.2">
      <c r="A435" s="420"/>
      <c r="C435" s="168"/>
      <c r="H435" s="246"/>
      <c r="M435" s="181"/>
    </row>
    <row r="436" spans="1:13" x14ac:dyDescent="0.2">
      <c r="A436" s="420"/>
      <c r="C436" s="168"/>
      <c r="H436" s="246"/>
      <c r="M436" s="181"/>
    </row>
    <row r="437" spans="1:13" x14ac:dyDescent="0.2">
      <c r="A437" s="420"/>
      <c r="C437" s="168"/>
      <c r="H437" s="246"/>
      <c r="M437" s="181"/>
    </row>
    <row r="438" spans="1:13" x14ac:dyDescent="0.2">
      <c r="A438" s="420"/>
      <c r="C438" s="168"/>
      <c r="H438" s="246"/>
      <c r="M438" s="181"/>
    </row>
    <row r="439" spans="1:13" x14ac:dyDescent="0.2">
      <c r="A439" s="420"/>
      <c r="C439" s="168"/>
      <c r="H439" s="246"/>
      <c r="M439" s="181"/>
    </row>
    <row r="440" spans="1:13" x14ac:dyDescent="0.2">
      <c r="A440" s="420"/>
      <c r="C440" s="168"/>
      <c r="H440" s="246"/>
      <c r="M440" s="181"/>
    </row>
    <row r="441" spans="1:13" x14ac:dyDescent="0.2">
      <c r="A441" s="420"/>
      <c r="C441" s="168"/>
      <c r="H441" s="246"/>
      <c r="M441" s="181"/>
    </row>
    <row r="442" spans="1:13" x14ac:dyDescent="0.2">
      <c r="A442" s="420"/>
      <c r="C442" s="168"/>
      <c r="H442" s="246"/>
      <c r="M442" s="181"/>
    </row>
    <row r="443" spans="1:13" x14ac:dyDescent="0.2">
      <c r="A443" s="420"/>
      <c r="C443" s="168"/>
      <c r="H443" s="246"/>
      <c r="M443" s="181"/>
    </row>
    <row r="444" spans="1:13" x14ac:dyDescent="0.2">
      <c r="A444" s="420"/>
      <c r="C444" s="168"/>
      <c r="H444" s="246"/>
      <c r="M444" s="181"/>
    </row>
    <row r="445" spans="1:13" x14ac:dyDescent="0.2">
      <c r="A445" s="420"/>
      <c r="C445" s="168"/>
      <c r="H445" s="246"/>
      <c r="M445" s="181"/>
    </row>
    <row r="446" spans="1:13" x14ac:dyDescent="0.2">
      <c r="A446" s="420"/>
      <c r="C446" s="168"/>
      <c r="H446" s="246"/>
      <c r="M446" s="181"/>
    </row>
    <row r="447" spans="1:13" x14ac:dyDescent="0.2">
      <c r="A447" s="420"/>
      <c r="C447" s="168"/>
      <c r="H447" s="246"/>
      <c r="M447" s="181"/>
    </row>
    <row r="448" spans="1:13" x14ac:dyDescent="0.2">
      <c r="A448" s="420"/>
      <c r="C448" s="168"/>
      <c r="H448" s="246"/>
      <c r="M448" s="181"/>
    </row>
    <row r="449" spans="1:13" x14ac:dyDescent="0.2">
      <c r="A449" s="420"/>
      <c r="C449" s="168"/>
      <c r="H449" s="246"/>
      <c r="M449" s="181"/>
    </row>
    <row r="450" spans="1:13" x14ac:dyDescent="0.2">
      <c r="A450" s="420"/>
      <c r="C450" s="168"/>
      <c r="H450" s="246"/>
      <c r="M450" s="181"/>
    </row>
    <row r="451" spans="1:13" x14ac:dyDescent="0.2">
      <c r="A451" s="420"/>
      <c r="C451" s="168"/>
      <c r="H451" s="246"/>
      <c r="M451" s="181"/>
    </row>
    <row r="452" spans="1:13" x14ac:dyDescent="0.2">
      <c r="A452" s="420"/>
      <c r="C452" s="168"/>
      <c r="H452" s="246"/>
      <c r="M452" s="181"/>
    </row>
    <row r="453" spans="1:13" x14ac:dyDescent="0.2">
      <c r="A453" s="420"/>
      <c r="C453" s="168"/>
      <c r="H453" s="246"/>
      <c r="M453" s="181"/>
    </row>
    <row r="454" spans="1:13" x14ac:dyDescent="0.2">
      <c r="A454" s="420"/>
      <c r="C454" s="168"/>
      <c r="H454" s="246"/>
      <c r="M454" s="181"/>
    </row>
    <row r="455" spans="1:13" x14ac:dyDescent="0.2">
      <c r="A455" s="420"/>
      <c r="C455" s="168"/>
      <c r="H455" s="246"/>
      <c r="M455" s="181"/>
    </row>
    <row r="456" spans="1:13" x14ac:dyDescent="0.2">
      <c r="A456" s="420"/>
      <c r="C456" s="168"/>
      <c r="H456" s="246"/>
      <c r="M456" s="181"/>
    </row>
    <row r="457" spans="1:13" x14ac:dyDescent="0.2">
      <c r="A457" s="420"/>
      <c r="C457" s="168"/>
      <c r="H457" s="246"/>
      <c r="M457" s="181"/>
    </row>
    <row r="458" spans="1:13" x14ac:dyDescent="0.2">
      <c r="A458" s="420"/>
      <c r="C458" s="168"/>
      <c r="H458" s="246"/>
      <c r="M458" s="181"/>
    </row>
    <row r="459" spans="1:13" x14ac:dyDescent="0.2">
      <c r="A459" s="420"/>
      <c r="C459" s="168"/>
      <c r="H459" s="246"/>
      <c r="M459" s="181"/>
    </row>
    <row r="460" spans="1:13" x14ac:dyDescent="0.2">
      <c r="A460" s="420"/>
      <c r="C460" s="168"/>
      <c r="H460" s="246"/>
      <c r="M460" s="181"/>
    </row>
    <row r="461" spans="1:13" x14ac:dyDescent="0.2">
      <c r="A461" s="420"/>
      <c r="C461" s="168"/>
      <c r="H461" s="246"/>
      <c r="M461" s="181"/>
    </row>
    <row r="462" spans="1:13" x14ac:dyDescent="0.2">
      <c r="A462" s="420"/>
      <c r="C462" s="168"/>
      <c r="H462" s="246"/>
      <c r="M462" s="181"/>
    </row>
    <row r="463" spans="1:13" x14ac:dyDescent="0.2">
      <c r="A463" s="420"/>
      <c r="C463" s="168"/>
      <c r="H463" s="246"/>
      <c r="M463" s="181"/>
    </row>
    <row r="464" spans="1:13" x14ac:dyDescent="0.2">
      <c r="A464" s="421"/>
      <c r="B464" s="245"/>
      <c r="C464" s="247"/>
      <c r="D464" s="245"/>
      <c r="E464" s="245"/>
      <c r="F464" s="245"/>
      <c r="G464" s="245"/>
      <c r="H464" s="422"/>
      <c r="I464" s="245"/>
      <c r="J464" s="245"/>
      <c r="K464" s="245"/>
      <c r="L464" s="245"/>
      <c r="M464" s="183"/>
    </row>
    <row r="465" spans="1:13" x14ac:dyDescent="0.2">
      <c r="A465" s="423"/>
      <c r="B465" s="201"/>
      <c r="C465" s="203"/>
      <c r="D465" s="201"/>
      <c r="E465" s="201"/>
      <c r="F465" s="201"/>
      <c r="G465" s="201"/>
      <c r="H465" s="424"/>
      <c r="I465" s="201"/>
      <c r="J465" s="201"/>
      <c r="K465" s="201"/>
      <c r="L465" s="201"/>
      <c r="M465" s="188"/>
    </row>
    <row r="466" spans="1:13" x14ac:dyDescent="0.2">
      <c r="A466" s="755" t="s">
        <v>843</v>
      </c>
      <c r="B466" s="756"/>
      <c r="C466" s="756"/>
      <c r="D466" s="756"/>
      <c r="E466" s="756"/>
      <c r="F466" s="756"/>
      <c r="G466" s="756"/>
      <c r="H466" s="756"/>
      <c r="I466" s="756"/>
      <c r="J466" s="756"/>
      <c r="K466" s="756"/>
      <c r="L466" s="756"/>
      <c r="M466" s="757"/>
    </row>
    <row r="467" spans="1:13" x14ac:dyDescent="0.2">
      <c r="A467" s="755" t="s">
        <v>845</v>
      </c>
      <c r="B467" s="756"/>
      <c r="C467" s="756"/>
      <c r="D467" s="756"/>
      <c r="E467" s="756"/>
      <c r="F467" s="756"/>
      <c r="G467" s="756"/>
      <c r="H467" s="756"/>
      <c r="I467" s="756"/>
      <c r="J467" s="756"/>
      <c r="K467" s="756"/>
      <c r="L467" s="756"/>
      <c r="M467" s="757"/>
    </row>
    <row r="468" spans="1:13" x14ac:dyDescent="0.2">
      <c r="A468" s="755" t="s">
        <v>844</v>
      </c>
      <c r="B468" s="756"/>
      <c r="C468" s="756"/>
      <c r="D468" s="756"/>
      <c r="E468" s="756"/>
      <c r="F468" s="756"/>
      <c r="G468" s="756"/>
      <c r="H468" s="756"/>
      <c r="I468" s="756"/>
      <c r="J468" s="756"/>
      <c r="K468" s="756"/>
      <c r="L468" s="756"/>
      <c r="M468" s="757"/>
    </row>
    <row r="469" spans="1:13" x14ac:dyDescent="0.2">
      <c r="A469" s="755" t="s">
        <v>1139</v>
      </c>
      <c r="B469" s="756"/>
      <c r="C469" s="756"/>
      <c r="D469" s="756"/>
      <c r="E469" s="756"/>
      <c r="F469" s="756"/>
      <c r="G469" s="756"/>
      <c r="H469" s="756"/>
      <c r="I469" s="756"/>
      <c r="J469" s="756"/>
      <c r="K469" s="756"/>
      <c r="L469" s="756"/>
      <c r="M469" s="757"/>
    </row>
    <row r="470" spans="1:13" x14ac:dyDescent="0.2">
      <c r="A470" s="377"/>
      <c r="B470" s="283"/>
      <c r="C470" s="283"/>
      <c r="D470" s="283"/>
      <c r="E470" s="283"/>
      <c r="F470" s="283"/>
      <c r="G470" s="283"/>
      <c r="H470" s="283"/>
      <c r="I470" s="283"/>
      <c r="J470" s="283"/>
      <c r="K470" s="283"/>
      <c r="M470" s="181"/>
    </row>
    <row r="471" spans="1:13" x14ac:dyDescent="0.2">
      <c r="A471" s="755" t="s">
        <v>989</v>
      </c>
      <c r="B471" s="756"/>
      <c r="C471" s="756"/>
      <c r="D471" s="756"/>
      <c r="E471" s="756"/>
      <c r="F471" s="756"/>
      <c r="G471" s="756"/>
      <c r="H471" s="756"/>
      <c r="I471" s="756"/>
      <c r="J471" s="756"/>
      <c r="K471" s="756"/>
      <c r="L471" s="756"/>
      <c r="M471" s="757"/>
    </row>
    <row r="472" spans="1:13" x14ac:dyDescent="0.2">
      <c r="A472" s="377"/>
      <c r="B472" s="283"/>
      <c r="C472" s="283"/>
      <c r="D472" s="283"/>
      <c r="E472" s="283"/>
      <c r="F472" s="283"/>
      <c r="G472" s="283"/>
      <c r="H472" s="283"/>
      <c r="I472" s="283"/>
      <c r="J472" s="283"/>
      <c r="K472" s="283"/>
      <c r="M472" s="181"/>
    </row>
    <row r="473" spans="1:13" x14ac:dyDescent="0.2">
      <c r="A473" s="755"/>
      <c r="B473" s="756"/>
      <c r="C473" s="756"/>
      <c r="D473" s="756"/>
      <c r="E473" s="756"/>
      <c r="F473" s="756"/>
      <c r="G473" s="756"/>
      <c r="H473" s="756"/>
      <c r="I473" s="756"/>
      <c r="J473" s="756"/>
      <c r="K473" s="756"/>
      <c r="L473" s="756"/>
      <c r="M473" s="757"/>
    </row>
    <row r="474" spans="1:13" x14ac:dyDescent="0.2">
      <c r="A474" s="743" t="s">
        <v>974</v>
      </c>
      <c r="B474" s="744"/>
      <c r="C474" s="744"/>
      <c r="D474" s="744"/>
      <c r="E474" s="744"/>
      <c r="F474" s="744"/>
      <c r="G474" s="744"/>
      <c r="H474" s="744"/>
      <c r="I474" s="744"/>
      <c r="J474" s="744"/>
      <c r="K474" s="744"/>
      <c r="L474" s="744"/>
      <c r="M474" s="745"/>
    </row>
    <row r="475" spans="1:13" x14ac:dyDescent="0.2">
      <c r="A475" s="417"/>
      <c r="H475" s="246"/>
      <c r="M475" s="181"/>
    </row>
    <row r="476" spans="1:13" x14ac:dyDescent="0.2">
      <c r="A476" s="417"/>
      <c r="H476" s="246"/>
      <c r="L476" s="147" t="s">
        <v>216</v>
      </c>
      <c r="M476" s="181"/>
    </row>
    <row r="477" spans="1:13" ht="24" x14ac:dyDescent="0.2">
      <c r="A477" s="458" t="s">
        <v>213</v>
      </c>
      <c r="B477" s="140" t="s">
        <v>214</v>
      </c>
      <c r="C477" s="140"/>
      <c r="D477" s="140"/>
      <c r="E477" s="140"/>
      <c r="F477" s="140"/>
      <c r="G477" s="140" t="s">
        <v>215</v>
      </c>
      <c r="H477" s="311"/>
      <c r="I477" s="149"/>
      <c r="J477" s="149"/>
      <c r="K477" s="149"/>
      <c r="L477" s="312" t="s">
        <v>512</v>
      </c>
      <c r="M477" s="181"/>
    </row>
    <row r="478" spans="1:13" x14ac:dyDescent="0.2">
      <c r="A478" s="437">
        <v>1</v>
      </c>
      <c r="B478" s="93" t="s">
        <v>74</v>
      </c>
      <c r="H478" s="246"/>
      <c r="M478" s="181"/>
    </row>
    <row r="479" spans="1:13" x14ac:dyDescent="0.2">
      <c r="A479" s="437"/>
      <c r="B479" s="148" t="s">
        <v>459</v>
      </c>
      <c r="G479" s="226">
        <v>10</v>
      </c>
      <c r="H479" s="148"/>
      <c r="M479" s="181"/>
    </row>
    <row r="480" spans="1:13" x14ac:dyDescent="0.2">
      <c r="A480" s="437"/>
      <c r="B480" s="148" t="s">
        <v>460</v>
      </c>
      <c r="G480" s="226">
        <v>20</v>
      </c>
      <c r="H480" s="246"/>
      <c r="L480" s="93">
        <f>(BASICS!E32/330*G479)+(BASICS!E33/330*G480)</f>
        <v>2.2764347826086953</v>
      </c>
      <c r="M480" s="181"/>
    </row>
    <row r="481" spans="1:13" x14ac:dyDescent="0.2">
      <c r="A481" s="437"/>
      <c r="G481" s="226"/>
      <c r="H481" s="246"/>
      <c r="M481" s="181"/>
    </row>
    <row r="482" spans="1:13" x14ac:dyDescent="0.2">
      <c r="A482" s="437">
        <v>2</v>
      </c>
      <c r="B482" s="93" t="s">
        <v>461</v>
      </c>
      <c r="C482" s="148"/>
      <c r="G482" s="226">
        <v>30</v>
      </c>
      <c r="H482" s="246"/>
      <c r="L482" s="93">
        <f>D535/330*G482</f>
        <v>0.2392173913043478</v>
      </c>
      <c r="M482" s="181"/>
    </row>
    <row r="483" spans="1:13" x14ac:dyDescent="0.2">
      <c r="A483" s="437"/>
      <c r="G483" s="226"/>
      <c r="H483" s="246"/>
      <c r="M483" s="181"/>
    </row>
    <row r="484" spans="1:13" x14ac:dyDescent="0.2">
      <c r="A484" s="437">
        <v>3</v>
      </c>
      <c r="B484" s="93" t="s">
        <v>217</v>
      </c>
      <c r="C484" s="148"/>
      <c r="G484" s="226">
        <v>60</v>
      </c>
      <c r="H484" s="246"/>
      <c r="L484" s="93">
        <f>D538/330*G484</f>
        <v>0.216</v>
      </c>
      <c r="M484" s="181"/>
    </row>
    <row r="485" spans="1:13" x14ac:dyDescent="0.2">
      <c r="A485" s="437"/>
      <c r="G485" s="226"/>
      <c r="H485" s="246"/>
      <c r="M485" s="181"/>
    </row>
    <row r="486" spans="1:13" x14ac:dyDescent="0.2">
      <c r="A486" s="437">
        <v>4</v>
      </c>
      <c r="B486" s="93" t="s">
        <v>0</v>
      </c>
      <c r="G486" s="226">
        <v>2</v>
      </c>
      <c r="H486" s="246"/>
      <c r="K486" s="93">
        <f ca="1">D551/330*0.75*2</f>
        <v>0.34318613172028783</v>
      </c>
      <c r="L486" s="93">
        <v>0.35</v>
      </c>
      <c r="M486" s="181"/>
    </row>
    <row r="487" spans="1:13" x14ac:dyDescent="0.2">
      <c r="A487" s="437"/>
      <c r="G487" s="226"/>
      <c r="H487" s="246"/>
      <c r="M487" s="181"/>
    </row>
    <row r="488" spans="1:13" x14ac:dyDescent="0.2">
      <c r="A488" s="437">
        <v>5</v>
      </c>
      <c r="B488" s="93" t="s">
        <v>701</v>
      </c>
      <c r="G488" s="226">
        <v>7</v>
      </c>
      <c r="H488" s="246"/>
      <c r="L488" s="93">
        <f ca="1">D550</f>
        <v>1.6015352813613433</v>
      </c>
      <c r="M488" s="181"/>
    </row>
    <row r="489" spans="1:13" x14ac:dyDescent="0.2">
      <c r="A489" s="437"/>
      <c r="G489" s="226"/>
      <c r="H489" s="246"/>
      <c r="M489" s="181"/>
    </row>
    <row r="490" spans="1:13" x14ac:dyDescent="0.2">
      <c r="A490" s="437">
        <v>6</v>
      </c>
      <c r="B490" s="93" t="s">
        <v>374</v>
      </c>
      <c r="G490" s="226">
        <v>15</v>
      </c>
      <c r="H490" s="246"/>
      <c r="L490" s="93">
        <f>D537/330*G490</f>
        <v>1.8643636363636366E-2</v>
      </c>
      <c r="M490" s="181"/>
    </row>
    <row r="491" spans="1:13" x14ac:dyDescent="0.2">
      <c r="A491" s="437"/>
      <c r="G491" s="226"/>
      <c r="H491" s="246"/>
      <c r="M491" s="181"/>
    </row>
    <row r="492" spans="1:13" x14ac:dyDescent="0.2">
      <c r="A492" s="437">
        <v>7</v>
      </c>
      <c r="B492" s="93" t="s">
        <v>218</v>
      </c>
      <c r="G492" s="226">
        <v>10</v>
      </c>
      <c r="H492" s="246"/>
      <c r="L492" s="245">
        <f>D530/365*G492</f>
        <v>2.4619502465753422</v>
      </c>
      <c r="M492" s="181"/>
    </row>
    <row r="493" spans="1:13" x14ac:dyDescent="0.2">
      <c r="A493" s="417"/>
      <c r="G493" s="226"/>
      <c r="H493" s="246"/>
      <c r="L493" s="97">
        <f ca="1">L492+L490+L488+L486+L484+L482+L480</f>
        <v>7.163781338213365</v>
      </c>
      <c r="M493" s="399"/>
    </row>
    <row r="494" spans="1:13" x14ac:dyDescent="0.2">
      <c r="A494" s="417"/>
      <c r="B494" s="93" t="s">
        <v>265</v>
      </c>
      <c r="G494" s="226">
        <v>20</v>
      </c>
      <c r="H494" s="246"/>
      <c r="L494" s="93">
        <v>3.9468826682549136</v>
      </c>
      <c r="M494" s="181"/>
    </row>
    <row r="495" spans="1:13" ht="12.75" thickBot="1" x14ac:dyDescent="0.25">
      <c r="A495" s="437"/>
      <c r="F495" s="97" t="s">
        <v>219</v>
      </c>
      <c r="H495" s="246"/>
      <c r="L495" s="462">
        <f ca="1">L493-L494</f>
        <v>3.2168986699584514</v>
      </c>
      <c r="M495" s="399"/>
    </row>
    <row r="496" spans="1:13" x14ac:dyDescent="0.2">
      <c r="A496" s="417"/>
      <c r="H496" s="246"/>
      <c r="M496" s="181"/>
    </row>
    <row r="497" spans="1:13" x14ac:dyDescent="0.2">
      <c r="A497" s="438" t="s">
        <v>262</v>
      </c>
      <c r="H497" s="246"/>
      <c r="K497" s="93">
        <f ca="1">((L480+L482+L484+L486+L488+L490-L494)*0.75)+(L492*0.6)</f>
        <v>2.0433814654825371</v>
      </c>
      <c r="L497" s="93">
        <v>2.0499999999999998</v>
      </c>
      <c r="M497" s="181"/>
    </row>
    <row r="498" spans="1:13" x14ac:dyDescent="0.2">
      <c r="A498" s="417"/>
      <c r="H498" s="246"/>
      <c r="M498" s="181"/>
    </row>
    <row r="499" spans="1:13" x14ac:dyDescent="0.2">
      <c r="A499" s="437" t="s">
        <v>264</v>
      </c>
      <c r="B499" s="93" t="s">
        <v>463</v>
      </c>
      <c r="D499" s="553">
        <v>0.56999999999999995</v>
      </c>
      <c r="H499" s="246"/>
      <c r="M499" s="181"/>
    </row>
    <row r="500" spans="1:13" x14ac:dyDescent="0.2">
      <c r="A500" s="437" t="s">
        <v>462</v>
      </c>
      <c r="B500" s="93" t="s">
        <v>464</v>
      </c>
      <c r="D500" s="553">
        <v>1.48</v>
      </c>
      <c r="H500" s="246"/>
      <c r="M500" s="181"/>
    </row>
    <row r="501" spans="1:13" ht="12.75" thickBot="1" x14ac:dyDescent="0.25">
      <c r="A501" s="417"/>
      <c r="F501" s="97" t="s">
        <v>220</v>
      </c>
      <c r="H501" s="246"/>
      <c r="L501" s="462">
        <v>2.0499999999999998</v>
      </c>
      <c r="M501" s="399"/>
    </row>
    <row r="502" spans="1:13" x14ac:dyDescent="0.2">
      <c r="A502" s="417"/>
      <c r="H502" s="246"/>
      <c r="M502" s="181"/>
    </row>
    <row r="503" spans="1:13" x14ac:dyDescent="0.2">
      <c r="A503" s="417"/>
      <c r="H503" s="246" t="s">
        <v>221</v>
      </c>
      <c r="L503" s="93">
        <v>2</v>
      </c>
      <c r="M503" s="181"/>
    </row>
    <row r="504" spans="1:13" x14ac:dyDescent="0.2">
      <c r="A504" s="417"/>
      <c r="H504" s="246"/>
      <c r="M504" s="181"/>
    </row>
    <row r="505" spans="1:13" x14ac:dyDescent="0.2">
      <c r="A505" s="438" t="s">
        <v>263</v>
      </c>
      <c r="H505" s="246"/>
      <c r="M505" s="181"/>
    </row>
    <row r="506" spans="1:13" x14ac:dyDescent="0.2">
      <c r="A506" s="417"/>
      <c r="F506" s="97" t="s">
        <v>219</v>
      </c>
      <c r="H506" s="246"/>
      <c r="L506" s="93">
        <f ca="1">L495</f>
        <v>3.2168986699584514</v>
      </c>
      <c r="M506" s="181"/>
    </row>
    <row r="507" spans="1:13" x14ac:dyDescent="0.2">
      <c r="A507" s="417"/>
      <c r="H507" s="246"/>
      <c r="M507" s="181"/>
    </row>
    <row r="508" spans="1:13" x14ac:dyDescent="0.2">
      <c r="A508" s="417"/>
      <c r="E508" s="97" t="s">
        <v>222</v>
      </c>
      <c r="F508" s="97" t="s">
        <v>211</v>
      </c>
      <c r="H508" s="246"/>
      <c r="L508" s="93">
        <f>L503</f>
        <v>2</v>
      </c>
      <c r="M508" s="181"/>
    </row>
    <row r="509" spans="1:13" x14ac:dyDescent="0.2">
      <c r="A509" s="417"/>
      <c r="H509" s="246"/>
      <c r="M509" s="181"/>
    </row>
    <row r="510" spans="1:13" x14ac:dyDescent="0.2">
      <c r="A510" s="417"/>
      <c r="F510" s="97" t="s">
        <v>490</v>
      </c>
      <c r="H510" s="246"/>
      <c r="L510" s="97">
        <f ca="1">L506-L508</f>
        <v>1.2168986699584514</v>
      </c>
      <c r="M510" s="181"/>
    </row>
    <row r="511" spans="1:13" x14ac:dyDescent="0.2">
      <c r="A511" s="430"/>
      <c r="B511" s="137"/>
      <c r="C511" s="138"/>
      <c r="H511" s="300"/>
      <c r="M511" s="181"/>
    </row>
    <row r="512" spans="1:13" x14ac:dyDescent="0.2">
      <c r="A512" s="430"/>
      <c r="B512" s="138"/>
      <c r="H512" s="246"/>
      <c r="M512" s="181"/>
    </row>
    <row r="513" spans="1:13" x14ac:dyDescent="0.2">
      <c r="A513" s="430"/>
      <c r="B513" s="138"/>
      <c r="H513" s="93"/>
    </row>
    <row r="514" spans="1:13" x14ac:dyDescent="0.2">
      <c r="A514" s="430"/>
      <c r="B514" s="138"/>
      <c r="H514" s="93"/>
    </row>
    <row r="515" spans="1:13" x14ac:dyDescent="0.2">
      <c r="A515" s="430"/>
      <c r="B515" s="138"/>
      <c r="H515" s="93"/>
    </row>
    <row r="516" spans="1:13" x14ac:dyDescent="0.2">
      <c r="A516" s="430"/>
      <c r="B516" s="138"/>
      <c r="H516" s="93"/>
    </row>
    <row r="517" spans="1:13" x14ac:dyDescent="0.2">
      <c r="A517" s="431"/>
      <c r="B517" s="390"/>
      <c r="C517" s="245"/>
      <c r="D517" s="245"/>
      <c r="E517" s="245"/>
      <c r="F517" s="245"/>
      <c r="G517" s="245"/>
      <c r="H517" s="422"/>
      <c r="I517" s="245"/>
      <c r="J517" s="245"/>
      <c r="K517" s="245"/>
      <c r="L517" s="245"/>
      <c r="M517" s="183"/>
    </row>
    <row r="518" spans="1:13" x14ac:dyDescent="0.2">
      <c r="A518" s="752" t="s">
        <v>843</v>
      </c>
      <c r="B518" s="753"/>
      <c r="C518" s="753"/>
      <c r="D518" s="753"/>
      <c r="E518" s="753"/>
      <c r="F518" s="753"/>
      <c r="G518" s="753"/>
      <c r="H518" s="753"/>
      <c r="I518" s="753"/>
      <c r="J518" s="753"/>
      <c r="K518" s="753"/>
      <c r="L518" s="753"/>
      <c r="M518" s="754"/>
    </row>
    <row r="519" spans="1:13" x14ac:dyDescent="0.2">
      <c r="A519" s="755" t="s">
        <v>845</v>
      </c>
      <c r="B519" s="756"/>
      <c r="C519" s="756"/>
      <c r="D519" s="756"/>
      <c r="E519" s="756"/>
      <c r="F519" s="756"/>
      <c r="G519" s="756"/>
      <c r="H519" s="756"/>
      <c r="I519" s="756"/>
      <c r="J519" s="756"/>
      <c r="K519" s="756"/>
      <c r="L519" s="756"/>
      <c r="M519" s="757"/>
    </row>
    <row r="520" spans="1:13" x14ac:dyDescent="0.2">
      <c r="A520" s="755" t="s">
        <v>844</v>
      </c>
      <c r="B520" s="756"/>
      <c r="C520" s="756"/>
      <c r="D520" s="756"/>
      <c r="E520" s="756"/>
      <c r="F520" s="756"/>
      <c r="G520" s="756"/>
      <c r="H520" s="756"/>
      <c r="I520" s="756"/>
      <c r="J520" s="756"/>
      <c r="K520" s="756"/>
      <c r="L520" s="756"/>
      <c r="M520" s="757"/>
    </row>
    <row r="521" spans="1:13" x14ac:dyDescent="0.2">
      <c r="A521" s="755" t="s">
        <v>1139</v>
      </c>
      <c r="B521" s="756"/>
      <c r="C521" s="756"/>
      <c r="D521" s="756"/>
      <c r="E521" s="756"/>
      <c r="F521" s="756"/>
      <c r="G521" s="756"/>
      <c r="H521" s="756"/>
      <c r="I521" s="756"/>
      <c r="J521" s="756"/>
      <c r="K521" s="756"/>
      <c r="L521" s="756"/>
      <c r="M521" s="757"/>
    </row>
    <row r="522" spans="1:13" x14ac:dyDescent="0.2">
      <c r="A522" s="377"/>
      <c r="B522" s="283"/>
      <c r="C522" s="283"/>
      <c r="D522" s="283"/>
      <c r="E522" s="283"/>
      <c r="F522" s="283"/>
      <c r="G522" s="283"/>
      <c r="H522" s="283"/>
      <c r="I522" s="283"/>
      <c r="J522" s="283"/>
      <c r="K522" s="283"/>
      <c r="L522" s="283"/>
      <c r="M522" s="465"/>
    </row>
    <row r="523" spans="1:13" x14ac:dyDescent="0.2">
      <c r="A523" s="755" t="s">
        <v>990</v>
      </c>
      <c r="B523" s="756"/>
      <c r="C523" s="756"/>
      <c r="D523" s="756"/>
      <c r="E523" s="756"/>
      <c r="F523" s="756"/>
      <c r="G523" s="756"/>
      <c r="H523" s="756"/>
      <c r="I523" s="756"/>
      <c r="J523" s="756"/>
      <c r="K523" s="756"/>
      <c r="L523" s="756"/>
      <c r="M523" s="757"/>
    </row>
    <row r="524" spans="1:13" x14ac:dyDescent="0.2">
      <c r="A524" s="438"/>
      <c r="B524" s="463" t="s">
        <v>443</v>
      </c>
      <c r="C524" s="370"/>
      <c r="D524" s="464">
        <v>2024</v>
      </c>
      <c r="E524" s="464">
        <v>2025</v>
      </c>
      <c r="F524" s="464">
        <v>2026</v>
      </c>
      <c r="G524" s="464">
        <v>2027</v>
      </c>
      <c r="H524" s="464">
        <v>2028</v>
      </c>
      <c r="I524" s="464">
        <v>2029</v>
      </c>
      <c r="J524" s="464">
        <v>2030</v>
      </c>
      <c r="K524" s="464">
        <v>2031</v>
      </c>
      <c r="L524" s="464">
        <v>2032</v>
      </c>
      <c r="M524" s="464"/>
    </row>
    <row r="525" spans="1:13" x14ac:dyDescent="0.2">
      <c r="A525" s="417"/>
      <c r="B525" s="148" t="s">
        <v>481</v>
      </c>
      <c r="D525" s="168">
        <f>BASICS!$H$17</f>
        <v>39600</v>
      </c>
      <c r="E525" s="168">
        <f>BASICS!$H$17</f>
        <v>39600</v>
      </c>
      <c r="F525" s="168">
        <f>BASICS!$H$17</f>
        <v>39600</v>
      </c>
      <c r="G525" s="168">
        <f>BASICS!$H$17</f>
        <v>39600</v>
      </c>
      <c r="H525" s="168">
        <f>BASICS!$H$17</f>
        <v>39600</v>
      </c>
      <c r="I525" s="168">
        <f>BASICS!$H$17</f>
        <v>39600</v>
      </c>
      <c r="J525" s="168">
        <f>BASICS!$H$17</f>
        <v>39600</v>
      </c>
      <c r="K525" s="168">
        <f>BASICS!$H$17</f>
        <v>39600</v>
      </c>
      <c r="L525" s="168">
        <f>BASICS!$H$17</f>
        <v>39600</v>
      </c>
      <c r="M525" s="398"/>
    </row>
    <row r="526" spans="1:13" x14ac:dyDescent="0.2">
      <c r="A526" s="417"/>
      <c r="B526" s="148" t="s">
        <v>482</v>
      </c>
      <c r="D526" s="236">
        <f>BASICS!E31</f>
        <v>0.6</v>
      </c>
      <c r="E526" s="236">
        <f>BASICS!F31</f>
        <v>0.65</v>
      </c>
      <c r="F526" s="236">
        <f>BASICS!G31</f>
        <v>0.70000000000000007</v>
      </c>
      <c r="G526" s="236">
        <f>BASICS!H31</f>
        <v>0.75000000000000011</v>
      </c>
      <c r="H526" s="236">
        <f>BASICS!I31</f>
        <v>0.80000000000000016</v>
      </c>
      <c r="I526" s="236">
        <f>BASICS!J31</f>
        <v>0.8500000000000002</v>
      </c>
      <c r="J526" s="236">
        <f>BASICS!K31</f>
        <v>0.90000000000000024</v>
      </c>
      <c r="K526" s="236">
        <f>BASICS!L31</f>
        <v>0.95000000000000029</v>
      </c>
      <c r="L526" s="236">
        <f>BASICS!M31</f>
        <v>1.0000000000000002</v>
      </c>
      <c r="M526" s="397"/>
    </row>
    <row r="527" spans="1:13" x14ac:dyDescent="0.2">
      <c r="A527" s="417"/>
      <c r="B527" s="148" t="s">
        <v>483</v>
      </c>
      <c r="D527" s="168">
        <f>D525*D526</f>
        <v>23760</v>
      </c>
      <c r="E527" s="168">
        <f t="shared" ref="E527:L527" si="0">E525*E526</f>
        <v>25740</v>
      </c>
      <c r="F527" s="168">
        <f t="shared" si="0"/>
        <v>27720.000000000004</v>
      </c>
      <c r="G527" s="168">
        <f t="shared" si="0"/>
        <v>29700.000000000004</v>
      </c>
      <c r="H527" s="168">
        <f t="shared" si="0"/>
        <v>31680.000000000007</v>
      </c>
      <c r="I527" s="168">
        <f t="shared" si="0"/>
        <v>33660.000000000007</v>
      </c>
      <c r="J527" s="168">
        <f t="shared" si="0"/>
        <v>35640.000000000007</v>
      </c>
      <c r="K527" s="168">
        <f t="shared" si="0"/>
        <v>37620.000000000015</v>
      </c>
      <c r="L527" s="168">
        <f t="shared" si="0"/>
        <v>39600.000000000007</v>
      </c>
      <c r="M527" s="398"/>
    </row>
    <row r="528" spans="1:13" x14ac:dyDescent="0.2">
      <c r="A528" s="417"/>
      <c r="B528" s="148" t="s">
        <v>484</v>
      </c>
      <c r="D528" s="168">
        <f>BASICS!E224</f>
        <v>23256</v>
      </c>
      <c r="E528" s="168">
        <f>BASICS!F224</f>
        <v>25698</v>
      </c>
      <c r="F528" s="168">
        <f>BASICS!G224</f>
        <v>27678.000000000004</v>
      </c>
      <c r="G528" s="168">
        <f>BASICS!H224</f>
        <v>29658.000000000004</v>
      </c>
      <c r="H528" s="168">
        <f>BASICS!I224</f>
        <v>31638.000000000007</v>
      </c>
      <c r="I528" s="168">
        <f>BASICS!J224</f>
        <v>33618.000000000007</v>
      </c>
      <c r="J528" s="168">
        <f>BASICS!K224</f>
        <v>35598.000000000007</v>
      </c>
      <c r="K528" s="168">
        <f>BASICS!L224</f>
        <v>37578.000000000015</v>
      </c>
      <c r="L528" s="168">
        <f>BASICS!M224</f>
        <v>39558.000000000007</v>
      </c>
      <c r="M528" s="398"/>
    </row>
    <row r="529" spans="1:13" x14ac:dyDescent="0.2">
      <c r="A529" s="417"/>
      <c r="D529" s="686"/>
      <c r="E529" s="686"/>
      <c r="F529" s="686"/>
      <c r="G529" s="686"/>
      <c r="H529" s="686"/>
      <c r="I529" s="686"/>
      <c r="J529" s="686"/>
      <c r="K529" s="686"/>
      <c r="L529" s="686"/>
      <c r="M529" s="181"/>
    </row>
    <row r="530" spans="1:13" x14ac:dyDescent="0.2">
      <c r="A530" s="419" t="s">
        <v>446</v>
      </c>
      <c r="B530" s="148" t="s">
        <v>855</v>
      </c>
      <c r="D530" s="93">
        <f>BASICS!E227</f>
        <v>89.861183999999994</v>
      </c>
      <c r="E530" s="93">
        <f>BASICS!F227</f>
        <v>99.297072</v>
      </c>
      <c r="F530" s="93">
        <f>BASICS!G227</f>
        <v>106.94779200000001</v>
      </c>
      <c r="G530" s="93">
        <f>BASICS!H227</f>
        <v>114.59851200000001</v>
      </c>
      <c r="H530" s="93">
        <f>BASICS!I227</f>
        <v>122.24923200000003</v>
      </c>
      <c r="I530" s="93">
        <f>BASICS!J227</f>
        <v>129.89995200000001</v>
      </c>
      <c r="J530" s="93">
        <f>BASICS!K227</f>
        <v>137.55067200000002</v>
      </c>
      <c r="K530" s="93">
        <f>BASICS!L227</f>
        <v>145.20139200000006</v>
      </c>
      <c r="L530" s="93">
        <f>BASICS!M227</f>
        <v>152.85211200000003</v>
      </c>
      <c r="M530" s="181"/>
    </row>
    <row r="531" spans="1:13" x14ac:dyDescent="0.2">
      <c r="A531" s="419" t="s">
        <v>447</v>
      </c>
      <c r="B531" s="148" t="s">
        <v>954</v>
      </c>
      <c r="D531" s="93">
        <f>BASICS!E226</f>
        <v>9.6279839999999997</v>
      </c>
      <c r="E531" s="93">
        <f>BASICS!F226</f>
        <v>10.638972000000001</v>
      </c>
      <c r="F531" s="93">
        <f>BASICS!G226</f>
        <v>11.458692000000001</v>
      </c>
      <c r="G531" s="93">
        <f>BASICS!H226</f>
        <v>12.278412000000001</v>
      </c>
      <c r="H531" s="93">
        <f>BASICS!I226</f>
        <v>13.098132000000003</v>
      </c>
      <c r="I531" s="93">
        <f>BASICS!J226</f>
        <v>13.917852000000002</v>
      </c>
      <c r="J531" s="93">
        <f>BASICS!K226</f>
        <v>14.737572000000002</v>
      </c>
      <c r="K531" s="93">
        <f>BASICS!L226</f>
        <v>15.557292000000004</v>
      </c>
      <c r="L531" s="93">
        <f>BASICS!M226</f>
        <v>16.377012000000004</v>
      </c>
      <c r="M531" s="181"/>
    </row>
    <row r="532" spans="1:13" x14ac:dyDescent="0.2">
      <c r="A532" s="419" t="s">
        <v>448</v>
      </c>
      <c r="B532" s="142" t="s">
        <v>486</v>
      </c>
      <c r="D532" s="97">
        <f>D530-D531</f>
        <v>80.233199999999997</v>
      </c>
      <c r="E532" s="97">
        <f t="shared" ref="E532:L532" si="1">E530-E531</f>
        <v>88.658100000000005</v>
      </c>
      <c r="F532" s="97">
        <f t="shared" si="1"/>
        <v>95.489100000000008</v>
      </c>
      <c r="G532" s="97">
        <f t="shared" si="1"/>
        <v>102.32010000000001</v>
      </c>
      <c r="H532" s="97">
        <f t="shared" si="1"/>
        <v>109.15110000000003</v>
      </c>
      <c r="I532" s="97">
        <f t="shared" si="1"/>
        <v>115.98210000000002</v>
      </c>
      <c r="J532" s="97">
        <f t="shared" si="1"/>
        <v>122.81310000000002</v>
      </c>
      <c r="K532" s="97">
        <f t="shared" si="1"/>
        <v>129.64410000000004</v>
      </c>
      <c r="L532" s="97">
        <f t="shared" si="1"/>
        <v>136.47510000000003</v>
      </c>
      <c r="M532" s="399"/>
    </row>
    <row r="533" spans="1:13" x14ac:dyDescent="0.2">
      <c r="A533" s="419" t="s">
        <v>449</v>
      </c>
      <c r="B533" s="142" t="s">
        <v>487</v>
      </c>
      <c r="D533" s="93">
        <f ca="1">D532+D550+D546</f>
        <v>82.184735281361327</v>
      </c>
      <c r="E533" s="93">
        <f ca="1">E532+E546-E544+E550-E548</f>
        <v>88.848127090932167</v>
      </c>
      <c r="F533" s="93">
        <f t="shared" ref="F533:L533" ca="1" si="2">F532+F546-F544+F550-F548</f>
        <v>95.633994484887154</v>
      </c>
      <c r="G533" s="93">
        <f t="shared" ca="1" si="2"/>
        <v>102.47494075880545</v>
      </c>
      <c r="H533" s="93">
        <f t="shared" ca="1" si="2"/>
        <v>109.30710467159624</v>
      </c>
      <c r="I533" s="93">
        <f t="shared" ca="1" si="2"/>
        <v>116.13897212887099</v>
      </c>
      <c r="J533" s="93">
        <f t="shared" ca="1" si="2"/>
        <v>122.96094453247539</v>
      </c>
      <c r="K533" s="93">
        <f t="shared" ca="1" si="2"/>
        <v>129.80221447603438</v>
      </c>
      <c r="L533" s="93">
        <f t="shared" ca="1" si="2"/>
        <v>136.63402462556718</v>
      </c>
      <c r="M533" s="181"/>
    </row>
    <row r="534" spans="1:13" x14ac:dyDescent="0.2">
      <c r="A534" s="419" t="s">
        <v>914</v>
      </c>
      <c r="B534" s="148" t="s">
        <v>74</v>
      </c>
      <c r="D534" s="93">
        <f>BASICS!E34</f>
        <v>65.05017391304348</v>
      </c>
      <c r="E534" s="93">
        <f>BASICS!F34</f>
        <v>70.471021739130435</v>
      </c>
      <c r="F534" s="93">
        <f>BASICS!G34</f>
        <v>75.891869565217405</v>
      </c>
      <c r="G534" s="93">
        <f>BASICS!H34</f>
        <v>81.312717391304361</v>
      </c>
      <c r="H534" s="93">
        <f>BASICS!I34</f>
        <v>86.73356521739133</v>
      </c>
      <c r="I534" s="93">
        <f>BASICS!J34</f>
        <v>92.154413043478272</v>
      </c>
      <c r="J534" s="93">
        <f>BASICS!K34</f>
        <v>97.575260869565241</v>
      </c>
      <c r="K534" s="93">
        <f>BASICS!L34</f>
        <v>102.9961086956522</v>
      </c>
      <c r="L534" s="93">
        <f>BASICS!M34</f>
        <v>108.41695652173915</v>
      </c>
      <c r="M534" s="181"/>
    </row>
    <row r="535" spans="1:13" x14ac:dyDescent="0.2">
      <c r="A535" s="419" t="s">
        <v>915</v>
      </c>
      <c r="B535" s="148" t="s">
        <v>461</v>
      </c>
      <c r="D535" s="93">
        <f>BASICS!$J$48*'PROJECT RK'!D526</f>
        <v>2.6313913043478259</v>
      </c>
      <c r="E535" s="93">
        <f>BASICS!$J$48*'PROJECT RK'!E526</f>
        <v>2.8506739130434782</v>
      </c>
      <c r="F535" s="93">
        <f>BASICS!$J$48*'PROJECT RK'!F526</f>
        <v>3.0699565217391305</v>
      </c>
      <c r="G535" s="93">
        <f>BASICS!$J$48*'PROJECT RK'!G526</f>
        <v>3.2892391304347832</v>
      </c>
      <c r="H535" s="93">
        <f>BASICS!$J$48*'PROJECT RK'!H526</f>
        <v>3.5085217391304355</v>
      </c>
      <c r="I535" s="93">
        <f>BASICS!$J$48*'PROJECT RK'!I526</f>
        <v>3.7278043478260878</v>
      </c>
      <c r="J535" s="93">
        <f>BASICS!$J$48*'PROJECT RK'!J526</f>
        <v>3.9470869565217401</v>
      </c>
      <c r="K535" s="93">
        <f>BASICS!$J$48*'PROJECT RK'!K526</f>
        <v>4.1663695652173924</v>
      </c>
      <c r="L535" s="93">
        <f>BASICS!$J$48*'PROJECT RK'!L526</f>
        <v>4.3856521739130443</v>
      </c>
      <c r="M535" s="181"/>
    </row>
    <row r="536" spans="1:13" x14ac:dyDescent="0.2">
      <c r="A536" s="419" t="s">
        <v>916</v>
      </c>
      <c r="B536" s="148" t="s">
        <v>904</v>
      </c>
      <c r="D536" s="93">
        <f>BASICS!$J$76*D526</f>
        <v>4.2977087999999997</v>
      </c>
      <c r="E536" s="93">
        <f>BASICS!$J$76*E526</f>
        <v>4.6558512000000007</v>
      </c>
      <c r="F536" s="93">
        <f>BASICS!$J$76*F526</f>
        <v>5.0139936000000009</v>
      </c>
      <c r="G536" s="93">
        <f>BASICS!$J$76*G526</f>
        <v>5.3721360000000011</v>
      </c>
      <c r="H536" s="93">
        <f>BASICS!$J$76*H526</f>
        <v>5.7302784000000013</v>
      </c>
      <c r="I536" s="93">
        <f>BASICS!$J$76*I526</f>
        <v>6.0884208000000015</v>
      </c>
      <c r="J536" s="93">
        <f>BASICS!$J$76*J526</f>
        <v>6.4465632000000017</v>
      </c>
      <c r="K536" s="93">
        <f>BASICS!$J$76*K526</f>
        <v>6.8047056000000028</v>
      </c>
      <c r="L536" s="93">
        <f>BASICS!$J$76*L526</f>
        <v>7.1628480000000021</v>
      </c>
      <c r="M536" s="181"/>
    </row>
    <row r="537" spans="1:13" x14ac:dyDescent="0.2">
      <c r="A537" s="419" t="s">
        <v>917</v>
      </c>
      <c r="B537" s="148" t="s">
        <v>244</v>
      </c>
      <c r="D537" s="93">
        <f>BASICS!$J$87*'PROJECT RK'!D526</f>
        <v>0.41016000000000002</v>
      </c>
      <c r="E537" s="93">
        <f>BASICS!$J$87*'PROJECT RK'!E526</f>
        <v>0.44434000000000007</v>
      </c>
      <c r="F537" s="93">
        <f>BASICS!$J$87*'PROJECT RK'!F526</f>
        <v>0.47852000000000011</v>
      </c>
      <c r="G537" s="93">
        <f>BASICS!$J$87*'PROJECT RK'!G526</f>
        <v>0.51270000000000016</v>
      </c>
      <c r="H537" s="93">
        <f>BASICS!$J$87*'PROJECT RK'!H526</f>
        <v>0.54688000000000014</v>
      </c>
      <c r="I537" s="93">
        <f>BASICS!$J$87*'PROJECT RK'!I526</f>
        <v>0.58106000000000024</v>
      </c>
      <c r="J537" s="93">
        <f>BASICS!$J$87*'PROJECT RK'!J526</f>
        <v>0.61524000000000023</v>
      </c>
      <c r="K537" s="93">
        <f>BASICS!$J$87*'PROJECT RK'!K526</f>
        <v>0.64942000000000033</v>
      </c>
      <c r="L537" s="93">
        <f>BASICS!$J$87*'PROJECT RK'!L526</f>
        <v>0.68360000000000021</v>
      </c>
      <c r="M537" s="181"/>
    </row>
    <row r="538" spans="1:13" x14ac:dyDescent="0.2">
      <c r="A538" s="419" t="s">
        <v>918</v>
      </c>
      <c r="B538" s="148" t="s">
        <v>416</v>
      </c>
      <c r="D538" s="93">
        <f>D526*BASICS!$J$62</f>
        <v>1.1879999999999999</v>
      </c>
      <c r="E538" s="93">
        <f>E526*BASICS!$J$62</f>
        <v>1.2869999999999999</v>
      </c>
      <c r="F538" s="93">
        <f>F526*BASICS!$J$62</f>
        <v>1.3860000000000001</v>
      </c>
      <c r="G538" s="93">
        <f>G526*BASICS!$J$62</f>
        <v>1.4850000000000001</v>
      </c>
      <c r="H538" s="93">
        <f>H526*BASICS!$J$62</f>
        <v>1.5840000000000003</v>
      </c>
      <c r="I538" s="93">
        <f>I526*BASICS!$J$62</f>
        <v>1.6830000000000003</v>
      </c>
      <c r="J538" s="93">
        <f>J526*BASICS!$J$62</f>
        <v>1.7820000000000005</v>
      </c>
      <c r="K538" s="93">
        <f>K526*BASICS!$J$62</f>
        <v>1.8810000000000004</v>
      </c>
      <c r="L538" s="93">
        <f>L526*BASICS!$J$62</f>
        <v>1.9800000000000004</v>
      </c>
      <c r="M538" s="181"/>
    </row>
    <row r="539" spans="1:13" x14ac:dyDescent="0.2">
      <c r="A539" s="419" t="s">
        <v>919</v>
      </c>
      <c r="B539" s="148" t="s">
        <v>568</v>
      </c>
      <c r="D539" s="93">
        <v>0.18170967111780004</v>
      </c>
      <c r="E539" s="93">
        <v>0.19988063822958005</v>
      </c>
      <c r="F539" s="93">
        <v>0.21986870205253806</v>
      </c>
      <c r="G539" s="93">
        <v>0.24185557225779186</v>
      </c>
      <c r="H539" s="93">
        <v>0.26604112948357106</v>
      </c>
      <c r="I539" s="93">
        <v>0.29264524243192819</v>
      </c>
      <c r="J539" s="93">
        <v>0.321909766675121</v>
      </c>
      <c r="K539" s="93">
        <v>0.35410074334263308</v>
      </c>
      <c r="L539" s="93">
        <v>0.38951081767689638</v>
      </c>
      <c r="M539" s="181"/>
    </row>
    <row r="540" spans="1:13" x14ac:dyDescent="0.2">
      <c r="A540" s="419" t="s">
        <v>920</v>
      </c>
      <c r="B540" s="148" t="s">
        <v>367</v>
      </c>
      <c r="D540" s="93">
        <f>D593*BASICS!$F$163</f>
        <v>0.15035252835266702</v>
      </c>
      <c r="E540" s="93">
        <f>D595*BASICS!$F$163</f>
        <v>0.12955511803044528</v>
      </c>
      <c r="F540" s="93">
        <f>E595*BASICS!$F$163</f>
        <v>0.11164295992222048</v>
      </c>
      <c r="G540" s="93">
        <f>F595*BASICS!$F$163</f>
        <v>9.6214827970827407E-2</v>
      </c>
      <c r="H540" s="93">
        <f>G595*BASICS!$F$163</f>
        <v>8.2925407203043131E-2</v>
      </c>
      <c r="I540" s="93">
        <f>H595*BASICS!$F$163</f>
        <v>7.1477486849434016E-2</v>
      </c>
      <c r="J540" s="93">
        <f>I595*BASICS!$F$163</f>
        <v>6.1615245850473899E-2</v>
      </c>
      <c r="K540" s="93">
        <f>J595*BASICS!$F$163</f>
        <v>5.3118477528489652E-2</v>
      </c>
      <c r="L540" s="93">
        <f>K595*BASICS!$F$163</f>
        <v>4.5797621757355092E-2</v>
      </c>
      <c r="M540" s="181"/>
    </row>
    <row r="541" spans="1:13" x14ac:dyDescent="0.2">
      <c r="A541" s="419" t="s">
        <v>921</v>
      </c>
      <c r="B541" s="148" t="s">
        <v>905</v>
      </c>
      <c r="D541" s="93">
        <f>BASICS!I125</f>
        <v>0.77</v>
      </c>
      <c r="E541" s="93">
        <f>D541*(1+BASICS!$H$147)</f>
        <v>0.80850000000000011</v>
      </c>
      <c r="F541" s="93">
        <f>E541*(1+BASICS!$H$147)</f>
        <v>0.84892500000000015</v>
      </c>
      <c r="G541" s="93">
        <f>F541*(1+BASICS!$H$147)</f>
        <v>0.89137125000000017</v>
      </c>
      <c r="H541" s="93">
        <f>G541*(1+BASICS!$H$147)</f>
        <v>0.93593981250000025</v>
      </c>
      <c r="I541" s="93">
        <f>H541*(1+BASICS!$H$147)</f>
        <v>0.98273680312500034</v>
      </c>
      <c r="J541" s="93">
        <f>I541*(1+BASICS!$H$147)</f>
        <v>1.0318736432812503</v>
      </c>
      <c r="K541" s="93">
        <f>J541*(1+BASICS!$H$147)</f>
        <v>1.0834673254453129</v>
      </c>
      <c r="L541" s="93">
        <f>K541*(1+BASICS!$H$147)</f>
        <v>1.1376406917175785</v>
      </c>
    </row>
    <row r="542" spans="1:13" x14ac:dyDescent="0.2">
      <c r="A542" s="419" t="s">
        <v>922</v>
      </c>
      <c r="B542" s="148" t="s">
        <v>528</v>
      </c>
      <c r="D542" s="93">
        <f>BASICS!E193</f>
        <v>2.7729880429628957</v>
      </c>
      <c r="E542" s="93">
        <f>BASICS!F193</f>
        <v>2.3882877477633078</v>
      </c>
      <c r="F542" s="93">
        <f>BASICS!G193</f>
        <v>2.0570842601857433</v>
      </c>
      <c r="G542" s="93">
        <f>BASICS!H193</f>
        <v>1.7719227690379042</v>
      </c>
      <c r="H542" s="93">
        <f>BASICS!I193</f>
        <v>1.5263893804812168</v>
      </c>
      <c r="I542" s="93">
        <f>BASICS!J193</f>
        <v>1.3149654665280146</v>
      </c>
      <c r="J542" s="93">
        <f>BASICS!K193</f>
        <v>1.1329024429312327</v>
      </c>
      <c r="K542" s="93">
        <f>BASICS!L193</f>
        <v>0.97611410281794175</v>
      </c>
      <c r="L542" s="93">
        <f>BASICS!M193</f>
        <v>0.8410840380404454</v>
      </c>
      <c r="M542" s="181"/>
    </row>
    <row r="543" spans="1:13" x14ac:dyDescent="0.2">
      <c r="A543" s="420" t="s">
        <v>441</v>
      </c>
      <c r="B543" s="142" t="s">
        <v>923</v>
      </c>
      <c r="D543" s="97">
        <f>SUM(D534:D542)</f>
        <v>77.452484259824672</v>
      </c>
      <c r="E543" s="97">
        <f t="shared" ref="E543:L543" si="3">SUM(E534:E542)</f>
        <v>83.235110356197254</v>
      </c>
      <c r="F543" s="97">
        <f t="shared" si="3"/>
        <v>89.077860609117039</v>
      </c>
      <c r="G543" s="97">
        <f t="shared" si="3"/>
        <v>94.973156941005655</v>
      </c>
      <c r="H543" s="97">
        <f t="shared" si="3"/>
        <v>100.9145410861896</v>
      </c>
      <c r="I543" s="97">
        <f t="shared" si="3"/>
        <v>106.89652319023875</v>
      </c>
      <c r="J543" s="97">
        <f t="shared" si="3"/>
        <v>112.91445212482506</v>
      </c>
      <c r="K543" s="97">
        <f t="shared" si="3"/>
        <v>118.96440451000397</v>
      </c>
      <c r="L543" s="97">
        <f t="shared" si="3"/>
        <v>125.04308986484448</v>
      </c>
      <c r="M543" s="399"/>
    </row>
    <row r="544" spans="1:13" x14ac:dyDescent="0.2">
      <c r="A544" s="419" t="s">
        <v>924</v>
      </c>
      <c r="B544" s="148" t="s">
        <v>926</v>
      </c>
      <c r="D544" s="93">
        <v>0</v>
      </c>
      <c r="E544" s="93">
        <f ca="1">D546</f>
        <v>0.35</v>
      </c>
      <c r="F544" s="93">
        <f t="shared" ref="F544:L544" ca="1" si="4">E546</f>
        <v>0.38</v>
      </c>
      <c r="G544" s="93">
        <f t="shared" ca="1" si="4"/>
        <v>0.4</v>
      </c>
      <c r="H544" s="93">
        <f t="shared" ca="1" si="4"/>
        <v>0.43</v>
      </c>
      <c r="I544" s="93">
        <f t="shared" ca="1" si="4"/>
        <v>0.46</v>
      </c>
      <c r="J544" s="93">
        <f t="shared" ca="1" si="4"/>
        <v>0.49</v>
      </c>
      <c r="K544" s="93">
        <f t="shared" ca="1" si="4"/>
        <v>0.51</v>
      </c>
      <c r="L544" s="93">
        <f t="shared" ca="1" si="4"/>
        <v>0.54</v>
      </c>
      <c r="M544" s="181"/>
    </row>
    <row r="545" spans="1:13" x14ac:dyDescent="0.2">
      <c r="A545" s="419"/>
      <c r="B545" s="142" t="s">
        <v>488</v>
      </c>
      <c r="D545" s="97">
        <f>D543+D544</f>
        <v>77.452484259824672</v>
      </c>
      <c r="E545" s="97">
        <f t="shared" ref="E545:L545" ca="1" si="5">E543+E544</f>
        <v>83.585110356197248</v>
      </c>
      <c r="F545" s="97">
        <f t="shared" ca="1" si="5"/>
        <v>89.457860609117034</v>
      </c>
      <c r="G545" s="97">
        <f t="shared" ca="1" si="5"/>
        <v>95.373156941005661</v>
      </c>
      <c r="H545" s="97">
        <f t="shared" ca="1" si="5"/>
        <v>101.34454108618961</v>
      </c>
      <c r="I545" s="97">
        <f t="shared" ca="1" si="5"/>
        <v>107.35652319023875</v>
      </c>
      <c r="J545" s="97">
        <f t="shared" ca="1" si="5"/>
        <v>113.40445212482506</v>
      </c>
      <c r="K545" s="97">
        <f t="shared" ca="1" si="5"/>
        <v>119.47440451000398</v>
      </c>
      <c r="L545" s="97">
        <f t="shared" ca="1" si="5"/>
        <v>125.58308986484448</v>
      </c>
      <c r="M545" s="399"/>
    </row>
    <row r="546" spans="1:13" x14ac:dyDescent="0.2">
      <c r="A546" s="419" t="s">
        <v>925</v>
      </c>
      <c r="B546" s="148" t="s">
        <v>927</v>
      </c>
      <c r="D546" s="93">
        <f ca="1">D603</f>
        <v>0.35</v>
      </c>
      <c r="E546" s="93">
        <f t="shared" ref="E546:L546" ca="1" si="6">E603</f>
        <v>0.38</v>
      </c>
      <c r="F546" s="93">
        <f t="shared" ca="1" si="6"/>
        <v>0.4</v>
      </c>
      <c r="G546" s="93">
        <f t="shared" ca="1" si="6"/>
        <v>0.43</v>
      </c>
      <c r="H546" s="93">
        <f t="shared" ca="1" si="6"/>
        <v>0.46</v>
      </c>
      <c r="I546" s="93">
        <f t="shared" ca="1" si="6"/>
        <v>0.49</v>
      </c>
      <c r="J546" s="93">
        <f t="shared" ca="1" si="6"/>
        <v>0.51</v>
      </c>
      <c r="K546" s="93">
        <f t="shared" ca="1" si="6"/>
        <v>0.54</v>
      </c>
      <c r="L546" s="93">
        <f t="shared" ca="1" si="6"/>
        <v>0.56999999999999995</v>
      </c>
      <c r="M546" s="181"/>
    </row>
    <row r="547" spans="1:13" x14ac:dyDescent="0.2">
      <c r="A547" s="419"/>
      <c r="B547" s="142" t="s">
        <v>488</v>
      </c>
      <c r="D547" s="97">
        <f ca="1">D545-D546</f>
        <v>77.102484259824678</v>
      </c>
      <c r="E547" s="97">
        <f t="shared" ref="E547:L547" ca="1" si="7">E545-E546</f>
        <v>83.205110356197252</v>
      </c>
      <c r="F547" s="97">
        <f t="shared" ca="1" si="7"/>
        <v>89.057860609117029</v>
      </c>
      <c r="G547" s="97">
        <f t="shared" ca="1" si="7"/>
        <v>94.943156941005654</v>
      </c>
      <c r="H547" s="97">
        <f t="shared" ca="1" si="7"/>
        <v>100.88454108618961</v>
      </c>
      <c r="I547" s="97">
        <f t="shared" ca="1" si="7"/>
        <v>106.86652319023875</v>
      </c>
      <c r="J547" s="97">
        <f t="shared" ca="1" si="7"/>
        <v>112.89445212482505</v>
      </c>
      <c r="K547" s="97">
        <f t="shared" ca="1" si="7"/>
        <v>118.93440451000397</v>
      </c>
      <c r="L547" s="97">
        <f t="shared" ca="1" si="7"/>
        <v>125.01308986484449</v>
      </c>
      <c r="M547" s="399"/>
    </row>
    <row r="548" spans="1:13" x14ac:dyDescent="0.2">
      <c r="A548" s="146" t="s">
        <v>931</v>
      </c>
      <c r="B548" s="148" t="s">
        <v>929</v>
      </c>
      <c r="D548" s="147">
        <v>0</v>
      </c>
      <c r="E548" s="147">
        <f ca="1">D550</f>
        <v>1.6015352813613433</v>
      </c>
      <c r="F548" s="147">
        <f t="shared" ref="F548:L548" ca="1" si="8">E550</f>
        <v>1.7615623722935023</v>
      </c>
      <c r="G548" s="147">
        <f t="shared" ca="1" si="8"/>
        <v>1.8864568571806342</v>
      </c>
      <c r="H548" s="147">
        <f t="shared" ca="1" si="8"/>
        <v>2.0112976159860652</v>
      </c>
      <c r="I548" s="147">
        <f t="shared" ca="1" si="8"/>
        <v>2.1373022875822842</v>
      </c>
      <c r="J548" s="147">
        <f t="shared" ca="1" si="8"/>
        <v>2.2641744164532556</v>
      </c>
      <c r="K548" s="147">
        <f t="shared" ca="1" si="8"/>
        <v>2.3920189489286297</v>
      </c>
      <c r="L548" s="147">
        <f t="shared" ca="1" si="8"/>
        <v>2.5201334249629914</v>
      </c>
      <c r="M548" s="147"/>
    </row>
    <row r="549" spans="1:13" x14ac:dyDescent="0.2">
      <c r="A549" s="419"/>
      <c r="B549" s="142" t="s">
        <v>488</v>
      </c>
      <c r="D549" s="97">
        <f ca="1">D547+D548</f>
        <v>77.102484259824678</v>
      </c>
      <c r="E549" s="97">
        <f t="shared" ref="E549:L549" ca="1" si="9">E547+E548</f>
        <v>84.806645637558603</v>
      </c>
      <c r="F549" s="97">
        <f t="shared" ca="1" si="9"/>
        <v>90.819422981410526</v>
      </c>
      <c r="G549" s="97">
        <f t="shared" ca="1" si="9"/>
        <v>96.829613798186287</v>
      </c>
      <c r="H549" s="97">
        <f t="shared" ca="1" si="9"/>
        <v>102.89583870217568</v>
      </c>
      <c r="I549" s="97">
        <f t="shared" ca="1" si="9"/>
        <v>109.00382547782104</v>
      </c>
      <c r="J549" s="97">
        <f t="shared" ca="1" si="9"/>
        <v>115.15862654127831</v>
      </c>
      <c r="K549" s="97">
        <f t="shared" ca="1" si="9"/>
        <v>121.3264234589326</v>
      </c>
      <c r="L549" s="97">
        <f t="shared" ca="1" si="9"/>
        <v>127.53322328980748</v>
      </c>
      <c r="M549" s="399"/>
    </row>
    <row r="550" spans="1:13" x14ac:dyDescent="0.2">
      <c r="A550" s="419" t="s">
        <v>932</v>
      </c>
      <c r="B550" s="148" t="s">
        <v>930</v>
      </c>
      <c r="D550" s="93">
        <f ca="1">D602</f>
        <v>1.6015352813613433</v>
      </c>
      <c r="E550" s="93">
        <f t="shared" ref="E550:L550" ca="1" si="10">E602</f>
        <v>1.7615623722935023</v>
      </c>
      <c r="F550" s="93">
        <f t="shared" ca="1" si="10"/>
        <v>1.8864568571806342</v>
      </c>
      <c r="G550" s="93">
        <f t="shared" ca="1" si="10"/>
        <v>2.0112976159860652</v>
      </c>
      <c r="H550" s="93">
        <f t="shared" ca="1" si="10"/>
        <v>2.1373022875822842</v>
      </c>
      <c r="I550" s="93">
        <f t="shared" ca="1" si="10"/>
        <v>2.2641744164532556</v>
      </c>
      <c r="J550" s="93">
        <f t="shared" ca="1" si="10"/>
        <v>2.3920189489286297</v>
      </c>
      <c r="K550" s="93">
        <f t="shared" ca="1" si="10"/>
        <v>2.5201334249629914</v>
      </c>
      <c r="L550" s="93">
        <f t="shared" ca="1" si="10"/>
        <v>2.6490580505301256</v>
      </c>
    </row>
    <row r="551" spans="1:13" x14ac:dyDescent="0.2">
      <c r="A551" s="419"/>
      <c r="B551" s="142" t="s">
        <v>928</v>
      </c>
      <c r="D551" s="97">
        <f ca="1">D549-D550</f>
        <v>75.500948978463327</v>
      </c>
      <c r="E551" s="97">
        <f t="shared" ref="E551:L551" ca="1" si="11">E549-E550</f>
        <v>83.045083265265106</v>
      </c>
      <c r="F551" s="97">
        <f t="shared" ca="1" si="11"/>
        <v>88.932966124229893</v>
      </c>
      <c r="G551" s="97">
        <f t="shared" ca="1" si="11"/>
        <v>94.818316182200221</v>
      </c>
      <c r="H551" s="97">
        <f t="shared" ca="1" si="11"/>
        <v>100.75853641459339</v>
      </c>
      <c r="I551" s="97">
        <f t="shared" ca="1" si="11"/>
        <v>106.73965106136778</v>
      </c>
      <c r="J551" s="97">
        <f t="shared" ca="1" si="11"/>
        <v>112.76660759234969</v>
      </c>
      <c r="K551" s="97">
        <f t="shared" ca="1" si="11"/>
        <v>118.8062900339696</v>
      </c>
      <c r="L551" s="97">
        <f t="shared" ca="1" si="11"/>
        <v>124.88416523927735</v>
      </c>
      <c r="M551" s="399"/>
    </row>
    <row r="552" spans="1:13" x14ac:dyDescent="0.2">
      <c r="A552" s="419" t="s">
        <v>450</v>
      </c>
      <c r="B552" s="148" t="s">
        <v>354</v>
      </c>
      <c r="G552" s="244"/>
      <c r="H552" s="93"/>
      <c r="M552" s="181"/>
    </row>
    <row r="553" spans="1:13" x14ac:dyDescent="0.2">
      <c r="A553" s="417"/>
      <c r="B553" s="148" t="s">
        <v>355</v>
      </c>
      <c r="D553" s="93">
        <f>BASICS!I145</f>
        <v>0.39</v>
      </c>
      <c r="E553" s="93">
        <f>D553*1.05</f>
        <v>0.40950000000000003</v>
      </c>
      <c r="F553" s="93">
        <f t="shared" ref="F553:L553" si="12">E553*1.05</f>
        <v>0.42997500000000005</v>
      </c>
      <c r="G553" s="93">
        <f t="shared" si="12"/>
        <v>0.45147375000000006</v>
      </c>
      <c r="H553" s="93">
        <f t="shared" si="12"/>
        <v>0.47404743750000011</v>
      </c>
      <c r="I553" s="93">
        <f t="shared" si="12"/>
        <v>0.49774980937500013</v>
      </c>
      <c r="J553" s="93">
        <f t="shared" si="12"/>
        <v>0.52263729984375018</v>
      </c>
      <c r="K553" s="93">
        <f t="shared" si="12"/>
        <v>0.54876916483593774</v>
      </c>
      <c r="L553" s="93">
        <f t="shared" si="12"/>
        <v>0.57620762307773465</v>
      </c>
      <c r="M553" s="181"/>
    </row>
    <row r="554" spans="1:13" x14ac:dyDescent="0.2">
      <c r="A554" s="417"/>
      <c r="B554" s="148" t="s">
        <v>356</v>
      </c>
      <c r="D554" s="93">
        <v>0.05</v>
      </c>
      <c r="E554" s="93">
        <f>D554*1.05</f>
        <v>5.2500000000000005E-2</v>
      </c>
      <c r="F554" s="93">
        <f t="shared" ref="F554:L554" si="13">E554*1.05</f>
        <v>5.5125000000000007E-2</v>
      </c>
      <c r="G554" s="93">
        <f t="shared" si="13"/>
        <v>5.7881250000000009E-2</v>
      </c>
      <c r="H554" s="93">
        <f t="shared" si="13"/>
        <v>6.0775312500000012E-2</v>
      </c>
      <c r="I554" s="93">
        <f t="shared" si="13"/>
        <v>6.3814078125000021E-2</v>
      </c>
      <c r="J554" s="93">
        <f t="shared" si="13"/>
        <v>6.7004782031250029E-2</v>
      </c>
      <c r="K554" s="93">
        <f t="shared" si="13"/>
        <v>7.0355021132812529E-2</v>
      </c>
      <c r="L554" s="93">
        <f t="shared" si="13"/>
        <v>7.3872772189453165E-2</v>
      </c>
      <c r="M554" s="181"/>
    </row>
    <row r="555" spans="1:13" x14ac:dyDescent="0.2">
      <c r="A555" s="419" t="s">
        <v>451</v>
      </c>
      <c r="B555" s="148" t="s">
        <v>353</v>
      </c>
      <c r="D555" s="93">
        <f>D532*BASICS!$H$168</f>
        <v>1.6046639999999999</v>
      </c>
      <c r="E555" s="93">
        <f>E532*BASICS!$H$168</f>
        <v>1.7731620000000001</v>
      </c>
      <c r="F555" s="93">
        <f>F532*BASICS!$H$168</f>
        <v>1.9097820000000001</v>
      </c>
      <c r="G555" s="93">
        <f>G532*BASICS!$H$168</f>
        <v>2.0464020000000001</v>
      </c>
      <c r="H555" s="93">
        <f>H532*BASICS!$H$168</f>
        <v>2.1830220000000007</v>
      </c>
      <c r="I555" s="93">
        <f>I532*BASICS!$H$168</f>
        <v>2.3196420000000004</v>
      </c>
      <c r="J555" s="93">
        <f>J532*BASICS!$H$168</f>
        <v>2.4562620000000006</v>
      </c>
      <c r="K555" s="93">
        <f>K532*BASICS!$H$168</f>
        <v>2.5928820000000008</v>
      </c>
      <c r="L555" s="93">
        <f>L532*BASICS!$H$168</f>
        <v>2.7295020000000005</v>
      </c>
      <c r="M555" s="181"/>
    </row>
    <row r="556" spans="1:13" x14ac:dyDescent="0.2">
      <c r="A556" s="439" t="s">
        <v>452</v>
      </c>
      <c r="B556" s="142" t="s">
        <v>357</v>
      </c>
      <c r="C556" s="245"/>
      <c r="D556" s="330">
        <f ca="1">D551+D553+D554+D555</f>
        <v>77.545612978463325</v>
      </c>
      <c r="E556" s="330">
        <f t="shared" ref="E556:L556" ca="1" si="14">E551+E553+E554+E555</f>
        <v>85.280245265265094</v>
      </c>
      <c r="F556" s="330">
        <f t="shared" ca="1" si="14"/>
        <v>91.327848124229902</v>
      </c>
      <c r="G556" s="330">
        <f t="shared" ca="1" si="14"/>
        <v>97.37407318220022</v>
      </c>
      <c r="H556" s="330">
        <f t="shared" ca="1" si="14"/>
        <v>103.47638116459339</v>
      </c>
      <c r="I556" s="330">
        <f t="shared" ca="1" si="14"/>
        <v>109.62085694886778</v>
      </c>
      <c r="J556" s="330">
        <f t="shared" ca="1" si="14"/>
        <v>115.81251167422468</v>
      </c>
      <c r="K556" s="97">
        <f t="shared" ca="1" si="14"/>
        <v>122.01829621993835</v>
      </c>
      <c r="L556" s="97">
        <f t="shared" ca="1" si="14"/>
        <v>128.26374763454453</v>
      </c>
      <c r="M556" s="399"/>
    </row>
    <row r="557" spans="1:13" x14ac:dyDescent="0.2">
      <c r="A557" s="439" t="s">
        <v>453</v>
      </c>
      <c r="B557" s="139" t="s">
        <v>358</v>
      </c>
      <c r="C557" s="330"/>
      <c r="D557" s="330">
        <f ca="1">D532-D556</f>
        <v>2.6875870215366717</v>
      </c>
      <c r="E557" s="330">
        <f t="shared" ref="E557:L557" ca="1" si="15">E532-E556</f>
        <v>3.3778547347349104</v>
      </c>
      <c r="F557" s="330">
        <f t="shared" ca="1" si="15"/>
        <v>4.1612518757701054</v>
      </c>
      <c r="G557" s="330">
        <f t="shared" ca="1" si="15"/>
        <v>4.9460268177997904</v>
      </c>
      <c r="H557" s="330">
        <f t="shared" ca="1" si="15"/>
        <v>5.6747188354066367</v>
      </c>
      <c r="I557" s="330">
        <f t="shared" ca="1" si="15"/>
        <v>6.3612430511322344</v>
      </c>
      <c r="J557" s="330">
        <f t="shared" ca="1" si="15"/>
        <v>7.0005883257753396</v>
      </c>
      <c r="K557" s="140">
        <f t="shared" ca="1" si="15"/>
        <v>7.6258037800616876</v>
      </c>
      <c r="L557" s="140">
        <f t="shared" ca="1" si="15"/>
        <v>8.2113523654554967</v>
      </c>
      <c r="M557" s="183"/>
    </row>
    <row r="558" spans="1:13" x14ac:dyDescent="0.2">
      <c r="A558" s="417">
        <v>9</v>
      </c>
      <c r="B558" s="148" t="s">
        <v>489</v>
      </c>
      <c r="D558" s="93">
        <f>BASICS!E489</f>
        <v>1.0718999999999999</v>
      </c>
      <c r="E558" s="93">
        <f>BASICS!F489</f>
        <v>1.0152000000000001</v>
      </c>
      <c r="F558" s="93">
        <f>BASICS!G489</f>
        <v>0.93420000000000014</v>
      </c>
      <c r="G558" s="93">
        <f>BASICS!H489</f>
        <v>0.83700000000000085</v>
      </c>
      <c r="H558" s="93">
        <f>BASICS!I489</f>
        <v>0.72360000000000113</v>
      </c>
      <c r="I558" s="93">
        <f>BASICS!J489</f>
        <v>0.5778000000000012</v>
      </c>
      <c r="J558" s="93">
        <f>BASICS!K489</f>
        <v>0.39960000000000129</v>
      </c>
      <c r="K558" s="93">
        <f>BASICS!L489</f>
        <v>0.20520000000000113</v>
      </c>
      <c r="L558" s="93">
        <f>BASICS!M489</f>
        <v>2.7000000000001106E-2</v>
      </c>
    </row>
    <row r="559" spans="1:13" x14ac:dyDescent="0.2">
      <c r="A559" s="420" t="s">
        <v>441</v>
      </c>
      <c r="B559" s="148" t="s">
        <v>491</v>
      </c>
      <c r="D559" s="93">
        <f>D585*9%</f>
        <v>0.18</v>
      </c>
      <c r="E559" s="93">
        <f t="shared" ref="E559:L559" si="16">E585*9%</f>
        <v>0.18</v>
      </c>
      <c r="F559" s="93">
        <f t="shared" si="16"/>
        <v>0.18</v>
      </c>
      <c r="G559" s="93">
        <f t="shared" si="16"/>
        <v>0.18</v>
      </c>
      <c r="H559" s="93">
        <f t="shared" si="16"/>
        <v>0.18</v>
      </c>
      <c r="I559" s="93">
        <f t="shared" si="16"/>
        <v>0.18</v>
      </c>
      <c r="J559" s="93">
        <f t="shared" si="16"/>
        <v>0.18</v>
      </c>
      <c r="K559" s="93">
        <f t="shared" si="16"/>
        <v>0.18</v>
      </c>
      <c r="L559" s="93">
        <f t="shared" si="16"/>
        <v>0.18</v>
      </c>
      <c r="M559" s="181"/>
    </row>
    <row r="560" spans="1:13" x14ac:dyDescent="0.2">
      <c r="A560" s="417"/>
      <c r="B560" s="148" t="s">
        <v>567</v>
      </c>
      <c r="D560" s="93">
        <v>0.05</v>
      </c>
      <c r="E560" s="93">
        <f>D560*1.05</f>
        <v>5.2500000000000005E-2</v>
      </c>
      <c r="F560" s="93">
        <f t="shared" ref="F560:L560" si="17">E560*1.05</f>
        <v>5.5125000000000007E-2</v>
      </c>
      <c r="G560" s="93">
        <f t="shared" si="17"/>
        <v>5.7881250000000009E-2</v>
      </c>
      <c r="H560" s="93">
        <f t="shared" si="17"/>
        <v>6.0775312500000012E-2</v>
      </c>
      <c r="I560" s="93">
        <f t="shared" si="17"/>
        <v>6.3814078125000021E-2</v>
      </c>
      <c r="J560" s="93">
        <f t="shared" si="17"/>
        <v>6.7004782031250029E-2</v>
      </c>
      <c r="K560" s="93">
        <f t="shared" si="17"/>
        <v>7.0355021132812529E-2</v>
      </c>
      <c r="L560" s="93">
        <f t="shared" si="17"/>
        <v>7.3872772189453165E-2</v>
      </c>
      <c r="M560" s="181"/>
    </row>
    <row r="561" spans="1:13" x14ac:dyDescent="0.2">
      <c r="A561" s="419">
        <v>10</v>
      </c>
      <c r="B561" s="148" t="s">
        <v>359</v>
      </c>
      <c r="D561" s="93">
        <f ca="1">D557-D558-D559-D560</f>
        <v>1.3856870215366719</v>
      </c>
      <c r="E561" s="93">
        <f t="shared" ref="E561:L561" ca="1" si="18">E557-E558-E559-E560</f>
        <v>2.1301547347349099</v>
      </c>
      <c r="F561" s="93">
        <f t="shared" ca="1" si="18"/>
        <v>2.9919268757701052</v>
      </c>
      <c r="G561" s="93">
        <f t="shared" ca="1" si="18"/>
        <v>3.8711455677997897</v>
      </c>
      <c r="H561" s="93">
        <f t="shared" ca="1" si="18"/>
        <v>4.7103435229066362</v>
      </c>
      <c r="I561" s="93">
        <f t="shared" ca="1" si="18"/>
        <v>5.5396289730072334</v>
      </c>
      <c r="J561" s="93">
        <f t="shared" ca="1" si="18"/>
        <v>6.3539835437440884</v>
      </c>
      <c r="K561" s="93">
        <f t="shared" ca="1" si="18"/>
        <v>7.1702487589288744</v>
      </c>
      <c r="L561" s="93">
        <f t="shared" ca="1" si="18"/>
        <v>7.9304795932660426</v>
      </c>
      <c r="M561" s="181"/>
    </row>
    <row r="562" spans="1:13" x14ac:dyDescent="0.2">
      <c r="A562" s="419">
        <v>11</v>
      </c>
      <c r="B562" s="148" t="s">
        <v>492</v>
      </c>
      <c r="D562" s="93">
        <f>$L$431/5</f>
        <v>1.4000000000000002E-2</v>
      </c>
      <c r="E562" s="93">
        <f t="shared" ref="E562:H562" si="19">$L$431/5</f>
        <v>1.4000000000000002E-2</v>
      </c>
      <c r="F562" s="93">
        <f t="shared" si="19"/>
        <v>1.4000000000000002E-2</v>
      </c>
      <c r="G562" s="93">
        <f t="shared" si="19"/>
        <v>1.4000000000000002E-2</v>
      </c>
      <c r="H562" s="93">
        <f t="shared" si="19"/>
        <v>1.4000000000000002E-2</v>
      </c>
      <c r="I562" s="93">
        <v>0</v>
      </c>
      <c r="J562" s="93">
        <v>0</v>
      </c>
      <c r="K562" s="93">
        <v>0</v>
      </c>
      <c r="L562" s="93">
        <v>0</v>
      </c>
      <c r="M562" s="181"/>
    </row>
    <row r="563" spans="1:13" x14ac:dyDescent="0.2">
      <c r="A563" s="684">
        <v>12</v>
      </c>
      <c r="B563" s="685" t="s">
        <v>494</v>
      </c>
      <c r="C563" s="683"/>
      <c r="D563" s="683">
        <f ca="1">D561-D562</f>
        <v>1.3716870215366719</v>
      </c>
      <c r="E563" s="683">
        <f t="shared" ref="E563:L563" ca="1" si="20">E561-E562</f>
        <v>2.1161547347349101</v>
      </c>
      <c r="F563" s="683">
        <f t="shared" ca="1" si="20"/>
        <v>2.9779268757701054</v>
      </c>
      <c r="G563" s="683">
        <f t="shared" ca="1" si="20"/>
        <v>3.8571455677997899</v>
      </c>
      <c r="H563" s="683">
        <f t="shared" ca="1" si="20"/>
        <v>4.6963435229066359</v>
      </c>
      <c r="I563" s="683">
        <f t="shared" ca="1" si="20"/>
        <v>5.5396289730072334</v>
      </c>
      <c r="J563" s="683">
        <f t="shared" ca="1" si="20"/>
        <v>6.3539835437440884</v>
      </c>
      <c r="K563" s="683">
        <f t="shared" ca="1" si="20"/>
        <v>7.1702487589288744</v>
      </c>
      <c r="L563" s="683">
        <f t="shared" ca="1" si="20"/>
        <v>7.9304795932660426</v>
      </c>
      <c r="M563" s="181"/>
    </row>
    <row r="564" spans="1:13" x14ac:dyDescent="0.2">
      <c r="A564" s="419">
        <v>13</v>
      </c>
      <c r="B564" s="148" t="s">
        <v>496</v>
      </c>
      <c r="D564" s="93">
        <f ca="1">BASICS!E249</f>
        <v>0.28432129496886005</v>
      </c>
      <c r="E564" s="93">
        <f ca="1">BASICS!F249</f>
        <v>0.48137107491666109</v>
      </c>
      <c r="F564" s="93">
        <f ca="1">BASICS!G249</f>
        <v>0.70394791232315168</v>
      </c>
      <c r="G564" s="93">
        <f ca="1">BASICS!H249</f>
        <v>0.9282173042086268</v>
      </c>
      <c r="H564" s="93">
        <f ca="1">BASICS!I249</f>
        <v>1.1406124524880144</v>
      </c>
      <c r="I564" s="93">
        <f ca="1">BASICS!J249</f>
        <v>1.3523427194837474</v>
      </c>
      <c r="J564" s="93">
        <f ca="1">BASICS!K249</f>
        <v>1.5556603286499131</v>
      </c>
      <c r="K564" s="93">
        <f ca="1">BASICS!L249</f>
        <v>1.7583892857109396</v>
      </c>
      <c r="L564" s="93">
        <f ca="1">BASICS!M249</f>
        <v>1.9465660243875629</v>
      </c>
    </row>
    <row r="565" spans="1:13" x14ac:dyDescent="0.2">
      <c r="A565" s="684">
        <v>14</v>
      </c>
      <c r="B565" s="685" t="s">
        <v>498</v>
      </c>
      <c r="C565" s="683"/>
      <c r="D565" s="683">
        <v>1.0870339171715557</v>
      </c>
      <c r="E565" s="683">
        <v>1.6344173074556774</v>
      </c>
      <c r="F565" s="683">
        <v>2.2735842427916677</v>
      </c>
      <c r="G565" s="683">
        <v>2.9285053029004642</v>
      </c>
      <c r="H565" s="683">
        <v>3.5552798723566372</v>
      </c>
      <c r="I565" s="683">
        <v>4.1868068181455733</v>
      </c>
      <c r="J565" s="683">
        <v>4.7978155424014384</v>
      </c>
      <c r="K565" s="683">
        <v>5.4113235632104058</v>
      </c>
      <c r="L565" s="683">
        <v>5.9833494215561691</v>
      </c>
      <c r="M565" s="181"/>
    </row>
    <row r="566" spans="1:13" x14ac:dyDescent="0.2">
      <c r="A566" s="419">
        <v>15</v>
      </c>
      <c r="B566" s="148" t="s">
        <v>500</v>
      </c>
      <c r="D566" s="93">
        <f>D542+D565+D562</f>
        <v>3.8740219601344514</v>
      </c>
      <c r="E566" s="93">
        <f t="shared" ref="E566:L566" si="21">E542+E565+E562</f>
        <v>4.0367050552189854</v>
      </c>
      <c r="F566" s="93">
        <f t="shared" si="21"/>
        <v>4.3446685029774113</v>
      </c>
      <c r="G566" s="93">
        <f t="shared" si="21"/>
        <v>4.7144280719383689</v>
      </c>
      <c r="H566" s="93">
        <f t="shared" si="21"/>
        <v>5.0956692528378538</v>
      </c>
      <c r="I566" s="93">
        <f t="shared" si="21"/>
        <v>5.5017722846735877</v>
      </c>
      <c r="J566" s="93">
        <f t="shared" si="21"/>
        <v>5.930717985332671</v>
      </c>
      <c r="K566" s="93">
        <f t="shared" si="21"/>
        <v>6.3874376660283474</v>
      </c>
      <c r="L566" s="93">
        <f t="shared" si="21"/>
        <v>6.8244334595966141</v>
      </c>
      <c r="M566" s="181"/>
    </row>
    <row r="567" spans="1:13" x14ac:dyDescent="0.2">
      <c r="A567" s="419">
        <v>16</v>
      </c>
      <c r="B567" s="148" t="s">
        <v>502</v>
      </c>
      <c r="D567" s="93">
        <f>BASICS!E486</f>
        <v>0.36</v>
      </c>
      <c r="E567" s="93">
        <f>BASICS!F486</f>
        <v>0.72</v>
      </c>
      <c r="F567" s="93">
        <f>BASICS!G486</f>
        <v>1.08</v>
      </c>
      <c r="G567" s="93">
        <f>BASICS!H486</f>
        <v>1.08</v>
      </c>
      <c r="H567" s="93">
        <f>BASICS!I486</f>
        <v>1.44</v>
      </c>
      <c r="I567" s="93">
        <f>BASICS!J486</f>
        <v>1.7999999999999998</v>
      </c>
      <c r="J567" s="93">
        <f>BASICS!K486</f>
        <v>2.16</v>
      </c>
      <c r="K567" s="93">
        <f>BASICS!L486</f>
        <v>2.16</v>
      </c>
      <c r="L567" s="93">
        <f>BASICS!M486</f>
        <v>1.2000000000000002</v>
      </c>
      <c r="M567" s="181"/>
    </row>
    <row r="568" spans="1:13" x14ac:dyDescent="0.2">
      <c r="A568" s="419">
        <v>18</v>
      </c>
      <c r="B568" s="148" t="s">
        <v>504</v>
      </c>
      <c r="D568" s="93">
        <f>D566-D567</f>
        <v>3.5140219601344516</v>
      </c>
      <c r="E568" s="93">
        <f t="shared" ref="E568:L568" si="22">E566-E567</f>
        <v>3.3167050552189856</v>
      </c>
      <c r="F568" s="93">
        <f t="shared" si="22"/>
        <v>3.2646685029774112</v>
      </c>
      <c r="G568" s="93">
        <f t="shared" si="22"/>
        <v>3.6344280719383688</v>
      </c>
      <c r="H568" s="93">
        <f t="shared" si="22"/>
        <v>3.6556692528378538</v>
      </c>
      <c r="I568" s="93">
        <f t="shared" si="22"/>
        <v>3.7017722846735879</v>
      </c>
      <c r="J568" s="93">
        <f t="shared" si="22"/>
        <v>3.7707179853326709</v>
      </c>
      <c r="K568" s="93">
        <f t="shared" si="22"/>
        <v>4.2274376660283473</v>
      </c>
      <c r="L568" s="93">
        <f t="shared" si="22"/>
        <v>5.6244334595966139</v>
      </c>
      <c r="M568" s="181"/>
    </row>
    <row r="569" spans="1:13" x14ac:dyDescent="0.2">
      <c r="A569" s="419"/>
      <c r="B569" s="148"/>
      <c r="H569" s="93"/>
    </row>
    <row r="570" spans="1:13" x14ac:dyDescent="0.2">
      <c r="A570" s="419"/>
      <c r="B570" s="148"/>
      <c r="H570" s="93"/>
      <c r="M570" s="181"/>
    </row>
    <row r="571" spans="1:13" x14ac:dyDescent="0.2">
      <c r="A571" s="439"/>
      <c r="B571" s="391"/>
      <c r="C571" s="245"/>
      <c r="D571" s="245"/>
      <c r="E571" s="245"/>
      <c r="F571" s="245"/>
      <c r="G571" s="245"/>
      <c r="H571" s="440"/>
      <c r="I571" s="245"/>
      <c r="J571" s="245"/>
      <c r="K571" s="245"/>
      <c r="L571" s="245"/>
      <c r="M571" s="183"/>
    </row>
    <row r="572" spans="1:13" x14ac:dyDescent="0.2">
      <c r="A572" s="441"/>
      <c r="B572" s="200"/>
      <c r="C572" s="201"/>
      <c r="D572" s="201"/>
      <c r="E572" s="201"/>
      <c r="F572" s="201"/>
      <c r="G572" s="201"/>
      <c r="H572" s="442"/>
      <c r="I572" s="201"/>
      <c r="J572" s="201"/>
      <c r="K572" s="201"/>
      <c r="L572" s="201"/>
      <c r="M572" s="188"/>
    </row>
    <row r="573" spans="1:13" x14ac:dyDescent="0.2">
      <c r="A573" s="755" t="s">
        <v>843</v>
      </c>
      <c r="B573" s="756"/>
      <c r="C573" s="756"/>
      <c r="D573" s="756"/>
      <c r="E573" s="756"/>
      <c r="F573" s="756"/>
      <c r="G573" s="756"/>
      <c r="H573" s="756"/>
      <c r="I573" s="756"/>
      <c r="J573" s="756"/>
      <c r="K573" s="756"/>
      <c r="L573" s="756"/>
      <c r="M573" s="757"/>
    </row>
    <row r="574" spans="1:13" x14ac:dyDescent="0.2">
      <c r="A574" s="755" t="s">
        <v>845</v>
      </c>
      <c r="B574" s="756"/>
      <c r="C574" s="756"/>
      <c r="D574" s="756"/>
      <c r="E574" s="756"/>
      <c r="F574" s="756"/>
      <c r="G574" s="756"/>
      <c r="H574" s="756"/>
      <c r="I574" s="756"/>
      <c r="J574" s="756"/>
      <c r="K574" s="756"/>
      <c r="L574" s="756"/>
      <c r="M574" s="757"/>
    </row>
    <row r="575" spans="1:13" x14ac:dyDescent="0.2">
      <c r="A575" s="755" t="s">
        <v>844</v>
      </c>
      <c r="B575" s="756"/>
      <c r="C575" s="756"/>
      <c r="D575" s="756"/>
      <c r="E575" s="756"/>
      <c r="F575" s="756"/>
      <c r="G575" s="756"/>
      <c r="H575" s="756"/>
      <c r="I575" s="756"/>
      <c r="J575" s="756"/>
      <c r="K575" s="756"/>
      <c r="L575" s="756"/>
      <c r="M575" s="757"/>
    </row>
    <row r="576" spans="1:13" x14ac:dyDescent="0.2">
      <c r="A576" s="755" t="s">
        <v>1139</v>
      </c>
      <c r="B576" s="756"/>
      <c r="C576" s="756"/>
      <c r="D576" s="756"/>
      <c r="E576" s="756"/>
      <c r="F576" s="756"/>
      <c r="G576" s="756"/>
      <c r="H576" s="756"/>
      <c r="I576" s="756"/>
      <c r="J576" s="756"/>
      <c r="K576" s="756"/>
      <c r="L576" s="756"/>
      <c r="M576" s="757"/>
    </row>
    <row r="577" spans="1:13" x14ac:dyDescent="0.2">
      <c r="A577" s="377"/>
      <c r="B577" s="283"/>
      <c r="C577" s="283"/>
      <c r="D577" s="283"/>
      <c r="E577" s="283"/>
      <c r="F577" s="283"/>
      <c r="G577" s="283"/>
      <c r="H577" s="283"/>
      <c r="I577" s="283"/>
      <c r="J577" s="283"/>
      <c r="K577" s="283"/>
      <c r="M577" s="181"/>
    </row>
    <row r="578" spans="1:13" x14ac:dyDescent="0.2">
      <c r="A578" s="755"/>
      <c r="B578" s="756"/>
      <c r="C578" s="756"/>
      <c r="D578" s="756"/>
      <c r="E578" s="756"/>
      <c r="F578" s="756"/>
      <c r="G578" s="756"/>
      <c r="H578" s="756"/>
      <c r="I578" s="756"/>
      <c r="J578" s="756"/>
      <c r="K578" s="756"/>
      <c r="L578" s="756"/>
      <c r="M578" s="757"/>
    </row>
    <row r="579" spans="1:13" x14ac:dyDescent="0.2">
      <c r="A579" s="755" t="s">
        <v>991</v>
      </c>
      <c r="B579" s="756"/>
      <c r="C579" s="756"/>
      <c r="D579" s="756"/>
      <c r="E579" s="756"/>
      <c r="F579" s="756"/>
      <c r="G579" s="756"/>
      <c r="H579" s="756"/>
      <c r="I579" s="756"/>
      <c r="J579" s="756"/>
      <c r="K579" s="756"/>
      <c r="L579" s="756"/>
      <c r="M579" s="757"/>
    </row>
    <row r="580" spans="1:13" x14ac:dyDescent="0.2">
      <c r="A580" s="417"/>
      <c r="B580" s="154" t="s">
        <v>538</v>
      </c>
      <c r="C580" s="140"/>
      <c r="D580" s="151">
        <v>2024</v>
      </c>
      <c r="E580" s="151">
        <v>2025</v>
      </c>
      <c r="F580" s="151">
        <v>2026</v>
      </c>
      <c r="G580" s="151">
        <v>2027</v>
      </c>
      <c r="H580" s="151">
        <v>2028</v>
      </c>
      <c r="I580" s="151">
        <v>2029</v>
      </c>
      <c r="J580" s="151">
        <v>2030</v>
      </c>
      <c r="K580" s="151">
        <v>2031</v>
      </c>
      <c r="L580" s="151">
        <v>2032</v>
      </c>
      <c r="M580" s="155"/>
    </row>
    <row r="581" spans="1:13" x14ac:dyDescent="0.2">
      <c r="A581" s="417"/>
      <c r="B581" s="313" t="s">
        <v>539</v>
      </c>
      <c r="D581" s="93">
        <f>$L$35</f>
        <v>6.6</v>
      </c>
      <c r="E581" s="93">
        <f t="shared" ref="E581:L581" si="23">$L$35</f>
        <v>6.6</v>
      </c>
      <c r="F581" s="93">
        <f t="shared" si="23"/>
        <v>6.6</v>
      </c>
      <c r="G581" s="93">
        <f t="shared" si="23"/>
        <v>6.6</v>
      </c>
      <c r="H581" s="93">
        <f t="shared" si="23"/>
        <v>6.6</v>
      </c>
      <c r="I581" s="93">
        <f t="shared" si="23"/>
        <v>6.6</v>
      </c>
      <c r="J581" s="93">
        <f t="shared" si="23"/>
        <v>6.6</v>
      </c>
      <c r="K581" s="93">
        <f t="shared" si="23"/>
        <v>6.6</v>
      </c>
      <c r="L581" s="93">
        <f t="shared" si="23"/>
        <v>6.6</v>
      </c>
      <c r="M581" s="181"/>
    </row>
    <row r="582" spans="1:13" x14ac:dyDescent="0.2">
      <c r="A582" s="417"/>
      <c r="B582" s="313" t="s">
        <v>540</v>
      </c>
      <c r="D582" s="93">
        <f>D565</f>
        <v>1.0870339171715557</v>
      </c>
      <c r="E582" s="93">
        <f>D582+E565</f>
        <v>2.7214512246272333</v>
      </c>
      <c r="F582" s="93">
        <f t="shared" ref="F582:L582" si="24">E582+F565</f>
        <v>4.9950354674189015</v>
      </c>
      <c r="G582" s="93">
        <f t="shared" si="24"/>
        <v>7.9235407703193657</v>
      </c>
      <c r="H582" s="93">
        <f t="shared" si="24"/>
        <v>11.478820642676002</v>
      </c>
      <c r="I582" s="93">
        <f t="shared" si="24"/>
        <v>15.665627460821575</v>
      </c>
      <c r="J582" s="93">
        <f t="shared" si="24"/>
        <v>20.463443003223013</v>
      </c>
      <c r="K582" s="93">
        <f t="shared" si="24"/>
        <v>25.874766566433419</v>
      </c>
      <c r="L582" s="93">
        <f t="shared" si="24"/>
        <v>31.858115987989589</v>
      </c>
      <c r="M582" s="181"/>
    </row>
    <row r="583" spans="1:13" x14ac:dyDescent="0.2">
      <c r="A583" s="417"/>
      <c r="B583" s="313" t="s">
        <v>541</v>
      </c>
      <c r="D583" s="93">
        <f>BASICS!E488</f>
        <v>10.919999999999998</v>
      </c>
      <c r="E583" s="93">
        <f>BASICS!F488</f>
        <v>9.8399999999999981</v>
      </c>
      <c r="F583" s="93">
        <f>BASICS!G488</f>
        <v>8.759999999999998</v>
      </c>
      <c r="G583" s="93">
        <f>BASICS!H488</f>
        <v>7.3199999999999985</v>
      </c>
      <c r="H583" s="93">
        <f>BASICS!I488</f>
        <v>5.5199999999999987</v>
      </c>
      <c r="I583" s="93">
        <f>BASICS!J488</f>
        <v>3.3599999999999985</v>
      </c>
      <c r="J583" s="93">
        <f>BASICS!K488</f>
        <v>1.1999999999999984</v>
      </c>
      <c r="K583" s="93">
        <f>BASICS!L488</f>
        <v>-1.7763568394002505E-15</v>
      </c>
      <c r="L583" s="93">
        <f>BASICS!M488</f>
        <v>-1.7763568394002505E-15</v>
      </c>
    </row>
    <row r="584" spans="1:13" x14ac:dyDescent="0.2">
      <c r="A584" s="417"/>
      <c r="B584" s="313" t="s">
        <v>1016</v>
      </c>
      <c r="D584" s="93">
        <f>BASICS!E487</f>
        <v>0.72</v>
      </c>
      <c r="E584" s="93">
        <f>BASICS!F487</f>
        <v>1.08</v>
      </c>
      <c r="F584" s="93">
        <f>BASICS!G487</f>
        <v>1.08</v>
      </c>
      <c r="G584" s="93">
        <f>BASICS!H487</f>
        <v>1.44</v>
      </c>
      <c r="H584" s="93">
        <f>BASICS!I487</f>
        <v>1.7999999999999998</v>
      </c>
      <c r="I584" s="93">
        <f>BASICS!J487</f>
        <v>2.16</v>
      </c>
      <c r="J584" s="93">
        <f>BASICS!K487</f>
        <v>2.16</v>
      </c>
      <c r="K584" s="93">
        <f>BASICS!L487</f>
        <v>1.2000000000000002</v>
      </c>
      <c r="L584" s="93">
        <f>BASICS!M487</f>
        <v>0</v>
      </c>
    </row>
    <row r="585" spans="1:13" x14ac:dyDescent="0.2">
      <c r="A585" s="417"/>
      <c r="B585" s="313" t="s">
        <v>542</v>
      </c>
      <c r="D585" s="93">
        <v>2</v>
      </c>
      <c r="E585" s="93">
        <v>2</v>
      </c>
      <c r="F585" s="93">
        <v>2</v>
      </c>
      <c r="G585" s="93">
        <v>2</v>
      </c>
      <c r="H585" s="93">
        <v>2</v>
      </c>
      <c r="I585" s="93">
        <v>2</v>
      </c>
      <c r="J585" s="93">
        <v>2</v>
      </c>
      <c r="K585" s="93">
        <v>2</v>
      </c>
      <c r="L585" s="93">
        <v>2</v>
      </c>
      <c r="M585" s="181"/>
    </row>
    <row r="586" spans="1:13" x14ac:dyDescent="0.2">
      <c r="A586" s="417"/>
      <c r="B586" s="313" t="s">
        <v>543</v>
      </c>
      <c r="D586" s="93">
        <f>$L$38</f>
        <v>3.0640507427337997</v>
      </c>
      <c r="E586" s="93">
        <f t="shared" ref="E586:L586" si="25">$L$38</f>
        <v>3.0640507427337997</v>
      </c>
      <c r="F586" s="93">
        <f t="shared" si="25"/>
        <v>3.0640507427337997</v>
      </c>
      <c r="G586" s="93">
        <f t="shared" si="25"/>
        <v>3.0640507427337997</v>
      </c>
      <c r="H586" s="93">
        <f t="shared" si="25"/>
        <v>3.0640507427337997</v>
      </c>
      <c r="I586" s="93">
        <f t="shared" si="25"/>
        <v>3.0640507427337997</v>
      </c>
      <c r="J586" s="93">
        <f t="shared" si="25"/>
        <v>3.0640507427337997</v>
      </c>
      <c r="K586" s="93">
        <f t="shared" si="25"/>
        <v>3.0640507427337997</v>
      </c>
      <c r="L586" s="93">
        <f t="shared" si="25"/>
        <v>3.0640507427337997</v>
      </c>
      <c r="M586" s="181"/>
    </row>
    <row r="587" spans="1:13" x14ac:dyDescent="0.2">
      <c r="A587" s="417"/>
      <c r="B587" s="313" t="s">
        <v>955</v>
      </c>
      <c r="D587" s="93">
        <f>(D534+D535+D537+D538+D599+D600+D601+D604-C599-C600-C601-C604)/365*20</f>
        <v>3.9468504672694786</v>
      </c>
      <c r="E587" s="93">
        <f t="shared" ref="E587:L587" si="26">(E534+E535+E537+E538+E599+E600+E601+E604-D599-D600-D601-D604)/365*20</f>
        <v>4.1250535325861364</v>
      </c>
      <c r="F587" s="93">
        <f t="shared" si="26"/>
        <v>4.4413993098344982</v>
      </c>
      <c r="G587" s="93">
        <f t="shared" si="26"/>
        <v>4.7577450870828599</v>
      </c>
      <c r="H587" s="93">
        <f t="shared" si="26"/>
        <v>5.0740908643312217</v>
      </c>
      <c r="I587" s="93">
        <f t="shared" si="26"/>
        <v>5.3904366415795844</v>
      </c>
      <c r="J587" s="93">
        <f t="shared" si="26"/>
        <v>5.706782418827947</v>
      </c>
      <c r="K587" s="93">
        <f t="shared" si="26"/>
        <v>6.0231281960763106</v>
      </c>
      <c r="L587" s="93">
        <f t="shared" si="26"/>
        <v>6.3394739733246723</v>
      </c>
    </row>
    <row r="588" spans="1:13" x14ac:dyDescent="0.2">
      <c r="A588" s="417"/>
      <c r="B588" s="313" t="s">
        <v>956</v>
      </c>
      <c r="D588" s="93">
        <f ca="1">D564</f>
        <v>0.28432129496886005</v>
      </c>
      <c r="E588" s="93">
        <f t="shared" ref="E588:L588" ca="1" si="27">E564</f>
        <v>0.48137107491666109</v>
      </c>
      <c r="F588" s="93">
        <f t="shared" ca="1" si="27"/>
        <v>0.70394791232315168</v>
      </c>
      <c r="G588" s="93">
        <f t="shared" ca="1" si="27"/>
        <v>0.9282173042086268</v>
      </c>
      <c r="H588" s="93">
        <f t="shared" ca="1" si="27"/>
        <v>1.1406124524880144</v>
      </c>
      <c r="I588" s="93">
        <f t="shared" ca="1" si="27"/>
        <v>1.3523427194837474</v>
      </c>
      <c r="J588" s="93">
        <f t="shared" ca="1" si="27"/>
        <v>1.5556603286499131</v>
      </c>
      <c r="K588" s="93">
        <f t="shared" ca="1" si="27"/>
        <v>1.7583892857109396</v>
      </c>
      <c r="L588" s="93">
        <f t="shared" ca="1" si="27"/>
        <v>1.9465660243875629</v>
      </c>
      <c r="M588" s="181"/>
    </row>
    <row r="589" spans="1:13" x14ac:dyDescent="0.2">
      <c r="A589" s="417"/>
      <c r="B589" s="313" t="s">
        <v>780</v>
      </c>
      <c r="D589" s="93">
        <f ca="1">D551*2%</f>
        <v>1.5100189795692667</v>
      </c>
      <c r="E589" s="93">
        <f t="shared" ref="E589:L589" ca="1" si="28">E551*2%</f>
        <v>1.6609016653053021</v>
      </c>
      <c r="F589" s="93">
        <f t="shared" ca="1" si="28"/>
        <v>1.7786593224845979</v>
      </c>
      <c r="G589" s="93">
        <f t="shared" ca="1" si="28"/>
        <v>1.8963663236440045</v>
      </c>
      <c r="H589" s="93">
        <f t="shared" ca="1" si="28"/>
        <v>2.0151707282918681</v>
      </c>
      <c r="I589" s="93">
        <f t="shared" ca="1" si="28"/>
        <v>2.1347930212273556</v>
      </c>
      <c r="J589" s="93">
        <f t="shared" ca="1" si="28"/>
        <v>2.2553321518469938</v>
      </c>
      <c r="K589" s="93">
        <f t="shared" ca="1" si="28"/>
        <v>2.3761258006793922</v>
      </c>
      <c r="L589" s="93">
        <f t="shared" ca="1" si="28"/>
        <v>2.4976833047855469</v>
      </c>
      <c r="M589" s="181"/>
    </row>
    <row r="590" spans="1:13" x14ac:dyDescent="0.2">
      <c r="A590" s="417"/>
      <c r="B590" s="154" t="s">
        <v>454</v>
      </c>
      <c r="C590" s="149"/>
      <c r="D590" s="687">
        <f ca="1">SUM(D581:D589)</f>
        <v>30.132275401712956</v>
      </c>
      <c r="E590" s="687">
        <f t="shared" ref="E590:L590" ca="1" si="29">SUM(E581:E589)</f>
        <v>31.572828240169127</v>
      </c>
      <c r="F590" s="687">
        <f t="shared" ca="1" si="29"/>
        <v>33.423092754794943</v>
      </c>
      <c r="G590" s="687">
        <f t="shared" ca="1" si="29"/>
        <v>35.92992022798866</v>
      </c>
      <c r="H590" s="687">
        <f t="shared" ca="1" si="29"/>
        <v>38.692745430520908</v>
      </c>
      <c r="I590" s="687">
        <f t="shared" ca="1" si="29"/>
        <v>41.727250585846065</v>
      </c>
      <c r="J590" s="687">
        <f t="shared" ca="1" si="29"/>
        <v>45.005268645281667</v>
      </c>
      <c r="K590" s="687">
        <f t="shared" ca="1" si="29"/>
        <v>48.896460591633861</v>
      </c>
      <c r="L590" s="687">
        <f t="shared" ca="1" si="29"/>
        <v>54.305890033221168</v>
      </c>
      <c r="M590" s="206"/>
    </row>
    <row r="591" spans="1:13" x14ac:dyDescent="0.2">
      <c r="A591" s="417"/>
      <c r="B591" s="194"/>
      <c r="C591" s="143"/>
      <c r="D591" s="97"/>
      <c r="E591" s="97"/>
      <c r="F591" s="97"/>
      <c r="G591" s="270"/>
      <c r="H591" s="97"/>
      <c r="M591" s="181"/>
    </row>
    <row r="592" spans="1:13" x14ac:dyDescent="0.2">
      <c r="A592" s="417"/>
      <c r="B592" s="469" t="s">
        <v>544</v>
      </c>
      <c r="D592" s="309">
        <v>2024</v>
      </c>
      <c r="E592" s="309">
        <v>2025</v>
      </c>
      <c r="F592" s="309">
        <v>2026</v>
      </c>
      <c r="G592" s="309">
        <v>2027</v>
      </c>
      <c r="H592" s="309">
        <v>2028</v>
      </c>
      <c r="I592" s="309">
        <v>2029</v>
      </c>
      <c r="J592" s="309">
        <v>2030</v>
      </c>
      <c r="K592" s="309">
        <v>2031</v>
      </c>
      <c r="L592" s="309">
        <v>2032</v>
      </c>
      <c r="M592" s="396"/>
    </row>
    <row r="593" spans="1:13" x14ac:dyDescent="0.2">
      <c r="A593" s="417"/>
      <c r="B593" s="469" t="s">
        <v>417</v>
      </c>
      <c r="D593" s="93">
        <v>20.047003780355602</v>
      </c>
      <c r="E593" s="93">
        <v>20.047003780355602</v>
      </c>
      <c r="F593" s="93">
        <v>20.047003780355602</v>
      </c>
      <c r="G593" s="315">
        <v>20.047003780355602</v>
      </c>
      <c r="H593" s="93">
        <v>20.047003780355602</v>
      </c>
      <c r="I593" s="93">
        <v>20.047003780355602</v>
      </c>
      <c r="J593" s="93">
        <v>20.047003780355602</v>
      </c>
      <c r="K593" s="93">
        <v>20.047003780355602</v>
      </c>
      <c r="L593" s="93">
        <v>20.047003780355602</v>
      </c>
      <c r="M593" s="181"/>
    </row>
    <row r="594" spans="1:13" x14ac:dyDescent="0.2">
      <c r="A594" s="417"/>
      <c r="B594" s="313" t="s">
        <v>528</v>
      </c>
      <c r="D594" s="93">
        <f>D542</f>
        <v>2.7729880429628957</v>
      </c>
      <c r="E594" s="93">
        <f>D594+E542</f>
        <v>5.1612757907262035</v>
      </c>
      <c r="F594" s="93">
        <f t="shared" ref="F594:L594" si="30">E594+F542</f>
        <v>7.2183600509119472</v>
      </c>
      <c r="G594" s="93">
        <f t="shared" si="30"/>
        <v>8.9902828199498508</v>
      </c>
      <c r="H594" s="93">
        <f t="shared" si="30"/>
        <v>10.516672200431067</v>
      </c>
      <c r="I594" s="93">
        <f t="shared" si="30"/>
        <v>11.831637666959082</v>
      </c>
      <c r="J594" s="93">
        <f t="shared" si="30"/>
        <v>12.964540109890315</v>
      </c>
      <c r="K594" s="93">
        <f t="shared" si="30"/>
        <v>13.940654212708257</v>
      </c>
      <c r="L594" s="93">
        <f t="shared" si="30"/>
        <v>14.781738250748703</v>
      </c>
      <c r="M594" s="181"/>
    </row>
    <row r="595" spans="1:13" x14ac:dyDescent="0.2">
      <c r="A595" s="417"/>
      <c r="B595" s="469" t="s">
        <v>547</v>
      </c>
      <c r="D595" s="93">
        <f>D593-D594</f>
        <v>17.274015737392705</v>
      </c>
      <c r="E595" s="93">
        <f t="shared" ref="E595:L595" si="31">E593-E594</f>
        <v>14.885727989629398</v>
      </c>
      <c r="F595" s="93">
        <f t="shared" si="31"/>
        <v>12.828643729443655</v>
      </c>
      <c r="G595" s="93">
        <f t="shared" si="31"/>
        <v>11.056720960405752</v>
      </c>
      <c r="H595" s="93">
        <f t="shared" si="31"/>
        <v>9.5303315799245354</v>
      </c>
      <c r="I595" s="93">
        <f t="shared" si="31"/>
        <v>8.2153661133965201</v>
      </c>
      <c r="J595" s="93">
        <f t="shared" si="31"/>
        <v>7.0824636704652875</v>
      </c>
      <c r="K595" s="93">
        <f t="shared" si="31"/>
        <v>6.1063495676473458</v>
      </c>
      <c r="L595" s="93">
        <f t="shared" si="31"/>
        <v>5.2652655296069</v>
      </c>
      <c r="M595" s="181"/>
    </row>
    <row r="596" spans="1:13" x14ac:dyDescent="0.2">
      <c r="A596" s="417"/>
      <c r="B596" s="313" t="s">
        <v>333</v>
      </c>
      <c r="D596" s="93">
        <v>0</v>
      </c>
      <c r="E596" s="93">
        <v>0</v>
      </c>
      <c r="F596" s="93">
        <v>2</v>
      </c>
      <c r="G596" s="93">
        <v>4</v>
      </c>
      <c r="H596" s="93">
        <v>7</v>
      </c>
      <c r="I596" s="93">
        <v>10</v>
      </c>
      <c r="J596" s="93">
        <v>14</v>
      </c>
      <c r="K596" s="93">
        <v>20</v>
      </c>
      <c r="L596" s="93">
        <v>25</v>
      </c>
      <c r="M596" s="181"/>
    </row>
    <row r="597" spans="1:13" x14ac:dyDescent="0.2">
      <c r="A597" s="417"/>
      <c r="B597" s="313"/>
      <c r="H597" s="93"/>
      <c r="M597" s="181"/>
    </row>
    <row r="598" spans="1:13" x14ac:dyDescent="0.2">
      <c r="A598" s="417"/>
      <c r="B598" s="469" t="s">
        <v>687</v>
      </c>
      <c r="D598" s="147"/>
      <c r="E598" s="147"/>
      <c r="F598" s="147"/>
      <c r="G598" s="147"/>
      <c r="H598" s="147"/>
      <c r="M598" s="181"/>
    </row>
    <row r="599" spans="1:13" x14ac:dyDescent="0.2">
      <c r="A599" s="417"/>
      <c r="B599" s="313" t="s">
        <v>415</v>
      </c>
      <c r="D599" s="93">
        <f>(BASICS!E32/330*10)+(BASICS!E33/330*20)</f>
        <v>2.2764347826086953</v>
      </c>
      <c r="E599" s="93">
        <f>(BASICS!F32/330*10)+(BASICS!F33/330*20)</f>
        <v>2.4661376811594202</v>
      </c>
      <c r="F599" s="93">
        <f>(BASICS!G32/330*10)+(BASICS!G33/330*20)</f>
        <v>2.6558405797101452</v>
      </c>
      <c r="G599" s="93">
        <f>(BASICS!H32/330*10)+(BASICS!H33/330*20)</f>
        <v>2.8455434782608702</v>
      </c>
      <c r="H599" s="93">
        <f>(BASICS!I32/330*10)+(BASICS!I33/330*20)</f>
        <v>3.0352463768115951</v>
      </c>
      <c r="I599" s="93">
        <f>(BASICS!J32/330*10)+(BASICS!J33/330*20)</f>
        <v>3.2249492753623192</v>
      </c>
      <c r="J599" s="93">
        <f>(BASICS!K32/330*10)+(BASICS!K33/330*20)</f>
        <v>3.4146521739130447</v>
      </c>
      <c r="K599" s="93">
        <f>(BASICS!L32/330*10)+(BASICS!L33/330*20)</f>
        <v>3.6043550724637692</v>
      </c>
      <c r="L599" s="93">
        <f>(BASICS!M32/330*10)+(BASICS!M33/330*20)</f>
        <v>3.7940579710144933</v>
      </c>
      <c r="M599" s="181"/>
    </row>
    <row r="600" spans="1:13" x14ac:dyDescent="0.2">
      <c r="A600" s="417"/>
      <c r="B600" s="313" t="s">
        <v>461</v>
      </c>
      <c r="C600" s="244"/>
      <c r="D600" s="93">
        <f>CMA!H251</f>
        <v>0.2392173913043478</v>
      </c>
      <c r="E600" s="93">
        <f>CMA!I251</f>
        <v>0.25915217391304346</v>
      </c>
      <c r="F600" s="93">
        <f>CMA!J251</f>
        <v>0.27908695652173915</v>
      </c>
      <c r="G600" s="93">
        <f>CMA!K251</f>
        <v>0.29902173913043484</v>
      </c>
      <c r="H600" s="93">
        <f>CMA!L251</f>
        <v>0.31895652173913047</v>
      </c>
      <c r="I600" s="93">
        <f>CMA!M251</f>
        <v>0.33889130434782616</v>
      </c>
      <c r="J600" s="93">
        <f>CMA!N251</f>
        <v>0.35882608695652185</v>
      </c>
      <c r="K600" s="93">
        <f>CMA!O251</f>
        <v>0.37876086956521748</v>
      </c>
      <c r="L600" s="93">
        <f>CMA!P251</f>
        <v>0.39869565217391312</v>
      </c>
      <c r="M600" s="181"/>
    </row>
    <row r="601" spans="1:13" x14ac:dyDescent="0.2">
      <c r="A601" s="417"/>
      <c r="B601" s="313" t="s">
        <v>244</v>
      </c>
      <c r="C601" s="244"/>
      <c r="D601" s="93">
        <f>CMA!H258</f>
        <v>1.8643636363636366E-2</v>
      </c>
      <c r="E601" s="93">
        <f>CMA!I258</f>
        <v>2.019727272727273E-2</v>
      </c>
      <c r="F601" s="93">
        <f>CMA!J258</f>
        <v>2.1750909090909095E-2</v>
      </c>
      <c r="G601" s="93">
        <f>CMA!K258</f>
        <v>2.330454545454546E-2</v>
      </c>
      <c r="H601" s="93">
        <f>CMA!L258</f>
        <v>2.4858181818181824E-2</v>
      </c>
      <c r="I601" s="93">
        <f>CMA!M258</f>
        <v>2.6411818181818193E-2</v>
      </c>
      <c r="J601" s="93">
        <f>CMA!N258</f>
        <v>2.7965454545454557E-2</v>
      </c>
      <c r="K601" s="93">
        <f>CMA!O258</f>
        <v>2.9519090909090925E-2</v>
      </c>
      <c r="L601" s="93">
        <f>CMA!P258</f>
        <v>3.1072727272727287E-2</v>
      </c>
      <c r="M601" s="181"/>
    </row>
    <row r="602" spans="1:13" x14ac:dyDescent="0.2">
      <c r="A602" s="417"/>
      <c r="B602" s="313" t="s">
        <v>701</v>
      </c>
      <c r="C602" s="244"/>
      <c r="D602" s="93">
        <f ca="1">D551/330*7</f>
        <v>1.6015352813613433</v>
      </c>
      <c r="E602" s="93">
        <f t="shared" ref="E602:L602" ca="1" si="32">E551/330*7</f>
        <v>1.7615623722935023</v>
      </c>
      <c r="F602" s="93">
        <f t="shared" ca="1" si="32"/>
        <v>1.8864568571806342</v>
      </c>
      <c r="G602" s="93">
        <f t="shared" ca="1" si="32"/>
        <v>2.0112976159860652</v>
      </c>
      <c r="H602" s="93">
        <f t="shared" ca="1" si="32"/>
        <v>2.1373022875822842</v>
      </c>
      <c r="I602" s="93">
        <f t="shared" ca="1" si="32"/>
        <v>2.2641744164532556</v>
      </c>
      <c r="J602" s="93">
        <f t="shared" ca="1" si="32"/>
        <v>2.3920189489286297</v>
      </c>
      <c r="K602" s="93">
        <f t="shared" ca="1" si="32"/>
        <v>2.5201334249629914</v>
      </c>
      <c r="L602" s="93">
        <f t="shared" ca="1" si="32"/>
        <v>2.6490580505301256</v>
      </c>
      <c r="M602" s="181"/>
    </row>
    <row r="603" spans="1:13" x14ac:dyDescent="0.2">
      <c r="A603" s="417"/>
      <c r="B603" s="313" t="s">
        <v>842</v>
      </c>
      <c r="C603" s="244"/>
      <c r="D603" s="93">
        <f ca="1">CMA!H253</f>
        <v>0.35</v>
      </c>
      <c r="E603" s="93">
        <f ca="1">CMA!I253</f>
        <v>0.38</v>
      </c>
      <c r="F603" s="93">
        <f ca="1">CMA!J253</f>
        <v>0.4</v>
      </c>
      <c r="G603" s="93">
        <f ca="1">CMA!K253</f>
        <v>0.43</v>
      </c>
      <c r="H603" s="93">
        <f ca="1">CMA!L253</f>
        <v>0.46</v>
      </c>
      <c r="I603" s="93">
        <f ca="1">CMA!M253</f>
        <v>0.49</v>
      </c>
      <c r="J603" s="93">
        <f ca="1">CMA!N253</f>
        <v>0.51</v>
      </c>
      <c r="K603" s="93">
        <f ca="1">CMA!O253</f>
        <v>0.54</v>
      </c>
      <c r="L603" s="93">
        <f ca="1">CMA!P253</f>
        <v>0.56999999999999995</v>
      </c>
      <c r="M603" s="181"/>
    </row>
    <row r="604" spans="1:13" x14ac:dyDescent="0.2">
      <c r="A604" s="417"/>
      <c r="B604" s="313" t="s">
        <v>416</v>
      </c>
      <c r="C604" s="244"/>
      <c r="D604" s="93">
        <f>CMA!H259</f>
        <v>0.216</v>
      </c>
      <c r="E604" s="93">
        <f>CMA!I259</f>
        <v>0.23399999999999999</v>
      </c>
      <c r="F604" s="93">
        <f>CMA!J259</f>
        <v>0.25200000000000006</v>
      </c>
      <c r="G604" s="93">
        <f>CMA!K259</f>
        <v>0.27</v>
      </c>
      <c r="H604" s="93">
        <f>CMA!L259</f>
        <v>0.28800000000000009</v>
      </c>
      <c r="I604" s="93">
        <f>CMA!M259</f>
        <v>0.30600000000000005</v>
      </c>
      <c r="J604" s="93">
        <f>CMA!N259</f>
        <v>0.32400000000000007</v>
      </c>
      <c r="K604" s="93">
        <f>CMA!O259</f>
        <v>0.34200000000000008</v>
      </c>
      <c r="L604" s="93">
        <f>CMA!P259</f>
        <v>0.36000000000000004</v>
      </c>
      <c r="M604" s="181"/>
    </row>
    <row r="605" spans="1:13" x14ac:dyDescent="0.2">
      <c r="A605" s="417"/>
      <c r="B605" s="313" t="s">
        <v>218</v>
      </c>
      <c r="D605" s="93">
        <f ca="1">CMA!H242</f>
        <v>2.4619502465753422</v>
      </c>
      <c r="E605" s="93">
        <v>2.7204677260273975</v>
      </c>
      <c r="F605" s="93">
        <v>2.9300764931506853</v>
      </c>
      <c r="G605" s="93">
        <v>3.1396852602739727</v>
      </c>
      <c r="H605" s="93">
        <v>3.3492940273972609</v>
      </c>
      <c r="I605" s="93">
        <v>3.5589027945205483</v>
      </c>
      <c r="J605" s="93">
        <v>3.7685115616438365</v>
      </c>
      <c r="K605" s="93">
        <v>3.9781203287671247</v>
      </c>
      <c r="L605" s="93">
        <v>4.1877290958904121</v>
      </c>
      <c r="M605" s="181"/>
    </row>
    <row r="606" spans="1:13" x14ac:dyDescent="0.2">
      <c r="A606" s="417"/>
      <c r="B606" s="313" t="s">
        <v>689</v>
      </c>
      <c r="D606" s="93">
        <f ca="1">D665</f>
        <v>0.41949303113803538</v>
      </c>
      <c r="E606" s="93">
        <f t="shared" ref="E606:L606" ca="1" si="33">E665</f>
        <v>1.2190499495024429</v>
      </c>
      <c r="F606" s="93">
        <f t="shared" ca="1" si="33"/>
        <v>1.1975073173740345</v>
      </c>
      <c r="G606" s="93">
        <f t="shared" ca="1" si="33"/>
        <v>1.5357273242683966</v>
      </c>
      <c r="H606" s="93">
        <f t="shared" ca="1" si="33"/>
        <v>0.89512200275991116</v>
      </c>
      <c r="I606" s="93">
        <f t="shared" ca="1" si="33"/>
        <v>1.3005701441000355</v>
      </c>
      <c r="J606" s="93">
        <f t="shared" ca="1" si="33"/>
        <v>0.78490842017898732</v>
      </c>
      <c r="K606" s="93">
        <f t="shared" ca="1" si="33"/>
        <v>1.7159509516073905</v>
      </c>
      <c r="L606" s="93">
        <f t="shared" ca="1" si="33"/>
        <v>1.0439429823450412</v>
      </c>
      <c r="M606" s="181"/>
    </row>
    <row r="607" spans="1:13" x14ac:dyDescent="0.2">
      <c r="A607" s="417"/>
      <c r="B607" s="313" t="s">
        <v>810</v>
      </c>
      <c r="D607" s="93">
        <f>CMA!H261</f>
        <v>3</v>
      </c>
      <c r="E607" s="93">
        <v>5</v>
      </c>
      <c r="F607" s="93">
        <v>6</v>
      </c>
      <c r="G607" s="93">
        <v>7</v>
      </c>
      <c r="H607" s="93">
        <v>8</v>
      </c>
      <c r="I607" s="93">
        <v>8</v>
      </c>
      <c r="J607" s="93">
        <v>8</v>
      </c>
      <c r="K607" s="93">
        <v>5</v>
      </c>
      <c r="L607" s="93">
        <v>6</v>
      </c>
    </row>
    <row r="608" spans="1:13" x14ac:dyDescent="0.2">
      <c r="A608" s="417"/>
      <c r="B608" s="194" t="s">
        <v>958</v>
      </c>
      <c r="D608" s="93">
        <f ca="1">D588</f>
        <v>0.28432129496886005</v>
      </c>
      <c r="E608" s="93">
        <f t="shared" ref="E608:L608" ca="1" si="34">E588</f>
        <v>0.48137107491666109</v>
      </c>
      <c r="F608" s="93">
        <f t="shared" ca="1" si="34"/>
        <v>0.70394791232315168</v>
      </c>
      <c r="G608" s="93">
        <f t="shared" ca="1" si="34"/>
        <v>0.9282173042086268</v>
      </c>
      <c r="H608" s="93">
        <f t="shared" ca="1" si="34"/>
        <v>1.1406124524880144</v>
      </c>
      <c r="I608" s="93">
        <f t="shared" ca="1" si="34"/>
        <v>1.3523427194837474</v>
      </c>
      <c r="J608" s="93">
        <f t="shared" ca="1" si="34"/>
        <v>1.5556603286499131</v>
      </c>
      <c r="K608" s="93">
        <f t="shared" ca="1" si="34"/>
        <v>1.7583892857109396</v>
      </c>
      <c r="L608" s="93">
        <f t="shared" ca="1" si="34"/>
        <v>1.9465660243875629</v>
      </c>
      <c r="M608" s="181"/>
    </row>
    <row r="609" spans="1:13" x14ac:dyDescent="0.2">
      <c r="A609" s="417"/>
      <c r="B609" s="313" t="s">
        <v>708</v>
      </c>
      <c r="D609" s="93">
        <f ca="1">CMA!H263</f>
        <v>1.6046639999999999</v>
      </c>
      <c r="E609" s="93">
        <v>1.7731620000000001</v>
      </c>
      <c r="F609" s="93">
        <v>1.9097820000000001</v>
      </c>
      <c r="G609" s="93">
        <v>2.0464020000000001</v>
      </c>
      <c r="H609" s="93">
        <v>2.1830220000000007</v>
      </c>
      <c r="I609" s="93">
        <v>2.3196420000000004</v>
      </c>
      <c r="J609" s="93">
        <v>2.4562620000000006</v>
      </c>
      <c r="K609" s="93">
        <v>2.5928820000000008</v>
      </c>
      <c r="L609" s="93">
        <v>2.7295020000000005</v>
      </c>
      <c r="M609" s="181"/>
    </row>
    <row r="610" spans="1:13" x14ac:dyDescent="0.2">
      <c r="A610" s="417"/>
      <c r="B610" s="313" t="s">
        <v>811</v>
      </c>
      <c r="D610" s="93">
        <f>L431-D562</f>
        <v>5.6000000000000008E-2</v>
      </c>
      <c r="E610" s="93">
        <f>D610-E562</f>
        <v>4.200000000000001E-2</v>
      </c>
      <c r="F610" s="93">
        <f t="shared" ref="F610:L610" si="35">E610-F562</f>
        <v>2.8000000000000008E-2</v>
      </c>
      <c r="G610" s="93">
        <f t="shared" si="35"/>
        <v>1.4000000000000005E-2</v>
      </c>
      <c r="H610" s="93">
        <f t="shared" si="35"/>
        <v>0</v>
      </c>
      <c r="I610" s="93">
        <f t="shared" si="35"/>
        <v>0</v>
      </c>
      <c r="J610" s="93">
        <f t="shared" si="35"/>
        <v>0</v>
      </c>
      <c r="K610" s="93">
        <f t="shared" si="35"/>
        <v>0</v>
      </c>
      <c r="L610" s="93">
        <f t="shared" si="35"/>
        <v>0</v>
      </c>
      <c r="M610" s="181"/>
    </row>
    <row r="611" spans="1:13" x14ac:dyDescent="0.2">
      <c r="A611" s="417"/>
      <c r="B611" s="313" t="s">
        <v>957</v>
      </c>
      <c r="D611" s="93">
        <v>0.33</v>
      </c>
      <c r="E611" s="93">
        <v>0.33</v>
      </c>
      <c r="F611" s="93">
        <v>0.33</v>
      </c>
      <c r="G611" s="93">
        <v>0.33</v>
      </c>
      <c r="H611" s="93">
        <v>0.33</v>
      </c>
      <c r="I611" s="93">
        <v>0.33</v>
      </c>
      <c r="J611" s="93">
        <v>0.33</v>
      </c>
      <c r="K611" s="93">
        <v>0.33</v>
      </c>
      <c r="L611" s="93">
        <v>0.33</v>
      </c>
      <c r="M611" s="181"/>
    </row>
    <row r="612" spans="1:13" x14ac:dyDescent="0.2">
      <c r="A612" s="417"/>
      <c r="B612" s="154" t="s">
        <v>454</v>
      </c>
      <c r="C612" s="149"/>
      <c r="D612" s="687">
        <f ca="1">SUM(D595:D611)</f>
        <v>30.132275401712963</v>
      </c>
      <c r="E612" s="687">
        <f t="shared" ref="E612:L612" ca="1" si="36">SUM(E595:E611)</f>
        <v>31.572828240169141</v>
      </c>
      <c r="F612" s="687">
        <f t="shared" ca="1" si="36"/>
        <v>33.423092754794943</v>
      </c>
      <c r="G612" s="687">
        <f t="shared" ca="1" si="36"/>
        <v>35.929920227988667</v>
      </c>
      <c r="H612" s="687">
        <f t="shared" ca="1" si="36"/>
        <v>38.692745430520915</v>
      </c>
      <c r="I612" s="687">
        <f t="shared" ca="1" si="36"/>
        <v>41.727250585846065</v>
      </c>
      <c r="J612" s="687">
        <f t="shared" ca="1" si="36"/>
        <v>45.005268645281681</v>
      </c>
      <c r="K612" s="687">
        <f t="shared" ca="1" si="36"/>
        <v>48.896460591633868</v>
      </c>
      <c r="L612" s="687">
        <f t="shared" ca="1" si="36"/>
        <v>54.305890033221182</v>
      </c>
      <c r="M612" s="206"/>
    </row>
    <row r="613" spans="1:13" x14ac:dyDescent="0.2">
      <c r="A613" s="420"/>
      <c r="D613" s="315">
        <f ca="1">SUM(D599:D609)-D607-D609-D606</f>
        <v>7.4481026331822253</v>
      </c>
      <c r="E613" s="315">
        <f t="shared" ref="E613:L613" ca="1" si="37">SUM(E599:E609)-E607-E609-E606</f>
        <v>8.3228883010372972</v>
      </c>
      <c r="F613" s="315">
        <f t="shared" ca="1" si="37"/>
        <v>9.1291597079772675</v>
      </c>
      <c r="G613" s="315">
        <f t="shared" ca="1" si="37"/>
        <v>9.9470699433145171</v>
      </c>
      <c r="H613" s="315">
        <f t="shared" ca="1" si="37"/>
        <v>10.754269847836465</v>
      </c>
      <c r="I613" s="315">
        <f t="shared" ca="1" si="37"/>
        <v>11.561672328349514</v>
      </c>
      <c r="J613" s="315">
        <f t="shared" ca="1" si="37"/>
        <v>12.3516345546374</v>
      </c>
      <c r="K613" s="315">
        <f t="shared" ca="1" si="37"/>
        <v>13.151278072379132</v>
      </c>
      <c r="L613" s="315">
        <f t="shared" ca="1" si="37"/>
        <v>13.937179521269233</v>
      </c>
      <c r="M613" s="443"/>
    </row>
    <row r="614" spans="1:13" x14ac:dyDescent="0.2">
      <c r="A614" s="420"/>
      <c r="D614" s="315">
        <f ca="1">SUM(D587:D589)+D585+D584</f>
        <v>8.4611907418076058</v>
      </c>
      <c r="E614" s="315">
        <f t="shared" ref="E614:L614" ca="1" si="38">SUM(E587:E589)+E585+E584</f>
        <v>9.3473262728080986</v>
      </c>
      <c r="F614" s="315">
        <f t="shared" ca="1" si="38"/>
        <v>10.004006544642248</v>
      </c>
      <c r="G614" s="315">
        <f t="shared" ca="1" si="38"/>
        <v>11.02232871493549</v>
      </c>
      <c r="H614" s="315">
        <f t="shared" ca="1" si="38"/>
        <v>12.029874045111104</v>
      </c>
      <c r="I614" s="315">
        <f t="shared" ca="1" si="38"/>
        <v>13.037572382290687</v>
      </c>
      <c r="J614" s="315">
        <f t="shared" ca="1" si="38"/>
        <v>13.677774899324854</v>
      </c>
      <c r="K614" s="315">
        <f t="shared" ca="1" si="38"/>
        <v>13.357643282466643</v>
      </c>
      <c r="L614" s="315">
        <f t="shared" ca="1" si="38"/>
        <v>12.783723302497782</v>
      </c>
      <c r="M614" s="181"/>
    </row>
    <row r="615" spans="1:13" x14ac:dyDescent="0.2">
      <c r="A615" s="420"/>
      <c r="D615" s="315">
        <f ca="1">D613-D614</f>
        <v>-1.0130881086253805</v>
      </c>
      <c r="E615" s="315">
        <f t="shared" ref="E615:L615" ca="1" si="39">E613-E614</f>
        <v>-1.0244379717708014</v>
      </c>
      <c r="F615" s="315">
        <f t="shared" ca="1" si="39"/>
        <v>-0.87484683666498064</v>
      </c>
      <c r="G615" s="315">
        <f t="shared" ca="1" si="39"/>
        <v>-1.0752587716209732</v>
      </c>
      <c r="H615" s="315">
        <f t="shared" ca="1" si="39"/>
        <v>-1.2756041972746388</v>
      </c>
      <c r="I615" s="315">
        <f t="shared" ca="1" si="39"/>
        <v>-1.4759000539411726</v>
      </c>
      <c r="J615" s="315">
        <f t="shared" ca="1" si="39"/>
        <v>-1.3261403446874542</v>
      </c>
      <c r="K615" s="315">
        <f t="shared" ca="1" si="39"/>
        <v>-0.20636521008751174</v>
      </c>
      <c r="L615" s="315">
        <f t="shared" ca="1" si="39"/>
        <v>1.153456218771451</v>
      </c>
      <c r="M615" s="315"/>
    </row>
    <row r="616" spans="1:13" x14ac:dyDescent="0.2">
      <c r="A616" s="420"/>
      <c r="D616" s="315"/>
      <c r="E616" s="315">
        <f ca="1">E615-D615</f>
        <v>-1.1349863145420969E-2</v>
      </c>
      <c r="F616" s="315">
        <f t="shared" ref="F616:L616" ca="1" si="40">F615-E615</f>
        <v>0.14959113510582078</v>
      </c>
      <c r="G616" s="315">
        <f t="shared" ca="1" si="40"/>
        <v>-0.20041193495599252</v>
      </c>
      <c r="H616" s="315">
        <f t="shared" ca="1" si="40"/>
        <v>-0.20034542565366564</v>
      </c>
      <c r="I616" s="315">
        <f t="shared" ca="1" si="40"/>
        <v>-0.20029585666653382</v>
      </c>
      <c r="J616" s="315">
        <f t="shared" ca="1" si="40"/>
        <v>0.1497597092537184</v>
      </c>
      <c r="K616" s="315">
        <f t="shared" ca="1" si="40"/>
        <v>1.1197751345999425</v>
      </c>
      <c r="L616" s="315">
        <f t="shared" ca="1" si="40"/>
        <v>1.3598214288589627</v>
      </c>
      <c r="M616" s="443"/>
    </row>
    <row r="617" spans="1:13" x14ac:dyDescent="0.2">
      <c r="A617" s="420"/>
      <c r="D617" s="315"/>
      <c r="E617" s="315"/>
      <c r="F617" s="315"/>
      <c r="G617" s="315"/>
      <c r="H617" s="315"/>
      <c r="I617" s="315"/>
      <c r="M617" s="181"/>
    </row>
    <row r="618" spans="1:13" x14ac:dyDescent="0.2">
      <c r="A618" s="420"/>
      <c r="D618" s="315"/>
      <c r="E618" s="315"/>
      <c r="F618" s="315"/>
      <c r="G618" s="315"/>
      <c r="H618" s="315"/>
      <c r="I618" s="315"/>
      <c r="M618" s="181"/>
    </row>
    <row r="619" spans="1:13" x14ac:dyDescent="0.2">
      <c r="A619" s="420"/>
      <c r="D619" s="315"/>
      <c r="E619" s="315"/>
      <c r="F619" s="315"/>
      <c r="G619" s="315"/>
      <c r="H619" s="315"/>
      <c r="I619" s="315"/>
      <c r="M619" s="181"/>
    </row>
    <row r="620" spans="1:13" x14ac:dyDescent="0.2">
      <c r="A620" s="420"/>
      <c r="D620" s="315"/>
      <c r="E620" s="315"/>
      <c r="F620" s="315"/>
      <c r="G620" s="315"/>
      <c r="H620" s="315"/>
      <c r="I620" s="315"/>
      <c r="M620" s="181"/>
    </row>
    <row r="621" spans="1:13" x14ac:dyDescent="0.2">
      <c r="A621" s="420"/>
      <c r="D621" s="315"/>
      <c r="E621" s="315"/>
      <c r="F621" s="315"/>
      <c r="G621" s="315"/>
      <c r="H621" s="315"/>
      <c r="I621" s="315"/>
      <c r="M621" s="181"/>
    </row>
    <row r="622" spans="1:13" x14ac:dyDescent="0.2">
      <c r="A622" s="420"/>
      <c r="D622" s="315"/>
      <c r="E622" s="315"/>
      <c r="F622" s="315"/>
      <c r="G622" s="315"/>
      <c r="H622" s="315"/>
      <c r="I622" s="315"/>
      <c r="M622" s="181"/>
    </row>
    <row r="623" spans="1:13" x14ac:dyDescent="0.2">
      <c r="A623" s="420"/>
      <c r="D623" s="315"/>
      <c r="E623" s="315"/>
      <c r="F623" s="315"/>
      <c r="G623" s="315"/>
      <c r="H623" s="315"/>
      <c r="I623" s="315"/>
      <c r="M623" s="181"/>
    </row>
    <row r="624" spans="1:13" x14ac:dyDescent="0.2">
      <c r="A624" s="420"/>
      <c r="D624" s="315"/>
      <c r="E624" s="315"/>
      <c r="F624" s="315"/>
      <c r="G624" s="315"/>
      <c r="H624" s="315"/>
      <c r="I624" s="315"/>
      <c r="M624" s="181"/>
    </row>
    <row r="625" spans="1:13" x14ac:dyDescent="0.2">
      <c r="A625" s="421"/>
      <c r="B625" s="245"/>
      <c r="C625" s="245"/>
      <c r="D625" s="316"/>
      <c r="E625" s="316"/>
      <c r="F625" s="316"/>
      <c r="G625" s="316"/>
      <c r="H625" s="316"/>
      <c r="I625" s="316"/>
      <c r="J625" s="245"/>
      <c r="K625" s="245"/>
      <c r="L625" s="245"/>
      <c r="M625" s="183"/>
    </row>
    <row r="626" spans="1:13" x14ac:dyDescent="0.2">
      <c r="A626" s="423"/>
      <c r="B626" s="201"/>
      <c r="C626" s="201"/>
      <c r="D626" s="444"/>
      <c r="E626" s="444"/>
      <c r="F626" s="444"/>
      <c r="G626" s="444"/>
      <c r="H626" s="444"/>
      <c r="I626" s="444"/>
      <c r="J626" s="201"/>
      <c r="K626" s="201"/>
      <c r="L626" s="201"/>
      <c r="M626" s="188"/>
    </row>
    <row r="627" spans="1:13" x14ac:dyDescent="0.2">
      <c r="A627" s="755" t="s">
        <v>843</v>
      </c>
      <c r="B627" s="756"/>
      <c r="C627" s="756"/>
      <c r="D627" s="756"/>
      <c r="E627" s="756"/>
      <c r="F627" s="756"/>
      <c r="G627" s="756"/>
      <c r="H627" s="756"/>
      <c r="I627" s="756"/>
      <c r="J627" s="756"/>
      <c r="K627" s="756"/>
      <c r="L627" s="756"/>
      <c r="M627" s="757"/>
    </row>
    <row r="628" spans="1:13" x14ac:dyDescent="0.2">
      <c r="A628" s="755" t="s">
        <v>845</v>
      </c>
      <c r="B628" s="756"/>
      <c r="C628" s="756"/>
      <c r="D628" s="756"/>
      <c r="E628" s="756"/>
      <c r="F628" s="756"/>
      <c r="G628" s="756"/>
      <c r="H628" s="756"/>
      <c r="I628" s="756"/>
      <c r="J628" s="756"/>
      <c r="K628" s="756"/>
      <c r="L628" s="756"/>
      <c r="M628" s="757"/>
    </row>
    <row r="629" spans="1:13" x14ac:dyDescent="0.2">
      <c r="A629" s="755" t="s">
        <v>844</v>
      </c>
      <c r="B629" s="756"/>
      <c r="C629" s="756"/>
      <c r="D629" s="756"/>
      <c r="E629" s="756"/>
      <c r="F629" s="756"/>
      <c r="G629" s="756"/>
      <c r="H629" s="756"/>
      <c r="I629" s="756"/>
      <c r="J629" s="756"/>
      <c r="K629" s="756"/>
      <c r="L629" s="756"/>
      <c r="M629" s="757"/>
    </row>
    <row r="630" spans="1:13" x14ac:dyDescent="0.2">
      <c r="A630" s="755" t="s">
        <v>1139</v>
      </c>
      <c r="B630" s="756"/>
      <c r="C630" s="756"/>
      <c r="D630" s="756"/>
      <c r="E630" s="756"/>
      <c r="F630" s="756"/>
      <c r="G630" s="756"/>
      <c r="H630" s="756"/>
      <c r="I630" s="756"/>
      <c r="J630" s="756"/>
      <c r="K630" s="756"/>
      <c r="L630" s="756"/>
      <c r="M630" s="757"/>
    </row>
    <row r="631" spans="1:13" x14ac:dyDescent="0.2">
      <c r="A631" s="755"/>
      <c r="B631" s="756"/>
      <c r="C631" s="756"/>
      <c r="D631" s="756"/>
      <c r="E631" s="756"/>
      <c r="F631" s="756"/>
      <c r="G631" s="756"/>
      <c r="H631" s="756"/>
      <c r="I631" s="756"/>
      <c r="J631" s="756"/>
      <c r="K631" s="756"/>
      <c r="M631" s="181"/>
    </row>
    <row r="632" spans="1:13" x14ac:dyDescent="0.2">
      <c r="A632" s="755"/>
      <c r="B632" s="756"/>
      <c r="C632" s="756"/>
      <c r="D632" s="756"/>
      <c r="E632" s="756"/>
      <c r="F632" s="756"/>
      <c r="G632" s="756"/>
      <c r="H632" s="756"/>
      <c r="I632" s="756"/>
      <c r="J632" s="756"/>
      <c r="K632" s="756"/>
      <c r="L632" s="756"/>
      <c r="M632" s="757"/>
    </row>
    <row r="633" spans="1:13" x14ac:dyDescent="0.2">
      <c r="A633" s="417"/>
      <c r="H633" s="300"/>
      <c r="M633" s="181"/>
    </row>
    <row r="634" spans="1:13" x14ac:dyDescent="0.2">
      <c r="A634" s="755" t="s">
        <v>992</v>
      </c>
      <c r="B634" s="756"/>
      <c r="C634" s="756"/>
      <c r="D634" s="756"/>
      <c r="E634" s="756"/>
      <c r="F634" s="756"/>
      <c r="G634" s="756"/>
      <c r="H634" s="756"/>
      <c r="I634" s="756"/>
      <c r="J634" s="756"/>
      <c r="K634" s="756"/>
      <c r="L634" s="756"/>
      <c r="M634" s="757"/>
    </row>
    <row r="635" spans="1:13" x14ac:dyDescent="0.2">
      <c r="A635" s="420" t="s">
        <v>441</v>
      </c>
      <c r="H635" s="300"/>
      <c r="M635" s="181"/>
    </row>
    <row r="636" spans="1:13" x14ac:dyDescent="0.2">
      <c r="A636" s="417"/>
      <c r="H636" s="300"/>
      <c r="M636" s="181"/>
    </row>
    <row r="637" spans="1:13" x14ac:dyDescent="0.2">
      <c r="A637" s="438"/>
      <c r="B637" s="97"/>
      <c r="C637" s="97"/>
      <c r="D637" s="309">
        <v>2024</v>
      </c>
      <c r="E637" s="309">
        <v>2025</v>
      </c>
      <c r="F637" s="309">
        <v>2026</v>
      </c>
      <c r="G637" s="309">
        <v>2027</v>
      </c>
      <c r="H637" s="309">
        <v>2028</v>
      </c>
      <c r="I637" s="309">
        <v>2029</v>
      </c>
      <c r="J637" s="309">
        <v>2030</v>
      </c>
      <c r="K637" s="309">
        <v>2031</v>
      </c>
      <c r="L637" s="309">
        <v>2032</v>
      </c>
      <c r="M637" s="396"/>
    </row>
    <row r="638" spans="1:13" x14ac:dyDescent="0.2">
      <c r="A638" s="417"/>
      <c r="G638" s="300"/>
      <c r="H638" s="93"/>
      <c r="M638" s="181"/>
    </row>
    <row r="639" spans="1:13" x14ac:dyDescent="0.2">
      <c r="A639" s="417"/>
      <c r="B639" s="238" t="s">
        <v>548</v>
      </c>
      <c r="G639" s="300"/>
      <c r="H639" s="93"/>
      <c r="M639" s="181"/>
    </row>
    <row r="640" spans="1:13" x14ac:dyDescent="0.2">
      <c r="A640" s="417"/>
      <c r="D640" s="315"/>
      <c r="E640" s="315"/>
      <c r="F640" s="315"/>
      <c r="G640" s="315"/>
      <c r="H640" s="315"/>
      <c r="I640" s="315"/>
      <c r="J640" s="315"/>
      <c r="K640" s="244"/>
      <c r="L640" s="244"/>
      <c r="M640" s="445"/>
    </row>
    <row r="641" spans="1:13" x14ac:dyDescent="0.2">
      <c r="A641" s="417"/>
      <c r="B641" s="148" t="s">
        <v>549</v>
      </c>
      <c r="D641" s="318">
        <f>(L40+L41)</f>
        <v>12</v>
      </c>
      <c r="E641" s="318">
        <v>0</v>
      </c>
      <c r="F641" s="318">
        <v>0</v>
      </c>
      <c r="G641" s="318">
        <v>0</v>
      </c>
      <c r="H641" s="318">
        <v>0</v>
      </c>
      <c r="I641" s="318">
        <v>0</v>
      </c>
      <c r="J641" s="318">
        <v>0</v>
      </c>
      <c r="K641" s="318">
        <v>0</v>
      </c>
      <c r="L641" s="318">
        <v>2.7755575615628914E-17</v>
      </c>
      <c r="M641" s="446"/>
    </row>
    <row r="642" spans="1:13" x14ac:dyDescent="0.2">
      <c r="A642" s="417"/>
      <c r="B642" s="148" t="s">
        <v>550</v>
      </c>
      <c r="D642" s="318">
        <f>L35</f>
        <v>6.6</v>
      </c>
      <c r="E642" s="318">
        <v>0</v>
      </c>
      <c r="F642" s="318">
        <v>0</v>
      </c>
      <c r="G642" s="318">
        <v>0</v>
      </c>
      <c r="H642" s="318">
        <v>0</v>
      </c>
      <c r="I642" s="318">
        <v>0</v>
      </c>
      <c r="J642" s="318">
        <v>0</v>
      </c>
      <c r="K642" s="318">
        <v>0</v>
      </c>
      <c r="L642" s="318">
        <v>0</v>
      </c>
      <c r="M642" s="446"/>
    </row>
    <row r="643" spans="1:13" x14ac:dyDescent="0.2">
      <c r="A643" s="417"/>
      <c r="B643" s="148" t="s">
        <v>500</v>
      </c>
      <c r="D643" s="315">
        <f>D566</f>
        <v>3.8740219601344514</v>
      </c>
      <c r="E643" s="315">
        <f t="shared" ref="E643:L643" si="41">E566</f>
        <v>4.0367050552189854</v>
      </c>
      <c r="F643" s="315">
        <f t="shared" si="41"/>
        <v>4.3446685029774113</v>
      </c>
      <c r="G643" s="315">
        <f t="shared" si="41"/>
        <v>4.7144280719383689</v>
      </c>
      <c r="H643" s="315">
        <f t="shared" si="41"/>
        <v>5.0956692528378538</v>
      </c>
      <c r="I643" s="315">
        <f t="shared" si="41"/>
        <v>5.5017722846735877</v>
      </c>
      <c r="J643" s="315">
        <f t="shared" si="41"/>
        <v>5.930717985332671</v>
      </c>
      <c r="K643" s="315">
        <f t="shared" si="41"/>
        <v>6.3874376660283474</v>
      </c>
      <c r="L643" s="315">
        <f t="shared" si="41"/>
        <v>6.8244334595966141</v>
      </c>
      <c r="M643" s="443"/>
    </row>
    <row r="644" spans="1:13" x14ac:dyDescent="0.2">
      <c r="A644" s="417"/>
      <c r="B644" s="148" t="s">
        <v>543</v>
      </c>
      <c r="D644" s="318">
        <f>L38</f>
        <v>3.0640507427337997</v>
      </c>
      <c r="E644" s="318">
        <v>0</v>
      </c>
      <c r="F644" s="318">
        <v>0</v>
      </c>
      <c r="G644" s="318">
        <v>0</v>
      </c>
      <c r="H644" s="318">
        <v>0</v>
      </c>
      <c r="I644" s="318">
        <v>0</v>
      </c>
      <c r="J644" s="318">
        <v>0</v>
      </c>
      <c r="K644" s="318">
        <v>0</v>
      </c>
      <c r="L644" s="318">
        <v>0</v>
      </c>
      <c r="M644" s="446"/>
    </row>
    <row r="645" spans="1:13" x14ac:dyDescent="0.2">
      <c r="A645" s="417"/>
      <c r="B645" s="148" t="s">
        <v>551</v>
      </c>
      <c r="D645" s="318">
        <f>D585</f>
        <v>2</v>
      </c>
      <c r="E645" s="318">
        <v>0</v>
      </c>
      <c r="F645" s="318">
        <v>0</v>
      </c>
      <c r="G645" s="318">
        <v>0</v>
      </c>
      <c r="H645" s="318">
        <v>0</v>
      </c>
      <c r="I645" s="318">
        <v>0</v>
      </c>
      <c r="J645" s="318">
        <v>0</v>
      </c>
      <c r="K645" s="318">
        <v>0</v>
      </c>
      <c r="L645" s="318">
        <v>0</v>
      </c>
      <c r="M645" s="446"/>
    </row>
    <row r="646" spans="1:13" x14ac:dyDescent="0.2">
      <c r="A646" s="417"/>
      <c r="B646" s="148"/>
      <c r="D646" s="318"/>
      <c r="E646" s="318"/>
      <c r="F646" s="318"/>
      <c r="G646" s="318"/>
      <c r="H646" s="318"/>
      <c r="I646" s="318"/>
      <c r="J646" s="318"/>
      <c r="K646" s="244"/>
      <c r="L646" s="244"/>
      <c r="M646" s="445"/>
    </row>
    <row r="647" spans="1:13" x14ac:dyDescent="0.2">
      <c r="A647" s="417"/>
      <c r="B647" s="143" t="s">
        <v>454</v>
      </c>
      <c r="D647" s="270">
        <f>SUM(D641:D646)</f>
        <v>27.538072702868256</v>
      </c>
      <c r="E647" s="270">
        <f t="shared" ref="E647:L647" si="42">SUM(E641:E646)</f>
        <v>4.0367050552189854</v>
      </c>
      <c r="F647" s="270">
        <f t="shared" si="42"/>
        <v>4.3446685029774113</v>
      </c>
      <c r="G647" s="270">
        <f t="shared" si="42"/>
        <v>4.7144280719383689</v>
      </c>
      <c r="H647" s="270">
        <f t="shared" si="42"/>
        <v>5.0956692528378538</v>
      </c>
      <c r="I647" s="270">
        <f t="shared" si="42"/>
        <v>5.5017722846735877</v>
      </c>
      <c r="J647" s="270">
        <f t="shared" si="42"/>
        <v>5.930717985332671</v>
      </c>
      <c r="K647" s="270">
        <f t="shared" si="42"/>
        <v>6.3874376660283474</v>
      </c>
      <c r="L647" s="270">
        <f t="shared" si="42"/>
        <v>6.8244334595966141</v>
      </c>
      <c r="M647" s="447"/>
    </row>
    <row r="648" spans="1:13" x14ac:dyDescent="0.2">
      <c r="A648" s="417"/>
      <c r="D648" s="315"/>
      <c r="E648" s="315"/>
      <c r="F648" s="315"/>
      <c r="G648" s="315"/>
      <c r="H648" s="315"/>
      <c r="I648" s="244"/>
      <c r="J648" s="244"/>
      <c r="K648" s="244"/>
      <c r="L648" s="244"/>
      <c r="M648" s="445"/>
    </row>
    <row r="649" spans="1:13" x14ac:dyDescent="0.2">
      <c r="A649" s="417"/>
      <c r="B649" s="238" t="s">
        <v>552</v>
      </c>
      <c r="D649" s="315"/>
      <c r="E649" s="315"/>
      <c r="F649" s="315"/>
      <c r="G649" s="315"/>
      <c r="H649" s="315"/>
      <c r="I649" s="244"/>
      <c r="J649" s="244"/>
      <c r="K649" s="244"/>
      <c r="L649" s="244"/>
      <c r="M649" s="445"/>
    </row>
    <row r="650" spans="1:13" x14ac:dyDescent="0.2">
      <c r="A650" s="417"/>
      <c r="B650" s="148"/>
      <c r="D650" s="315"/>
      <c r="E650" s="315"/>
      <c r="F650" s="315"/>
      <c r="G650" s="315"/>
      <c r="H650" s="315"/>
      <c r="I650" s="315"/>
      <c r="J650" s="315"/>
      <c r="K650" s="315"/>
      <c r="L650" s="315"/>
      <c r="M650" s="445"/>
    </row>
    <row r="651" spans="1:13" x14ac:dyDescent="0.2">
      <c r="A651" s="417"/>
      <c r="B651" s="148" t="s">
        <v>553</v>
      </c>
      <c r="D651" s="315">
        <f>BASICS!D180</f>
        <v>20.047003780355602</v>
      </c>
      <c r="E651" s="315">
        <v>0</v>
      </c>
      <c r="F651" s="315">
        <v>0</v>
      </c>
      <c r="G651" s="315">
        <v>0</v>
      </c>
      <c r="H651" s="315">
        <v>0</v>
      </c>
      <c r="I651" s="315">
        <v>0</v>
      </c>
      <c r="J651" s="315">
        <v>0</v>
      </c>
      <c r="K651" s="315">
        <v>0</v>
      </c>
      <c r="L651" s="315">
        <v>0</v>
      </c>
      <c r="M651" s="443"/>
    </row>
    <row r="652" spans="1:13" x14ac:dyDescent="0.2">
      <c r="A652" s="417"/>
      <c r="B652" s="148" t="s">
        <v>333</v>
      </c>
      <c r="D652" s="315">
        <f>D596-C596</f>
        <v>0</v>
      </c>
      <c r="E652" s="315">
        <f>E596-D596</f>
        <v>0</v>
      </c>
      <c r="F652" s="315">
        <f>F596-E596</f>
        <v>2</v>
      </c>
      <c r="G652" s="315">
        <f t="shared" ref="G652:L652" si="43">G596-F596</f>
        <v>2</v>
      </c>
      <c r="H652" s="315">
        <f t="shared" si="43"/>
        <v>3</v>
      </c>
      <c r="I652" s="315">
        <f t="shared" si="43"/>
        <v>3</v>
      </c>
      <c r="J652" s="315">
        <f t="shared" si="43"/>
        <v>4</v>
      </c>
      <c r="K652" s="315">
        <f t="shared" si="43"/>
        <v>6</v>
      </c>
      <c r="L652" s="315">
        <f t="shared" si="43"/>
        <v>5</v>
      </c>
      <c r="M652" s="443"/>
    </row>
    <row r="653" spans="1:13" x14ac:dyDescent="0.2">
      <c r="A653" s="417"/>
      <c r="B653" s="148" t="s">
        <v>554</v>
      </c>
      <c r="D653" s="315">
        <f ca="1">(SUM(D599:D605)+D608-SUM(D587:D589))-(SUM(C599:C605)+C608-SUM(C587:C589))</f>
        <v>1.7069118913746202</v>
      </c>
      <c r="E653" s="315">
        <f t="shared" ref="E653:L653" ca="1" si="44">(SUM(E599:E605)+E608-SUM(E587:E589))-(SUM(D599:D605)+D608-SUM(D587:D589))</f>
        <v>0.34865013685457757</v>
      </c>
      <c r="F653" s="315">
        <f t="shared" ca="1" si="44"/>
        <v>0.14959113510581989</v>
      </c>
      <c r="G653" s="315">
        <f t="shared" ca="1" si="44"/>
        <v>0.15958806504400691</v>
      </c>
      <c r="H653" s="315">
        <f t="shared" ca="1" si="44"/>
        <v>0.15965457434633912</v>
      </c>
      <c r="I653" s="315">
        <f t="shared" ca="1" si="44"/>
        <v>0.15970414333346383</v>
      </c>
      <c r="J653" s="315">
        <f t="shared" ca="1" si="44"/>
        <v>0.1497597092537184</v>
      </c>
      <c r="K653" s="315">
        <f t="shared" ca="1" si="44"/>
        <v>0.15977513459994341</v>
      </c>
      <c r="L653" s="315">
        <f t="shared" ca="1" si="44"/>
        <v>0.15982142885896344</v>
      </c>
      <c r="M653" s="443"/>
    </row>
    <row r="654" spans="1:13" x14ac:dyDescent="0.2">
      <c r="A654" s="417"/>
      <c r="B654" s="148" t="s">
        <v>502</v>
      </c>
      <c r="D654" s="315">
        <f>BASICS!E486</f>
        <v>0.36</v>
      </c>
      <c r="E654" s="315">
        <f>BASICS!F486</f>
        <v>0.72</v>
      </c>
      <c r="F654" s="315">
        <f>BASICS!G486</f>
        <v>1.08</v>
      </c>
      <c r="G654" s="315">
        <f>BASICS!H486</f>
        <v>1.08</v>
      </c>
      <c r="H654" s="315">
        <f>BASICS!I486</f>
        <v>1.44</v>
      </c>
      <c r="I654" s="315">
        <f>BASICS!J486</f>
        <v>1.7999999999999998</v>
      </c>
      <c r="J654" s="315">
        <f>BASICS!K486</f>
        <v>2.16</v>
      </c>
      <c r="K654" s="315">
        <f>BASICS!L486</f>
        <v>2.16</v>
      </c>
      <c r="L654" s="315">
        <f>BASICS!M486</f>
        <v>1.2000000000000002</v>
      </c>
      <c r="M654" s="443"/>
    </row>
    <row r="655" spans="1:13" x14ac:dyDescent="0.2">
      <c r="A655" s="417"/>
      <c r="B655" s="148" t="s">
        <v>348</v>
      </c>
      <c r="D655" s="315">
        <f>D607-C607</f>
        <v>3</v>
      </c>
      <c r="E655" s="315">
        <f t="shared" ref="E655:L655" si="45">E607-D607</f>
        <v>2</v>
      </c>
      <c r="F655" s="315">
        <f t="shared" si="45"/>
        <v>1</v>
      </c>
      <c r="G655" s="315">
        <f t="shared" si="45"/>
        <v>1</v>
      </c>
      <c r="H655" s="315">
        <f t="shared" si="45"/>
        <v>1</v>
      </c>
      <c r="I655" s="315">
        <f t="shared" si="45"/>
        <v>0</v>
      </c>
      <c r="J655" s="315">
        <f t="shared" si="45"/>
        <v>0</v>
      </c>
      <c r="K655" s="315">
        <f t="shared" si="45"/>
        <v>-3</v>
      </c>
      <c r="L655" s="315">
        <f t="shared" si="45"/>
        <v>1</v>
      </c>
      <c r="M655" s="443"/>
    </row>
    <row r="656" spans="1:13" x14ac:dyDescent="0.2">
      <c r="A656" s="417"/>
      <c r="B656" s="148" t="s">
        <v>708</v>
      </c>
      <c r="D656" s="315">
        <f ca="1">D609-C609</f>
        <v>1.6046639999999999</v>
      </c>
      <c r="E656" s="315">
        <f t="shared" ref="E656:L656" ca="1" si="46">E609-D609</f>
        <v>0.16849800000000026</v>
      </c>
      <c r="F656" s="315">
        <f t="shared" si="46"/>
        <v>0.13661999999999996</v>
      </c>
      <c r="G656" s="315">
        <f t="shared" si="46"/>
        <v>0.13661999999999996</v>
      </c>
      <c r="H656" s="315">
        <f t="shared" si="46"/>
        <v>0.13662000000000063</v>
      </c>
      <c r="I656" s="315">
        <f t="shared" si="46"/>
        <v>0.13661999999999974</v>
      </c>
      <c r="J656" s="315">
        <f t="shared" si="46"/>
        <v>0.13662000000000019</v>
      </c>
      <c r="K656" s="315">
        <f t="shared" si="46"/>
        <v>0.13662000000000019</v>
      </c>
      <c r="L656" s="315">
        <f t="shared" si="46"/>
        <v>0.13661999999999974</v>
      </c>
      <c r="M656" s="443"/>
    </row>
    <row r="657" spans="1:13" x14ac:dyDescent="0.2">
      <c r="A657" s="417"/>
      <c r="B657" s="148" t="s">
        <v>576</v>
      </c>
      <c r="D657" s="315">
        <v>7.0000000000000007E-2</v>
      </c>
      <c r="E657" s="315">
        <v>0</v>
      </c>
      <c r="F657" s="315">
        <v>0</v>
      </c>
      <c r="G657" s="315">
        <v>0</v>
      </c>
      <c r="H657" s="315">
        <v>0</v>
      </c>
      <c r="I657" s="315">
        <v>0</v>
      </c>
      <c r="J657" s="315">
        <v>0</v>
      </c>
      <c r="K657" s="315">
        <v>0</v>
      </c>
      <c r="L657" s="315">
        <v>0</v>
      </c>
      <c r="M657" s="443"/>
    </row>
    <row r="658" spans="1:13" x14ac:dyDescent="0.2">
      <c r="A658" s="417"/>
      <c r="B658" s="93" t="s">
        <v>957</v>
      </c>
      <c r="D658" s="319">
        <f>D611-C611</f>
        <v>0.33</v>
      </c>
      <c r="E658" s="319">
        <f t="shared" ref="E658:L658" si="47">E611-D611</f>
        <v>0</v>
      </c>
      <c r="F658" s="319">
        <f t="shared" si="47"/>
        <v>0</v>
      </c>
      <c r="G658" s="319">
        <f t="shared" si="47"/>
        <v>0</v>
      </c>
      <c r="H658" s="319">
        <f t="shared" si="47"/>
        <v>0</v>
      </c>
      <c r="I658" s="319">
        <f t="shared" si="47"/>
        <v>0</v>
      </c>
      <c r="J658" s="319">
        <f t="shared" si="47"/>
        <v>0</v>
      </c>
      <c r="K658" s="319">
        <f t="shared" si="47"/>
        <v>0</v>
      </c>
      <c r="L658" s="319">
        <f t="shared" si="47"/>
        <v>0</v>
      </c>
      <c r="M658" s="448"/>
    </row>
    <row r="659" spans="1:13" x14ac:dyDescent="0.2">
      <c r="A659" s="417"/>
      <c r="B659" s="143" t="s">
        <v>454</v>
      </c>
      <c r="D659" s="270">
        <f ca="1">SUM(D651:D658)</f>
        <v>27.11857967173022</v>
      </c>
      <c r="E659" s="270">
        <f t="shared" ref="E659:L659" ca="1" si="48">SUM(E651:E658)</f>
        <v>3.2371481368545778</v>
      </c>
      <c r="F659" s="270">
        <f t="shared" ca="1" si="48"/>
        <v>4.3662111351058197</v>
      </c>
      <c r="G659" s="270">
        <f t="shared" ca="1" si="48"/>
        <v>4.3762080650440067</v>
      </c>
      <c r="H659" s="270">
        <f t="shared" ca="1" si="48"/>
        <v>5.7362745743463393</v>
      </c>
      <c r="I659" s="270">
        <f t="shared" ca="1" si="48"/>
        <v>5.0963241433334634</v>
      </c>
      <c r="J659" s="270">
        <f t="shared" ca="1" si="48"/>
        <v>6.4463797092537192</v>
      </c>
      <c r="K659" s="270">
        <f t="shared" ca="1" si="48"/>
        <v>5.4563951345999442</v>
      </c>
      <c r="L659" s="270">
        <f t="shared" ca="1" si="48"/>
        <v>7.4964414288589634</v>
      </c>
      <c r="M659" s="447"/>
    </row>
    <row r="660" spans="1:13" x14ac:dyDescent="0.2">
      <c r="A660" s="417"/>
      <c r="D660" s="315"/>
      <c r="E660" s="315"/>
      <c r="F660" s="315"/>
      <c r="G660" s="315"/>
      <c r="H660" s="315"/>
      <c r="I660" s="244"/>
      <c r="J660" s="244"/>
      <c r="K660" s="244"/>
      <c r="L660" s="244"/>
      <c r="M660" s="445"/>
    </row>
    <row r="661" spans="1:13" x14ac:dyDescent="0.2">
      <c r="A661" s="417"/>
      <c r="B661" s="142" t="s">
        <v>555</v>
      </c>
      <c r="D661" s="270">
        <f ca="1">D647-D659</f>
        <v>0.41949303113803538</v>
      </c>
      <c r="E661" s="270">
        <f t="shared" ref="E661:L661" ca="1" si="49">E647-E659</f>
        <v>0.79955691836440757</v>
      </c>
      <c r="F661" s="270">
        <f t="shared" ca="1" si="49"/>
        <v>-2.1542632128408457E-2</v>
      </c>
      <c r="G661" s="270">
        <f t="shared" ca="1" si="49"/>
        <v>0.33822000689436216</v>
      </c>
      <c r="H661" s="270">
        <f t="shared" ca="1" si="49"/>
        <v>-0.64060532150848548</v>
      </c>
      <c r="I661" s="270">
        <f t="shared" ca="1" si="49"/>
        <v>0.4054481413401243</v>
      </c>
      <c r="J661" s="270">
        <f t="shared" ca="1" si="49"/>
        <v>-0.51566172392104814</v>
      </c>
      <c r="K661" s="270">
        <f t="shared" ca="1" si="49"/>
        <v>0.93104253142840321</v>
      </c>
      <c r="L661" s="270">
        <f t="shared" ca="1" si="49"/>
        <v>-0.67200796926234929</v>
      </c>
      <c r="M661" s="447"/>
    </row>
    <row r="662" spans="1:13" x14ac:dyDescent="0.2">
      <c r="A662" s="417"/>
      <c r="D662" s="315"/>
      <c r="E662" s="315"/>
      <c r="F662" s="315"/>
      <c r="G662" s="315"/>
      <c r="H662" s="315"/>
      <c r="I662" s="244"/>
      <c r="J662" s="244"/>
      <c r="K662" s="244"/>
      <c r="L662" s="244"/>
      <c r="M662" s="445"/>
    </row>
    <row r="663" spans="1:13" x14ac:dyDescent="0.2">
      <c r="A663" s="417"/>
      <c r="B663" s="142" t="s">
        <v>518</v>
      </c>
      <c r="D663" s="270">
        <v>0</v>
      </c>
      <c r="E663" s="270">
        <f ca="1">D665</f>
        <v>0.41949303113803538</v>
      </c>
      <c r="F663" s="270">
        <f t="shared" ref="F663:L663" ca="1" si="50">E665</f>
        <v>1.2190499495024429</v>
      </c>
      <c r="G663" s="270">
        <f t="shared" ca="1" si="50"/>
        <v>1.1975073173740345</v>
      </c>
      <c r="H663" s="270">
        <f t="shared" ca="1" si="50"/>
        <v>1.5357273242683966</v>
      </c>
      <c r="I663" s="270">
        <f t="shared" ca="1" si="50"/>
        <v>0.89512200275991116</v>
      </c>
      <c r="J663" s="270">
        <f t="shared" ca="1" si="50"/>
        <v>1.3005701441000355</v>
      </c>
      <c r="K663" s="270">
        <f t="shared" ca="1" si="50"/>
        <v>0.78490842017898732</v>
      </c>
      <c r="L663" s="270">
        <f t="shared" ca="1" si="50"/>
        <v>1.7159509516073905</v>
      </c>
      <c r="M663" s="447"/>
    </row>
    <row r="664" spans="1:13" x14ac:dyDescent="0.2">
      <c r="A664" s="417"/>
      <c r="D664" s="315"/>
      <c r="E664" s="315"/>
      <c r="F664" s="315"/>
      <c r="G664" s="315"/>
      <c r="H664" s="315"/>
      <c r="I664" s="244"/>
      <c r="J664" s="244"/>
      <c r="K664" s="244"/>
      <c r="L664" s="244"/>
      <c r="M664" s="445"/>
    </row>
    <row r="665" spans="1:13" x14ac:dyDescent="0.2">
      <c r="A665" s="417"/>
      <c r="B665" s="142" t="s">
        <v>556</v>
      </c>
      <c r="D665" s="270">
        <f ca="1">D663+D661</f>
        <v>0.41949303113803538</v>
      </c>
      <c r="E665" s="270">
        <f t="shared" ref="E665:L665" ca="1" si="51">E663+E661</f>
        <v>1.2190499495024429</v>
      </c>
      <c r="F665" s="270">
        <f t="shared" ca="1" si="51"/>
        <v>1.1975073173740345</v>
      </c>
      <c r="G665" s="270">
        <f t="shared" ca="1" si="51"/>
        <v>1.5357273242683966</v>
      </c>
      <c r="H665" s="270">
        <f t="shared" ca="1" si="51"/>
        <v>0.89512200275991116</v>
      </c>
      <c r="I665" s="270">
        <f t="shared" ca="1" si="51"/>
        <v>1.3005701441000355</v>
      </c>
      <c r="J665" s="270">
        <f t="shared" ca="1" si="51"/>
        <v>0.78490842017898732</v>
      </c>
      <c r="K665" s="270">
        <f t="shared" ca="1" si="51"/>
        <v>1.7159509516073905</v>
      </c>
      <c r="L665" s="270">
        <f t="shared" ca="1" si="51"/>
        <v>1.0439429823450412</v>
      </c>
      <c r="M665" s="447"/>
    </row>
    <row r="666" spans="1:13" x14ac:dyDescent="0.2">
      <c r="A666" s="420"/>
      <c r="H666" s="246"/>
      <c r="M666" s="181"/>
    </row>
    <row r="667" spans="1:13" x14ac:dyDescent="0.2">
      <c r="A667" s="417"/>
      <c r="H667" s="246"/>
      <c r="M667" s="181"/>
    </row>
    <row r="668" spans="1:13" x14ac:dyDescent="0.2">
      <c r="A668" s="417"/>
      <c r="H668" s="246"/>
      <c r="M668" s="181"/>
    </row>
    <row r="669" spans="1:13" x14ac:dyDescent="0.2">
      <c r="A669" s="417"/>
      <c r="H669" s="246"/>
      <c r="M669" s="181"/>
    </row>
    <row r="670" spans="1:13" x14ac:dyDescent="0.2">
      <c r="A670" s="417"/>
      <c r="H670" s="246"/>
      <c r="M670" s="181"/>
    </row>
    <row r="671" spans="1:13" x14ac:dyDescent="0.2">
      <c r="A671" s="417"/>
      <c r="H671" s="246"/>
      <c r="M671" s="181"/>
    </row>
    <row r="672" spans="1:13" x14ac:dyDescent="0.2">
      <c r="A672" s="417"/>
      <c r="H672" s="246"/>
      <c r="M672" s="181"/>
    </row>
    <row r="673" spans="1:13" x14ac:dyDescent="0.2">
      <c r="A673" s="417"/>
      <c r="H673" s="246"/>
      <c r="M673" s="181"/>
    </row>
    <row r="674" spans="1:13" x14ac:dyDescent="0.2">
      <c r="A674" s="417"/>
      <c r="H674" s="246"/>
      <c r="M674" s="181"/>
    </row>
    <row r="675" spans="1:13" x14ac:dyDescent="0.2">
      <c r="A675" s="417"/>
      <c r="H675" s="246"/>
      <c r="M675" s="181"/>
    </row>
    <row r="676" spans="1:13" x14ac:dyDescent="0.2">
      <c r="A676" s="417"/>
      <c r="H676" s="246"/>
      <c r="M676" s="181"/>
    </row>
    <row r="677" spans="1:13" x14ac:dyDescent="0.2">
      <c r="A677" s="417"/>
      <c r="H677" s="246"/>
      <c r="M677" s="181"/>
    </row>
    <row r="678" spans="1:13" x14ac:dyDescent="0.2">
      <c r="A678" s="417"/>
      <c r="H678" s="246"/>
      <c r="M678" s="181"/>
    </row>
    <row r="679" spans="1:13" x14ac:dyDescent="0.2">
      <c r="A679" s="449"/>
      <c r="B679" s="245"/>
      <c r="C679" s="245"/>
      <c r="D679" s="245"/>
      <c r="E679" s="245"/>
      <c r="F679" s="245"/>
      <c r="G679" s="245"/>
      <c r="H679" s="422"/>
      <c r="I679" s="245"/>
      <c r="J679" s="245"/>
      <c r="K679" s="245"/>
      <c r="L679" s="245"/>
      <c r="M679" s="183"/>
    </row>
    <row r="680" spans="1:13" x14ac:dyDescent="0.2">
      <c r="A680" s="450"/>
      <c r="B680" s="201"/>
      <c r="C680" s="201"/>
      <c r="D680" s="201"/>
      <c r="E680" s="201"/>
      <c r="F680" s="201"/>
      <c r="G680" s="201"/>
      <c r="H680" s="424"/>
      <c r="I680" s="201"/>
      <c r="J680" s="201"/>
      <c r="K680" s="201"/>
      <c r="L680" s="201"/>
      <c r="M680" s="188"/>
    </row>
    <row r="681" spans="1:13" x14ac:dyDescent="0.2">
      <c r="A681" s="417"/>
      <c r="H681" s="246"/>
      <c r="M681" s="181"/>
    </row>
    <row r="682" spans="1:13" x14ac:dyDescent="0.2">
      <c r="A682" s="417"/>
      <c r="H682" s="246"/>
      <c r="M682" s="181"/>
    </row>
    <row r="683" spans="1:13" x14ac:dyDescent="0.2">
      <c r="A683" s="755" t="s">
        <v>843</v>
      </c>
      <c r="B683" s="756"/>
      <c r="C683" s="756"/>
      <c r="D683" s="756"/>
      <c r="E683" s="756"/>
      <c r="F683" s="756"/>
      <c r="G683" s="756"/>
      <c r="H683" s="756"/>
      <c r="I683" s="756"/>
      <c r="J683" s="756"/>
      <c r="K683" s="756"/>
      <c r="L683" s="756"/>
      <c r="M683" s="757"/>
    </row>
    <row r="684" spans="1:13" x14ac:dyDescent="0.2">
      <c r="A684" s="755" t="s">
        <v>845</v>
      </c>
      <c r="B684" s="756"/>
      <c r="C684" s="756"/>
      <c r="D684" s="756"/>
      <c r="E684" s="756"/>
      <c r="F684" s="756"/>
      <c r="G684" s="756"/>
      <c r="H684" s="756"/>
      <c r="I684" s="756"/>
      <c r="J684" s="756"/>
      <c r="K684" s="756"/>
      <c r="L684" s="756"/>
      <c r="M684" s="757"/>
    </row>
    <row r="685" spans="1:13" x14ac:dyDescent="0.2">
      <c r="A685" s="755" t="s">
        <v>844</v>
      </c>
      <c r="B685" s="756"/>
      <c r="C685" s="756"/>
      <c r="D685" s="756"/>
      <c r="E685" s="756"/>
      <c r="F685" s="756"/>
      <c r="G685" s="756"/>
      <c r="H685" s="756"/>
      <c r="I685" s="756"/>
      <c r="J685" s="756"/>
      <c r="K685" s="756"/>
      <c r="L685" s="756"/>
      <c r="M685" s="757"/>
    </row>
    <row r="686" spans="1:13" x14ac:dyDescent="0.2">
      <c r="A686" s="755" t="s">
        <v>1139</v>
      </c>
      <c r="B686" s="756"/>
      <c r="C686" s="756"/>
      <c r="D686" s="756"/>
      <c r="E686" s="756"/>
      <c r="F686" s="756"/>
      <c r="G686" s="756"/>
      <c r="H686" s="756"/>
      <c r="I686" s="756"/>
      <c r="J686" s="756"/>
      <c r="K686" s="756"/>
      <c r="L686" s="756"/>
      <c r="M686" s="757"/>
    </row>
    <row r="687" spans="1:13" x14ac:dyDescent="0.2">
      <c r="A687" s="377"/>
      <c r="B687" s="283"/>
      <c r="C687" s="283"/>
      <c r="D687" s="283"/>
      <c r="E687" s="283"/>
      <c r="F687" s="283"/>
      <c r="G687" s="283"/>
      <c r="H687" s="283"/>
      <c r="I687" s="283"/>
      <c r="J687" s="283"/>
      <c r="K687" s="283"/>
      <c r="M687" s="181"/>
    </row>
    <row r="688" spans="1:13" x14ac:dyDescent="0.2">
      <c r="A688" s="377"/>
      <c r="B688" s="283"/>
      <c r="C688" s="283"/>
      <c r="D688" s="283"/>
      <c r="E688" s="283"/>
      <c r="F688" s="283"/>
      <c r="G688" s="283"/>
      <c r="H688" s="283"/>
      <c r="I688" s="283"/>
      <c r="J688" s="283"/>
      <c r="K688" s="283"/>
      <c r="M688" s="181"/>
    </row>
    <row r="689" spans="1:13" x14ac:dyDescent="0.2">
      <c r="A689" s="755"/>
      <c r="B689" s="756"/>
      <c r="C689" s="756"/>
      <c r="D689" s="756"/>
      <c r="E689" s="756"/>
      <c r="F689" s="756"/>
      <c r="G689" s="756"/>
      <c r="H689" s="756"/>
      <c r="I689" s="756"/>
      <c r="J689" s="756"/>
      <c r="K689" s="756"/>
      <c r="L689" s="756"/>
      <c r="M689" s="757"/>
    </row>
    <row r="690" spans="1:13" x14ac:dyDescent="0.2">
      <c r="A690" s="417"/>
      <c r="H690" s="246"/>
      <c r="M690" s="181"/>
    </row>
    <row r="691" spans="1:13" x14ac:dyDescent="0.2">
      <c r="A691" s="755" t="s">
        <v>993</v>
      </c>
      <c r="B691" s="756"/>
      <c r="C691" s="756"/>
      <c r="D691" s="756"/>
      <c r="E691" s="756"/>
      <c r="F691" s="756"/>
      <c r="G691" s="756"/>
      <c r="H691" s="756"/>
      <c r="I691" s="756"/>
      <c r="J691" s="756"/>
      <c r="K691" s="756"/>
      <c r="L691" s="756"/>
      <c r="M691" s="757"/>
    </row>
    <row r="692" spans="1:13" x14ac:dyDescent="0.2">
      <c r="A692" s="417"/>
      <c r="H692" s="246"/>
      <c r="M692" s="181"/>
    </row>
    <row r="693" spans="1:13" x14ac:dyDescent="0.2">
      <c r="A693" s="417"/>
      <c r="H693" s="246"/>
      <c r="M693" s="181"/>
    </row>
    <row r="694" spans="1:13" x14ac:dyDescent="0.2">
      <c r="A694" s="451" t="s">
        <v>442</v>
      </c>
      <c r="B694" s="139" t="s">
        <v>443</v>
      </c>
      <c r="C694" s="140"/>
      <c r="D694" s="151">
        <v>2024</v>
      </c>
      <c r="E694" s="151">
        <v>2025</v>
      </c>
      <c r="F694" s="151">
        <v>2026</v>
      </c>
      <c r="G694" s="151">
        <v>2027</v>
      </c>
      <c r="H694" s="151">
        <v>2028</v>
      </c>
      <c r="I694" s="151">
        <v>2029</v>
      </c>
      <c r="J694" s="151">
        <v>2030</v>
      </c>
      <c r="K694" s="151">
        <v>2031</v>
      </c>
      <c r="L694" s="151">
        <v>2032</v>
      </c>
      <c r="M694" s="396"/>
    </row>
    <row r="695" spans="1:13" x14ac:dyDescent="0.2">
      <c r="A695" s="419"/>
      <c r="B695" s="148"/>
      <c r="D695" s="147"/>
      <c r="E695" s="147"/>
      <c r="F695" s="147"/>
      <c r="G695" s="320"/>
      <c r="H695" s="147"/>
      <c r="I695" s="147"/>
      <c r="J695" s="147"/>
      <c r="M695" s="181"/>
    </row>
    <row r="696" spans="1:13" x14ac:dyDescent="0.2">
      <c r="A696" s="419" t="s">
        <v>446</v>
      </c>
      <c r="B696" s="148" t="s">
        <v>500</v>
      </c>
      <c r="D696" s="93">
        <f>D643</f>
        <v>3.8740219601344514</v>
      </c>
      <c r="E696" s="93">
        <f t="shared" ref="E696:L696" si="52">E643</f>
        <v>4.0367050552189854</v>
      </c>
      <c r="F696" s="93">
        <f t="shared" si="52"/>
        <v>4.3446685029774113</v>
      </c>
      <c r="G696" s="93">
        <f t="shared" si="52"/>
        <v>4.7144280719383689</v>
      </c>
      <c r="H696" s="93">
        <f t="shared" si="52"/>
        <v>5.0956692528378538</v>
      </c>
      <c r="I696" s="93">
        <f t="shared" si="52"/>
        <v>5.5017722846735877</v>
      </c>
      <c r="J696" s="93">
        <f t="shared" si="52"/>
        <v>5.930717985332671</v>
      </c>
      <c r="K696" s="93">
        <f t="shared" si="52"/>
        <v>6.3874376660283474</v>
      </c>
      <c r="L696" s="93">
        <f t="shared" si="52"/>
        <v>6.8244334595966141</v>
      </c>
      <c r="M696" s="181"/>
    </row>
    <row r="697" spans="1:13" x14ac:dyDescent="0.2">
      <c r="A697" s="419"/>
      <c r="B697" s="148"/>
      <c r="H697" s="315"/>
      <c r="M697" s="181"/>
    </row>
    <row r="698" spans="1:13" x14ac:dyDescent="0.2">
      <c r="A698" s="419" t="s">
        <v>447</v>
      </c>
      <c r="B698" s="148" t="s">
        <v>557</v>
      </c>
      <c r="D698" s="93">
        <f>D558</f>
        <v>1.0718999999999999</v>
      </c>
      <c r="E698" s="93">
        <f t="shared" ref="E698:L698" si="53">E558</f>
        <v>1.0152000000000001</v>
      </c>
      <c r="F698" s="93">
        <f t="shared" si="53"/>
        <v>0.93420000000000014</v>
      </c>
      <c r="G698" s="93">
        <f t="shared" si="53"/>
        <v>0.83700000000000085</v>
      </c>
      <c r="H698" s="93">
        <f t="shared" si="53"/>
        <v>0.72360000000000113</v>
      </c>
      <c r="I698" s="93">
        <f t="shared" si="53"/>
        <v>0.5778000000000012</v>
      </c>
      <c r="J698" s="93">
        <f t="shared" si="53"/>
        <v>0.39960000000000129</v>
      </c>
      <c r="K698" s="93">
        <f t="shared" si="53"/>
        <v>0.20520000000000113</v>
      </c>
      <c r="L698" s="93">
        <f t="shared" si="53"/>
        <v>2.7000000000001106E-2</v>
      </c>
      <c r="M698" s="181"/>
    </row>
    <row r="699" spans="1:13" x14ac:dyDescent="0.2">
      <c r="A699" s="419"/>
      <c r="B699" s="148"/>
      <c r="H699" s="315"/>
      <c r="M699" s="181"/>
    </row>
    <row r="700" spans="1:13" x14ac:dyDescent="0.2">
      <c r="A700" s="417"/>
      <c r="B700" s="142" t="s">
        <v>558</v>
      </c>
      <c r="D700" s="97">
        <f>SUM(D696:D698)</f>
        <v>4.9459219601344513</v>
      </c>
      <c r="E700" s="97">
        <f t="shared" ref="E700:L700" si="54">SUM(E696:E698)</f>
        <v>5.0519050552189855</v>
      </c>
      <c r="F700" s="97">
        <f t="shared" si="54"/>
        <v>5.2788685029774118</v>
      </c>
      <c r="G700" s="97">
        <f t="shared" si="54"/>
        <v>5.5514280719383695</v>
      </c>
      <c r="H700" s="97">
        <f t="shared" si="54"/>
        <v>5.8192692528378549</v>
      </c>
      <c r="I700" s="97">
        <f t="shared" si="54"/>
        <v>6.0795722846735885</v>
      </c>
      <c r="J700" s="97">
        <f t="shared" si="54"/>
        <v>6.3303179853326723</v>
      </c>
      <c r="K700" s="97">
        <f t="shared" si="54"/>
        <v>6.5926376660283488</v>
      </c>
      <c r="L700" s="97">
        <f t="shared" si="54"/>
        <v>6.8514334595966151</v>
      </c>
      <c r="M700" s="399"/>
    </row>
    <row r="701" spans="1:13" x14ac:dyDescent="0.2">
      <c r="A701" s="417"/>
      <c r="B701" s="148"/>
      <c r="H701" s="315"/>
      <c r="M701" s="181"/>
    </row>
    <row r="702" spans="1:13" x14ac:dyDescent="0.2">
      <c r="A702" s="419" t="s">
        <v>448</v>
      </c>
      <c r="B702" s="148" t="s">
        <v>559</v>
      </c>
      <c r="D702" s="93">
        <f>D654</f>
        <v>0.36</v>
      </c>
      <c r="E702" s="93">
        <f t="shared" ref="E702:L702" si="55">E654</f>
        <v>0.72</v>
      </c>
      <c r="F702" s="93">
        <f t="shared" si="55"/>
        <v>1.08</v>
      </c>
      <c r="G702" s="93">
        <f t="shared" si="55"/>
        <v>1.08</v>
      </c>
      <c r="H702" s="93">
        <f t="shared" si="55"/>
        <v>1.44</v>
      </c>
      <c r="I702" s="93">
        <f t="shared" si="55"/>
        <v>1.7999999999999998</v>
      </c>
      <c r="J702" s="93">
        <f t="shared" si="55"/>
        <v>2.16</v>
      </c>
      <c r="K702" s="93">
        <f t="shared" si="55"/>
        <v>2.16</v>
      </c>
      <c r="L702" s="93">
        <f t="shared" si="55"/>
        <v>1.2000000000000002</v>
      </c>
      <c r="M702" s="181"/>
    </row>
    <row r="703" spans="1:13" x14ac:dyDescent="0.2">
      <c r="A703" s="419"/>
      <c r="B703" s="148"/>
      <c r="H703" s="315"/>
      <c r="M703" s="181"/>
    </row>
    <row r="704" spans="1:13" x14ac:dyDescent="0.2">
      <c r="A704" s="419" t="s">
        <v>449</v>
      </c>
      <c r="B704" s="148" t="s">
        <v>557</v>
      </c>
      <c r="D704" s="93">
        <f>D698</f>
        <v>1.0718999999999999</v>
      </c>
      <c r="E704" s="93">
        <f t="shared" ref="E704:L704" si="56">E698</f>
        <v>1.0152000000000001</v>
      </c>
      <c r="F704" s="93">
        <f t="shared" si="56"/>
        <v>0.93420000000000014</v>
      </c>
      <c r="G704" s="93">
        <f t="shared" si="56"/>
        <v>0.83700000000000085</v>
      </c>
      <c r="H704" s="93">
        <f t="shared" si="56"/>
        <v>0.72360000000000113</v>
      </c>
      <c r="I704" s="93">
        <f t="shared" si="56"/>
        <v>0.5778000000000012</v>
      </c>
      <c r="J704" s="93">
        <f t="shared" si="56"/>
        <v>0.39960000000000129</v>
      </c>
      <c r="K704" s="93">
        <f t="shared" si="56"/>
        <v>0.20520000000000113</v>
      </c>
      <c r="L704" s="93">
        <f t="shared" si="56"/>
        <v>2.7000000000001106E-2</v>
      </c>
      <c r="M704" s="181"/>
    </row>
    <row r="705" spans="1:15" x14ac:dyDescent="0.2">
      <c r="A705" s="419"/>
      <c r="B705" s="148"/>
      <c r="H705" s="315"/>
      <c r="M705" s="181"/>
    </row>
    <row r="706" spans="1:15" x14ac:dyDescent="0.2">
      <c r="A706" s="417"/>
      <c r="B706" s="142" t="s">
        <v>560</v>
      </c>
      <c r="D706" s="97">
        <v>1.4319</v>
      </c>
      <c r="E706" s="97">
        <v>1.7351999999999999</v>
      </c>
      <c r="F706" s="97">
        <v>2.0142000000000007</v>
      </c>
      <c r="G706" s="97">
        <v>1.9170000000000011</v>
      </c>
      <c r="H706" s="97">
        <v>2.1636000000000006</v>
      </c>
      <c r="I706" s="97">
        <v>2.377800000000001</v>
      </c>
      <c r="J706" s="97">
        <v>2.5596000000000019</v>
      </c>
      <c r="K706" s="97">
        <v>2.3652000000000015</v>
      </c>
      <c r="L706" s="97">
        <v>1.227000000000001</v>
      </c>
      <c r="M706" s="399"/>
    </row>
    <row r="707" spans="1:15" x14ac:dyDescent="0.2">
      <c r="A707" s="417"/>
      <c r="B707" s="148"/>
      <c r="H707" s="315"/>
      <c r="M707" s="181"/>
    </row>
    <row r="708" spans="1:15" x14ac:dyDescent="0.2">
      <c r="A708" s="419" t="s">
        <v>450</v>
      </c>
      <c r="B708" s="142" t="s">
        <v>1214</v>
      </c>
      <c r="D708" s="97">
        <f>D700/D706</f>
        <v>3.454097325326106</v>
      </c>
      <c r="E708" s="97">
        <f t="shared" ref="E708:L708" si="57">E700/E706</f>
        <v>2.9114252277656671</v>
      </c>
      <c r="F708" s="97">
        <f t="shared" si="57"/>
        <v>2.6208263841611608</v>
      </c>
      <c r="G708" s="97">
        <f t="shared" si="57"/>
        <v>2.8958936212511039</v>
      </c>
      <c r="H708" s="97">
        <f t="shared" si="57"/>
        <v>2.6896234298566526</v>
      </c>
      <c r="I708" s="97">
        <f t="shared" si="57"/>
        <v>2.5568055701377683</v>
      </c>
      <c r="J708" s="97">
        <f t="shared" si="57"/>
        <v>2.4731668953479713</v>
      </c>
      <c r="K708" s="97">
        <f t="shared" si="57"/>
        <v>2.7873489201878678</v>
      </c>
      <c r="L708" s="97">
        <f t="shared" si="57"/>
        <v>5.5838903501194865</v>
      </c>
      <c r="M708" s="399"/>
      <c r="O708" s="97"/>
    </row>
    <row r="709" spans="1:15" x14ac:dyDescent="0.2">
      <c r="A709" s="419"/>
      <c r="B709" s="148"/>
      <c r="H709" s="93"/>
      <c r="M709" s="181"/>
    </row>
    <row r="710" spans="1:15" x14ac:dyDescent="0.2">
      <c r="A710" s="419" t="s">
        <v>451</v>
      </c>
      <c r="B710" s="142" t="s">
        <v>561</v>
      </c>
      <c r="D710" s="97"/>
      <c r="F710" s="97">
        <f>SUM(D700:L700)/SUM(D706:L706)</f>
        <v>2.9509234319050264</v>
      </c>
      <c r="H710" s="315"/>
      <c r="M710" s="181"/>
    </row>
    <row r="711" spans="1:15" x14ac:dyDescent="0.2">
      <c r="A711" s="420"/>
      <c r="H711" s="244"/>
      <c r="M711" s="181"/>
    </row>
    <row r="712" spans="1:15" x14ac:dyDescent="0.2">
      <c r="A712" s="420"/>
      <c r="H712" s="244"/>
      <c r="M712" s="181"/>
    </row>
    <row r="713" spans="1:15" x14ac:dyDescent="0.2">
      <c r="A713" s="420"/>
      <c r="H713" s="244"/>
      <c r="M713" s="181"/>
    </row>
    <row r="714" spans="1:15" x14ac:dyDescent="0.2">
      <c r="A714" s="420"/>
      <c r="H714" s="244"/>
      <c r="M714" s="181"/>
    </row>
    <row r="715" spans="1:15" x14ac:dyDescent="0.2">
      <c r="A715" s="420"/>
      <c r="H715" s="244"/>
      <c r="M715" s="181"/>
    </row>
    <row r="716" spans="1:15" x14ac:dyDescent="0.2">
      <c r="A716" s="420"/>
      <c r="H716" s="244"/>
      <c r="M716" s="181"/>
    </row>
    <row r="717" spans="1:15" x14ac:dyDescent="0.2">
      <c r="A717" s="420"/>
      <c r="H717" s="244"/>
      <c r="M717" s="181"/>
    </row>
    <row r="718" spans="1:15" x14ac:dyDescent="0.2">
      <c r="A718" s="420"/>
      <c r="H718" s="244"/>
      <c r="M718" s="181"/>
    </row>
    <row r="719" spans="1:15" x14ac:dyDescent="0.2">
      <c r="A719" s="420"/>
      <c r="H719" s="244"/>
      <c r="M719" s="181"/>
    </row>
    <row r="720" spans="1:15" x14ac:dyDescent="0.2">
      <c r="A720" s="420"/>
      <c r="H720" s="244"/>
      <c r="M720" s="181"/>
    </row>
    <row r="721" spans="1:13" x14ac:dyDescent="0.2">
      <c r="A721" s="420"/>
      <c r="H721" s="244"/>
      <c r="M721" s="181"/>
    </row>
    <row r="722" spans="1:13" x14ac:dyDescent="0.2">
      <c r="A722" s="420"/>
      <c r="H722" s="244"/>
      <c r="M722" s="181"/>
    </row>
    <row r="723" spans="1:13" x14ac:dyDescent="0.2">
      <c r="A723" s="420"/>
      <c r="H723" s="244"/>
      <c r="M723" s="181"/>
    </row>
    <row r="724" spans="1:13" x14ac:dyDescent="0.2">
      <c r="A724" s="420"/>
      <c r="H724" s="244"/>
      <c r="M724" s="181"/>
    </row>
    <row r="725" spans="1:13" x14ac:dyDescent="0.2">
      <c r="A725" s="420"/>
      <c r="H725" s="244"/>
      <c r="M725" s="181"/>
    </row>
    <row r="726" spans="1:13" x14ac:dyDescent="0.2">
      <c r="A726" s="420"/>
      <c r="H726" s="244"/>
      <c r="M726" s="181"/>
    </row>
    <row r="727" spans="1:13" x14ac:dyDescent="0.2">
      <c r="A727" s="420"/>
      <c r="H727" s="244"/>
      <c r="M727" s="181"/>
    </row>
    <row r="728" spans="1:13" x14ac:dyDescent="0.2">
      <c r="A728" s="420"/>
      <c r="H728" s="244"/>
      <c r="M728" s="181"/>
    </row>
    <row r="729" spans="1:13" x14ac:dyDescent="0.2">
      <c r="A729" s="420"/>
      <c r="H729" s="244"/>
      <c r="M729" s="181"/>
    </row>
    <row r="730" spans="1:13" x14ac:dyDescent="0.2">
      <c r="A730" s="420"/>
      <c r="H730" s="244"/>
      <c r="M730" s="181"/>
    </row>
    <row r="731" spans="1:13" x14ac:dyDescent="0.2">
      <c r="A731" s="420"/>
      <c r="H731" s="244"/>
      <c r="M731" s="181"/>
    </row>
    <row r="732" spans="1:13" x14ac:dyDescent="0.2">
      <c r="A732" s="420"/>
      <c r="H732" s="244"/>
      <c r="M732" s="181"/>
    </row>
    <row r="733" spans="1:13" x14ac:dyDescent="0.2">
      <c r="A733" s="421"/>
      <c r="B733" s="245"/>
      <c r="C733" s="245"/>
      <c r="D733" s="245"/>
      <c r="E733" s="245"/>
      <c r="F733" s="245"/>
      <c r="G733" s="245"/>
      <c r="H733" s="342"/>
      <c r="I733" s="245"/>
      <c r="J733" s="245"/>
      <c r="K733" s="245"/>
      <c r="L733" s="245"/>
      <c r="M733" s="183"/>
    </row>
    <row r="734" spans="1:13" x14ac:dyDescent="0.2">
      <c r="A734" s="423"/>
      <c r="B734" s="201"/>
      <c r="C734" s="201"/>
      <c r="D734" s="201"/>
      <c r="E734" s="201"/>
      <c r="F734" s="201"/>
      <c r="G734" s="201"/>
      <c r="H734" s="341"/>
      <c r="I734" s="201"/>
      <c r="J734" s="201"/>
      <c r="K734" s="201"/>
      <c r="L734" s="201"/>
      <c r="M734" s="188"/>
    </row>
    <row r="735" spans="1:13" x14ac:dyDescent="0.2">
      <c r="A735" s="420"/>
      <c r="H735" s="244"/>
      <c r="M735" s="181"/>
    </row>
    <row r="736" spans="1:13" x14ac:dyDescent="0.2">
      <c r="A736" s="420"/>
      <c r="H736" s="244"/>
      <c r="M736" s="181"/>
    </row>
    <row r="737" spans="1:13" x14ac:dyDescent="0.2">
      <c r="A737" s="755" t="s">
        <v>843</v>
      </c>
      <c r="B737" s="756"/>
      <c r="C737" s="756"/>
      <c r="D737" s="756"/>
      <c r="E737" s="756"/>
      <c r="F737" s="756"/>
      <c r="G737" s="756"/>
      <c r="H737" s="756"/>
      <c r="I737" s="756"/>
      <c r="J737" s="756"/>
      <c r="K737" s="756"/>
      <c r="L737" s="756"/>
      <c r="M737" s="757"/>
    </row>
    <row r="738" spans="1:13" x14ac:dyDescent="0.2">
      <c r="A738" s="755" t="s">
        <v>845</v>
      </c>
      <c r="B738" s="756"/>
      <c r="C738" s="756"/>
      <c r="D738" s="756"/>
      <c r="E738" s="756"/>
      <c r="F738" s="756"/>
      <c r="G738" s="756"/>
      <c r="H738" s="756"/>
      <c r="I738" s="756"/>
      <c r="J738" s="756"/>
      <c r="K738" s="756"/>
      <c r="L738" s="756"/>
      <c r="M738" s="757"/>
    </row>
    <row r="739" spans="1:13" x14ac:dyDescent="0.2">
      <c r="A739" s="755" t="s">
        <v>844</v>
      </c>
      <c r="B739" s="756"/>
      <c r="C739" s="756"/>
      <c r="D739" s="756"/>
      <c r="E739" s="756"/>
      <c r="F739" s="756"/>
      <c r="G739" s="756"/>
      <c r="H739" s="756"/>
      <c r="I739" s="756"/>
      <c r="J739" s="756"/>
      <c r="K739" s="756"/>
      <c r="L739" s="756"/>
      <c r="M739" s="757"/>
    </row>
    <row r="740" spans="1:13" x14ac:dyDescent="0.2">
      <c r="A740" s="755" t="s">
        <v>1139</v>
      </c>
      <c r="B740" s="756"/>
      <c r="C740" s="756"/>
      <c r="D740" s="756"/>
      <c r="E740" s="756"/>
      <c r="F740" s="756"/>
      <c r="G740" s="756"/>
      <c r="H740" s="756"/>
      <c r="I740" s="756"/>
      <c r="J740" s="756"/>
      <c r="K740" s="756"/>
      <c r="L740" s="756"/>
      <c r="M740" s="757"/>
    </row>
    <row r="741" spans="1:13" x14ac:dyDescent="0.2">
      <c r="A741" s="377"/>
      <c r="B741" s="283"/>
      <c r="C741" s="283"/>
      <c r="D741" s="283"/>
      <c r="E741" s="283"/>
      <c r="F741" s="283"/>
      <c r="G741" s="283"/>
      <c r="H741" s="283"/>
      <c r="I741" s="283"/>
      <c r="J741" s="283"/>
      <c r="K741" s="283"/>
      <c r="M741" s="181"/>
    </row>
    <row r="742" spans="1:13" x14ac:dyDescent="0.2">
      <c r="A742" s="377"/>
      <c r="B742" s="283"/>
      <c r="C742" s="283"/>
      <c r="D742" s="283"/>
      <c r="E742" s="283"/>
      <c r="F742" s="283"/>
      <c r="G742" s="283"/>
      <c r="H742" s="283"/>
      <c r="I742" s="283"/>
      <c r="J742" s="283"/>
      <c r="K742" s="283"/>
      <c r="M742" s="181"/>
    </row>
    <row r="743" spans="1:13" x14ac:dyDescent="0.2">
      <c r="A743" s="755"/>
      <c r="B743" s="756"/>
      <c r="C743" s="756"/>
      <c r="D743" s="756"/>
      <c r="E743" s="756"/>
      <c r="F743" s="756"/>
      <c r="G743" s="756"/>
      <c r="H743" s="756"/>
      <c r="I743" s="756"/>
      <c r="J743" s="756"/>
      <c r="K743" s="756"/>
      <c r="L743" s="756"/>
      <c r="M743" s="757"/>
    </row>
    <row r="744" spans="1:13" x14ac:dyDescent="0.2">
      <c r="A744" s="755" t="s">
        <v>994</v>
      </c>
      <c r="B744" s="756"/>
      <c r="C744" s="756"/>
      <c r="D744" s="756"/>
      <c r="E744" s="756"/>
      <c r="F744" s="756"/>
      <c r="G744" s="756"/>
      <c r="H744" s="756"/>
      <c r="I744" s="756"/>
      <c r="J744" s="756"/>
      <c r="K744" s="756"/>
      <c r="L744" s="756"/>
      <c r="M744" s="757"/>
    </row>
    <row r="745" spans="1:13" x14ac:dyDescent="0.2">
      <c r="A745" s="417"/>
      <c r="H745" s="244"/>
      <c r="M745" s="181"/>
    </row>
    <row r="746" spans="1:13" x14ac:dyDescent="0.2">
      <c r="A746" s="451" t="s">
        <v>442</v>
      </c>
      <c r="B746" s="139" t="s">
        <v>443</v>
      </c>
      <c r="C746" s="140"/>
      <c r="D746" s="151">
        <v>2024</v>
      </c>
      <c r="E746" s="151">
        <v>2025</v>
      </c>
      <c r="F746" s="151">
        <v>2026</v>
      </c>
      <c r="G746" s="151">
        <v>2027</v>
      </c>
      <c r="H746" s="151">
        <v>2028</v>
      </c>
      <c r="I746" s="151">
        <v>2029</v>
      </c>
      <c r="J746" s="151">
        <v>2030</v>
      </c>
      <c r="K746" s="151">
        <v>2031</v>
      </c>
      <c r="L746" s="151">
        <v>2032</v>
      </c>
      <c r="M746" s="396"/>
    </row>
    <row r="747" spans="1:13" x14ac:dyDescent="0.2">
      <c r="A747" s="417"/>
      <c r="G747" s="244"/>
      <c r="H747" s="93"/>
      <c r="M747" s="181"/>
    </row>
    <row r="748" spans="1:13" x14ac:dyDescent="0.2">
      <c r="A748" s="430">
        <v>1</v>
      </c>
      <c r="B748" s="142" t="s">
        <v>352</v>
      </c>
      <c r="D748" s="315"/>
      <c r="G748" s="244"/>
      <c r="H748" s="93"/>
      <c r="M748" s="181"/>
    </row>
    <row r="749" spans="1:13" x14ac:dyDescent="0.2">
      <c r="A749" s="417"/>
      <c r="B749" s="93" t="s">
        <v>315</v>
      </c>
      <c r="D749" s="93">
        <f>D553</f>
        <v>0.39</v>
      </c>
      <c r="E749" s="93">
        <f t="shared" ref="E749:L749" si="58">E553</f>
        <v>0.40950000000000003</v>
      </c>
      <c r="F749" s="93">
        <f t="shared" si="58"/>
        <v>0.42997500000000005</v>
      </c>
      <c r="G749" s="93">
        <f t="shared" si="58"/>
        <v>0.45147375000000006</v>
      </c>
      <c r="H749" s="93">
        <f t="shared" si="58"/>
        <v>0.47404743750000011</v>
      </c>
      <c r="I749" s="93">
        <f t="shared" si="58"/>
        <v>0.49774980937500013</v>
      </c>
      <c r="J749" s="93">
        <f t="shared" si="58"/>
        <v>0.52263729984375018</v>
      </c>
      <c r="K749" s="93">
        <f t="shared" si="58"/>
        <v>0.54876916483593774</v>
      </c>
      <c r="L749" s="93">
        <f t="shared" si="58"/>
        <v>0.57620762307773465</v>
      </c>
      <c r="M749" s="181"/>
    </row>
    <row r="750" spans="1:13" x14ac:dyDescent="0.2">
      <c r="A750" s="417"/>
      <c r="B750" s="93" t="s">
        <v>366</v>
      </c>
      <c r="D750" s="93">
        <f>D554</f>
        <v>0.05</v>
      </c>
      <c r="E750" s="93">
        <f t="shared" ref="E750:L750" si="59">E554</f>
        <v>5.2500000000000005E-2</v>
      </c>
      <c r="F750" s="93">
        <f t="shared" si="59"/>
        <v>5.5125000000000007E-2</v>
      </c>
      <c r="G750" s="93">
        <f t="shared" si="59"/>
        <v>5.7881250000000009E-2</v>
      </c>
      <c r="H750" s="93">
        <f t="shared" si="59"/>
        <v>6.0775312500000012E-2</v>
      </c>
      <c r="I750" s="93">
        <f t="shared" si="59"/>
        <v>6.3814078125000021E-2</v>
      </c>
      <c r="J750" s="93">
        <f t="shared" si="59"/>
        <v>6.7004782031250029E-2</v>
      </c>
      <c r="K750" s="93">
        <f t="shared" si="59"/>
        <v>7.0355021132812529E-2</v>
      </c>
      <c r="L750" s="93">
        <f t="shared" si="59"/>
        <v>7.3872772189453165E-2</v>
      </c>
      <c r="M750" s="181"/>
    </row>
    <row r="751" spans="1:13" x14ac:dyDescent="0.2">
      <c r="A751" s="417"/>
      <c r="B751" s="93" t="s">
        <v>367</v>
      </c>
      <c r="D751" s="93">
        <f>D540</f>
        <v>0.15035252835266702</v>
      </c>
      <c r="E751" s="93">
        <f t="shared" ref="E751:L751" si="60">E540</f>
        <v>0.12955511803044528</v>
      </c>
      <c r="F751" s="93">
        <f t="shared" si="60"/>
        <v>0.11164295992222048</v>
      </c>
      <c r="G751" s="93">
        <f t="shared" si="60"/>
        <v>9.6214827970827407E-2</v>
      </c>
      <c r="H751" s="93">
        <f t="shared" si="60"/>
        <v>8.2925407203043131E-2</v>
      </c>
      <c r="I751" s="93">
        <f t="shared" si="60"/>
        <v>7.1477486849434016E-2</v>
      </c>
      <c r="J751" s="93">
        <f t="shared" si="60"/>
        <v>6.1615245850473899E-2</v>
      </c>
      <c r="K751" s="93">
        <f t="shared" si="60"/>
        <v>5.3118477528489652E-2</v>
      </c>
      <c r="L751" s="93">
        <f t="shared" si="60"/>
        <v>4.5797621757355092E-2</v>
      </c>
      <c r="M751" s="181"/>
    </row>
    <row r="752" spans="1:13" x14ac:dyDescent="0.2">
      <c r="A752" s="417"/>
      <c r="B752" s="93" t="s">
        <v>568</v>
      </c>
      <c r="D752" s="93">
        <v>4.5427417779450009E-2</v>
      </c>
      <c r="E752" s="93">
        <v>4.9970159557395012E-2</v>
      </c>
      <c r="F752" s="93">
        <v>5.4967175513134514E-2</v>
      </c>
      <c r="G752" s="93">
        <v>6.0463893064447966E-2</v>
      </c>
      <c r="H752" s="93">
        <v>6.6510282370892765E-2</v>
      </c>
      <c r="I752" s="93">
        <v>7.3161310607982047E-2</v>
      </c>
      <c r="J752" s="93">
        <v>8.047744166878025E-2</v>
      </c>
      <c r="K752" s="93">
        <v>8.8525185835658271E-2</v>
      </c>
      <c r="L752" s="93">
        <v>9.7377704419224095E-2</v>
      </c>
      <c r="M752" s="181"/>
    </row>
    <row r="753" spans="1:13" x14ac:dyDescent="0.2">
      <c r="A753" s="417"/>
      <c r="B753" s="93" t="s">
        <v>363</v>
      </c>
      <c r="D753" s="93">
        <f>D704</f>
        <v>1.0718999999999999</v>
      </c>
      <c r="E753" s="93">
        <f t="shared" ref="E753:L753" si="61">E704</f>
        <v>1.0152000000000001</v>
      </c>
      <c r="F753" s="93">
        <f t="shared" si="61"/>
        <v>0.93420000000000014</v>
      </c>
      <c r="G753" s="93">
        <f t="shared" si="61"/>
        <v>0.83700000000000085</v>
      </c>
      <c r="H753" s="93">
        <f t="shared" si="61"/>
        <v>0.72360000000000113</v>
      </c>
      <c r="I753" s="93">
        <f t="shared" si="61"/>
        <v>0.5778000000000012</v>
      </c>
      <c r="J753" s="93">
        <f t="shared" si="61"/>
        <v>0.39960000000000129</v>
      </c>
      <c r="K753" s="93">
        <f t="shared" si="61"/>
        <v>0.20520000000000113</v>
      </c>
      <c r="L753" s="93">
        <f t="shared" si="61"/>
        <v>2.7000000000001106E-2</v>
      </c>
      <c r="M753" s="181"/>
    </row>
    <row r="754" spans="1:13" x14ac:dyDescent="0.2">
      <c r="A754" s="417"/>
      <c r="B754" s="93" t="s">
        <v>364</v>
      </c>
      <c r="D754" s="93">
        <f>D560</f>
        <v>0.05</v>
      </c>
      <c r="E754" s="93">
        <f t="shared" ref="E754:L754" si="62">E560</f>
        <v>5.2500000000000005E-2</v>
      </c>
      <c r="F754" s="93">
        <f t="shared" si="62"/>
        <v>5.5125000000000007E-2</v>
      </c>
      <c r="G754" s="93">
        <f t="shared" si="62"/>
        <v>5.7881250000000009E-2</v>
      </c>
      <c r="H754" s="93">
        <f t="shared" si="62"/>
        <v>6.0775312500000012E-2</v>
      </c>
      <c r="I754" s="93">
        <f t="shared" si="62"/>
        <v>6.3814078125000021E-2</v>
      </c>
      <c r="J754" s="93">
        <f t="shared" si="62"/>
        <v>6.7004782031250029E-2</v>
      </c>
      <c r="K754" s="93">
        <f t="shared" si="62"/>
        <v>7.0355021132812529E-2</v>
      </c>
      <c r="L754" s="93">
        <f t="shared" si="62"/>
        <v>7.3872772189453165E-2</v>
      </c>
      <c r="M754" s="181"/>
    </row>
    <row r="755" spans="1:13" x14ac:dyDescent="0.2">
      <c r="A755" s="417"/>
      <c r="B755" s="148" t="s">
        <v>528</v>
      </c>
      <c r="D755" s="93">
        <f>D542</f>
        <v>2.7729880429628957</v>
      </c>
      <c r="E755" s="93">
        <f t="shared" ref="E755:L755" si="63">E542</f>
        <v>2.3882877477633078</v>
      </c>
      <c r="F755" s="93">
        <f t="shared" si="63"/>
        <v>2.0570842601857433</v>
      </c>
      <c r="G755" s="93">
        <f t="shared" si="63"/>
        <v>1.7719227690379042</v>
      </c>
      <c r="H755" s="93">
        <f t="shared" si="63"/>
        <v>1.5263893804812168</v>
      </c>
      <c r="I755" s="93">
        <f t="shared" si="63"/>
        <v>1.3149654665280146</v>
      </c>
      <c r="J755" s="93">
        <f t="shared" si="63"/>
        <v>1.1329024429312327</v>
      </c>
      <c r="K755" s="93">
        <f t="shared" si="63"/>
        <v>0.97611410281794175</v>
      </c>
      <c r="L755" s="93">
        <f t="shared" si="63"/>
        <v>0.8410840380404454</v>
      </c>
      <c r="M755" s="181"/>
    </row>
    <row r="756" spans="1:13" x14ac:dyDescent="0.2">
      <c r="A756" s="417"/>
      <c r="B756" s="148" t="s">
        <v>365</v>
      </c>
      <c r="D756" s="93">
        <f>D562</f>
        <v>1.4000000000000002E-2</v>
      </c>
      <c r="E756" s="93">
        <f t="shared" ref="E756:L756" si="64">E562</f>
        <v>1.4000000000000002E-2</v>
      </c>
      <c r="F756" s="93">
        <f t="shared" si="64"/>
        <v>1.4000000000000002E-2</v>
      </c>
      <c r="G756" s="93">
        <f t="shared" si="64"/>
        <v>1.4000000000000002E-2</v>
      </c>
      <c r="H756" s="93">
        <f t="shared" si="64"/>
        <v>1.4000000000000002E-2</v>
      </c>
      <c r="I756" s="93">
        <f t="shared" si="64"/>
        <v>0</v>
      </c>
      <c r="J756" s="93">
        <f t="shared" si="64"/>
        <v>0</v>
      </c>
      <c r="K756" s="93">
        <f t="shared" si="64"/>
        <v>0</v>
      </c>
      <c r="L756" s="93">
        <f t="shared" si="64"/>
        <v>0</v>
      </c>
      <c r="M756" s="181"/>
    </row>
    <row r="757" spans="1:13" x14ac:dyDescent="0.2">
      <c r="A757" s="417"/>
      <c r="D757" s="140">
        <f>SUM(D749:D756)</f>
        <v>4.5446679890950126</v>
      </c>
      <c r="E757" s="140">
        <f t="shared" ref="E757:L757" si="65">SUM(E749:E756)</f>
        <v>4.1115130253511483</v>
      </c>
      <c r="F757" s="140">
        <f t="shared" si="65"/>
        <v>3.7121193956210985</v>
      </c>
      <c r="G757" s="140">
        <f t="shared" si="65"/>
        <v>3.3468377400731804</v>
      </c>
      <c r="H757" s="140">
        <f t="shared" si="65"/>
        <v>3.0090231325551535</v>
      </c>
      <c r="I757" s="140">
        <f t="shared" si="65"/>
        <v>2.662782229610432</v>
      </c>
      <c r="J757" s="140">
        <f t="shared" si="65"/>
        <v>2.3312419943567386</v>
      </c>
      <c r="K757" s="140">
        <f t="shared" si="65"/>
        <v>2.0124369732836538</v>
      </c>
      <c r="L757" s="140">
        <f t="shared" si="65"/>
        <v>1.7352125316736668</v>
      </c>
      <c r="M757" s="399"/>
    </row>
    <row r="758" spans="1:13" x14ac:dyDescent="0.2">
      <c r="A758" s="194"/>
      <c r="G758" s="244"/>
      <c r="H758" s="318"/>
      <c r="I758" s="318"/>
      <c r="J758" s="318"/>
      <c r="M758" s="181"/>
    </row>
    <row r="759" spans="1:13" x14ac:dyDescent="0.2">
      <c r="A759" s="430">
        <v>2</v>
      </c>
      <c r="B759" s="142" t="s">
        <v>368</v>
      </c>
      <c r="D759" s="140">
        <f ca="1">D532+D546-D544+D550-D548</f>
        <v>82.184735281361327</v>
      </c>
      <c r="E759" s="140">
        <f t="shared" ref="E759:L759" ca="1" si="66">E532+E546-E544+E550-E548</f>
        <v>88.848127090932167</v>
      </c>
      <c r="F759" s="140">
        <f t="shared" ca="1" si="66"/>
        <v>95.633994484887154</v>
      </c>
      <c r="G759" s="140">
        <f t="shared" ca="1" si="66"/>
        <v>102.47494075880545</v>
      </c>
      <c r="H759" s="140">
        <f t="shared" ca="1" si="66"/>
        <v>109.30710467159624</v>
      </c>
      <c r="I759" s="140">
        <f t="shared" ca="1" si="66"/>
        <v>116.13897212887099</v>
      </c>
      <c r="J759" s="140">
        <f t="shared" ca="1" si="66"/>
        <v>122.96094453247539</v>
      </c>
      <c r="K759" s="140">
        <f t="shared" ca="1" si="66"/>
        <v>129.80221447603438</v>
      </c>
      <c r="L759" s="140">
        <f t="shared" ca="1" si="66"/>
        <v>136.63402462556718</v>
      </c>
      <c r="M759" s="399"/>
    </row>
    <row r="760" spans="1:13" x14ac:dyDescent="0.2">
      <c r="A760" s="430"/>
      <c r="B760" s="142"/>
      <c r="G760" s="244"/>
      <c r="H760" s="318"/>
      <c r="M760" s="181"/>
    </row>
    <row r="761" spans="1:13" x14ac:dyDescent="0.2">
      <c r="A761" s="430">
        <v>3</v>
      </c>
      <c r="B761" s="142" t="s">
        <v>369</v>
      </c>
      <c r="G761" s="244"/>
      <c r="H761" s="318"/>
      <c r="M761" s="181"/>
    </row>
    <row r="762" spans="1:13" x14ac:dyDescent="0.2">
      <c r="A762" s="417"/>
      <c r="B762" s="148" t="s">
        <v>351</v>
      </c>
      <c r="D762" s="93">
        <f>D534</f>
        <v>65.05017391304348</v>
      </c>
      <c r="E762" s="93">
        <f t="shared" ref="E762:L762" si="67">E534</f>
        <v>70.471021739130435</v>
      </c>
      <c r="F762" s="93">
        <f t="shared" si="67"/>
        <v>75.891869565217405</v>
      </c>
      <c r="G762" s="93">
        <f t="shared" si="67"/>
        <v>81.312717391304361</v>
      </c>
      <c r="H762" s="93">
        <f t="shared" si="67"/>
        <v>86.73356521739133</v>
      </c>
      <c r="I762" s="93">
        <f t="shared" si="67"/>
        <v>92.154413043478272</v>
      </c>
      <c r="J762" s="93">
        <f t="shared" si="67"/>
        <v>97.575260869565241</v>
      </c>
      <c r="K762" s="93">
        <f t="shared" si="67"/>
        <v>102.9961086956522</v>
      </c>
      <c r="L762" s="93">
        <f t="shared" si="67"/>
        <v>108.41695652173915</v>
      </c>
      <c r="M762" s="181"/>
    </row>
    <row r="763" spans="1:13" x14ac:dyDescent="0.2">
      <c r="A763" s="417"/>
      <c r="B763" s="148" t="s">
        <v>461</v>
      </c>
      <c r="D763" s="93">
        <f>D535</f>
        <v>2.6313913043478259</v>
      </c>
      <c r="E763" s="93">
        <f t="shared" ref="E763:L763" si="68">E535</f>
        <v>2.8506739130434782</v>
      </c>
      <c r="F763" s="93">
        <f t="shared" si="68"/>
        <v>3.0699565217391305</v>
      </c>
      <c r="G763" s="93">
        <f t="shared" si="68"/>
        <v>3.2892391304347832</v>
      </c>
      <c r="H763" s="93">
        <f t="shared" si="68"/>
        <v>3.5085217391304355</v>
      </c>
      <c r="I763" s="93">
        <f t="shared" si="68"/>
        <v>3.7278043478260878</v>
      </c>
      <c r="J763" s="93">
        <f t="shared" si="68"/>
        <v>3.9470869565217401</v>
      </c>
      <c r="K763" s="93">
        <f t="shared" si="68"/>
        <v>4.1663695652173924</v>
      </c>
      <c r="L763" s="93">
        <f t="shared" si="68"/>
        <v>4.3856521739130443</v>
      </c>
      <c r="M763" s="181"/>
    </row>
    <row r="764" spans="1:13" x14ac:dyDescent="0.2">
      <c r="A764" s="417"/>
      <c r="B764" s="93" t="s">
        <v>510</v>
      </c>
      <c r="D764" s="93">
        <f>D537+D536</f>
        <v>4.7078688</v>
      </c>
      <c r="E764" s="93">
        <f t="shared" ref="E764:L764" si="69">E537+E536</f>
        <v>5.1001912000000011</v>
      </c>
      <c r="F764" s="93">
        <f t="shared" si="69"/>
        <v>5.4925136000000014</v>
      </c>
      <c r="G764" s="93">
        <f t="shared" si="69"/>
        <v>5.8848360000000017</v>
      </c>
      <c r="H764" s="93">
        <f t="shared" si="69"/>
        <v>6.2771584000000011</v>
      </c>
      <c r="I764" s="93">
        <f t="shared" si="69"/>
        <v>6.6694808000000014</v>
      </c>
      <c r="J764" s="93">
        <f t="shared" si="69"/>
        <v>7.0618032000000017</v>
      </c>
      <c r="K764" s="93">
        <f t="shared" si="69"/>
        <v>7.4541256000000029</v>
      </c>
      <c r="L764" s="93">
        <f t="shared" si="69"/>
        <v>7.8464480000000023</v>
      </c>
      <c r="M764" s="181"/>
    </row>
    <row r="765" spans="1:13" x14ac:dyDescent="0.2">
      <c r="A765" s="417"/>
      <c r="B765" s="93" t="s">
        <v>416</v>
      </c>
      <c r="D765" s="93">
        <f>D538</f>
        <v>1.1879999999999999</v>
      </c>
      <c r="E765" s="93">
        <f t="shared" ref="E765:L765" si="70">E538</f>
        <v>1.2869999999999999</v>
      </c>
      <c r="F765" s="93">
        <f t="shared" si="70"/>
        <v>1.3860000000000001</v>
      </c>
      <c r="G765" s="93">
        <f t="shared" si="70"/>
        <v>1.4850000000000001</v>
      </c>
      <c r="H765" s="93">
        <f t="shared" si="70"/>
        <v>1.5840000000000003</v>
      </c>
      <c r="I765" s="93">
        <f t="shared" si="70"/>
        <v>1.6830000000000003</v>
      </c>
      <c r="J765" s="93">
        <f t="shared" si="70"/>
        <v>1.7820000000000005</v>
      </c>
      <c r="K765" s="93">
        <f t="shared" si="70"/>
        <v>1.8810000000000004</v>
      </c>
      <c r="L765" s="93">
        <f t="shared" si="70"/>
        <v>1.9800000000000004</v>
      </c>
      <c r="M765" s="181"/>
    </row>
    <row r="766" spans="1:13" x14ac:dyDescent="0.2">
      <c r="A766" s="417"/>
      <c r="B766" s="148" t="s">
        <v>360</v>
      </c>
      <c r="D766" s="93">
        <f>D541</f>
        <v>0.77</v>
      </c>
      <c r="E766" s="93">
        <f t="shared" ref="E766:L766" si="71">E541</f>
        <v>0.80850000000000011</v>
      </c>
      <c r="F766" s="93">
        <f t="shared" si="71"/>
        <v>0.84892500000000015</v>
      </c>
      <c r="G766" s="93">
        <f t="shared" si="71"/>
        <v>0.89137125000000017</v>
      </c>
      <c r="H766" s="93">
        <f t="shared" si="71"/>
        <v>0.93593981250000025</v>
      </c>
      <c r="I766" s="93">
        <f t="shared" si="71"/>
        <v>0.98273680312500034</v>
      </c>
      <c r="J766" s="93">
        <f t="shared" si="71"/>
        <v>1.0318736432812503</v>
      </c>
      <c r="K766" s="93">
        <f t="shared" si="71"/>
        <v>1.0834673254453129</v>
      </c>
      <c r="L766" s="93">
        <f t="shared" si="71"/>
        <v>1.1376406917175785</v>
      </c>
      <c r="M766" s="181"/>
    </row>
    <row r="767" spans="1:13" x14ac:dyDescent="0.2">
      <c r="A767" s="417"/>
      <c r="B767" s="93" t="s">
        <v>361</v>
      </c>
      <c r="D767" s="93">
        <f>D555</f>
        <v>1.6046639999999999</v>
      </c>
      <c r="E767" s="93">
        <f t="shared" ref="E767:L767" si="72">E555</f>
        <v>1.7731620000000001</v>
      </c>
      <c r="F767" s="93">
        <f t="shared" si="72"/>
        <v>1.9097820000000001</v>
      </c>
      <c r="G767" s="93">
        <f t="shared" si="72"/>
        <v>2.0464020000000001</v>
      </c>
      <c r="H767" s="93">
        <f t="shared" si="72"/>
        <v>2.1830220000000007</v>
      </c>
      <c r="I767" s="93">
        <f t="shared" si="72"/>
        <v>2.3196420000000004</v>
      </c>
      <c r="J767" s="93">
        <f t="shared" si="72"/>
        <v>2.4562620000000006</v>
      </c>
      <c r="K767" s="93">
        <f t="shared" si="72"/>
        <v>2.5928820000000008</v>
      </c>
      <c r="L767" s="93">
        <f t="shared" si="72"/>
        <v>2.7295020000000005</v>
      </c>
      <c r="M767" s="181"/>
    </row>
    <row r="768" spans="1:13" x14ac:dyDescent="0.2">
      <c r="A768" s="417"/>
      <c r="B768" s="148" t="s">
        <v>362</v>
      </c>
      <c r="D768" s="93">
        <f>D559</f>
        <v>0.18</v>
      </c>
      <c r="E768" s="93">
        <f t="shared" ref="E768:L768" si="73">E559</f>
        <v>0.18</v>
      </c>
      <c r="F768" s="93">
        <f t="shared" si="73"/>
        <v>0.18</v>
      </c>
      <c r="G768" s="93">
        <f t="shared" si="73"/>
        <v>0.18</v>
      </c>
      <c r="H768" s="93">
        <f t="shared" si="73"/>
        <v>0.18</v>
      </c>
      <c r="I768" s="93">
        <f t="shared" si="73"/>
        <v>0.18</v>
      </c>
      <c r="J768" s="93">
        <f t="shared" si="73"/>
        <v>0.18</v>
      </c>
      <c r="K768" s="93">
        <f t="shared" si="73"/>
        <v>0.18</v>
      </c>
      <c r="L768" s="93">
        <f t="shared" si="73"/>
        <v>0.18</v>
      </c>
      <c r="M768" s="181"/>
    </row>
    <row r="769" spans="1:13" x14ac:dyDescent="0.2">
      <c r="A769" s="417"/>
      <c r="B769" s="93" t="s">
        <v>568</v>
      </c>
      <c r="D769" s="93">
        <v>0.13628225333835003</v>
      </c>
      <c r="E769" s="93">
        <v>0.14991047867218504</v>
      </c>
      <c r="F769" s="93">
        <v>0.16490152653940354</v>
      </c>
      <c r="G769" s="93">
        <v>0.1813916791933439</v>
      </c>
      <c r="H769" s="93">
        <v>0.19953084711267829</v>
      </c>
      <c r="I769" s="93">
        <v>0.21948393182394615</v>
      </c>
      <c r="J769" s="93">
        <v>0.24143232500634076</v>
      </c>
      <c r="K769" s="93">
        <v>0.26557555750697481</v>
      </c>
      <c r="L769" s="93">
        <v>0.29213311325767227</v>
      </c>
      <c r="M769" s="181"/>
    </row>
    <row r="770" spans="1:13" x14ac:dyDescent="0.2">
      <c r="A770" s="417"/>
      <c r="B770" s="148"/>
      <c r="D770" s="140">
        <f>SUM(D762:D769)</f>
        <v>76.268380270729665</v>
      </c>
      <c r="E770" s="140">
        <f t="shared" ref="E770:L770" si="74">SUM(E762:E769)</f>
        <v>82.620459330846103</v>
      </c>
      <c r="F770" s="140">
        <f t="shared" si="74"/>
        <v>88.943948213495943</v>
      </c>
      <c r="G770" s="140">
        <f t="shared" si="74"/>
        <v>95.270957450932499</v>
      </c>
      <c r="H770" s="140">
        <f t="shared" si="74"/>
        <v>101.60173801613445</v>
      </c>
      <c r="I770" s="140">
        <f t="shared" si="74"/>
        <v>107.93656092625332</v>
      </c>
      <c r="J770" s="140">
        <f t="shared" si="74"/>
        <v>114.27571899437457</v>
      </c>
      <c r="K770" s="140">
        <f t="shared" si="74"/>
        <v>120.61952874382189</v>
      </c>
      <c r="L770" s="140">
        <f t="shared" si="74"/>
        <v>126.96833250062747</v>
      </c>
      <c r="M770" s="399"/>
    </row>
    <row r="771" spans="1:13" x14ac:dyDescent="0.2">
      <c r="A771" s="417"/>
      <c r="B771" s="148"/>
      <c r="H771" s="93"/>
      <c r="M771" s="181"/>
    </row>
    <row r="772" spans="1:13" x14ac:dyDescent="0.2">
      <c r="A772" s="438">
        <v>4</v>
      </c>
      <c r="B772" s="97" t="s">
        <v>418</v>
      </c>
      <c r="D772" s="97">
        <f ca="1">D759-D770</f>
        <v>5.916355010631662</v>
      </c>
      <c r="E772" s="97">
        <f t="shared" ref="E772:L772" ca="1" si="75">E759-E770</f>
        <v>6.2276677600860637</v>
      </c>
      <c r="F772" s="97">
        <f t="shared" ca="1" si="75"/>
        <v>6.6900462713912106</v>
      </c>
      <c r="G772" s="97">
        <f t="shared" ca="1" si="75"/>
        <v>7.2039833078729458</v>
      </c>
      <c r="H772" s="97">
        <f t="shared" ca="1" si="75"/>
        <v>7.7053666554617877</v>
      </c>
      <c r="I772" s="97">
        <f t="shared" ca="1" si="75"/>
        <v>8.2024112026176681</v>
      </c>
      <c r="J772" s="97">
        <f t="shared" ca="1" si="75"/>
        <v>8.6852255381008234</v>
      </c>
      <c r="K772" s="97">
        <f t="shared" ca="1" si="75"/>
        <v>9.1826857322124908</v>
      </c>
      <c r="L772" s="97">
        <f t="shared" ca="1" si="75"/>
        <v>9.6656921249397101</v>
      </c>
      <c r="M772" s="399"/>
    </row>
    <row r="773" spans="1:13" x14ac:dyDescent="0.2">
      <c r="A773" s="417"/>
      <c r="D773" s="97"/>
      <c r="G773" s="244"/>
      <c r="H773" s="97"/>
      <c r="I773" s="97"/>
      <c r="J773" s="97"/>
      <c r="M773" s="181"/>
    </row>
    <row r="774" spans="1:13" x14ac:dyDescent="0.2">
      <c r="A774" s="438">
        <v>5</v>
      </c>
      <c r="B774" s="97" t="s">
        <v>380</v>
      </c>
      <c r="D774" s="321">
        <f ca="1">D757/D772*D526</f>
        <v>0.46089201688488257</v>
      </c>
      <c r="E774" s="321">
        <f t="shared" ref="E774:L774" ca="1" si="76">E757/E772*E526</f>
        <v>0.42913070661966618</v>
      </c>
      <c r="F774" s="321">
        <f t="shared" ca="1" si="76"/>
        <v>0.38841040428176421</v>
      </c>
      <c r="G774" s="321">
        <f t="shared" ca="1" si="76"/>
        <v>0.34843616340860573</v>
      </c>
      <c r="H774" s="321">
        <f t="shared" ca="1" si="76"/>
        <v>0.31240804152230922</v>
      </c>
      <c r="I774" s="321">
        <f t="shared" ca="1" si="76"/>
        <v>0.2759389695613591</v>
      </c>
      <c r="J774" s="321">
        <f t="shared" ca="1" si="76"/>
        <v>0.24157320793995818</v>
      </c>
      <c r="K774" s="321">
        <f t="shared" ca="1" si="76"/>
        <v>0.20819781710626351</v>
      </c>
      <c r="L774" s="321">
        <f t="shared" ca="1" si="76"/>
        <v>0.17952284319054809</v>
      </c>
      <c r="M774" s="452"/>
    </row>
    <row r="775" spans="1:13" x14ac:dyDescent="0.2">
      <c r="A775" s="438"/>
      <c r="B775" s="142"/>
      <c r="D775" s="688"/>
      <c r="E775" s="688"/>
      <c r="F775" s="688"/>
      <c r="G775" s="688"/>
      <c r="H775" s="688"/>
      <c r="I775" s="688"/>
      <c r="J775" s="688"/>
      <c r="K775" s="688"/>
      <c r="L775" s="688"/>
      <c r="M775" s="181"/>
    </row>
    <row r="776" spans="1:13" x14ac:dyDescent="0.2">
      <c r="A776" s="438">
        <v>6</v>
      </c>
      <c r="B776" s="97" t="s">
        <v>370</v>
      </c>
      <c r="D776" s="321">
        <f ca="1">(D757-D755-D756)/D772*D526</f>
        <v>0.17825298951535948</v>
      </c>
      <c r="E776" s="321">
        <f t="shared" ref="E776:L776" ca="1" si="77">(E757-E755-E756)/E772*E526</f>
        <v>0.17839686913817365</v>
      </c>
      <c r="F776" s="321">
        <f t="shared" ca="1" si="77"/>
        <v>0.17170652461957769</v>
      </c>
      <c r="G776" s="321">
        <f t="shared" ca="1" si="77"/>
        <v>0.16250540544660355</v>
      </c>
      <c r="H776" s="321">
        <f t="shared" ca="1" si="77"/>
        <v>0.15247905183413191</v>
      </c>
      <c r="I776" s="321">
        <f t="shared" ca="1" si="77"/>
        <v>0.13967164292549014</v>
      </c>
      <c r="J776" s="321">
        <f t="shared" ca="1" si="77"/>
        <v>0.1241770396809741</v>
      </c>
      <c r="K776" s="321">
        <f t="shared" ca="1" si="77"/>
        <v>0.10721337478520221</v>
      </c>
      <c r="L776" s="321">
        <f t="shared" ca="1" si="77"/>
        <v>9.250537696376282E-2</v>
      </c>
      <c r="M776" s="452"/>
    </row>
    <row r="777" spans="1:13" x14ac:dyDescent="0.2">
      <c r="A777" s="417"/>
      <c r="B777" s="97"/>
      <c r="E777" s="97"/>
      <c r="H777" s="246"/>
      <c r="M777" s="181"/>
    </row>
    <row r="778" spans="1:13" x14ac:dyDescent="0.2">
      <c r="A778" s="417"/>
      <c r="H778" s="93"/>
      <c r="M778" s="181"/>
    </row>
    <row r="779" spans="1:13" x14ac:dyDescent="0.2">
      <c r="A779" s="417"/>
      <c r="B779" s="142"/>
      <c r="E779" s="322"/>
      <c r="H779" s="246"/>
      <c r="M779" s="181"/>
    </row>
    <row r="780" spans="1:13" x14ac:dyDescent="0.2">
      <c r="A780" s="417"/>
      <c r="H780" s="246"/>
      <c r="M780" s="181"/>
    </row>
    <row r="781" spans="1:13" x14ac:dyDescent="0.2">
      <c r="A781" s="417"/>
      <c r="B781" s="142"/>
      <c r="E781" s="97"/>
      <c r="H781" s="246"/>
      <c r="M781" s="181"/>
    </row>
    <row r="782" spans="1:13" x14ac:dyDescent="0.2">
      <c r="A782" s="417"/>
      <c r="H782" s="246"/>
      <c r="M782" s="181"/>
    </row>
    <row r="783" spans="1:13" x14ac:dyDescent="0.2">
      <c r="A783" s="417"/>
      <c r="H783" s="246"/>
      <c r="M783" s="181"/>
    </row>
    <row r="784" spans="1:13" x14ac:dyDescent="0.2">
      <c r="A784" s="417"/>
      <c r="H784" s="246"/>
      <c r="M784" s="181"/>
    </row>
    <row r="785" spans="1:13" x14ac:dyDescent="0.2">
      <c r="A785" s="417"/>
      <c r="B785" s="142"/>
      <c r="E785" s="97"/>
      <c r="H785" s="246"/>
      <c r="M785" s="181"/>
    </row>
    <row r="786" spans="1:13" x14ac:dyDescent="0.2">
      <c r="A786" s="420"/>
      <c r="H786" s="246"/>
      <c r="M786" s="181"/>
    </row>
    <row r="787" spans="1:13" x14ac:dyDescent="0.2">
      <c r="A787" s="449"/>
      <c r="B787" s="245"/>
      <c r="C787" s="245"/>
      <c r="D787" s="245"/>
      <c r="E787" s="245"/>
      <c r="F787" s="245"/>
      <c r="G787" s="245"/>
      <c r="H787" s="422"/>
      <c r="I787" s="245"/>
      <c r="J787" s="245"/>
      <c r="K787" s="245"/>
      <c r="L787" s="245"/>
      <c r="M787" s="183"/>
    </row>
    <row r="788" spans="1:13" x14ac:dyDescent="0.2">
      <c r="A788" s="450"/>
      <c r="B788" s="201"/>
      <c r="C788" s="201"/>
      <c r="D788" s="201"/>
      <c r="E788" s="201"/>
      <c r="F788" s="201"/>
      <c r="G788" s="201"/>
      <c r="H788" s="424"/>
      <c r="I788" s="201"/>
      <c r="J788" s="201"/>
      <c r="K788" s="201"/>
      <c r="L788" s="201"/>
      <c r="M788" s="188"/>
    </row>
    <row r="789" spans="1:13" x14ac:dyDescent="0.2">
      <c r="A789" s="417"/>
      <c r="H789" s="246"/>
      <c r="M789" s="181"/>
    </row>
    <row r="790" spans="1:13" x14ac:dyDescent="0.2">
      <c r="A790" s="417"/>
      <c r="H790" s="246"/>
      <c r="M790" s="181"/>
    </row>
    <row r="791" spans="1:13" x14ac:dyDescent="0.2">
      <c r="A791" s="417"/>
      <c r="H791" s="246"/>
      <c r="M791" s="181"/>
    </row>
    <row r="792" spans="1:13" x14ac:dyDescent="0.2">
      <c r="A792" s="755" t="s">
        <v>843</v>
      </c>
      <c r="B792" s="756"/>
      <c r="C792" s="756"/>
      <c r="D792" s="756"/>
      <c r="E792" s="756"/>
      <c r="F792" s="756"/>
      <c r="G792" s="756"/>
      <c r="H792" s="756"/>
      <c r="I792" s="756"/>
      <c r="J792" s="756"/>
      <c r="K792" s="756"/>
      <c r="L792" s="756"/>
      <c r="M792" s="757"/>
    </row>
    <row r="793" spans="1:13" x14ac:dyDescent="0.2">
      <c r="A793" s="755" t="s">
        <v>845</v>
      </c>
      <c r="B793" s="756"/>
      <c r="C793" s="756"/>
      <c r="D793" s="756"/>
      <c r="E793" s="756"/>
      <c r="F793" s="756"/>
      <c r="G793" s="756"/>
      <c r="H793" s="756"/>
      <c r="I793" s="756"/>
      <c r="J793" s="756"/>
      <c r="K793" s="756"/>
      <c r="L793" s="756"/>
      <c r="M793" s="757"/>
    </row>
    <row r="794" spans="1:13" x14ac:dyDescent="0.2">
      <c r="A794" s="755" t="s">
        <v>844</v>
      </c>
      <c r="B794" s="756"/>
      <c r="C794" s="756"/>
      <c r="D794" s="756"/>
      <c r="E794" s="756"/>
      <c r="F794" s="756"/>
      <c r="G794" s="756"/>
      <c r="H794" s="756"/>
      <c r="I794" s="756"/>
      <c r="J794" s="756"/>
      <c r="K794" s="756"/>
      <c r="L794" s="756"/>
      <c r="M794" s="757"/>
    </row>
    <row r="795" spans="1:13" x14ac:dyDescent="0.2">
      <c r="A795" s="755" t="s">
        <v>1139</v>
      </c>
      <c r="B795" s="756"/>
      <c r="C795" s="756"/>
      <c r="D795" s="756"/>
      <c r="E795" s="756"/>
      <c r="F795" s="756"/>
      <c r="G795" s="756"/>
      <c r="H795" s="756"/>
      <c r="I795" s="756"/>
      <c r="J795" s="756"/>
      <c r="K795" s="756"/>
      <c r="L795" s="756"/>
      <c r="M795" s="757"/>
    </row>
    <row r="796" spans="1:13" x14ac:dyDescent="0.2">
      <c r="A796" s="377"/>
      <c r="B796" s="283"/>
      <c r="C796" s="283"/>
      <c r="D796" s="283"/>
      <c r="E796" s="283"/>
      <c r="F796" s="283"/>
      <c r="G796" s="283"/>
      <c r="H796" s="283"/>
      <c r="I796" s="283"/>
      <c r="J796" s="283"/>
      <c r="K796" s="283"/>
      <c r="M796" s="181"/>
    </row>
    <row r="797" spans="1:13" x14ac:dyDescent="0.2">
      <c r="A797" s="377"/>
      <c r="B797" s="283"/>
      <c r="C797" s="283"/>
      <c r="D797" s="283"/>
      <c r="E797" s="283"/>
      <c r="F797" s="283"/>
      <c r="G797" s="283"/>
      <c r="H797" s="283"/>
      <c r="I797" s="283"/>
      <c r="J797" s="283"/>
      <c r="K797" s="283"/>
      <c r="M797" s="181"/>
    </row>
    <row r="798" spans="1:13" x14ac:dyDescent="0.2">
      <c r="A798" s="755"/>
      <c r="B798" s="756"/>
      <c r="C798" s="756"/>
      <c r="D798" s="756"/>
      <c r="E798" s="756"/>
      <c r="F798" s="756"/>
      <c r="G798" s="756"/>
      <c r="H798" s="756"/>
      <c r="I798" s="756"/>
      <c r="J798" s="756"/>
      <c r="K798" s="756"/>
      <c r="L798" s="756"/>
      <c r="M798" s="757"/>
    </row>
    <row r="799" spans="1:13" x14ac:dyDescent="0.2">
      <c r="A799" s="755" t="s">
        <v>995</v>
      </c>
      <c r="B799" s="756"/>
      <c r="C799" s="756"/>
      <c r="D799" s="756"/>
      <c r="E799" s="756"/>
      <c r="F799" s="756"/>
      <c r="G799" s="756"/>
      <c r="H799" s="756"/>
      <c r="I799" s="756"/>
      <c r="J799" s="756"/>
      <c r="K799" s="756"/>
      <c r="L799" s="756"/>
      <c r="M799" s="757"/>
    </row>
    <row r="800" spans="1:13" x14ac:dyDescent="0.2">
      <c r="A800" s="417"/>
      <c r="B800" s="148"/>
      <c r="D800" s="323"/>
      <c r="H800" s="246"/>
      <c r="M800" s="181"/>
    </row>
    <row r="801" spans="1:13" x14ac:dyDescent="0.2">
      <c r="A801" s="417"/>
      <c r="H801" s="246"/>
      <c r="M801" s="181"/>
    </row>
    <row r="802" spans="1:13" x14ac:dyDescent="0.2">
      <c r="A802" s="417"/>
      <c r="B802" s="324" t="s">
        <v>537</v>
      </c>
      <c r="C802" s="325"/>
      <c r="D802" s="325"/>
      <c r="E802" s="326" t="s">
        <v>564</v>
      </c>
      <c r="F802" s="325"/>
      <c r="G802" s="325"/>
      <c r="H802" s="327"/>
      <c r="I802" s="328" t="s">
        <v>349</v>
      </c>
      <c r="M802" s="181"/>
    </row>
    <row r="803" spans="1:13" x14ac:dyDescent="0.2">
      <c r="A803" s="417"/>
      <c r="B803" s="329"/>
      <c r="C803" s="330"/>
      <c r="D803" s="330"/>
      <c r="E803" s="331"/>
      <c r="F803" s="330"/>
      <c r="G803" s="330"/>
      <c r="H803" s="332"/>
      <c r="I803" s="333" t="s">
        <v>564</v>
      </c>
      <c r="M803" s="181"/>
    </row>
    <row r="804" spans="1:13" x14ac:dyDescent="0.2">
      <c r="A804" s="417"/>
      <c r="B804" s="196"/>
      <c r="H804" s="246"/>
      <c r="M804" s="181"/>
    </row>
    <row r="805" spans="1:13" x14ac:dyDescent="0.2">
      <c r="A805" s="417"/>
      <c r="B805" s="226">
        <v>1</v>
      </c>
      <c r="E805" s="93">
        <v>3.8740219601344514</v>
      </c>
      <c r="H805" s="246"/>
      <c r="I805" s="93">
        <f>E805</f>
        <v>3.8740219601344514</v>
      </c>
      <c r="M805" s="181"/>
    </row>
    <row r="806" spans="1:13" x14ac:dyDescent="0.2">
      <c r="A806" s="417"/>
      <c r="B806" s="226"/>
      <c r="H806" s="246"/>
      <c r="M806" s="181"/>
    </row>
    <row r="807" spans="1:13" x14ac:dyDescent="0.2">
      <c r="A807" s="417"/>
      <c r="B807" s="226">
        <v>2</v>
      </c>
      <c r="E807" s="93">
        <v>4.0367050552189854</v>
      </c>
      <c r="H807" s="246"/>
      <c r="I807" s="93">
        <f>I805+E807</f>
        <v>7.9107270153534373</v>
      </c>
      <c r="M807" s="181"/>
    </row>
    <row r="808" spans="1:13" x14ac:dyDescent="0.2">
      <c r="A808" s="417"/>
      <c r="B808" s="226"/>
      <c r="H808" s="246"/>
      <c r="M808" s="181"/>
    </row>
    <row r="809" spans="1:13" x14ac:dyDescent="0.2">
      <c r="A809" s="417"/>
      <c r="B809" s="226">
        <v>3</v>
      </c>
      <c r="E809" s="93">
        <v>4.3446685029774113</v>
      </c>
      <c r="H809" s="246"/>
      <c r="I809" s="93">
        <f>I807+E809</f>
        <v>12.255395518330849</v>
      </c>
      <c r="M809" s="181"/>
    </row>
    <row r="810" spans="1:13" x14ac:dyDescent="0.2">
      <c r="A810" s="417"/>
      <c r="B810" s="226"/>
      <c r="H810" s="246"/>
      <c r="M810" s="181"/>
    </row>
    <row r="811" spans="1:13" x14ac:dyDescent="0.2">
      <c r="A811" s="417"/>
      <c r="B811" s="226">
        <v>4</v>
      </c>
      <c r="E811" s="93">
        <v>4.7144280719383689</v>
      </c>
      <c r="H811" s="246"/>
      <c r="I811" s="93">
        <f>I809+E811</f>
        <v>16.969823590269218</v>
      </c>
      <c r="M811" s="181"/>
    </row>
    <row r="812" spans="1:13" x14ac:dyDescent="0.2">
      <c r="A812" s="417"/>
      <c r="B812" s="226"/>
      <c r="H812" s="246"/>
      <c r="M812" s="181"/>
    </row>
    <row r="813" spans="1:13" x14ac:dyDescent="0.2">
      <c r="A813" s="417"/>
      <c r="B813" s="226">
        <v>5</v>
      </c>
      <c r="E813" s="93">
        <v>5.0956692528378538</v>
      </c>
      <c r="H813" s="246"/>
      <c r="I813" s="93">
        <f>I811+E813</f>
        <v>22.065492843107073</v>
      </c>
      <c r="M813" s="181"/>
    </row>
    <row r="814" spans="1:13" x14ac:dyDescent="0.2">
      <c r="A814" s="417"/>
      <c r="G814" s="217"/>
      <c r="H814" s="246"/>
      <c r="M814" s="181"/>
    </row>
    <row r="815" spans="1:13" x14ac:dyDescent="0.2">
      <c r="A815" s="417"/>
      <c r="B815" s="226">
        <v>6</v>
      </c>
      <c r="C815" s="148" t="s">
        <v>441</v>
      </c>
      <c r="D815" s="148" t="s">
        <v>441</v>
      </c>
      <c r="E815" s="93">
        <v>5.5017722846735877</v>
      </c>
      <c r="H815" s="246"/>
      <c r="I815" s="93">
        <f>I813+E815</f>
        <v>27.567265127780662</v>
      </c>
      <c r="M815" s="181"/>
    </row>
    <row r="816" spans="1:13" x14ac:dyDescent="0.2">
      <c r="A816" s="417"/>
      <c r="B816" s="226"/>
      <c r="C816" s="148"/>
      <c r="D816" s="148"/>
      <c r="H816" s="246"/>
      <c r="M816" s="181"/>
    </row>
    <row r="817" spans="1:13" x14ac:dyDescent="0.2">
      <c r="A817" s="417"/>
      <c r="B817" s="226">
        <v>7</v>
      </c>
      <c r="E817" s="93">
        <v>5.930717985332671</v>
      </c>
      <c r="H817" s="246"/>
      <c r="I817" s="93">
        <f>I815+E817</f>
        <v>33.497983113113335</v>
      </c>
      <c r="M817" s="181"/>
    </row>
    <row r="818" spans="1:13" x14ac:dyDescent="0.2">
      <c r="A818" s="417"/>
      <c r="D818" s="143" t="s">
        <v>454</v>
      </c>
      <c r="E818" s="140">
        <f>SUM(E805:E817)</f>
        <v>33.497983113113335</v>
      </c>
      <c r="H818" s="246"/>
      <c r="M818" s="181"/>
    </row>
    <row r="819" spans="1:13" x14ac:dyDescent="0.2">
      <c r="A819" s="417"/>
      <c r="H819" s="246"/>
      <c r="M819" s="181"/>
    </row>
    <row r="820" spans="1:13" x14ac:dyDescent="0.2">
      <c r="A820" s="417"/>
      <c r="H820" s="246"/>
      <c r="M820" s="181"/>
    </row>
    <row r="821" spans="1:13" x14ac:dyDescent="0.2">
      <c r="A821" s="417"/>
      <c r="B821" s="142" t="s">
        <v>565</v>
      </c>
      <c r="E821" s="97">
        <f>L31</f>
        <v>21.664050742733799</v>
      </c>
      <c r="F821" s="142" t="s">
        <v>455</v>
      </c>
      <c r="H821" s="244"/>
      <c r="M821" s="181"/>
    </row>
    <row r="822" spans="1:13" x14ac:dyDescent="0.2">
      <c r="A822" s="417"/>
      <c r="H822" s="246"/>
      <c r="M822" s="181"/>
    </row>
    <row r="823" spans="1:13" x14ac:dyDescent="0.2">
      <c r="A823" s="417"/>
      <c r="B823" s="142" t="s">
        <v>566</v>
      </c>
      <c r="D823" s="235"/>
      <c r="E823" s="343">
        <v>4</v>
      </c>
      <c r="F823" s="97" t="s">
        <v>976</v>
      </c>
      <c r="G823" s="343">
        <v>11</v>
      </c>
      <c r="H823" s="271" t="s">
        <v>977</v>
      </c>
      <c r="M823" s="181"/>
    </row>
    <row r="824" spans="1:13" x14ac:dyDescent="0.2">
      <c r="A824" s="417"/>
      <c r="H824" s="246"/>
      <c r="M824" s="181"/>
    </row>
    <row r="825" spans="1:13" x14ac:dyDescent="0.2">
      <c r="A825" s="417"/>
      <c r="D825" s="323"/>
      <c r="H825" s="246"/>
      <c r="M825" s="181"/>
    </row>
    <row r="826" spans="1:13" x14ac:dyDescent="0.2">
      <c r="A826" s="417"/>
      <c r="D826" s="323"/>
      <c r="H826" s="246"/>
      <c r="M826" s="181"/>
    </row>
    <row r="827" spans="1:13" x14ac:dyDescent="0.2">
      <c r="A827" s="417"/>
      <c r="D827" s="323"/>
      <c r="H827" s="246"/>
      <c r="M827" s="181"/>
    </row>
    <row r="828" spans="1:13" x14ac:dyDescent="0.2">
      <c r="A828" s="417"/>
      <c r="D828" s="323"/>
      <c r="H828" s="246"/>
      <c r="M828" s="181"/>
    </row>
    <row r="829" spans="1:13" x14ac:dyDescent="0.2">
      <c r="A829" s="417"/>
      <c r="B829" s="148"/>
      <c r="F829" s="148"/>
      <c r="H829" s="300"/>
      <c r="I829" s="148"/>
      <c r="M829" s="181"/>
    </row>
    <row r="830" spans="1:13" x14ac:dyDescent="0.2">
      <c r="A830" s="417"/>
      <c r="B830" s="148"/>
      <c r="H830" s="246"/>
      <c r="M830" s="181"/>
    </row>
    <row r="831" spans="1:13" x14ac:dyDescent="0.2">
      <c r="A831" s="417"/>
      <c r="B831" s="148"/>
      <c r="H831" s="246"/>
      <c r="M831" s="181"/>
    </row>
    <row r="832" spans="1:13" x14ac:dyDescent="0.2">
      <c r="A832" s="417"/>
      <c r="B832" s="148"/>
      <c r="H832" s="246"/>
      <c r="M832" s="181"/>
    </row>
    <row r="833" spans="1:13" x14ac:dyDescent="0.2">
      <c r="A833" s="417"/>
      <c r="B833" s="148"/>
      <c r="H833" s="246"/>
      <c r="M833" s="181"/>
    </row>
    <row r="834" spans="1:13" x14ac:dyDescent="0.2">
      <c r="A834" s="417"/>
      <c r="B834" s="148"/>
      <c r="H834" s="246"/>
      <c r="M834" s="181"/>
    </row>
    <row r="835" spans="1:13" x14ac:dyDescent="0.2">
      <c r="A835" s="417"/>
      <c r="B835" s="148"/>
      <c r="H835" s="246"/>
      <c r="M835" s="181"/>
    </row>
    <row r="836" spans="1:13" x14ac:dyDescent="0.2">
      <c r="A836" s="417"/>
      <c r="B836" s="148"/>
      <c r="H836" s="246"/>
      <c r="M836" s="181"/>
    </row>
    <row r="837" spans="1:13" x14ac:dyDescent="0.2">
      <c r="A837" s="417"/>
      <c r="B837" s="148"/>
      <c r="H837" s="246"/>
      <c r="M837" s="181"/>
    </row>
    <row r="838" spans="1:13" x14ac:dyDescent="0.2">
      <c r="A838" s="417"/>
      <c r="B838" s="148"/>
      <c r="H838" s="246"/>
      <c r="M838" s="181"/>
    </row>
    <row r="839" spans="1:13" x14ac:dyDescent="0.2">
      <c r="A839" s="417"/>
      <c r="B839" s="148"/>
      <c r="H839" s="246"/>
      <c r="M839" s="181"/>
    </row>
    <row r="840" spans="1:13" x14ac:dyDescent="0.2">
      <c r="A840" s="417"/>
      <c r="B840" s="148"/>
      <c r="H840" s="246"/>
      <c r="M840" s="181"/>
    </row>
    <row r="841" spans="1:13" x14ac:dyDescent="0.2">
      <c r="A841" s="449"/>
      <c r="B841" s="391"/>
      <c r="C841" s="245"/>
      <c r="D841" s="245"/>
      <c r="E841" s="245"/>
      <c r="F841" s="245"/>
      <c r="G841" s="245"/>
      <c r="H841" s="422"/>
      <c r="I841" s="245"/>
      <c r="J841" s="245"/>
      <c r="K841" s="245"/>
      <c r="L841" s="245"/>
      <c r="M841" s="183"/>
    </row>
    <row r="842" spans="1:13" x14ac:dyDescent="0.2">
      <c r="A842" s="777" t="s">
        <v>843</v>
      </c>
      <c r="B842" s="778"/>
      <c r="C842" s="778"/>
      <c r="D842" s="778"/>
      <c r="E842" s="778"/>
      <c r="F842" s="778"/>
      <c r="G842" s="778"/>
      <c r="H842" s="778"/>
      <c r="I842" s="778"/>
      <c r="J842" s="778"/>
      <c r="K842" s="778"/>
      <c r="L842" s="778"/>
      <c r="M842" s="779"/>
    </row>
    <row r="843" spans="1:13" x14ac:dyDescent="0.2">
      <c r="A843" s="771" t="s">
        <v>845</v>
      </c>
      <c r="B843" s="772"/>
      <c r="C843" s="772"/>
      <c r="D843" s="772"/>
      <c r="E843" s="772"/>
      <c r="F843" s="772"/>
      <c r="G843" s="772"/>
      <c r="H843" s="772"/>
      <c r="I843" s="772"/>
      <c r="J843" s="772"/>
      <c r="K843" s="772"/>
      <c r="L843" s="772"/>
      <c r="M843" s="773"/>
    </row>
    <row r="844" spans="1:13" x14ac:dyDescent="0.2">
      <c r="A844" s="771" t="s">
        <v>844</v>
      </c>
      <c r="B844" s="772"/>
      <c r="C844" s="772"/>
      <c r="D844" s="772"/>
      <c r="E844" s="772"/>
      <c r="F844" s="772"/>
      <c r="G844" s="772"/>
      <c r="H844" s="772"/>
      <c r="I844" s="772"/>
      <c r="J844" s="772"/>
      <c r="K844" s="772"/>
      <c r="L844" s="772"/>
      <c r="M844" s="773"/>
    </row>
    <row r="845" spans="1:13" x14ac:dyDescent="0.2">
      <c r="A845" s="771" t="s">
        <v>1139</v>
      </c>
      <c r="B845" s="772"/>
      <c r="C845" s="772"/>
      <c r="D845" s="772"/>
      <c r="E845" s="772"/>
      <c r="F845" s="772"/>
      <c r="G845" s="772"/>
      <c r="H845" s="772"/>
      <c r="I845" s="772"/>
      <c r="J845" s="772"/>
      <c r="K845" s="772"/>
      <c r="L845" s="772"/>
      <c r="M845" s="773"/>
    </row>
    <row r="846" spans="1:13" x14ac:dyDescent="0.2">
      <c r="A846" s="453"/>
      <c r="B846" s="334"/>
      <c r="C846" s="334"/>
      <c r="D846" s="334"/>
      <c r="E846" s="334"/>
      <c r="F846" s="334"/>
      <c r="G846" s="334"/>
      <c r="H846" s="334"/>
      <c r="I846" s="334"/>
      <c r="J846" s="334"/>
      <c r="K846" s="334"/>
      <c r="M846" s="181"/>
    </row>
    <row r="847" spans="1:13" x14ac:dyDescent="0.2">
      <c r="A847" s="453"/>
      <c r="B847" s="334"/>
      <c r="C847" s="334"/>
      <c r="D847" s="334"/>
      <c r="E847" s="334"/>
      <c r="F847" s="334"/>
      <c r="G847" s="334"/>
      <c r="H847" s="334"/>
      <c r="I847" s="334"/>
      <c r="J847" s="334"/>
      <c r="K847" s="334"/>
      <c r="M847" s="181"/>
    </row>
    <row r="848" spans="1:13" x14ac:dyDescent="0.2">
      <c r="A848" s="771"/>
      <c r="B848" s="772"/>
      <c r="C848" s="772"/>
      <c r="D848" s="772"/>
      <c r="E848" s="772"/>
      <c r="F848" s="772"/>
      <c r="G848" s="772"/>
      <c r="H848" s="772"/>
      <c r="I848" s="772"/>
      <c r="J848" s="772"/>
      <c r="K848" s="772"/>
      <c r="L848" s="772"/>
      <c r="M848" s="773"/>
    </row>
    <row r="849" spans="1:13" x14ac:dyDescent="0.2">
      <c r="A849" s="786" t="s">
        <v>996</v>
      </c>
      <c r="B849" s="787"/>
      <c r="C849" s="787"/>
      <c r="D849" s="787"/>
      <c r="E849" s="787"/>
      <c r="F849" s="787"/>
      <c r="G849" s="787"/>
      <c r="H849" s="787"/>
      <c r="I849" s="787"/>
      <c r="J849" s="335">
        <v>0.05</v>
      </c>
      <c r="M849" s="181"/>
    </row>
    <row r="850" spans="1:13" x14ac:dyDescent="0.2">
      <c r="A850" s="154" t="s">
        <v>443</v>
      </c>
      <c r="B850" s="149"/>
      <c r="C850" s="140"/>
      <c r="D850" s="151">
        <v>2024</v>
      </c>
      <c r="E850" s="151">
        <v>2025</v>
      </c>
      <c r="F850" s="151">
        <v>2026</v>
      </c>
      <c r="G850" s="151">
        <v>2027</v>
      </c>
      <c r="H850" s="151">
        <v>2028</v>
      </c>
      <c r="I850" s="151">
        <v>2029</v>
      </c>
      <c r="J850" s="151">
        <v>2030</v>
      </c>
      <c r="K850" s="151">
        <v>2031</v>
      </c>
      <c r="L850" s="151">
        <v>2032</v>
      </c>
      <c r="M850" s="155"/>
    </row>
    <row r="851" spans="1:13" x14ac:dyDescent="0.2">
      <c r="A851" s="194"/>
      <c r="D851" s="336"/>
      <c r="E851" s="244"/>
      <c r="F851" s="244"/>
      <c r="G851" s="337"/>
      <c r="H851" s="244"/>
      <c r="I851" s="244"/>
      <c r="J851" s="244"/>
      <c r="K851" s="244"/>
      <c r="M851" s="181"/>
    </row>
    <row r="852" spans="1:13" x14ac:dyDescent="0.2">
      <c r="A852" s="454" t="s">
        <v>318</v>
      </c>
      <c r="D852" s="244"/>
      <c r="E852" s="244"/>
      <c r="F852" s="244"/>
      <c r="G852" s="244"/>
      <c r="H852" s="244"/>
      <c r="I852" s="244"/>
      <c r="J852" s="244"/>
      <c r="K852" s="244"/>
      <c r="L852" s="244"/>
      <c r="M852" s="181"/>
    </row>
    <row r="853" spans="1:13" ht="12.75" thickBot="1" x14ac:dyDescent="0.25">
      <c r="A853" s="194" t="s">
        <v>332</v>
      </c>
      <c r="D853" s="239">
        <f ca="1">(D532*0.95)+D546-D544+D550-D548</f>
        <v>78.173075281361321</v>
      </c>
      <c r="E853" s="239">
        <f t="shared" ref="E853:L853" ca="1" si="78">(E532*0.95)+E546-E544+E550-E548</f>
        <v>84.415222090932161</v>
      </c>
      <c r="F853" s="239">
        <f t="shared" ca="1" si="78"/>
        <v>90.859539484887151</v>
      </c>
      <c r="G853" s="239">
        <f t="shared" ca="1" si="78"/>
        <v>97.358935758805444</v>
      </c>
      <c r="H853" s="239">
        <f t="shared" ca="1" si="78"/>
        <v>103.84954967159624</v>
      </c>
      <c r="I853" s="239">
        <f t="shared" ca="1" si="78"/>
        <v>110.33986712887098</v>
      </c>
      <c r="J853" s="239">
        <f t="shared" ca="1" si="78"/>
        <v>116.82028953247539</v>
      </c>
      <c r="K853" s="239">
        <f t="shared" ca="1" si="78"/>
        <v>123.3200094760344</v>
      </c>
      <c r="L853" s="239">
        <f t="shared" ca="1" si="78"/>
        <v>129.81026962556717</v>
      </c>
      <c r="M853" s="239"/>
    </row>
    <row r="854" spans="1:13" ht="12.75" thickTop="1" x14ac:dyDescent="0.2">
      <c r="A854" s="194"/>
      <c r="D854" s="244"/>
      <c r="E854" s="244"/>
      <c r="F854" s="244"/>
      <c r="G854" s="244"/>
      <c r="H854" s="244"/>
      <c r="I854" s="244"/>
      <c r="J854" s="244"/>
      <c r="K854" s="244"/>
      <c r="L854" s="244"/>
      <c r="M854" s="181"/>
    </row>
    <row r="855" spans="1:13" x14ac:dyDescent="0.2">
      <c r="A855" s="454" t="s">
        <v>319</v>
      </c>
      <c r="D855" s="244"/>
      <c r="E855" s="244"/>
      <c r="F855" s="244"/>
      <c r="G855" s="337"/>
      <c r="H855" s="244"/>
      <c r="I855" s="244"/>
      <c r="J855" s="244"/>
      <c r="K855" s="244"/>
      <c r="M855" s="181"/>
    </row>
    <row r="856" spans="1:13" x14ac:dyDescent="0.2">
      <c r="A856" s="194" t="s">
        <v>320</v>
      </c>
      <c r="D856" s="244">
        <f>SUM(D534:D541)+SUM(D553:D555)</f>
        <v>76.724160216861776</v>
      </c>
      <c r="E856" s="244">
        <f t="shared" ref="E856:L856" si="79">SUM(E534:E541)+SUM(E553:E555)</f>
        <v>83.081984608433942</v>
      </c>
      <c r="F856" s="244">
        <f t="shared" si="79"/>
        <v>89.415658348931288</v>
      </c>
      <c r="G856" s="244">
        <f t="shared" si="79"/>
        <v>95.756991171967755</v>
      </c>
      <c r="H856" s="244">
        <f t="shared" si="79"/>
        <v>102.10599645570838</v>
      </c>
      <c r="I856" s="244">
        <f t="shared" si="79"/>
        <v>108.46276361121075</v>
      </c>
      <c r="J856" s="244">
        <f t="shared" si="79"/>
        <v>114.82745376376882</v>
      </c>
      <c r="K856" s="244">
        <f t="shared" si="79"/>
        <v>121.20029659315477</v>
      </c>
      <c r="L856" s="244">
        <f t="shared" si="79"/>
        <v>127.58158822207122</v>
      </c>
      <c r="M856" s="445"/>
    </row>
    <row r="857" spans="1:13" x14ac:dyDescent="0.2">
      <c r="A857" s="194" t="s">
        <v>321</v>
      </c>
      <c r="D857" s="244">
        <f>D911</f>
        <v>1.3018999999999998</v>
      </c>
      <c r="E857" s="244">
        <f t="shared" ref="E857:L857" si="80">E911</f>
        <v>1.2477</v>
      </c>
      <c r="F857" s="244">
        <f t="shared" si="80"/>
        <v>1.1693250000000002</v>
      </c>
      <c r="G857" s="244">
        <f t="shared" si="80"/>
        <v>1.0748812500000009</v>
      </c>
      <c r="H857" s="244">
        <f t="shared" si="80"/>
        <v>0.96437531250000108</v>
      </c>
      <c r="I857" s="244">
        <f t="shared" si="80"/>
        <v>0.8216140781250012</v>
      </c>
      <c r="J857" s="244">
        <f t="shared" si="80"/>
        <v>0.64660478203125127</v>
      </c>
      <c r="K857" s="244">
        <f t="shared" si="80"/>
        <v>0.45555502113281365</v>
      </c>
      <c r="L857" s="244">
        <f t="shared" si="80"/>
        <v>0.28087277218945428</v>
      </c>
      <c r="M857" s="445"/>
    </row>
    <row r="858" spans="1:13" x14ac:dyDescent="0.2">
      <c r="A858" s="194" t="s">
        <v>528</v>
      </c>
      <c r="D858" s="244">
        <f t="shared" ref="D858:L858" si="81">D912</f>
        <v>2.7729880429628957</v>
      </c>
      <c r="E858" s="244">
        <f t="shared" si="81"/>
        <v>2.3882877477633078</v>
      </c>
      <c r="F858" s="244">
        <f t="shared" si="81"/>
        <v>2.0570842601857433</v>
      </c>
      <c r="G858" s="244">
        <f t="shared" si="81"/>
        <v>1.7719227690379042</v>
      </c>
      <c r="H858" s="244">
        <f t="shared" si="81"/>
        <v>1.5263893804812168</v>
      </c>
      <c r="I858" s="244">
        <f t="shared" si="81"/>
        <v>1.3149654665280146</v>
      </c>
      <c r="J858" s="244">
        <f t="shared" si="81"/>
        <v>1.1329024429312327</v>
      </c>
      <c r="K858" s="244">
        <f t="shared" si="81"/>
        <v>0.97611410281794175</v>
      </c>
      <c r="L858" s="244">
        <f t="shared" si="81"/>
        <v>0.8410840380404454</v>
      </c>
      <c r="M858" s="445"/>
    </row>
    <row r="859" spans="1:13" x14ac:dyDescent="0.2">
      <c r="A859" s="194" t="s">
        <v>322</v>
      </c>
      <c r="D859" s="244">
        <f t="shared" ref="D859:L859" si="82">D913</f>
        <v>1.4000000000000002E-2</v>
      </c>
      <c r="E859" s="244">
        <f t="shared" si="82"/>
        <v>1.4000000000000002E-2</v>
      </c>
      <c r="F859" s="244">
        <f t="shared" si="82"/>
        <v>1.4000000000000002E-2</v>
      </c>
      <c r="G859" s="244">
        <f t="shared" si="82"/>
        <v>1.4000000000000002E-2</v>
      </c>
      <c r="H859" s="244">
        <f t="shared" si="82"/>
        <v>1.4000000000000002E-2</v>
      </c>
      <c r="I859" s="244">
        <f t="shared" si="82"/>
        <v>0</v>
      </c>
      <c r="J859" s="244">
        <f t="shared" si="82"/>
        <v>0</v>
      </c>
      <c r="K859" s="244">
        <f t="shared" si="82"/>
        <v>0</v>
      </c>
      <c r="L859" s="244">
        <f t="shared" si="82"/>
        <v>0</v>
      </c>
      <c r="M859" s="445"/>
    </row>
    <row r="860" spans="1:13" ht="12.75" thickBot="1" x14ac:dyDescent="0.25">
      <c r="A860" s="454" t="s">
        <v>323</v>
      </c>
      <c r="D860" s="239">
        <f>SUM(D856:D859)</f>
        <v>80.813048259824669</v>
      </c>
      <c r="E860" s="239">
        <f t="shared" ref="E860:L860" si="83">SUM(E856:E859)</f>
        <v>86.731972356197247</v>
      </c>
      <c r="F860" s="239">
        <f t="shared" si="83"/>
        <v>92.656067609117031</v>
      </c>
      <c r="G860" s="239">
        <f t="shared" si="83"/>
        <v>98.617795191005655</v>
      </c>
      <c r="H860" s="239">
        <f t="shared" si="83"/>
        <v>104.61076114868959</v>
      </c>
      <c r="I860" s="239">
        <f t="shared" si="83"/>
        <v>110.59934315586375</v>
      </c>
      <c r="J860" s="239">
        <f t="shared" si="83"/>
        <v>116.60696098873129</v>
      </c>
      <c r="K860" s="239">
        <f t="shared" si="83"/>
        <v>122.63196571710553</v>
      </c>
      <c r="L860" s="239">
        <f t="shared" si="83"/>
        <v>128.70354503230112</v>
      </c>
      <c r="M860" s="239"/>
    </row>
    <row r="861" spans="1:13" ht="12.75" thickTop="1" x14ac:dyDescent="0.2">
      <c r="A861" s="194"/>
      <c r="E861" s="244"/>
      <c r="F861" s="244"/>
      <c r="G861" s="244"/>
      <c r="H861" s="244"/>
      <c r="I861" s="244"/>
      <c r="J861" s="244"/>
      <c r="M861" s="181"/>
    </row>
    <row r="862" spans="1:13" x14ac:dyDescent="0.2">
      <c r="A862" s="194"/>
      <c r="E862" s="244"/>
      <c r="F862" s="244"/>
      <c r="G862" s="244"/>
      <c r="H862" s="244"/>
      <c r="I862" s="244"/>
      <c r="J862" s="244"/>
      <c r="M862" s="181"/>
    </row>
    <row r="863" spans="1:13" x14ac:dyDescent="0.2">
      <c r="A863" s="194"/>
      <c r="E863" s="244"/>
      <c r="F863" s="244"/>
      <c r="G863" s="244"/>
      <c r="H863" s="337"/>
      <c r="I863" s="244"/>
      <c r="J863" s="690"/>
      <c r="M863" s="181"/>
    </row>
    <row r="864" spans="1:13" x14ac:dyDescent="0.2">
      <c r="A864" s="194" t="s">
        <v>324</v>
      </c>
      <c r="D864" s="244">
        <f ca="1">D853-D860</f>
        <v>-2.6399729784633479</v>
      </c>
      <c r="E864" s="244">
        <f t="shared" ref="E864:L864" ca="1" si="84">E853-E860</f>
        <v>-2.3167502652650853</v>
      </c>
      <c r="F864" s="244">
        <f t="shared" ca="1" si="84"/>
        <v>-1.7965281242298801</v>
      </c>
      <c r="G864" s="244">
        <f t="shared" ca="1" si="84"/>
        <v>-1.2588594322002109</v>
      </c>
      <c r="H864" s="244">
        <f t="shared" ca="1" si="84"/>
        <v>-0.76121147709335446</v>
      </c>
      <c r="I864" s="244">
        <f t="shared" ca="1" si="84"/>
        <v>-0.25947602699277184</v>
      </c>
      <c r="J864" s="244">
        <f t="shared" ca="1" si="84"/>
        <v>0.21332854374409749</v>
      </c>
      <c r="K864" s="244">
        <f t="shared" ca="1" si="84"/>
        <v>0.68804375892887037</v>
      </c>
      <c r="L864" s="244">
        <f t="shared" ca="1" si="84"/>
        <v>1.1067245932660512</v>
      </c>
      <c r="M864" s="445"/>
    </row>
    <row r="865" spans="1:13" x14ac:dyDescent="0.2">
      <c r="A865" s="194" t="s">
        <v>325</v>
      </c>
      <c r="D865" s="244">
        <f ca="1">IF(D864&gt;0,D864*$D$874,0)</f>
        <v>0</v>
      </c>
      <c r="E865" s="244">
        <f t="shared" ref="E865:L865" ca="1" si="85">IF(E864&gt;0,E864*$D$874,0)</f>
        <v>0</v>
      </c>
      <c r="F865" s="244">
        <f t="shared" ca="1" si="85"/>
        <v>0</v>
      </c>
      <c r="G865" s="244">
        <f t="shared" ca="1" si="85"/>
        <v>0</v>
      </c>
      <c r="H865" s="244">
        <f t="shared" ca="1" si="85"/>
        <v>0</v>
      </c>
      <c r="I865" s="244">
        <f t="shared" ca="1" si="85"/>
        <v>0</v>
      </c>
      <c r="J865" s="244">
        <f t="shared" ca="1" si="85"/>
        <v>5.2226240765254971E-2</v>
      </c>
      <c r="K865" s="244">
        <f t="shared" ca="1" si="85"/>
        <v>0.16844412088593033</v>
      </c>
      <c r="L865" s="244">
        <f t="shared" ca="1" si="85"/>
        <v>0.27094388802502162</v>
      </c>
      <c r="M865" s="445"/>
    </row>
    <row r="866" spans="1:13" x14ac:dyDescent="0.2">
      <c r="A866" s="194" t="s">
        <v>326</v>
      </c>
      <c r="D866" s="244">
        <f ca="1">D864-D865</f>
        <v>-2.6399729784633479</v>
      </c>
      <c r="E866" s="244">
        <f t="shared" ref="E866:L866" ca="1" si="86">E864-E865</f>
        <v>-2.3167502652650853</v>
      </c>
      <c r="F866" s="244">
        <f t="shared" ca="1" si="86"/>
        <v>-1.7965281242298801</v>
      </c>
      <c r="G866" s="244">
        <f t="shared" ca="1" si="86"/>
        <v>-1.2588594322002109</v>
      </c>
      <c r="H866" s="244">
        <f t="shared" ca="1" si="86"/>
        <v>-0.76121147709335446</v>
      </c>
      <c r="I866" s="244">
        <f t="shared" ca="1" si="86"/>
        <v>-0.25947602699277184</v>
      </c>
      <c r="J866" s="244">
        <f t="shared" ca="1" si="86"/>
        <v>0.16110230297884251</v>
      </c>
      <c r="K866" s="244">
        <f t="shared" ca="1" si="86"/>
        <v>0.51959963804294007</v>
      </c>
      <c r="L866" s="244">
        <f t="shared" ca="1" si="86"/>
        <v>0.83578070524102954</v>
      </c>
      <c r="M866" s="445"/>
    </row>
    <row r="867" spans="1:13" x14ac:dyDescent="0.2">
      <c r="A867" s="194" t="s">
        <v>500</v>
      </c>
      <c r="D867" s="244">
        <f ca="1">D866+D858</f>
        <v>0.13301506449954781</v>
      </c>
      <c r="E867" s="244">
        <f t="shared" ref="E867:L867" ca="1" si="87">E866+E858</f>
        <v>7.1537482498222449E-2</v>
      </c>
      <c r="F867" s="244">
        <f t="shared" ca="1" si="87"/>
        <v>0.26055613595586324</v>
      </c>
      <c r="G867" s="244">
        <f t="shared" ca="1" si="87"/>
        <v>0.51306333683769334</v>
      </c>
      <c r="H867" s="244">
        <f t="shared" ca="1" si="87"/>
        <v>0.76517790338786229</v>
      </c>
      <c r="I867" s="244">
        <f t="shared" ca="1" si="87"/>
        <v>1.0554894395352428</v>
      </c>
      <c r="J867" s="244">
        <f t="shared" ca="1" si="87"/>
        <v>1.2940047459100752</v>
      </c>
      <c r="K867" s="244">
        <f t="shared" ca="1" si="87"/>
        <v>1.4957137408608818</v>
      </c>
      <c r="L867" s="244">
        <f t="shared" ca="1" si="87"/>
        <v>1.6768647432814749</v>
      </c>
      <c r="M867" s="445"/>
    </row>
    <row r="868" spans="1:13" x14ac:dyDescent="0.2">
      <c r="A868" s="194" t="s">
        <v>327</v>
      </c>
      <c r="D868" s="244">
        <f>D922</f>
        <v>1.0718999999999999</v>
      </c>
      <c r="E868" s="244">
        <f t="shared" ref="E868:L868" si="88">E922</f>
        <v>1.0152000000000001</v>
      </c>
      <c r="F868" s="244">
        <f t="shared" si="88"/>
        <v>0.93420000000000014</v>
      </c>
      <c r="G868" s="244">
        <f t="shared" si="88"/>
        <v>0.83700000000000085</v>
      </c>
      <c r="H868" s="244">
        <f t="shared" si="88"/>
        <v>0.72360000000000113</v>
      </c>
      <c r="I868" s="244">
        <f t="shared" si="88"/>
        <v>0.5778000000000012</v>
      </c>
      <c r="J868" s="244">
        <f t="shared" si="88"/>
        <v>0.39960000000000129</v>
      </c>
      <c r="K868" s="244">
        <f t="shared" si="88"/>
        <v>0.20520000000000113</v>
      </c>
      <c r="L868" s="244">
        <f t="shared" si="88"/>
        <v>2.7000000000001106E-2</v>
      </c>
      <c r="M868" s="445"/>
    </row>
    <row r="869" spans="1:13" x14ac:dyDescent="0.2">
      <c r="A869" s="194" t="s">
        <v>328</v>
      </c>
      <c r="D869" s="244">
        <f>D923</f>
        <v>0.36</v>
      </c>
      <c r="E869" s="244">
        <f t="shared" ref="E869:L869" si="89">E923</f>
        <v>0.72</v>
      </c>
      <c r="F869" s="244">
        <f t="shared" si="89"/>
        <v>1.08</v>
      </c>
      <c r="G869" s="244">
        <f t="shared" si="89"/>
        <v>1.08</v>
      </c>
      <c r="H869" s="244">
        <f t="shared" si="89"/>
        <v>1.44</v>
      </c>
      <c r="I869" s="244">
        <f t="shared" si="89"/>
        <v>1.7999999999999998</v>
      </c>
      <c r="J869" s="244">
        <f t="shared" si="89"/>
        <v>2.16</v>
      </c>
      <c r="K869" s="244">
        <f t="shared" si="89"/>
        <v>2.16</v>
      </c>
      <c r="L869" s="244">
        <f t="shared" si="89"/>
        <v>1.2000000000000002</v>
      </c>
      <c r="M869" s="445"/>
    </row>
    <row r="870" spans="1:13" x14ac:dyDescent="0.2">
      <c r="A870" s="454" t="s">
        <v>329</v>
      </c>
      <c r="B870" s="97"/>
      <c r="C870" s="97"/>
      <c r="D870" s="175">
        <f ca="1">SUM(D867:D868)/SUM(D868:D869)</f>
        <v>0.8414798969896975</v>
      </c>
      <c r="E870" s="175">
        <f t="shared" ref="E870:L870" ca="1" si="90">SUM(E867:E868)/SUM(E868:E869)</f>
        <v>0.62628946663106411</v>
      </c>
      <c r="F870" s="175">
        <f t="shared" ca="1" si="90"/>
        <v>0.59316658522284937</v>
      </c>
      <c r="G870" s="175">
        <f t="shared" ca="1" si="90"/>
        <v>0.70425839167328819</v>
      </c>
      <c r="H870" s="175">
        <f t="shared" ca="1" si="90"/>
        <v>0.68810219235896775</v>
      </c>
      <c r="I870" s="175">
        <f t="shared" ca="1" si="90"/>
        <v>0.68689100829979111</v>
      </c>
      <c r="J870" s="175">
        <f t="shared" ca="1" si="90"/>
        <v>0.66166773945541313</v>
      </c>
      <c r="K870" s="175">
        <f t="shared" ca="1" si="90"/>
        <v>0.71914161206700589</v>
      </c>
      <c r="L870" s="175">
        <f t="shared" ca="1" si="90"/>
        <v>1.3886428225602887</v>
      </c>
      <c r="M870" s="445"/>
    </row>
    <row r="871" spans="1:13" x14ac:dyDescent="0.2">
      <c r="A871" s="194"/>
      <c r="D871" s="338"/>
      <c r="E871" s="145"/>
      <c r="F871" s="145"/>
      <c r="G871" s="145"/>
      <c r="H871" s="145"/>
      <c r="I871" s="145"/>
      <c r="J871" s="145"/>
      <c r="K871" s="145"/>
      <c r="L871" s="145"/>
      <c r="M871" s="455"/>
    </row>
    <row r="872" spans="1:13" x14ac:dyDescent="0.2">
      <c r="A872" s="194"/>
      <c r="D872" s="244"/>
      <c r="E872" s="244"/>
      <c r="F872" s="244"/>
      <c r="G872" s="337"/>
      <c r="H872" s="244"/>
      <c r="I872" s="244"/>
      <c r="M872" s="181"/>
    </row>
    <row r="873" spans="1:13" x14ac:dyDescent="0.2">
      <c r="A873" s="194"/>
      <c r="D873" s="244"/>
      <c r="E873" s="244"/>
      <c r="F873" s="244"/>
      <c r="G873" s="337"/>
      <c r="H873" s="244"/>
      <c r="I873" s="244"/>
      <c r="M873" s="181"/>
    </row>
    <row r="874" spans="1:13" x14ac:dyDescent="0.2">
      <c r="A874" s="313" t="s">
        <v>330</v>
      </c>
      <c r="D874" s="339">
        <v>0.24481600000000001</v>
      </c>
      <c r="E874" s="148" t="s">
        <v>331</v>
      </c>
      <c r="H874" s="340">
        <v>0.16692000000000001</v>
      </c>
      <c r="M874" s="181"/>
    </row>
    <row r="875" spans="1:13" x14ac:dyDescent="0.2">
      <c r="A875" s="194"/>
      <c r="B875" s="148"/>
      <c r="F875" s="148"/>
      <c r="H875" s="93"/>
      <c r="M875" s="181"/>
    </row>
    <row r="876" spans="1:13" x14ac:dyDescent="0.2">
      <c r="A876" s="313"/>
      <c r="F876" s="148"/>
      <c r="H876" s="93"/>
      <c r="M876" s="181"/>
    </row>
    <row r="877" spans="1:13" x14ac:dyDescent="0.2">
      <c r="A877" s="154" t="s">
        <v>443</v>
      </c>
      <c r="B877" s="140"/>
      <c r="C877" s="140"/>
      <c r="D877" s="151">
        <v>2024</v>
      </c>
      <c r="E877" s="151">
        <v>2025</v>
      </c>
      <c r="F877" s="151">
        <v>2026</v>
      </c>
      <c r="G877" s="151">
        <v>2027</v>
      </c>
      <c r="H877" s="151">
        <v>2028</v>
      </c>
      <c r="I877" s="151">
        <v>2029</v>
      </c>
      <c r="J877" s="151">
        <v>2030</v>
      </c>
      <c r="K877" s="151">
        <v>2031</v>
      </c>
      <c r="L877" s="151">
        <v>2032</v>
      </c>
      <c r="M877" s="155"/>
    </row>
    <row r="878" spans="1:13" x14ac:dyDescent="0.2">
      <c r="A878" s="313" t="s">
        <v>529</v>
      </c>
      <c r="D878" s="93">
        <f ca="1">D864</f>
        <v>-2.6399729784633479</v>
      </c>
      <c r="E878" s="93">
        <f t="shared" ref="E878:L878" ca="1" si="91">E864</f>
        <v>-2.3167502652650853</v>
      </c>
      <c r="F878" s="93">
        <f t="shared" ca="1" si="91"/>
        <v>-1.7965281242298801</v>
      </c>
      <c r="G878" s="93">
        <f t="shared" ca="1" si="91"/>
        <v>-1.2588594322002109</v>
      </c>
      <c r="H878" s="93">
        <f t="shared" ca="1" si="91"/>
        <v>-0.76121147709335446</v>
      </c>
      <c r="I878" s="93">
        <f t="shared" ca="1" si="91"/>
        <v>-0.25947602699277184</v>
      </c>
      <c r="J878" s="93">
        <f t="shared" ca="1" si="91"/>
        <v>0.21332854374409749</v>
      </c>
      <c r="K878" s="93">
        <f t="shared" ca="1" si="91"/>
        <v>0.68804375892887037</v>
      </c>
      <c r="L878" s="93">
        <f t="shared" ca="1" si="91"/>
        <v>1.1067245932660512</v>
      </c>
      <c r="M878" s="181"/>
    </row>
    <row r="879" spans="1:13" x14ac:dyDescent="0.2">
      <c r="A879" s="313" t="s">
        <v>88</v>
      </c>
      <c r="D879" s="93">
        <f>D858</f>
        <v>2.7729880429628957</v>
      </c>
      <c r="E879" s="93">
        <f t="shared" ref="E879:L879" si="92">E858</f>
        <v>2.3882877477633078</v>
      </c>
      <c r="F879" s="93">
        <f t="shared" si="92"/>
        <v>2.0570842601857433</v>
      </c>
      <c r="G879" s="93">
        <f t="shared" si="92"/>
        <v>1.7719227690379042</v>
      </c>
      <c r="H879" s="93">
        <f t="shared" si="92"/>
        <v>1.5263893804812168</v>
      </c>
      <c r="I879" s="93">
        <f t="shared" si="92"/>
        <v>1.3149654665280146</v>
      </c>
      <c r="J879" s="93">
        <f t="shared" si="92"/>
        <v>1.1329024429312327</v>
      </c>
      <c r="K879" s="93">
        <f t="shared" si="92"/>
        <v>0.97611410281794175</v>
      </c>
      <c r="L879" s="93">
        <f t="shared" si="92"/>
        <v>0.8410840380404454</v>
      </c>
      <c r="M879" s="181"/>
    </row>
    <row r="880" spans="1:13" x14ac:dyDescent="0.2">
      <c r="A880" s="313" t="s">
        <v>530</v>
      </c>
      <c r="D880" s="93">
        <f ca="1">D878+D879</f>
        <v>0.13301506449954781</v>
      </c>
      <c r="E880" s="93">
        <f t="shared" ref="E880:L880" ca="1" si="93">E878+E879</f>
        <v>7.1537482498222449E-2</v>
      </c>
      <c r="F880" s="93">
        <f t="shared" ca="1" si="93"/>
        <v>0.26055613595586324</v>
      </c>
      <c r="G880" s="93">
        <f t="shared" ca="1" si="93"/>
        <v>0.51306333683769334</v>
      </c>
      <c r="H880" s="93">
        <f t="shared" ca="1" si="93"/>
        <v>0.76517790338786229</v>
      </c>
      <c r="I880" s="93">
        <f t="shared" ca="1" si="93"/>
        <v>1.0554894395352428</v>
      </c>
      <c r="J880" s="93">
        <f t="shared" ca="1" si="93"/>
        <v>1.3462309866753301</v>
      </c>
      <c r="K880" s="93">
        <f t="shared" ca="1" si="93"/>
        <v>1.664157861746812</v>
      </c>
      <c r="L880" s="93">
        <f t="shared" ca="1" si="93"/>
        <v>1.9478086313064966</v>
      </c>
      <c r="M880" s="181"/>
    </row>
    <row r="881" spans="1:13" x14ac:dyDescent="0.2">
      <c r="A881" s="313" t="s">
        <v>87</v>
      </c>
      <c r="D881" s="93">
        <f>D935</f>
        <v>2.9833077724563188</v>
      </c>
      <c r="E881" s="93">
        <f t="shared" ref="E881:L881" si="94">E935</f>
        <v>2.5381858860475734</v>
      </c>
      <c r="F881" s="93">
        <f t="shared" si="94"/>
        <v>2.1595948546541699</v>
      </c>
      <c r="G881" s="93">
        <f t="shared" si="94"/>
        <v>1.8375787928184029</v>
      </c>
      <c r="H881" s="93">
        <f t="shared" si="94"/>
        <v>1.5636728236217654</v>
      </c>
      <c r="I881" s="93">
        <f t="shared" si="94"/>
        <v>1.3306796648320112</v>
      </c>
      <c r="J881" s="93">
        <f t="shared" si="94"/>
        <v>1.1324797033853686</v>
      </c>
      <c r="K881" s="93">
        <f t="shared" si="94"/>
        <v>0.96386953732790692</v>
      </c>
      <c r="L881" s="93">
        <f t="shared" si="94"/>
        <v>0.82042471723403021</v>
      </c>
      <c r="M881" s="181"/>
    </row>
    <row r="882" spans="1:13" x14ac:dyDescent="0.2">
      <c r="A882" s="313" t="s">
        <v>423</v>
      </c>
      <c r="D882" s="93">
        <f ca="1">D880-D881</f>
        <v>-2.850292707956771</v>
      </c>
      <c r="E882" s="93">
        <f t="shared" ref="E882:L882" ca="1" si="95">E880-E881</f>
        <v>-2.466648403549351</v>
      </c>
      <c r="F882" s="93">
        <f t="shared" ca="1" si="95"/>
        <v>-1.8990387186983066</v>
      </c>
      <c r="G882" s="93">
        <f t="shared" ca="1" si="95"/>
        <v>-1.3245154559807095</v>
      </c>
      <c r="H882" s="93">
        <f t="shared" ca="1" si="95"/>
        <v>-0.79849492023390312</v>
      </c>
      <c r="I882" s="93">
        <f t="shared" ca="1" si="95"/>
        <v>-0.2751902252967684</v>
      </c>
      <c r="J882" s="93">
        <f t="shared" ca="1" si="95"/>
        <v>0.21375128328996151</v>
      </c>
      <c r="K882" s="93">
        <f t="shared" ca="1" si="95"/>
        <v>0.70028832441890509</v>
      </c>
      <c r="L882" s="93">
        <f t="shared" ca="1" si="95"/>
        <v>1.1273839140724664</v>
      </c>
      <c r="M882" s="181"/>
    </row>
    <row r="883" spans="1:13" x14ac:dyDescent="0.2">
      <c r="A883" s="313" t="s">
        <v>534</v>
      </c>
      <c r="D883" s="93">
        <f ca="1">D878*$H$874</f>
        <v>-0.44066428956510206</v>
      </c>
      <c r="E883" s="93">
        <f t="shared" ref="E883:L883" ca="1" si="96">E878*$H$874</f>
        <v>-0.38671195427804805</v>
      </c>
      <c r="F883" s="93">
        <f t="shared" ca="1" si="96"/>
        <v>-0.29987647449645161</v>
      </c>
      <c r="G883" s="93">
        <f t="shared" ca="1" si="96"/>
        <v>-0.21012881642285922</v>
      </c>
      <c r="H883" s="93">
        <f t="shared" ca="1" si="96"/>
        <v>-0.12706141975642274</v>
      </c>
      <c r="I883" s="93">
        <f t="shared" ca="1" si="96"/>
        <v>-4.3311738425633475E-2</v>
      </c>
      <c r="J883" s="93">
        <f t="shared" ca="1" si="96"/>
        <v>3.5608800521764752E-2</v>
      </c>
      <c r="K883" s="93">
        <f t="shared" ca="1" si="96"/>
        <v>0.11484826424040705</v>
      </c>
      <c r="L883" s="93">
        <f t="shared" ca="1" si="96"/>
        <v>0.18473446910796928</v>
      </c>
      <c r="M883" s="181"/>
    </row>
    <row r="884" spans="1:13" x14ac:dyDescent="0.2">
      <c r="A884" s="313" t="s">
        <v>535</v>
      </c>
      <c r="D884" s="93">
        <f ca="1">D865</f>
        <v>0</v>
      </c>
      <c r="E884" s="93">
        <f t="shared" ref="E884:L884" ca="1" si="97">E865</f>
        <v>0</v>
      </c>
      <c r="F884" s="93">
        <f t="shared" ca="1" si="97"/>
        <v>0</v>
      </c>
      <c r="G884" s="93">
        <f t="shared" ca="1" si="97"/>
        <v>0</v>
      </c>
      <c r="H884" s="93">
        <f t="shared" ca="1" si="97"/>
        <v>0</v>
      </c>
      <c r="I884" s="93">
        <f t="shared" ca="1" si="97"/>
        <v>0</v>
      </c>
      <c r="J884" s="93">
        <f t="shared" ca="1" si="97"/>
        <v>5.2226240765254971E-2</v>
      </c>
      <c r="K884" s="93">
        <f t="shared" ca="1" si="97"/>
        <v>0.16844412088593033</v>
      </c>
      <c r="L884" s="93">
        <f t="shared" ca="1" si="97"/>
        <v>0.27094388802502162</v>
      </c>
      <c r="M884" s="181"/>
    </row>
    <row r="885" spans="1:13" x14ac:dyDescent="0.2">
      <c r="A885" s="314" t="s">
        <v>536</v>
      </c>
      <c r="B885" s="245"/>
      <c r="C885" s="245"/>
      <c r="D885" s="245">
        <f ca="1">MAX(D883:D884)</f>
        <v>0</v>
      </c>
      <c r="E885" s="245">
        <f t="shared" ref="E885:L885" ca="1" si="98">MAX(E883:E884)</f>
        <v>0</v>
      </c>
      <c r="F885" s="245">
        <f t="shared" ca="1" si="98"/>
        <v>0</v>
      </c>
      <c r="G885" s="245">
        <f t="shared" ca="1" si="98"/>
        <v>0</v>
      </c>
      <c r="H885" s="245">
        <f t="shared" ca="1" si="98"/>
        <v>0</v>
      </c>
      <c r="I885" s="245">
        <f t="shared" ca="1" si="98"/>
        <v>0</v>
      </c>
      <c r="J885" s="245">
        <f t="shared" ca="1" si="98"/>
        <v>5.2226240765254971E-2</v>
      </c>
      <c r="K885" s="245">
        <f t="shared" ca="1" si="98"/>
        <v>0.16844412088593033</v>
      </c>
      <c r="L885" s="245">
        <f t="shared" ca="1" si="98"/>
        <v>0.27094388802502162</v>
      </c>
      <c r="M885" s="183"/>
    </row>
    <row r="886" spans="1:13" x14ac:dyDescent="0.2">
      <c r="A886" s="417"/>
      <c r="H886" s="246"/>
      <c r="M886" s="181"/>
    </row>
    <row r="887" spans="1:13" x14ac:dyDescent="0.2">
      <c r="A887" s="417"/>
      <c r="H887" s="246"/>
      <c r="M887" s="181"/>
    </row>
    <row r="888" spans="1:13" x14ac:dyDescent="0.2">
      <c r="A888" s="417"/>
      <c r="H888" s="246"/>
      <c r="M888" s="181"/>
    </row>
    <row r="889" spans="1:13" x14ac:dyDescent="0.2">
      <c r="A889" s="417"/>
      <c r="H889" s="246"/>
      <c r="M889" s="181"/>
    </row>
    <row r="890" spans="1:13" x14ac:dyDescent="0.2">
      <c r="A890" s="417"/>
      <c r="H890" s="246"/>
      <c r="M890" s="181"/>
    </row>
    <row r="891" spans="1:13" x14ac:dyDescent="0.2">
      <c r="A891" s="417"/>
      <c r="H891" s="246"/>
      <c r="M891" s="181"/>
    </row>
    <row r="892" spans="1:13" x14ac:dyDescent="0.2">
      <c r="A892" s="417"/>
      <c r="H892" s="246"/>
      <c r="M892" s="181"/>
    </row>
    <row r="893" spans="1:13" x14ac:dyDescent="0.2">
      <c r="A893" s="417"/>
      <c r="H893" s="246"/>
      <c r="M893" s="181"/>
    </row>
    <row r="894" spans="1:13" x14ac:dyDescent="0.2">
      <c r="A894" s="417"/>
      <c r="H894" s="246"/>
      <c r="M894" s="181"/>
    </row>
    <row r="895" spans="1:13" x14ac:dyDescent="0.2">
      <c r="A895" s="449"/>
      <c r="B895" s="245"/>
      <c r="C895" s="245"/>
      <c r="D895" s="245"/>
      <c r="E895" s="245"/>
      <c r="F895" s="245"/>
      <c r="G895" s="245"/>
      <c r="H895" s="422"/>
      <c r="I895" s="245"/>
      <c r="J895" s="245"/>
      <c r="K895" s="245"/>
      <c r="L895" s="245"/>
      <c r="M895" s="183"/>
    </row>
    <row r="896" spans="1:13" x14ac:dyDescent="0.2">
      <c r="A896" s="777" t="s">
        <v>843</v>
      </c>
      <c r="B896" s="778"/>
      <c r="C896" s="778"/>
      <c r="D896" s="778"/>
      <c r="E896" s="778"/>
      <c r="F896" s="778"/>
      <c r="G896" s="778"/>
      <c r="H896" s="778"/>
      <c r="I896" s="778"/>
      <c r="J896" s="778"/>
      <c r="K896" s="778"/>
      <c r="L896" s="778"/>
      <c r="M896" s="779"/>
    </row>
    <row r="897" spans="1:13" x14ac:dyDescent="0.2">
      <c r="A897" s="771" t="s">
        <v>845</v>
      </c>
      <c r="B897" s="772"/>
      <c r="C897" s="772"/>
      <c r="D897" s="772"/>
      <c r="E897" s="772"/>
      <c r="F897" s="772"/>
      <c r="G897" s="772"/>
      <c r="H897" s="772"/>
      <c r="I897" s="772"/>
      <c r="J897" s="772"/>
      <c r="K897" s="772"/>
      <c r="L897" s="772"/>
      <c r="M897" s="773"/>
    </row>
    <row r="898" spans="1:13" x14ac:dyDescent="0.2">
      <c r="A898" s="771" t="s">
        <v>844</v>
      </c>
      <c r="B898" s="772"/>
      <c r="C898" s="772"/>
      <c r="D898" s="772"/>
      <c r="E898" s="772"/>
      <c r="F898" s="772"/>
      <c r="G898" s="772"/>
      <c r="H898" s="772"/>
      <c r="I898" s="772"/>
      <c r="J898" s="772"/>
      <c r="K898" s="772"/>
      <c r="L898" s="772"/>
      <c r="M898" s="773"/>
    </row>
    <row r="899" spans="1:13" x14ac:dyDescent="0.2">
      <c r="A899" s="771" t="s">
        <v>1139</v>
      </c>
      <c r="B899" s="772"/>
      <c r="C899" s="772"/>
      <c r="D899" s="772"/>
      <c r="E899" s="772"/>
      <c r="F899" s="772"/>
      <c r="G899" s="772"/>
      <c r="H899" s="772"/>
      <c r="I899" s="772"/>
      <c r="J899" s="772"/>
      <c r="K899" s="772"/>
      <c r="L899" s="772"/>
      <c r="M899" s="773"/>
    </row>
    <row r="900" spans="1:13" x14ac:dyDescent="0.2">
      <c r="A900" s="453"/>
      <c r="B900" s="334"/>
      <c r="C900" s="334"/>
      <c r="D900" s="334"/>
      <c r="E900" s="334"/>
      <c r="F900" s="334"/>
      <c r="G900" s="334"/>
      <c r="H900" s="334"/>
      <c r="I900" s="334"/>
      <c r="J900" s="334"/>
      <c r="K900" s="334"/>
      <c r="M900" s="181"/>
    </row>
    <row r="901" spans="1:13" x14ac:dyDescent="0.2">
      <c r="A901" s="453"/>
      <c r="B901" s="334"/>
      <c r="C901" s="334"/>
      <c r="D901" s="334"/>
      <c r="E901" s="334"/>
      <c r="F901" s="334"/>
      <c r="G901" s="334"/>
      <c r="H901" s="334"/>
      <c r="I901" s="334"/>
      <c r="J901" s="334"/>
      <c r="K901" s="334"/>
      <c r="M901" s="181"/>
    </row>
    <row r="902" spans="1:13" x14ac:dyDescent="0.2">
      <c r="A902" s="771"/>
      <c r="B902" s="772"/>
      <c r="C902" s="772"/>
      <c r="D902" s="772"/>
      <c r="E902" s="772"/>
      <c r="F902" s="772"/>
      <c r="G902" s="772"/>
      <c r="H902" s="772"/>
      <c r="I902" s="772"/>
      <c r="J902" s="772"/>
      <c r="K902" s="772"/>
      <c r="L902" s="772"/>
      <c r="M902" s="773"/>
    </row>
    <row r="903" spans="1:13" x14ac:dyDescent="0.2">
      <c r="A903" s="786" t="s">
        <v>997</v>
      </c>
      <c r="B903" s="787"/>
      <c r="C903" s="787"/>
      <c r="D903" s="787"/>
      <c r="E903" s="787"/>
      <c r="F903" s="787"/>
      <c r="G903" s="787"/>
      <c r="H903" s="787"/>
      <c r="I903" s="787"/>
      <c r="J903" s="335">
        <v>0.05</v>
      </c>
      <c r="M903" s="181"/>
    </row>
    <row r="904" spans="1:13" x14ac:dyDescent="0.2">
      <c r="A904" s="154" t="s">
        <v>443</v>
      </c>
      <c r="B904" s="149"/>
      <c r="C904" s="140"/>
      <c r="D904" s="151">
        <v>2024</v>
      </c>
      <c r="E904" s="151">
        <v>2025</v>
      </c>
      <c r="F904" s="151">
        <v>2026</v>
      </c>
      <c r="G904" s="151">
        <v>2027</v>
      </c>
      <c r="H904" s="151">
        <v>2028</v>
      </c>
      <c r="I904" s="151">
        <v>2029</v>
      </c>
      <c r="J904" s="151">
        <v>2030</v>
      </c>
      <c r="K904" s="151">
        <v>2031</v>
      </c>
      <c r="L904" s="151">
        <v>2032</v>
      </c>
      <c r="M904" s="155"/>
    </row>
    <row r="905" spans="1:13" x14ac:dyDescent="0.2">
      <c r="A905" s="194"/>
      <c r="D905" s="336"/>
      <c r="E905" s="244"/>
      <c r="F905" s="244"/>
      <c r="G905" s="337"/>
      <c r="H905" s="244"/>
      <c r="I905" s="244"/>
      <c r="J905" s="244"/>
      <c r="K905" s="244"/>
      <c r="M905" s="181"/>
    </row>
    <row r="906" spans="1:13" x14ac:dyDescent="0.2">
      <c r="A906" s="454" t="s">
        <v>318</v>
      </c>
      <c r="D906" s="244"/>
      <c r="E906" s="244"/>
      <c r="F906" s="244"/>
      <c r="G906" s="337"/>
      <c r="H906" s="244"/>
      <c r="I906" s="244"/>
      <c r="J906" s="244"/>
      <c r="K906" s="244"/>
      <c r="M906" s="181"/>
    </row>
    <row r="907" spans="1:13" ht="12.75" thickBot="1" x14ac:dyDescent="0.25">
      <c r="A907" s="194" t="s">
        <v>332</v>
      </c>
      <c r="D907" s="239">
        <f ca="1">D759</f>
        <v>82.184735281361327</v>
      </c>
      <c r="E907" s="239">
        <f t="shared" ref="E907:L907" ca="1" si="99">E759</f>
        <v>88.848127090932167</v>
      </c>
      <c r="F907" s="239">
        <f t="shared" ca="1" si="99"/>
        <v>95.633994484887154</v>
      </c>
      <c r="G907" s="239">
        <f t="shared" ca="1" si="99"/>
        <v>102.47494075880545</v>
      </c>
      <c r="H907" s="239">
        <f t="shared" ca="1" si="99"/>
        <v>109.30710467159624</v>
      </c>
      <c r="I907" s="239">
        <f t="shared" ca="1" si="99"/>
        <v>116.13897212887099</v>
      </c>
      <c r="J907" s="239">
        <f t="shared" ca="1" si="99"/>
        <v>122.96094453247539</v>
      </c>
      <c r="K907" s="239">
        <f t="shared" ca="1" si="99"/>
        <v>129.80221447603438</v>
      </c>
      <c r="L907" s="239">
        <f t="shared" ca="1" si="99"/>
        <v>136.63402462556718</v>
      </c>
      <c r="M907" s="239"/>
    </row>
    <row r="908" spans="1:13" ht="12.75" thickTop="1" x14ac:dyDescent="0.2">
      <c r="A908" s="194"/>
      <c r="D908" s="244"/>
      <c r="E908" s="244"/>
      <c r="F908" s="244"/>
      <c r="G908" s="337"/>
      <c r="H908" s="244"/>
      <c r="I908" s="244"/>
      <c r="J908" s="244"/>
      <c r="K908" s="244"/>
      <c r="M908" s="181"/>
    </row>
    <row r="909" spans="1:13" x14ac:dyDescent="0.2">
      <c r="A909" s="454" t="s">
        <v>319</v>
      </c>
      <c r="D909" s="244"/>
      <c r="E909" s="244"/>
      <c r="F909" s="244"/>
      <c r="G909" s="337"/>
      <c r="H909" s="244"/>
      <c r="I909" s="244"/>
      <c r="J909" s="244"/>
      <c r="K909" s="244"/>
      <c r="M909" s="181"/>
    </row>
    <row r="910" spans="1:13" x14ac:dyDescent="0.2">
      <c r="A910" s="194" t="s">
        <v>320</v>
      </c>
      <c r="D910" s="244">
        <v>79.977117608166111</v>
      </c>
      <c r="E910" s="244">
        <v>86.606021782346957</v>
      </c>
      <c r="F910" s="244">
        <v>93.210775305453026</v>
      </c>
      <c r="G910" s="244">
        <v>99.823187911098202</v>
      </c>
      <c r="H910" s="244">
        <v>106.44327297744751</v>
      </c>
      <c r="I910" s="244">
        <v>113.07111991555854</v>
      </c>
      <c r="J910" s="244">
        <v>119.70688985072533</v>
      </c>
      <c r="K910" s="244">
        <v>126.35081246271999</v>
      </c>
      <c r="L910" s="244">
        <v>133.00318387424514</v>
      </c>
      <c r="M910" s="445"/>
    </row>
    <row r="911" spans="1:13" x14ac:dyDescent="0.2">
      <c r="A911" s="194" t="s">
        <v>321</v>
      </c>
      <c r="D911" s="244">
        <f>SUM(D558:D560)</f>
        <v>1.3018999999999998</v>
      </c>
      <c r="E911" s="244">
        <f t="shared" ref="E911:L911" si="100">SUM(E558:E560)</f>
        <v>1.2477</v>
      </c>
      <c r="F911" s="244">
        <f t="shared" si="100"/>
        <v>1.1693250000000002</v>
      </c>
      <c r="G911" s="244">
        <f t="shared" si="100"/>
        <v>1.0748812500000009</v>
      </c>
      <c r="H911" s="244">
        <f t="shared" si="100"/>
        <v>0.96437531250000108</v>
      </c>
      <c r="I911" s="244">
        <f t="shared" si="100"/>
        <v>0.8216140781250012</v>
      </c>
      <c r="J911" s="244">
        <f t="shared" si="100"/>
        <v>0.64660478203125127</v>
      </c>
      <c r="K911" s="244">
        <f t="shared" si="100"/>
        <v>0.45555502113281365</v>
      </c>
      <c r="L911" s="244">
        <f t="shared" si="100"/>
        <v>0.28087277218945428</v>
      </c>
      <c r="M911" s="445"/>
    </row>
    <row r="912" spans="1:13" x14ac:dyDescent="0.2">
      <c r="A912" s="194" t="s">
        <v>528</v>
      </c>
      <c r="D912" s="244">
        <f>D542</f>
        <v>2.7729880429628957</v>
      </c>
      <c r="E912" s="244">
        <f t="shared" ref="E912:L912" si="101">E542</f>
        <v>2.3882877477633078</v>
      </c>
      <c r="F912" s="244">
        <f t="shared" si="101"/>
        <v>2.0570842601857433</v>
      </c>
      <c r="G912" s="244">
        <f t="shared" si="101"/>
        <v>1.7719227690379042</v>
      </c>
      <c r="H912" s="244">
        <f t="shared" si="101"/>
        <v>1.5263893804812168</v>
      </c>
      <c r="I912" s="244">
        <f t="shared" si="101"/>
        <v>1.3149654665280146</v>
      </c>
      <c r="J912" s="244">
        <f t="shared" si="101"/>
        <v>1.1329024429312327</v>
      </c>
      <c r="K912" s="244">
        <f t="shared" si="101"/>
        <v>0.97611410281794175</v>
      </c>
      <c r="L912" s="244">
        <f t="shared" si="101"/>
        <v>0.8410840380404454</v>
      </c>
      <c r="M912" s="445"/>
    </row>
    <row r="913" spans="1:13" x14ac:dyDescent="0.2">
      <c r="A913" s="194" t="s">
        <v>322</v>
      </c>
      <c r="D913" s="244">
        <f>D562</f>
        <v>1.4000000000000002E-2</v>
      </c>
      <c r="E913" s="244">
        <f t="shared" ref="E913:L913" si="102">E562</f>
        <v>1.4000000000000002E-2</v>
      </c>
      <c r="F913" s="244">
        <f t="shared" si="102"/>
        <v>1.4000000000000002E-2</v>
      </c>
      <c r="G913" s="244">
        <f t="shared" si="102"/>
        <v>1.4000000000000002E-2</v>
      </c>
      <c r="H913" s="244">
        <f t="shared" si="102"/>
        <v>1.4000000000000002E-2</v>
      </c>
      <c r="I913" s="244">
        <f t="shared" si="102"/>
        <v>0</v>
      </c>
      <c r="J913" s="244">
        <f t="shared" si="102"/>
        <v>0</v>
      </c>
      <c r="K913" s="244">
        <f t="shared" si="102"/>
        <v>0</v>
      </c>
      <c r="L913" s="244">
        <f t="shared" si="102"/>
        <v>0</v>
      </c>
      <c r="M913" s="445"/>
    </row>
    <row r="914" spans="1:13" ht="12.75" thickBot="1" x14ac:dyDescent="0.25">
      <c r="A914" s="454" t="s">
        <v>323</v>
      </c>
      <c r="D914" s="239">
        <f>SUM(D910:D913)</f>
        <v>84.066005651129004</v>
      </c>
      <c r="E914" s="239">
        <f t="shared" ref="E914:L914" si="103">SUM(E910:E913)</f>
        <v>90.256009530110262</v>
      </c>
      <c r="F914" s="239">
        <f t="shared" si="103"/>
        <v>96.451184565638769</v>
      </c>
      <c r="G914" s="239">
        <f t="shared" si="103"/>
        <v>102.6839919301361</v>
      </c>
      <c r="H914" s="239">
        <f t="shared" si="103"/>
        <v>108.94803767042872</v>
      </c>
      <c r="I914" s="239">
        <f t="shared" si="103"/>
        <v>115.20769946021154</v>
      </c>
      <c r="J914" s="239">
        <f t="shared" si="103"/>
        <v>121.48639707568782</v>
      </c>
      <c r="K914" s="239">
        <f t="shared" si="103"/>
        <v>127.78248158667074</v>
      </c>
      <c r="L914" s="239">
        <f t="shared" si="103"/>
        <v>134.12514068447504</v>
      </c>
      <c r="M914" s="239"/>
    </row>
    <row r="915" spans="1:13" ht="12.75" thickTop="1" x14ac:dyDescent="0.2">
      <c r="A915" s="194"/>
      <c r="E915" s="244"/>
      <c r="F915" s="244"/>
      <c r="G915" s="244"/>
      <c r="H915" s="244"/>
      <c r="I915" s="244"/>
      <c r="J915" s="244"/>
      <c r="M915" s="181"/>
    </row>
    <row r="916" spans="1:13" x14ac:dyDescent="0.2">
      <c r="A916" s="194"/>
      <c r="E916" s="244"/>
      <c r="F916" s="244"/>
      <c r="G916" s="244"/>
      <c r="H916" s="244"/>
      <c r="I916" s="244"/>
      <c r="J916" s="244"/>
      <c r="M916" s="181"/>
    </row>
    <row r="917" spans="1:13" x14ac:dyDescent="0.2">
      <c r="A917" s="194"/>
      <c r="E917" s="244"/>
      <c r="F917" s="244"/>
      <c r="G917" s="244"/>
      <c r="H917" s="337"/>
      <c r="I917" s="244"/>
      <c r="J917" s="244"/>
      <c r="M917" s="181"/>
    </row>
    <row r="918" spans="1:13" x14ac:dyDescent="0.2">
      <c r="A918" s="456" t="s">
        <v>324</v>
      </c>
      <c r="B918" s="201"/>
      <c r="C918" s="201"/>
      <c r="D918" s="341">
        <f ca="1">D907-D914</f>
        <v>-1.8812703697676767</v>
      </c>
      <c r="E918" s="341">
        <f t="shared" ref="E918:L918" ca="1" si="104">E907-E914</f>
        <v>-1.4078824391780955</v>
      </c>
      <c r="F918" s="341">
        <f t="shared" ca="1" si="104"/>
        <v>-0.81719008075161526</v>
      </c>
      <c r="G918" s="341">
        <f t="shared" ca="1" si="104"/>
        <v>-0.20905117133065687</v>
      </c>
      <c r="H918" s="341">
        <f t="shared" ca="1" si="104"/>
        <v>0.35906700116751722</v>
      </c>
      <c r="I918" s="341">
        <f t="shared" ca="1" si="104"/>
        <v>0.93127266865944591</v>
      </c>
      <c r="J918" s="341">
        <f t="shared" ca="1" si="104"/>
        <v>1.474547456787576</v>
      </c>
      <c r="K918" s="341">
        <f t="shared" ca="1" si="104"/>
        <v>2.0197328893636382</v>
      </c>
      <c r="L918" s="341">
        <f t="shared" ca="1" si="104"/>
        <v>2.5088839410921366</v>
      </c>
      <c r="M918" s="467"/>
    </row>
    <row r="919" spans="1:13" x14ac:dyDescent="0.2">
      <c r="A919" s="194" t="s">
        <v>325</v>
      </c>
      <c r="D919" s="244">
        <f ca="1">IF(D918&gt;0,D918*$E$928,0)</f>
        <v>0</v>
      </c>
      <c r="E919" s="244">
        <f t="shared" ref="E919:L919" ca="1" si="105">IF(E918&gt;0,E918*$E$928,0)</f>
        <v>0</v>
      </c>
      <c r="F919" s="244">
        <f t="shared" ca="1" si="105"/>
        <v>0</v>
      </c>
      <c r="G919" s="244">
        <f t="shared" ca="1" si="105"/>
        <v>0</v>
      </c>
      <c r="H919" s="244">
        <f t="shared" ca="1" si="105"/>
        <v>8.7905346957826896E-2</v>
      </c>
      <c r="I919" s="244">
        <f t="shared" ca="1" si="105"/>
        <v>0.22799044965053092</v>
      </c>
      <c r="J919" s="244">
        <f t="shared" ca="1" si="105"/>
        <v>0.36099281018090723</v>
      </c>
      <c r="K919" s="244">
        <f t="shared" ca="1" si="105"/>
        <v>0.49446292704244843</v>
      </c>
      <c r="L919" s="244">
        <f t="shared" ca="1" si="105"/>
        <v>0.61421493092241253</v>
      </c>
      <c r="M919" s="445"/>
    </row>
    <row r="920" spans="1:13" x14ac:dyDescent="0.2">
      <c r="A920" s="194" t="s">
        <v>326</v>
      </c>
      <c r="D920" s="244">
        <f ca="1">D918-D919</f>
        <v>-1.8812703697676767</v>
      </c>
      <c r="E920" s="244">
        <f t="shared" ref="E920:L920" ca="1" si="106">E918-E919</f>
        <v>-1.4078824391780955</v>
      </c>
      <c r="F920" s="244">
        <f t="shared" ca="1" si="106"/>
        <v>-0.81719008075161526</v>
      </c>
      <c r="G920" s="244">
        <f t="shared" ca="1" si="106"/>
        <v>-0.20905117133065687</v>
      </c>
      <c r="H920" s="244">
        <f t="shared" ca="1" si="106"/>
        <v>0.27116165420969029</v>
      </c>
      <c r="I920" s="244">
        <f t="shared" ca="1" si="106"/>
        <v>0.70328221900891497</v>
      </c>
      <c r="J920" s="244">
        <f t="shared" ca="1" si="106"/>
        <v>1.1135546466066688</v>
      </c>
      <c r="K920" s="244">
        <f t="shared" ca="1" si="106"/>
        <v>1.5252699623211896</v>
      </c>
      <c r="L920" s="244">
        <f t="shared" ca="1" si="106"/>
        <v>1.8946690101697241</v>
      </c>
      <c r="M920" s="445"/>
    </row>
    <row r="921" spans="1:13" x14ac:dyDescent="0.2">
      <c r="A921" s="194" t="s">
        <v>500</v>
      </c>
      <c r="D921" s="244">
        <f ca="1">D920+D912+D913</f>
        <v>0.90571767319521901</v>
      </c>
      <c r="E921" s="244">
        <f t="shared" ref="E921:L921" ca="1" si="107">E920+E912+E913</f>
        <v>0.99440530858521226</v>
      </c>
      <c r="F921" s="244">
        <f t="shared" ca="1" si="107"/>
        <v>1.2538941794341281</v>
      </c>
      <c r="G921" s="244">
        <f t="shared" ca="1" si="107"/>
        <v>1.5768715977072474</v>
      </c>
      <c r="H921" s="244">
        <f t="shared" ca="1" si="107"/>
        <v>1.8115510346909069</v>
      </c>
      <c r="I921" s="244">
        <f t="shared" ca="1" si="107"/>
        <v>2.0182476855369296</v>
      </c>
      <c r="J921" s="244">
        <f t="shared" ca="1" si="107"/>
        <v>2.2464570895379015</v>
      </c>
      <c r="K921" s="244">
        <f t="shared" ca="1" si="107"/>
        <v>2.5013840651391313</v>
      </c>
      <c r="L921" s="244">
        <f t="shared" ca="1" si="107"/>
        <v>2.7357530482101695</v>
      </c>
      <c r="M921" s="445"/>
    </row>
    <row r="922" spans="1:13" x14ac:dyDescent="0.2">
      <c r="A922" s="194" t="s">
        <v>327</v>
      </c>
      <c r="D922" s="244">
        <f>BASICS!E489</f>
        <v>1.0718999999999999</v>
      </c>
      <c r="E922" s="244">
        <f>BASICS!F489</f>
        <v>1.0152000000000001</v>
      </c>
      <c r="F922" s="244">
        <f>BASICS!G489</f>
        <v>0.93420000000000014</v>
      </c>
      <c r="G922" s="244">
        <f>BASICS!H489</f>
        <v>0.83700000000000085</v>
      </c>
      <c r="H922" s="244">
        <f>BASICS!I489</f>
        <v>0.72360000000000113</v>
      </c>
      <c r="I922" s="244">
        <f>BASICS!J489</f>
        <v>0.5778000000000012</v>
      </c>
      <c r="J922" s="244">
        <f>BASICS!K489</f>
        <v>0.39960000000000129</v>
      </c>
      <c r="K922" s="244">
        <f>BASICS!L489</f>
        <v>0.20520000000000113</v>
      </c>
      <c r="L922" s="244">
        <f>BASICS!M489</f>
        <v>2.7000000000001106E-2</v>
      </c>
      <c r="M922" s="445"/>
    </row>
    <row r="923" spans="1:13" x14ac:dyDescent="0.2">
      <c r="A923" s="190" t="s">
        <v>328</v>
      </c>
      <c r="B923" s="245"/>
      <c r="C923" s="245"/>
      <c r="D923" s="342">
        <f>BASICS!E486</f>
        <v>0.36</v>
      </c>
      <c r="E923" s="342">
        <f>BASICS!F486</f>
        <v>0.72</v>
      </c>
      <c r="F923" s="342">
        <f>BASICS!G486</f>
        <v>1.08</v>
      </c>
      <c r="G923" s="342">
        <f>BASICS!H486</f>
        <v>1.08</v>
      </c>
      <c r="H923" s="342">
        <f>BASICS!I486</f>
        <v>1.44</v>
      </c>
      <c r="I923" s="342">
        <f>BASICS!J486</f>
        <v>1.7999999999999998</v>
      </c>
      <c r="J923" s="342">
        <f>BASICS!K486</f>
        <v>2.16</v>
      </c>
      <c r="K923" s="342">
        <f>BASICS!L486</f>
        <v>2.16</v>
      </c>
      <c r="L923" s="342">
        <f>BASICS!M486</f>
        <v>1.2000000000000002</v>
      </c>
      <c r="M923" s="468"/>
    </row>
    <row r="924" spans="1:13" x14ac:dyDescent="0.2">
      <c r="A924" s="194" t="s">
        <v>329</v>
      </c>
      <c r="D924" s="244">
        <f ca="1">(D921+D922)/(D922+D923)</f>
        <v>1.3811143747435011</v>
      </c>
      <c r="E924" s="244">
        <f t="shared" ref="E924:L924" ca="1" si="108">(E921+E922)/(E922+E923)</f>
        <v>1.1581404498531651</v>
      </c>
      <c r="F924" s="244">
        <f t="shared" ca="1" si="108"/>
        <v>1.0863341174829353</v>
      </c>
      <c r="G924" s="244">
        <f t="shared" ca="1" si="108"/>
        <v>1.2591922784075364</v>
      </c>
      <c r="H924" s="244">
        <f t="shared" ca="1" si="108"/>
        <v>1.1717281543219202</v>
      </c>
      <c r="I924" s="244">
        <f t="shared" ca="1" si="108"/>
        <v>1.0917855519963535</v>
      </c>
      <c r="J924" s="244">
        <f t="shared" ca="1" si="108"/>
        <v>1.0337775783473595</v>
      </c>
      <c r="K924" s="244">
        <f t="shared" ca="1" si="108"/>
        <v>1.144336235895117</v>
      </c>
      <c r="L924" s="244">
        <f t="shared" ca="1" si="108"/>
        <v>2.2516324761289059</v>
      </c>
      <c r="M924" s="445"/>
    </row>
    <row r="925" spans="1:13" x14ac:dyDescent="0.2">
      <c r="A925" s="194"/>
      <c r="D925" s="244"/>
      <c r="E925" s="244"/>
      <c r="F925" s="244"/>
      <c r="G925" s="337"/>
      <c r="H925" s="244"/>
      <c r="I925" s="244"/>
      <c r="J925" s="244"/>
      <c r="K925" s="244"/>
      <c r="M925" s="181"/>
    </row>
    <row r="926" spans="1:13" x14ac:dyDescent="0.2">
      <c r="A926" s="194"/>
      <c r="E926" s="244"/>
      <c r="F926" s="244"/>
      <c r="G926" s="244"/>
      <c r="H926" s="337"/>
      <c r="I926" s="244"/>
      <c r="J926" s="244"/>
      <c r="M926" s="181"/>
    </row>
    <row r="927" spans="1:13" x14ac:dyDescent="0.2">
      <c r="A927" s="194"/>
      <c r="E927" s="244"/>
      <c r="F927" s="244"/>
      <c r="G927" s="244"/>
      <c r="H927" s="337"/>
      <c r="I927" s="244"/>
      <c r="J927" s="244"/>
      <c r="M927" s="181"/>
    </row>
    <row r="928" spans="1:13" x14ac:dyDescent="0.2">
      <c r="A928" s="313"/>
      <c r="B928" s="148" t="s">
        <v>965</v>
      </c>
      <c r="E928" s="339">
        <v>0.24481600000000001</v>
      </c>
      <c r="F928" s="148" t="s">
        <v>331</v>
      </c>
      <c r="H928" s="246"/>
      <c r="I928" s="340">
        <v>0.16692000000000001</v>
      </c>
      <c r="M928" s="181"/>
    </row>
    <row r="929" spans="1:13" x14ac:dyDescent="0.2">
      <c r="A929" s="194"/>
      <c r="B929" s="148"/>
      <c r="G929" s="148"/>
      <c r="H929" s="93"/>
      <c r="M929" s="181"/>
    </row>
    <row r="930" spans="1:13" x14ac:dyDescent="0.2">
      <c r="A930" s="313"/>
      <c r="G930" s="148"/>
      <c r="H930" s="93"/>
      <c r="M930" s="181"/>
    </row>
    <row r="931" spans="1:13" x14ac:dyDescent="0.2">
      <c r="A931" s="154" t="s">
        <v>443</v>
      </c>
      <c r="B931" s="140"/>
      <c r="C931" s="140"/>
      <c r="D931" s="151">
        <v>2024</v>
      </c>
      <c r="E931" s="151">
        <v>2025</v>
      </c>
      <c r="F931" s="151">
        <v>2026</v>
      </c>
      <c r="G931" s="151">
        <v>2027</v>
      </c>
      <c r="H931" s="151">
        <v>2028</v>
      </c>
      <c r="I931" s="151">
        <v>2029</v>
      </c>
      <c r="J931" s="151">
        <v>2030</v>
      </c>
      <c r="K931" s="151">
        <v>2031</v>
      </c>
      <c r="L931" s="151">
        <v>2032</v>
      </c>
      <c r="M931" s="155"/>
    </row>
    <row r="932" spans="1:13" x14ac:dyDescent="0.2">
      <c r="A932" s="313" t="s">
        <v>529</v>
      </c>
      <c r="D932" s="93">
        <f ca="1">D918</f>
        <v>-1.8812703697676767</v>
      </c>
      <c r="E932" s="93">
        <f t="shared" ref="E932:L932" ca="1" si="109">E918</f>
        <v>-1.4078824391780955</v>
      </c>
      <c r="F932" s="93">
        <f t="shared" ca="1" si="109"/>
        <v>-0.81719008075161526</v>
      </c>
      <c r="G932" s="93">
        <f t="shared" ca="1" si="109"/>
        <v>-0.20905117133065687</v>
      </c>
      <c r="H932" s="93">
        <f t="shared" ca="1" si="109"/>
        <v>0.35906700116751722</v>
      </c>
      <c r="I932" s="93">
        <f t="shared" ca="1" si="109"/>
        <v>0.93127266865944591</v>
      </c>
      <c r="J932" s="93">
        <f t="shared" ca="1" si="109"/>
        <v>1.474547456787576</v>
      </c>
      <c r="K932" s="93">
        <f t="shared" ca="1" si="109"/>
        <v>2.0197328893636382</v>
      </c>
      <c r="L932" s="93">
        <f t="shared" ca="1" si="109"/>
        <v>2.5088839410921366</v>
      </c>
      <c r="M932" s="181"/>
    </row>
    <row r="933" spans="1:13" x14ac:dyDescent="0.2">
      <c r="A933" s="313" t="s">
        <v>88</v>
      </c>
      <c r="D933" s="93">
        <f>BASICS!E193</f>
        <v>2.7729880429628957</v>
      </c>
      <c r="E933" s="93">
        <f>BASICS!F193</f>
        <v>2.3882877477633078</v>
      </c>
      <c r="F933" s="93">
        <f>BASICS!G193</f>
        <v>2.0570842601857433</v>
      </c>
      <c r="G933" s="93">
        <f>BASICS!H193</f>
        <v>1.7719227690379042</v>
      </c>
      <c r="H933" s="93">
        <f>BASICS!I193</f>
        <v>1.5263893804812168</v>
      </c>
      <c r="I933" s="93">
        <f>BASICS!J193</f>
        <v>1.3149654665280146</v>
      </c>
      <c r="J933" s="93">
        <f>BASICS!K193</f>
        <v>1.1329024429312327</v>
      </c>
      <c r="K933" s="93">
        <f>BASICS!L193</f>
        <v>0.97611410281794175</v>
      </c>
      <c r="L933" s="93">
        <f>BASICS!M193</f>
        <v>0.8410840380404454</v>
      </c>
      <c r="M933" s="181"/>
    </row>
    <row r="934" spans="1:13" x14ac:dyDescent="0.2">
      <c r="A934" s="313" t="s">
        <v>530</v>
      </c>
      <c r="D934" s="93">
        <f ca="1">SUM(D932:D933)</f>
        <v>0.891717673195219</v>
      </c>
      <c r="E934" s="93">
        <f t="shared" ref="E934:L934" ca="1" si="110">SUM(E932:E933)</f>
        <v>0.98040530858521224</v>
      </c>
      <c r="F934" s="93">
        <f t="shared" ca="1" si="110"/>
        <v>1.2398941794341281</v>
      </c>
      <c r="G934" s="93">
        <f t="shared" ca="1" si="110"/>
        <v>1.5628715977072474</v>
      </c>
      <c r="H934" s="93">
        <f t="shared" ca="1" si="110"/>
        <v>1.885456381648734</v>
      </c>
      <c r="I934" s="93">
        <f t="shared" ca="1" si="110"/>
        <v>2.2462381351874603</v>
      </c>
      <c r="J934" s="93">
        <f t="shared" ca="1" si="110"/>
        <v>2.6074498997188087</v>
      </c>
      <c r="K934" s="93">
        <f t="shared" ca="1" si="110"/>
        <v>2.9958469921815798</v>
      </c>
      <c r="L934" s="93">
        <f t="shared" ca="1" si="110"/>
        <v>3.349967979132582</v>
      </c>
      <c r="M934" s="181"/>
    </row>
    <row r="935" spans="1:13" x14ac:dyDescent="0.2">
      <c r="A935" s="313" t="s">
        <v>87</v>
      </c>
      <c r="D935" s="93">
        <f>BASICS!E180</f>
        <v>2.9833077724563188</v>
      </c>
      <c r="E935" s="93">
        <f>BASICS!F180</f>
        <v>2.5381858860475734</v>
      </c>
      <c r="F935" s="93">
        <f>BASICS!G180</f>
        <v>2.1595948546541699</v>
      </c>
      <c r="G935" s="93">
        <f>BASICS!H180</f>
        <v>1.8375787928184029</v>
      </c>
      <c r="H935" s="93">
        <f>BASICS!I180</f>
        <v>1.5636728236217654</v>
      </c>
      <c r="I935" s="93">
        <f>BASICS!J180</f>
        <v>1.3306796648320112</v>
      </c>
      <c r="J935" s="93">
        <f>BASICS!K180</f>
        <v>1.1324797033853686</v>
      </c>
      <c r="K935" s="93">
        <f>BASICS!L180</f>
        <v>0.96386953732790692</v>
      </c>
      <c r="L935" s="93">
        <f>BASICS!M180</f>
        <v>0.82042471723403021</v>
      </c>
      <c r="M935" s="181"/>
    </row>
    <row r="936" spans="1:13" x14ac:dyDescent="0.2">
      <c r="A936" s="313" t="s">
        <v>423</v>
      </c>
      <c r="D936" s="93">
        <f ca="1">D934-D935</f>
        <v>-2.0915900992610998</v>
      </c>
      <c r="E936" s="93">
        <f t="shared" ref="E936:L936" ca="1" si="111">E934-E935</f>
        <v>-1.5577805774623612</v>
      </c>
      <c r="F936" s="93">
        <f t="shared" ca="1" si="111"/>
        <v>-0.91970067522004184</v>
      </c>
      <c r="G936" s="93">
        <f t="shared" ca="1" si="111"/>
        <v>-0.27470719511115549</v>
      </c>
      <c r="H936" s="93">
        <f t="shared" ca="1" si="111"/>
        <v>0.32178355802696856</v>
      </c>
      <c r="I936" s="93">
        <f t="shared" ca="1" si="111"/>
        <v>0.91555847035544913</v>
      </c>
      <c r="J936" s="93">
        <f t="shared" ca="1" si="111"/>
        <v>1.4749701963334401</v>
      </c>
      <c r="K936" s="93">
        <f t="shared" ca="1" si="111"/>
        <v>2.0319774548536729</v>
      </c>
      <c r="L936" s="93">
        <f t="shared" ca="1" si="111"/>
        <v>2.5295432618985521</v>
      </c>
      <c r="M936" s="181"/>
    </row>
    <row r="937" spans="1:13" x14ac:dyDescent="0.2">
      <c r="A937" s="313" t="s">
        <v>534</v>
      </c>
      <c r="D937" s="93">
        <f ca="1">D932*$I$928</f>
        <v>-0.31402165012162064</v>
      </c>
      <c r="E937" s="93">
        <f t="shared" ref="E937:L937" ca="1" si="112">E932*$I$928</f>
        <v>-0.23500373674760772</v>
      </c>
      <c r="F937" s="93">
        <f t="shared" ca="1" si="112"/>
        <v>-0.13640536827905964</v>
      </c>
      <c r="G937" s="93">
        <f t="shared" ca="1" si="112"/>
        <v>-3.4894821518513246E-2</v>
      </c>
      <c r="H937" s="93">
        <f t="shared" ca="1" si="112"/>
        <v>5.9935463834881977E-2</v>
      </c>
      <c r="I937" s="93">
        <f t="shared" ca="1" si="112"/>
        <v>0.15544803385263473</v>
      </c>
      <c r="J937" s="93">
        <f t="shared" ca="1" si="112"/>
        <v>0.2461314614869822</v>
      </c>
      <c r="K937" s="93">
        <f t="shared" ca="1" si="112"/>
        <v>0.33713381389257852</v>
      </c>
      <c r="L937" s="93">
        <f t="shared" ca="1" si="112"/>
        <v>0.41878290744709951</v>
      </c>
      <c r="M937" s="181"/>
    </row>
    <row r="938" spans="1:13" x14ac:dyDescent="0.2">
      <c r="A938" s="313" t="s">
        <v>535</v>
      </c>
      <c r="D938" s="93">
        <f ca="1">D919</f>
        <v>0</v>
      </c>
      <c r="E938" s="93">
        <f t="shared" ref="E938:L938" ca="1" si="113">E919</f>
        <v>0</v>
      </c>
      <c r="F938" s="93">
        <f t="shared" ca="1" si="113"/>
        <v>0</v>
      </c>
      <c r="G938" s="93">
        <f t="shared" ca="1" si="113"/>
        <v>0</v>
      </c>
      <c r="H938" s="93">
        <f t="shared" ca="1" si="113"/>
        <v>8.7905346957826896E-2</v>
      </c>
      <c r="I938" s="93">
        <f t="shared" ca="1" si="113"/>
        <v>0.22799044965053092</v>
      </c>
      <c r="J938" s="93">
        <f t="shared" ca="1" si="113"/>
        <v>0.36099281018090723</v>
      </c>
      <c r="K938" s="93">
        <f t="shared" ca="1" si="113"/>
        <v>0.49446292704244843</v>
      </c>
      <c r="L938" s="93">
        <f t="shared" ca="1" si="113"/>
        <v>0.61421493092241253</v>
      </c>
      <c r="M938" s="181"/>
    </row>
    <row r="939" spans="1:13" x14ac:dyDescent="0.2">
      <c r="A939" s="314" t="s">
        <v>536</v>
      </c>
      <c r="B939" s="245"/>
      <c r="C939" s="245"/>
      <c r="D939" s="245">
        <f ca="1">MAX(D937:D938)</f>
        <v>0</v>
      </c>
      <c r="E939" s="245">
        <f t="shared" ref="E939:L939" ca="1" si="114">MAX(E937:E938)</f>
        <v>0</v>
      </c>
      <c r="F939" s="245">
        <f t="shared" ca="1" si="114"/>
        <v>0</v>
      </c>
      <c r="G939" s="245">
        <f t="shared" ca="1" si="114"/>
        <v>0</v>
      </c>
      <c r="H939" s="245">
        <f t="shared" ca="1" si="114"/>
        <v>8.7905346957826896E-2</v>
      </c>
      <c r="I939" s="245">
        <f t="shared" ca="1" si="114"/>
        <v>0.22799044965053092</v>
      </c>
      <c r="J939" s="245">
        <f t="shared" ca="1" si="114"/>
        <v>0.36099281018090723</v>
      </c>
      <c r="K939" s="245">
        <f t="shared" ca="1" si="114"/>
        <v>0.49446292704244843</v>
      </c>
      <c r="L939" s="245">
        <f t="shared" ca="1" si="114"/>
        <v>0.61421493092241253</v>
      </c>
      <c r="M939" s="183"/>
    </row>
    <row r="940" spans="1:13" x14ac:dyDescent="0.2">
      <c r="A940" s="417"/>
      <c r="H940" s="246"/>
      <c r="M940" s="181"/>
    </row>
    <row r="941" spans="1:13" x14ac:dyDescent="0.2">
      <c r="A941" s="417"/>
      <c r="H941" s="246"/>
      <c r="M941" s="181"/>
    </row>
    <row r="942" spans="1:13" x14ac:dyDescent="0.2">
      <c r="A942" s="417"/>
      <c r="H942" s="246"/>
      <c r="M942" s="181"/>
    </row>
    <row r="943" spans="1:13" x14ac:dyDescent="0.2">
      <c r="A943" s="417"/>
      <c r="H943" s="246"/>
      <c r="M943" s="181"/>
    </row>
    <row r="944" spans="1:13" x14ac:dyDescent="0.2">
      <c r="A944" s="417"/>
      <c r="H944" s="246"/>
      <c r="M944" s="181"/>
    </row>
    <row r="945" spans="1:13" x14ac:dyDescent="0.2">
      <c r="A945" s="417"/>
      <c r="H945" s="246"/>
      <c r="M945" s="181"/>
    </row>
    <row r="946" spans="1:13" x14ac:dyDescent="0.2">
      <c r="A946" s="417"/>
      <c r="H946" s="246"/>
      <c r="M946" s="181"/>
    </row>
    <row r="947" spans="1:13" x14ac:dyDescent="0.2">
      <c r="A947" s="417"/>
      <c r="H947" s="246"/>
      <c r="M947" s="181"/>
    </row>
    <row r="948" spans="1:13" x14ac:dyDescent="0.2">
      <c r="A948" s="417"/>
      <c r="H948" s="246"/>
      <c r="M948" s="181"/>
    </row>
    <row r="949" spans="1:13" x14ac:dyDescent="0.2">
      <c r="A949" s="449"/>
      <c r="B949" s="245"/>
      <c r="C949" s="245"/>
      <c r="D949" s="245"/>
      <c r="E949" s="245"/>
      <c r="F949" s="245"/>
      <c r="G949" s="245"/>
      <c r="H949" s="422"/>
      <c r="I949" s="245"/>
      <c r="J949" s="245"/>
      <c r="K949" s="245"/>
      <c r="L949" s="245"/>
      <c r="M949" s="183"/>
    </row>
    <row r="950" spans="1:13" x14ac:dyDescent="0.2">
      <c r="A950" s="780" t="s">
        <v>843</v>
      </c>
      <c r="B950" s="781"/>
      <c r="C950" s="781"/>
      <c r="D950" s="781"/>
      <c r="E950" s="781"/>
      <c r="F950" s="781"/>
      <c r="G950" s="781"/>
      <c r="H950" s="781"/>
      <c r="I950" s="781"/>
      <c r="J950" s="781"/>
      <c r="K950" s="781"/>
      <c r="L950" s="781"/>
      <c r="M950" s="782"/>
    </row>
    <row r="951" spans="1:13" x14ac:dyDescent="0.2">
      <c r="A951" s="774" t="s">
        <v>845</v>
      </c>
      <c r="B951" s="775"/>
      <c r="C951" s="775"/>
      <c r="D951" s="775"/>
      <c r="E951" s="775"/>
      <c r="F951" s="775"/>
      <c r="G951" s="775"/>
      <c r="H951" s="775"/>
      <c r="I951" s="775"/>
      <c r="J951" s="775"/>
      <c r="K951" s="775"/>
      <c r="L951" s="775"/>
      <c r="M951" s="776"/>
    </row>
    <row r="952" spans="1:13" x14ac:dyDescent="0.2">
      <c r="A952" s="774" t="s">
        <v>844</v>
      </c>
      <c r="B952" s="775"/>
      <c r="C952" s="775"/>
      <c r="D952" s="775"/>
      <c r="E952" s="775"/>
      <c r="F952" s="775"/>
      <c r="G952" s="775"/>
      <c r="H952" s="775"/>
      <c r="I952" s="775"/>
      <c r="J952" s="775"/>
      <c r="K952" s="775"/>
      <c r="L952" s="775"/>
      <c r="M952" s="776"/>
    </row>
    <row r="953" spans="1:13" x14ac:dyDescent="0.2">
      <c r="A953" s="774" t="s">
        <v>1139</v>
      </c>
      <c r="B953" s="775"/>
      <c r="C953" s="775"/>
      <c r="D953" s="775"/>
      <c r="E953" s="775"/>
      <c r="F953" s="775"/>
      <c r="G953" s="775"/>
      <c r="H953" s="775"/>
      <c r="I953" s="775"/>
      <c r="J953" s="775"/>
      <c r="K953" s="775"/>
      <c r="L953" s="775"/>
      <c r="M953" s="776"/>
    </row>
    <row r="954" spans="1:13" x14ac:dyDescent="0.2">
      <c r="A954" s="436"/>
      <c r="B954" s="343"/>
      <c r="C954" s="343"/>
      <c r="D954" s="343"/>
      <c r="E954" s="343"/>
      <c r="F954" s="343"/>
      <c r="G954" s="343"/>
      <c r="H954" s="343"/>
      <c r="I954" s="343"/>
      <c r="J954" s="343"/>
      <c r="K954" s="343"/>
      <c r="L954" s="343"/>
      <c r="M954" s="457"/>
    </row>
    <row r="955" spans="1:13" ht="14.25" customHeight="1" x14ac:dyDescent="0.2">
      <c r="A955" s="755" t="s">
        <v>998</v>
      </c>
      <c r="B955" s="756"/>
      <c r="C955" s="756"/>
      <c r="D955" s="756"/>
      <c r="E955" s="756"/>
      <c r="F955" s="756"/>
      <c r="G955" s="756"/>
      <c r="H955" s="756"/>
      <c r="I955" s="756"/>
      <c r="J955" s="756"/>
      <c r="K955" s="756"/>
      <c r="L955" s="756"/>
      <c r="M955" s="757"/>
    </row>
    <row r="956" spans="1:13" x14ac:dyDescent="0.2">
      <c r="A956" s="417"/>
      <c r="H956" s="246"/>
      <c r="M956" s="181"/>
    </row>
    <row r="957" spans="1:13" ht="24" x14ac:dyDescent="0.2">
      <c r="A957" s="458" t="s">
        <v>468</v>
      </c>
      <c r="B957" s="297" t="s">
        <v>456</v>
      </c>
      <c r="C957" s="297"/>
      <c r="D957" s="296"/>
      <c r="E957" s="770" t="s">
        <v>469</v>
      </c>
      <c r="F957" s="770"/>
      <c r="G957" s="296"/>
      <c r="H957" s="770" t="s">
        <v>963</v>
      </c>
      <c r="I957" s="770"/>
      <c r="J957" s="759" t="s">
        <v>445</v>
      </c>
      <c r="K957" s="759"/>
      <c r="L957" s="466" t="s">
        <v>470</v>
      </c>
      <c r="M957" s="181"/>
    </row>
    <row r="958" spans="1:13" x14ac:dyDescent="0.2">
      <c r="A958" s="437">
        <v>1</v>
      </c>
      <c r="B958" s="201" t="s">
        <v>466</v>
      </c>
      <c r="C958" s="201"/>
      <c r="D958" s="201"/>
      <c r="E958" s="93">
        <v>0</v>
      </c>
      <c r="H958" s="144">
        <v>1</v>
      </c>
      <c r="J958" s="244">
        <f>E958*H958</f>
        <v>0</v>
      </c>
      <c r="K958" s="244"/>
      <c r="L958" s="445">
        <f>E958-J958</f>
        <v>0</v>
      </c>
      <c r="M958" s="181"/>
    </row>
    <row r="959" spans="1:13" x14ac:dyDescent="0.2">
      <c r="A959" s="437"/>
      <c r="H959" s="144"/>
      <c r="J959" s="244"/>
      <c r="K959" s="244"/>
      <c r="L959" s="445"/>
      <c r="M959" s="181"/>
    </row>
    <row r="960" spans="1:13" x14ac:dyDescent="0.2">
      <c r="A960" s="437">
        <v>2</v>
      </c>
      <c r="B960" s="93" t="s">
        <v>471</v>
      </c>
      <c r="E960" s="93">
        <v>0.44960000000000006</v>
      </c>
      <c r="H960" s="144">
        <v>1</v>
      </c>
      <c r="J960" s="244">
        <f>E960*H960</f>
        <v>0.44960000000000006</v>
      </c>
      <c r="K960" s="244"/>
      <c r="L960" s="445">
        <f>E960-J960</f>
        <v>0</v>
      </c>
      <c r="M960" s="181"/>
    </row>
    <row r="961" spans="1:13" x14ac:dyDescent="0.2">
      <c r="A961" s="437"/>
      <c r="H961" s="144"/>
      <c r="J961" s="244"/>
      <c r="K961" s="244"/>
      <c r="L961" s="445"/>
      <c r="M961" s="181"/>
    </row>
    <row r="962" spans="1:13" x14ac:dyDescent="0.2">
      <c r="A962" s="437">
        <v>3</v>
      </c>
      <c r="B962" s="93" t="s">
        <v>467</v>
      </c>
      <c r="E962" s="93">
        <v>18.413486194520001</v>
      </c>
      <c r="H962" s="144">
        <v>0.3</v>
      </c>
      <c r="J962" s="244">
        <f>E962*H962</f>
        <v>5.5240458583559997</v>
      </c>
      <c r="K962" s="244"/>
      <c r="L962" s="445">
        <f>E962-J962</f>
        <v>12.889440336164</v>
      </c>
      <c r="M962" s="181"/>
    </row>
    <row r="963" spans="1:13" x14ac:dyDescent="0.2">
      <c r="A963" s="437"/>
      <c r="H963" s="144"/>
      <c r="J963" s="244"/>
      <c r="K963" s="244"/>
      <c r="L963" s="445"/>
      <c r="M963" s="181"/>
    </row>
    <row r="964" spans="1:13" x14ac:dyDescent="0.2">
      <c r="A964" s="437">
        <v>4</v>
      </c>
      <c r="B964" s="93" t="s">
        <v>472</v>
      </c>
      <c r="E964" s="93">
        <v>0.12429999999999999</v>
      </c>
      <c r="H964" s="144">
        <v>0.25</v>
      </c>
      <c r="J964" s="244">
        <f>E964*H964</f>
        <v>3.1074999999999998E-2</v>
      </c>
      <c r="K964" s="244"/>
      <c r="L964" s="445">
        <f>E964-J964</f>
        <v>9.3225000000000002E-2</v>
      </c>
      <c r="M964" s="181"/>
    </row>
    <row r="965" spans="1:13" x14ac:dyDescent="0.2">
      <c r="A965" s="437"/>
      <c r="H965" s="144"/>
      <c r="J965" s="244"/>
      <c r="K965" s="244"/>
      <c r="L965" s="445"/>
      <c r="M965" s="181"/>
    </row>
    <row r="966" spans="1:13" x14ac:dyDescent="0.2">
      <c r="A966" s="437">
        <v>5</v>
      </c>
      <c r="B966" s="93" t="s">
        <v>475</v>
      </c>
      <c r="E966" s="93">
        <v>0.49372500000000002</v>
      </c>
      <c r="H966" s="144">
        <v>1</v>
      </c>
      <c r="J966" s="244">
        <f>E966*H966</f>
        <v>0.49372500000000002</v>
      </c>
      <c r="K966" s="244"/>
      <c r="L966" s="445">
        <f>E966-J966</f>
        <v>0</v>
      </c>
      <c r="M966" s="181"/>
    </row>
    <row r="967" spans="1:13" x14ac:dyDescent="0.2">
      <c r="A967" s="437"/>
      <c r="H967" s="144"/>
      <c r="J967" s="244"/>
      <c r="K967" s="244"/>
      <c r="L967" s="445"/>
      <c r="M967" s="181"/>
    </row>
    <row r="968" spans="1:13" x14ac:dyDescent="0.2">
      <c r="A968" s="437">
        <v>6</v>
      </c>
      <c r="B968" s="93" t="s">
        <v>953</v>
      </c>
      <c r="E968" s="93">
        <v>0.56589258583560009</v>
      </c>
      <c r="H968" s="144">
        <v>1</v>
      </c>
      <c r="J968" s="244">
        <f>E968*H968</f>
        <v>0.56589258583560009</v>
      </c>
      <c r="K968" s="244"/>
      <c r="L968" s="445">
        <f>E968-J968</f>
        <v>0</v>
      </c>
      <c r="M968" s="181"/>
    </row>
    <row r="969" spans="1:13" x14ac:dyDescent="0.2">
      <c r="A969" s="437"/>
      <c r="H969" s="144"/>
      <c r="J969" s="244"/>
      <c r="K969" s="244"/>
      <c r="L969" s="445"/>
      <c r="M969" s="181"/>
    </row>
    <row r="970" spans="1:13" x14ac:dyDescent="0.2">
      <c r="A970" s="437">
        <v>7</v>
      </c>
      <c r="B970" s="93" t="s">
        <v>473</v>
      </c>
      <c r="E970" s="93">
        <v>7.0000000000000007E-2</v>
      </c>
      <c r="H970" s="144">
        <v>1</v>
      </c>
      <c r="J970" s="244">
        <f>E970*H970</f>
        <v>7.0000000000000007E-2</v>
      </c>
      <c r="K970" s="244"/>
      <c r="L970" s="445">
        <f>E970-J970</f>
        <v>0</v>
      </c>
      <c r="M970" s="181"/>
    </row>
    <row r="971" spans="1:13" x14ac:dyDescent="0.2">
      <c r="A971" s="437"/>
      <c r="H971" s="144"/>
      <c r="J971" s="244"/>
      <c r="K971" s="244"/>
      <c r="L971" s="445"/>
      <c r="M971" s="181"/>
    </row>
    <row r="972" spans="1:13" x14ac:dyDescent="0.2">
      <c r="A972" s="437">
        <v>8</v>
      </c>
      <c r="B972" s="93" t="s">
        <v>975</v>
      </c>
      <c r="E972" s="93">
        <v>0.33</v>
      </c>
      <c r="H972" s="144">
        <v>1</v>
      </c>
      <c r="J972" s="244">
        <f>E972*H972</f>
        <v>0.33</v>
      </c>
      <c r="K972" s="244"/>
      <c r="L972" s="445">
        <f>E972-J972</f>
        <v>0</v>
      </c>
      <c r="M972" s="181"/>
    </row>
    <row r="973" spans="1:13" x14ac:dyDescent="0.2">
      <c r="A973" s="417"/>
      <c r="H973" s="229"/>
      <c r="K973" s="244"/>
      <c r="L973" s="445"/>
      <c r="M973" s="181"/>
    </row>
    <row r="974" spans="1:13" x14ac:dyDescent="0.2">
      <c r="A974" s="437">
        <v>9</v>
      </c>
      <c r="B974" s="245" t="s">
        <v>474</v>
      </c>
      <c r="C974" s="245"/>
      <c r="D974" s="245"/>
      <c r="E974" s="93">
        <v>1.2170469623781979</v>
      </c>
      <c r="G974" s="245"/>
      <c r="H974" s="689">
        <v>1</v>
      </c>
      <c r="I974" s="245"/>
      <c r="J974" s="244">
        <f>E974*H974</f>
        <v>1.2170469623781979</v>
      </c>
      <c r="K974" s="244"/>
      <c r="L974" s="445">
        <f>E974-J974</f>
        <v>0</v>
      </c>
      <c r="M974" s="181"/>
    </row>
    <row r="975" spans="1:13" x14ac:dyDescent="0.2">
      <c r="A975" s="459"/>
      <c r="B975" s="140" t="s">
        <v>454</v>
      </c>
      <c r="C975" s="149"/>
      <c r="D975" s="149"/>
      <c r="E975" s="140">
        <f>SUM(E958:E974)</f>
        <v>21.664050742733799</v>
      </c>
      <c r="F975" s="140"/>
      <c r="G975" s="149"/>
      <c r="H975" s="140"/>
      <c r="I975" s="149"/>
      <c r="J975" s="191">
        <f>SUM(J958:J974)</f>
        <v>8.6813854065697988</v>
      </c>
      <c r="K975" s="344"/>
      <c r="L975" s="192">
        <f>SUM(L958:L974)</f>
        <v>12.982665336164001</v>
      </c>
      <c r="M975" s="181"/>
    </row>
    <row r="976" spans="1:13" x14ac:dyDescent="0.2">
      <c r="A976" s="417"/>
      <c r="B976" s="97"/>
      <c r="D976" s="97"/>
      <c r="E976" s="97"/>
      <c r="F976" s="97"/>
      <c r="G976" s="97"/>
      <c r="H976" s="97"/>
      <c r="M976" s="181"/>
    </row>
    <row r="977" spans="1:13" x14ac:dyDescent="0.2">
      <c r="A977" s="417"/>
      <c r="B977" s="97" t="s">
        <v>964</v>
      </c>
      <c r="D977" s="97"/>
      <c r="E977" s="97"/>
      <c r="F977" s="97"/>
      <c r="G977" s="97"/>
      <c r="H977" s="97"/>
      <c r="L977" s="97">
        <v>12</v>
      </c>
      <c r="M977" s="399" t="s">
        <v>851</v>
      </c>
    </row>
    <row r="978" spans="1:13" x14ac:dyDescent="0.2">
      <c r="A978" s="417"/>
      <c r="H978" s="246"/>
      <c r="M978" s="181"/>
    </row>
    <row r="979" spans="1:13" x14ac:dyDescent="0.2">
      <c r="A979" s="417"/>
      <c r="H979" s="246"/>
      <c r="M979" s="181"/>
    </row>
    <row r="980" spans="1:13" x14ac:dyDescent="0.2">
      <c r="A980" s="417"/>
      <c r="H980" s="246"/>
      <c r="M980" s="181"/>
    </row>
    <row r="981" spans="1:13" x14ac:dyDescent="0.2">
      <c r="A981" s="417"/>
      <c r="H981" s="246"/>
      <c r="M981" s="181"/>
    </row>
    <row r="982" spans="1:13" x14ac:dyDescent="0.2">
      <c r="A982" s="417"/>
      <c r="H982" s="246"/>
      <c r="M982" s="181"/>
    </row>
    <row r="983" spans="1:13" x14ac:dyDescent="0.2">
      <c r="A983" s="417"/>
      <c r="H983" s="246"/>
      <c r="M983" s="181"/>
    </row>
    <row r="984" spans="1:13" x14ac:dyDescent="0.2">
      <c r="A984" s="417"/>
      <c r="H984" s="246"/>
      <c r="M984" s="181"/>
    </row>
    <row r="985" spans="1:13" x14ac:dyDescent="0.2">
      <c r="A985" s="417"/>
      <c r="H985" s="246"/>
      <c r="M985" s="181"/>
    </row>
    <row r="986" spans="1:13" x14ac:dyDescent="0.2">
      <c r="A986" s="417"/>
      <c r="H986" s="246"/>
      <c r="M986" s="181"/>
    </row>
    <row r="987" spans="1:13" x14ac:dyDescent="0.2">
      <c r="A987" s="417"/>
      <c r="H987" s="246"/>
      <c r="M987" s="181"/>
    </row>
    <row r="988" spans="1:13" x14ac:dyDescent="0.2">
      <c r="A988" s="417"/>
      <c r="H988" s="246"/>
      <c r="M988" s="181"/>
    </row>
    <row r="989" spans="1:13" x14ac:dyDescent="0.2">
      <c r="A989" s="417"/>
      <c r="H989" s="246"/>
      <c r="M989" s="181"/>
    </row>
    <row r="990" spans="1:13" x14ac:dyDescent="0.2">
      <c r="A990" s="417"/>
      <c r="H990" s="246"/>
      <c r="M990" s="181"/>
    </row>
    <row r="991" spans="1:13" x14ac:dyDescent="0.2">
      <c r="A991" s="417"/>
      <c r="H991" s="246"/>
      <c r="M991" s="181"/>
    </row>
    <row r="992" spans="1:13" x14ac:dyDescent="0.2">
      <c r="A992" s="417"/>
      <c r="H992" s="246"/>
      <c r="M992" s="181"/>
    </row>
    <row r="993" spans="1:13" x14ac:dyDescent="0.2">
      <c r="A993" s="417"/>
      <c r="H993" s="246"/>
      <c r="M993" s="181"/>
    </row>
    <row r="994" spans="1:13" x14ac:dyDescent="0.2">
      <c r="A994" s="417"/>
      <c r="H994" s="246"/>
      <c r="M994" s="181"/>
    </row>
    <row r="995" spans="1:13" x14ac:dyDescent="0.2">
      <c r="A995" s="417"/>
      <c r="H995" s="246"/>
      <c r="M995" s="181"/>
    </row>
    <row r="996" spans="1:13" x14ac:dyDescent="0.2">
      <c r="A996" s="417"/>
      <c r="H996" s="246"/>
      <c r="M996" s="181"/>
    </row>
    <row r="997" spans="1:13" x14ac:dyDescent="0.2">
      <c r="A997" s="417"/>
      <c r="H997" s="246"/>
      <c r="M997" s="181"/>
    </row>
    <row r="998" spans="1:13" x14ac:dyDescent="0.2">
      <c r="A998" s="417"/>
      <c r="D998" s="675"/>
      <c r="H998" s="246"/>
      <c r="M998" s="181"/>
    </row>
    <row r="999" spans="1:13" x14ac:dyDescent="0.2">
      <c r="A999" s="417"/>
      <c r="D999" s="674"/>
      <c r="H999" s="246"/>
      <c r="M999" s="181"/>
    </row>
    <row r="1000" spans="1:13" x14ac:dyDescent="0.2">
      <c r="A1000" s="417"/>
      <c r="H1000" s="93"/>
      <c r="M1000" s="181"/>
    </row>
    <row r="1001" spans="1:13" x14ac:dyDescent="0.2">
      <c r="A1001" s="449"/>
      <c r="B1001" s="245"/>
      <c r="C1001" s="245"/>
      <c r="D1001" s="245"/>
      <c r="E1001" s="245"/>
      <c r="F1001" s="245"/>
      <c r="G1001" s="245"/>
      <c r="H1001" s="422"/>
      <c r="I1001" s="245"/>
      <c r="J1001" s="245"/>
      <c r="K1001" s="245"/>
      <c r="L1001" s="245"/>
      <c r="M1001" s="183"/>
    </row>
    <row r="1002" spans="1:13" x14ac:dyDescent="0.2">
      <c r="A1002" s="289"/>
      <c r="H1002" s="246"/>
    </row>
    <row r="1003" spans="1:13" ht="12.75" x14ac:dyDescent="0.2">
      <c r="A1003" s="765" t="s">
        <v>1017</v>
      </c>
      <c r="B1003" s="766"/>
      <c r="C1003" s="766"/>
      <c r="D1003" s="766"/>
      <c r="E1003" s="766"/>
      <c r="F1003" s="766"/>
      <c r="G1003" s="766"/>
      <c r="H1003" s="766"/>
      <c r="I1003" s="766"/>
      <c r="J1003" s="766"/>
      <c r="K1003" s="766"/>
      <c r="L1003" s="766"/>
    </row>
    <row r="1004" spans="1:13" ht="12.75" x14ac:dyDescent="0.2">
      <c r="A1004" s="345"/>
      <c r="B1004" s="1"/>
      <c r="C1004" s="1"/>
      <c r="D1004" s="1"/>
      <c r="E1004" s="1"/>
      <c r="F1004" s="1"/>
      <c r="G1004" s="1"/>
      <c r="H1004" s="346"/>
      <c r="I1004" s="1"/>
      <c r="J1004" s="1"/>
      <c r="K1004" s="8"/>
      <c r="L1004" s="1"/>
    </row>
    <row r="1005" spans="1:13" ht="12.75" x14ac:dyDescent="0.2">
      <c r="A1005" s="348"/>
      <c r="B1005" s="767" t="s">
        <v>443</v>
      </c>
      <c r="C1005" s="767"/>
      <c r="D1005" s="173">
        <v>2024</v>
      </c>
      <c r="E1005" s="173">
        <v>2025</v>
      </c>
      <c r="F1005" s="173">
        <v>2026</v>
      </c>
      <c r="G1005" s="173">
        <v>2027</v>
      </c>
      <c r="H1005" s="173">
        <v>2028</v>
      </c>
      <c r="I1005" s="173">
        <v>2029</v>
      </c>
      <c r="J1005" s="173">
        <v>2030</v>
      </c>
      <c r="K1005" s="173">
        <v>2031</v>
      </c>
      <c r="L1005" s="173">
        <v>2032</v>
      </c>
      <c r="M1005" s="173"/>
    </row>
    <row r="1006" spans="1:13" ht="12.75" x14ac:dyDescent="0.2">
      <c r="A1006" s="348"/>
      <c r="B1006" s="1" t="s">
        <v>486</v>
      </c>
      <c r="C1006" s="1"/>
      <c r="D1006" s="1">
        <f>D532</f>
        <v>80.233199999999997</v>
      </c>
      <c r="E1006" s="1">
        <f t="shared" ref="E1006:L1006" si="115">E532</f>
        <v>88.658100000000005</v>
      </c>
      <c r="F1006" s="1">
        <f t="shared" si="115"/>
        <v>95.489100000000008</v>
      </c>
      <c r="G1006" s="1">
        <f t="shared" si="115"/>
        <v>102.32010000000001</v>
      </c>
      <c r="H1006" s="1">
        <f t="shared" si="115"/>
        <v>109.15110000000003</v>
      </c>
      <c r="I1006" s="1">
        <f t="shared" si="115"/>
        <v>115.98210000000002</v>
      </c>
      <c r="J1006" s="1">
        <f t="shared" si="115"/>
        <v>122.81310000000002</v>
      </c>
      <c r="K1006" s="1">
        <f t="shared" si="115"/>
        <v>129.64410000000004</v>
      </c>
      <c r="L1006" s="1">
        <f t="shared" si="115"/>
        <v>136.47510000000003</v>
      </c>
      <c r="M1006" s="1"/>
    </row>
    <row r="1007" spans="1:13" ht="12.75" x14ac:dyDescent="0.2">
      <c r="A1007" s="348"/>
      <c r="B1007" s="1" t="s">
        <v>1000</v>
      </c>
      <c r="C1007" s="1"/>
      <c r="D1007" s="1">
        <f ca="1">D563</f>
        <v>1.3716870215366719</v>
      </c>
      <c r="E1007" s="1">
        <f t="shared" ref="E1007:L1007" ca="1" si="116">E563</f>
        <v>2.1161547347349101</v>
      </c>
      <c r="F1007" s="1">
        <f t="shared" ca="1" si="116"/>
        <v>2.9779268757701054</v>
      </c>
      <c r="G1007" s="1">
        <f t="shared" ca="1" si="116"/>
        <v>3.8571455677997899</v>
      </c>
      <c r="H1007" s="1">
        <f t="shared" ca="1" si="116"/>
        <v>4.6963435229066359</v>
      </c>
      <c r="I1007" s="1">
        <f t="shared" ca="1" si="116"/>
        <v>5.5396289730072334</v>
      </c>
      <c r="J1007" s="1">
        <f t="shared" ca="1" si="116"/>
        <v>6.3539835437440884</v>
      </c>
      <c r="K1007" s="1">
        <f t="shared" ca="1" si="116"/>
        <v>7.1702487589288744</v>
      </c>
      <c r="L1007" s="1">
        <f t="shared" ca="1" si="116"/>
        <v>7.9304795932660426</v>
      </c>
      <c r="M1007" s="1"/>
    </row>
    <row r="1008" spans="1:13" ht="12.75" x14ac:dyDescent="0.2">
      <c r="A1008" s="348"/>
      <c r="B1008" s="1" t="s">
        <v>1001</v>
      </c>
      <c r="C1008" s="1"/>
      <c r="D1008" s="1">
        <f>D565</f>
        <v>1.0870339171715557</v>
      </c>
      <c r="E1008" s="1">
        <f t="shared" ref="E1008:L1008" si="117">E565</f>
        <v>1.6344173074556774</v>
      </c>
      <c r="F1008" s="1">
        <f t="shared" si="117"/>
        <v>2.2735842427916677</v>
      </c>
      <c r="G1008" s="1">
        <f t="shared" si="117"/>
        <v>2.9285053029004642</v>
      </c>
      <c r="H1008" s="1">
        <f t="shared" si="117"/>
        <v>3.5552798723566372</v>
      </c>
      <c r="I1008" s="1">
        <f t="shared" si="117"/>
        <v>4.1868068181455733</v>
      </c>
      <c r="J1008" s="1">
        <f t="shared" si="117"/>
        <v>4.7978155424014384</v>
      </c>
      <c r="K1008" s="1">
        <f t="shared" si="117"/>
        <v>5.4113235632104058</v>
      </c>
      <c r="L1008" s="1">
        <f t="shared" si="117"/>
        <v>5.9833494215561691</v>
      </c>
      <c r="M1008" s="1"/>
    </row>
    <row r="1009" spans="1:13" ht="12.75" x14ac:dyDescent="0.2">
      <c r="A1009" s="348"/>
      <c r="B1009" s="1" t="s">
        <v>1018</v>
      </c>
      <c r="C1009" s="1"/>
      <c r="D1009" s="1">
        <f>D581</f>
        <v>6.6</v>
      </c>
      <c r="E1009" s="1">
        <f t="shared" ref="E1009:L1009" si="118">E581</f>
        <v>6.6</v>
      </c>
      <c r="F1009" s="1">
        <f t="shared" si="118"/>
        <v>6.6</v>
      </c>
      <c r="G1009" s="1">
        <f t="shared" si="118"/>
        <v>6.6</v>
      </c>
      <c r="H1009" s="1">
        <f t="shared" si="118"/>
        <v>6.6</v>
      </c>
      <c r="I1009" s="1">
        <f t="shared" si="118"/>
        <v>6.6</v>
      </c>
      <c r="J1009" s="1">
        <f t="shared" si="118"/>
        <v>6.6</v>
      </c>
      <c r="K1009" s="1">
        <f t="shared" si="118"/>
        <v>6.6</v>
      </c>
      <c r="L1009" s="1">
        <f t="shared" si="118"/>
        <v>6.6</v>
      </c>
      <c r="M1009" s="1"/>
    </row>
    <row r="1010" spans="1:13" ht="12.75" x14ac:dyDescent="0.2">
      <c r="A1010" s="348"/>
      <c r="B1010" s="1" t="s">
        <v>1019</v>
      </c>
      <c r="C1010" s="1"/>
      <c r="D1010" s="1">
        <f>D581+D582-D610</f>
        <v>7.6310339171715551</v>
      </c>
      <c r="E1010" s="1">
        <f t="shared" ref="E1010:L1010" si="119">E581+E582-E610</f>
        <v>9.2794512246272323</v>
      </c>
      <c r="F1010" s="1">
        <f t="shared" si="119"/>
        <v>11.567035467418901</v>
      </c>
      <c r="G1010" s="1">
        <f t="shared" si="119"/>
        <v>14.509540770319365</v>
      </c>
      <c r="H1010" s="1">
        <f t="shared" si="119"/>
        <v>18.078820642676</v>
      </c>
      <c r="I1010" s="1">
        <f t="shared" si="119"/>
        <v>22.265627460821577</v>
      </c>
      <c r="J1010" s="1">
        <f t="shared" si="119"/>
        <v>27.063443003223014</v>
      </c>
      <c r="K1010" s="1">
        <f t="shared" si="119"/>
        <v>32.474766566433416</v>
      </c>
      <c r="L1010" s="1">
        <f t="shared" si="119"/>
        <v>38.458115987989586</v>
      </c>
      <c r="M1010" s="1"/>
    </row>
    <row r="1011" spans="1:13" ht="12.75" x14ac:dyDescent="0.2">
      <c r="A1011" s="348"/>
      <c r="B1011" s="1" t="s">
        <v>1003</v>
      </c>
      <c r="C1011" s="1"/>
      <c r="D1011" s="1">
        <f ca="1">SUM(D583:D589)/D1010</f>
        <v>2.9413106701091345</v>
      </c>
      <c r="E1011" s="1">
        <f t="shared" ref="E1011:L1011" ca="1" si="120">SUM(E583:E589)/E1010</f>
        <v>2.3979194972745566</v>
      </c>
      <c r="F1011" s="1">
        <f t="shared" ca="1" si="120"/>
        <v>1.8870917573357122</v>
      </c>
      <c r="G1011" s="1">
        <f t="shared" ca="1" si="120"/>
        <v>1.475331286945901</v>
      </c>
      <c r="H1011" s="1">
        <f t="shared" ca="1" si="120"/>
        <v>1.1402250841066843</v>
      </c>
      <c r="I1011" s="1">
        <f t="shared" ca="1" si="120"/>
        <v>0.87406578410013391</v>
      </c>
      <c r="J1011" s="1">
        <f t="shared" ca="1" si="120"/>
        <v>0.66295429003330941</v>
      </c>
      <c r="K1011" s="1">
        <f t="shared" ca="1" si="120"/>
        <v>0.50567550629214497</v>
      </c>
      <c r="L1011" s="1">
        <f t="shared" ca="1" si="120"/>
        <v>0.41207879372408196</v>
      </c>
      <c r="M1011" s="1"/>
    </row>
    <row r="1012" spans="1:13" ht="12.75" x14ac:dyDescent="0.2">
      <c r="A1012" s="348"/>
      <c r="B1012" s="1" t="s">
        <v>1020</v>
      </c>
      <c r="C1012" s="1"/>
      <c r="D1012" s="275">
        <f ca="1">D1007/D1017</f>
        <v>4.560694445092589E-2</v>
      </c>
      <c r="E1012" s="275">
        <f t="shared" ref="E1012:L1012" ca="1" si="121">E1007/E1017</f>
        <v>6.7113832805666837E-2</v>
      </c>
      <c r="F1012" s="275">
        <f t="shared" ca="1" si="121"/>
        <v>8.9172588848178233E-2</v>
      </c>
      <c r="G1012" s="275">
        <f t="shared" ca="1" si="121"/>
        <v>0.10739375584184481</v>
      </c>
      <c r="H1012" s="275">
        <f t="shared" ca="1" si="121"/>
        <v>0.12137529840935378</v>
      </c>
      <c r="I1012" s="275">
        <f t="shared" ca="1" si="121"/>
        <v>0.13275806326157233</v>
      </c>
      <c r="J1012" s="275">
        <f t="shared" ca="1" si="121"/>
        <v>0.14118310444548884</v>
      </c>
      <c r="K1012" s="275">
        <f t="shared" ca="1" si="121"/>
        <v>0.14664146795434302</v>
      </c>
      <c r="L1012" s="275">
        <f t="shared" ca="1" si="121"/>
        <v>0.14603350738593249</v>
      </c>
      <c r="M1012" s="416"/>
    </row>
    <row r="1013" spans="1:13" ht="12.75" x14ac:dyDescent="0.2">
      <c r="A1013" s="348"/>
      <c r="B1013" s="1" t="s">
        <v>1021</v>
      </c>
      <c r="C1013" s="1"/>
      <c r="D1013" s="1">
        <f ca="1">D1006/D1017</f>
        <v>2.6676574452244308</v>
      </c>
      <c r="E1013" s="1">
        <f t="shared" ref="E1013:L1013" ca="1" si="122">E1006/E1017</f>
        <v>2.8117910295503363</v>
      </c>
      <c r="F1013" s="1">
        <f t="shared" ca="1" si="122"/>
        <v>2.8593751992585634</v>
      </c>
      <c r="G1013" s="1">
        <f t="shared" ca="1" si="122"/>
        <v>2.8488786964245372</v>
      </c>
      <c r="H1013" s="1">
        <f t="shared" ca="1" si="122"/>
        <v>2.8209706699670223</v>
      </c>
      <c r="I1013" s="1">
        <f t="shared" ca="1" si="122"/>
        <v>2.7795289258607729</v>
      </c>
      <c r="J1013" s="1">
        <f t="shared" ca="1" si="122"/>
        <v>2.7288605022664529</v>
      </c>
      <c r="K1013" s="1">
        <f t="shared" ca="1" si="122"/>
        <v>2.6514004987547506</v>
      </c>
      <c r="L1013" s="1">
        <f t="shared" ca="1" si="122"/>
        <v>2.5130809920712562</v>
      </c>
      <c r="M1013" s="8"/>
    </row>
    <row r="1014" spans="1:13" ht="12.75" x14ac:dyDescent="0.2">
      <c r="A1014" s="348"/>
      <c r="B1014" s="1"/>
      <c r="C1014" s="1"/>
      <c r="D1014" s="275"/>
      <c r="E1014" s="275"/>
      <c r="F1014" s="275"/>
      <c r="G1014" s="275"/>
      <c r="H1014" s="275"/>
      <c r="I1014" s="275"/>
      <c r="J1014" s="275"/>
      <c r="K1014" s="349"/>
      <c r="L1014" s="416"/>
      <c r="M1014" s="416"/>
    </row>
    <row r="1015" spans="1:13" ht="12.75" x14ac:dyDescent="0.2">
      <c r="A1015" s="348"/>
      <c r="B1015" s="1" t="s">
        <v>1022</v>
      </c>
      <c r="C1015" s="692"/>
      <c r="D1015" s="275">
        <f ca="1">D1020/D1017</f>
        <v>6.6497595639322157E-2</v>
      </c>
      <c r="E1015" s="275">
        <f t="shared" ref="E1015:L1015" ca="1" si="123">E1020/E1017</f>
        <v>6.3429986195290361E-2</v>
      </c>
      <c r="F1015" s="275">
        <f t="shared" ca="1" si="123"/>
        <v>5.9889038628672037E-2</v>
      </c>
      <c r="G1015" s="275">
        <f t="shared" ca="1" si="123"/>
        <v>5.5685612043470188E-2</v>
      </c>
      <c r="H1015" s="275">
        <f t="shared" ca="1" si="123"/>
        <v>5.1689276057997065E-2</v>
      </c>
      <c r="I1015" s="275">
        <f t="shared" ca="1" si="123"/>
        <v>4.7930308657297506E-2</v>
      </c>
      <c r="J1015" s="275">
        <f t="shared" ca="1" si="123"/>
        <v>4.4439241453337677E-2</v>
      </c>
      <c r="K1015" s="275">
        <f t="shared" ca="1" si="123"/>
        <v>4.0902756064560584E-2</v>
      </c>
      <c r="L1015" s="275">
        <f t="shared" ca="1" si="123"/>
        <v>3.6828417668442893E-2</v>
      </c>
      <c r="M1015" s="416"/>
    </row>
    <row r="1016" spans="1:13" ht="12.75" x14ac:dyDescent="0.2">
      <c r="A1016" s="348"/>
      <c r="B1016" s="1"/>
      <c r="C1016" s="1"/>
      <c r="D1016" s="1"/>
      <c r="E1016" s="1"/>
      <c r="F1016" s="1"/>
      <c r="G1016" s="1"/>
      <c r="H1016" s="1"/>
      <c r="I1016" s="1"/>
      <c r="J1016" s="1"/>
      <c r="K1016" s="347"/>
      <c r="L1016" s="8"/>
      <c r="M1016" s="8"/>
    </row>
    <row r="1017" spans="1:13" ht="12.75" x14ac:dyDescent="0.2">
      <c r="A1017" s="348"/>
      <c r="B1017" s="1" t="s">
        <v>1023</v>
      </c>
      <c r="C1017" s="1"/>
      <c r="D1017" s="1">
        <f ca="1">D612-D610</f>
        <v>30.076275401712962</v>
      </c>
      <c r="E1017" s="1">
        <f t="shared" ref="E1017:L1017" ca="1" si="124">E612-E610</f>
        <v>31.530828240169139</v>
      </c>
      <c r="F1017" s="1">
        <f t="shared" ca="1" si="124"/>
        <v>33.395092754794945</v>
      </c>
      <c r="G1017" s="1">
        <f t="shared" ca="1" si="124"/>
        <v>35.915920227988664</v>
      </c>
      <c r="H1017" s="1">
        <f t="shared" ca="1" si="124"/>
        <v>38.692745430520915</v>
      </c>
      <c r="I1017" s="1">
        <f t="shared" ca="1" si="124"/>
        <v>41.727250585846065</v>
      </c>
      <c r="J1017" s="1">
        <f t="shared" ca="1" si="124"/>
        <v>45.005268645281681</v>
      </c>
      <c r="K1017" s="1">
        <f t="shared" ca="1" si="124"/>
        <v>48.896460591633868</v>
      </c>
      <c r="L1017" s="1">
        <f t="shared" ca="1" si="124"/>
        <v>54.305890033221182</v>
      </c>
      <c r="M1017" s="1"/>
    </row>
    <row r="1018" spans="1:13" ht="12.75" x14ac:dyDescent="0.2">
      <c r="A1018" s="348"/>
      <c r="B1018" s="1" t="s">
        <v>1024</v>
      </c>
      <c r="C1018" s="1"/>
      <c r="D1018" s="1"/>
      <c r="E1018" s="1"/>
      <c r="F1018" s="1"/>
      <c r="G1018" s="1"/>
      <c r="H1018" s="1"/>
      <c r="I1018" s="1"/>
      <c r="J1018" s="1"/>
      <c r="K1018" s="347"/>
      <c r="L1018" s="8"/>
      <c r="M1018" s="8"/>
    </row>
    <row r="1019" spans="1:13" ht="12.75" x14ac:dyDescent="0.2">
      <c r="A1019" s="348"/>
      <c r="B1019" s="1" t="s">
        <v>1025</v>
      </c>
      <c r="C1019" s="1"/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347">
        <v>0</v>
      </c>
      <c r="L1019" s="8" t="e">
        <v>#VALUE!</v>
      </c>
      <c r="M1019" s="8"/>
    </row>
    <row r="1020" spans="1:13" ht="12.75" x14ac:dyDescent="0.2">
      <c r="A1020" s="348"/>
      <c r="B1020" s="1" t="s">
        <v>1026</v>
      </c>
      <c r="C1020" s="1"/>
      <c r="D1020" s="1">
        <v>2</v>
      </c>
      <c r="E1020" s="1">
        <v>2</v>
      </c>
      <c r="F1020" s="1">
        <v>2</v>
      </c>
      <c r="G1020" s="1">
        <v>2</v>
      </c>
      <c r="H1020" s="1">
        <v>2</v>
      </c>
      <c r="I1020" s="1">
        <v>2</v>
      </c>
      <c r="J1020" s="1">
        <v>2</v>
      </c>
      <c r="K1020" s="1">
        <v>2</v>
      </c>
      <c r="L1020" s="1">
        <v>2</v>
      </c>
      <c r="M1020" s="1"/>
    </row>
    <row r="1021" spans="1:13" ht="12.75" x14ac:dyDescent="0.2">
      <c r="A1021" s="345"/>
      <c r="B1021" s="4" t="s">
        <v>1027</v>
      </c>
      <c r="C1021" s="1"/>
      <c r="D1021" s="693"/>
      <c r="E1021" s="1"/>
      <c r="F1021" s="1"/>
      <c r="G1021" s="1"/>
      <c r="H1021" s="346"/>
      <c r="I1021" s="1"/>
      <c r="J1021" s="1"/>
      <c r="K1021" s="347"/>
      <c r="L1021" s="8"/>
      <c r="M1021" s="8"/>
    </row>
    <row r="1022" spans="1:13" ht="12.75" x14ac:dyDescent="0.2">
      <c r="A1022" s="345"/>
      <c r="B1022" s="1" t="s">
        <v>71</v>
      </c>
      <c r="C1022" s="1"/>
      <c r="D1022" s="1">
        <f ca="1">SUM(D599:D609)</f>
        <v>12.47225966432026</v>
      </c>
      <c r="E1022" s="1">
        <f t="shared" ref="E1022:L1022" ca="1" si="125">SUM(E599:E609)</f>
        <v>16.315100250539739</v>
      </c>
      <c r="F1022" s="1">
        <f t="shared" ca="1" si="125"/>
        <v>18.236449025351302</v>
      </c>
      <c r="G1022" s="1">
        <f t="shared" ca="1" si="125"/>
        <v>20.529199267582914</v>
      </c>
      <c r="H1022" s="1">
        <f t="shared" ca="1" si="125"/>
        <v>21.832413850596378</v>
      </c>
      <c r="I1022" s="1">
        <f t="shared" ca="1" si="125"/>
        <v>23.18188447244955</v>
      </c>
      <c r="J1022" s="1">
        <f t="shared" ca="1" si="125"/>
        <v>23.592804974816389</v>
      </c>
      <c r="K1022" s="1">
        <f t="shared" ca="1" si="125"/>
        <v>22.460111023986524</v>
      </c>
      <c r="L1022" s="1">
        <f t="shared" ca="1" si="125"/>
        <v>23.710624503614273</v>
      </c>
      <c r="M1022" s="1"/>
    </row>
    <row r="1023" spans="1:13" ht="12.75" x14ac:dyDescent="0.2">
      <c r="A1023" s="345"/>
      <c r="B1023" s="1" t="s">
        <v>1028</v>
      </c>
      <c r="C1023" s="1"/>
      <c r="D1023" s="1">
        <f ca="1">D584+D585+D587+D588+D589</f>
        <v>8.4611907418076058</v>
      </c>
      <c r="E1023" s="1">
        <f t="shared" ref="E1023:L1023" ca="1" si="126">E584+E585+E587+E588+E589</f>
        <v>9.3473262728080986</v>
      </c>
      <c r="F1023" s="1">
        <f t="shared" ca="1" si="126"/>
        <v>10.004006544642248</v>
      </c>
      <c r="G1023" s="1">
        <f t="shared" ca="1" si="126"/>
        <v>11.02232871493549</v>
      </c>
      <c r="H1023" s="1">
        <f t="shared" ca="1" si="126"/>
        <v>12.029874045111104</v>
      </c>
      <c r="I1023" s="1">
        <f t="shared" ca="1" si="126"/>
        <v>13.037572382290687</v>
      </c>
      <c r="J1023" s="1">
        <f t="shared" ca="1" si="126"/>
        <v>13.677774899324852</v>
      </c>
      <c r="K1023" s="1">
        <f t="shared" ca="1" si="126"/>
        <v>13.357643282466643</v>
      </c>
      <c r="L1023" s="1">
        <f t="shared" ca="1" si="126"/>
        <v>12.783723302497782</v>
      </c>
      <c r="M1023" s="1"/>
    </row>
    <row r="1024" spans="1:13" ht="12.75" x14ac:dyDescent="0.2">
      <c r="A1024" s="345"/>
      <c r="B1024" s="1" t="s">
        <v>1002</v>
      </c>
      <c r="C1024" s="1"/>
      <c r="D1024" s="1">
        <f ca="1">D1022/D1023</f>
        <v>1.4740548989982645</v>
      </c>
      <c r="E1024" s="1">
        <f t="shared" ref="E1024:L1024" ca="1" si="127">E1022/E1023</f>
        <v>1.7454296313590005</v>
      </c>
      <c r="F1024" s="1">
        <f t="shared" ca="1" si="127"/>
        <v>1.8229145436853023</v>
      </c>
      <c r="G1024" s="1">
        <f t="shared" ca="1" si="127"/>
        <v>1.8625101644596582</v>
      </c>
      <c r="H1024" s="1">
        <f t="shared" ca="1" si="127"/>
        <v>1.814849745618824</v>
      </c>
      <c r="I1024" s="1">
        <f t="shared" ca="1" si="127"/>
        <v>1.7780828970842897</v>
      </c>
      <c r="J1024" s="1">
        <f t="shared" ca="1" si="127"/>
        <v>1.72490080795093</v>
      </c>
      <c r="K1024" s="1">
        <f t="shared" ca="1" si="127"/>
        <v>1.6814426429150011</v>
      </c>
      <c r="L1024" s="1">
        <f t="shared" ca="1" si="127"/>
        <v>1.8547510723250331</v>
      </c>
      <c r="M1024" s="1"/>
    </row>
    <row r="1025" spans="1:13" ht="12.75" x14ac:dyDescent="0.2">
      <c r="A1025" s="345"/>
      <c r="B1025" s="1" t="s">
        <v>1029</v>
      </c>
      <c r="C1025" s="1"/>
      <c r="D1025" s="1">
        <f ca="1">(SUM(D605:D609)/D1023)</f>
        <v>0.91836111604100334</v>
      </c>
      <c r="E1025" s="1">
        <f t="shared" ref="E1025:L1025" ca="1" si="128">(SUM(E605:E609)/E1023)</f>
        <v>1.1975671356429087</v>
      </c>
      <c r="F1025" s="1">
        <f t="shared" ca="1" si="128"/>
        <v>1.2736210903092238</v>
      </c>
      <c r="G1025" s="1">
        <f t="shared" ca="1" si="128"/>
        <v>1.3291231161433148</v>
      </c>
      <c r="H1025" s="1">
        <f t="shared" ca="1" si="128"/>
        <v>1.294115833986806</v>
      </c>
      <c r="I1025" s="1">
        <f t="shared" ca="1" si="128"/>
        <v>1.2679858775364876</v>
      </c>
      <c r="J1025" s="1">
        <f t="shared" ca="1" si="128"/>
        <v>1.2111138275342153</v>
      </c>
      <c r="K1025" s="1">
        <f t="shared" ca="1" si="128"/>
        <v>1.1263470844317351</v>
      </c>
      <c r="L1025" s="1">
        <f t="shared" ca="1" si="128"/>
        <v>1.2443745633570495</v>
      </c>
      <c r="M1025" s="1"/>
    </row>
    <row r="1026" spans="1:13" ht="12.75" x14ac:dyDescent="0.2">
      <c r="A1026" s="345"/>
      <c r="B1026" s="1" t="s">
        <v>1030</v>
      </c>
      <c r="C1026" s="1"/>
      <c r="D1026" s="691" t="e">
        <v>#DIV/0!</v>
      </c>
      <c r="E1026" s="691" t="e">
        <v>#DIV/0!</v>
      </c>
      <c r="F1026" s="691" t="e">
        <v>#DIV/0!</v>
      </c>
      <c r="G1026" s="691" t="e">
        <v>#DIV/0!</v>
      </c>
      <c r="H1026" s="691" t="e">
        <v>#DIV/0!</v>
      </c>
      <c r="I1026" s="691" t="e">
        <v>#DIV/0!</v>
      </c>
      <c r="J1026" s="691" t="e">
        <v>#DIV/0!</v>
      </c>
      <c r="K1026" s="694" t="e">
        <v>#DIV/0!</v>
      </c>
      <c r="L1026" s="691" t="e">
        <v>#DIV/0!</v>
      </c>
      <c r="M1026" s="1"/>
    </row>
    <row r="1027" spans="1:13" ht="12.75" x14ac:dyDescent="0.2">
      <c r="A1027" s="345"/>
      <c r="B1027" s="4" t="s">
        <v>1031</v>
      </c>
      <c r="C1027" s="1"/>
      <c r="D1027" s="691"/>
      <c r="E1027" s="691"/>
      <c r="F1027" s="691"/>
      <c r="G1027" s="691"/>
      <c r="H1027" s="695"/>
      <c r="I1027" s="691"/>
      <c r="J1027" s="691"/>
      <c r="K1027" s="696"/>
      <c r="L1027" s="697"/>
      <c r="M1027" s="8"/>
    </row>
    <row r="1028" spans="1:13" ht="12.75" x14ac:dyDescent="0.2">
      <c r="A1028" s="345"/>
      <c r="B1028" s="1" t="s">
        <v>1032</v>
      </c>
      <c r="C1028" s="1"/>
      <c r="D1028" s="691" t="e">
        <v>#REF!</v>
      </c>
      <c r="E1028" s="691" t="e">
        <v>#REF!</v>
      </c>
      <c r="F1028" s="691" t="e">
        <v>#REF!</v>
      </c>
      <c r="G1028" s="691" t="e">
        <v>#REF!</v>
      </c>
      <c r="H1028" s="691" t="e">
        <v>#REF!</v>
      </c>
      <c r="I1028" s="691" t="e">
        <v>#REF!</v>
      </c>
      <c r="J1028" s="691" t="e">
        <v>#REF!</v>
      </c>
      <c r="K1028" s="694" t="e">
        <v>#REF!</v>
      </c>
      <c r="L1028" s="691" t="e">
        <v>#REF!</v>
      </c>
      <c r="M1028" s="1"/>
    </row>
    <row r="1029" spans="1:13" ht="12.75" x14ac:dyDescent="0.2">
      <c r="A1029" s="345"/>
      <c r="B1029" s="1" t="s">
        <v>1033</v>
      </c>
      <c r="C1029" s="1"/>
      <c r="D1029" s="691" t="e">
        <v>#DIV/0!</v>
      </c>
      <c r="E1029" s="691" t="e">
        <v>#DIV/0!</v>
      </c>
      <c r="F1029" s="691" t="e">
        <v>#DIV/0!</v>
      </c>
      <c r="G1029" s="691" t="e">
        <v>#DIV/0!</v>
      </c>
      <c r="H1029" s="691" t="e">
        <v>#DIV/0!</v>
      </c>
      <c r="I1029" s="691" t="e">
        <v>#DIV/0!</v>
      </c>
      <c r="J1029" s="691" t="e">
        <v>#DIV/0!</v>
      </c>
      <c r="K1029" s="694" t="e">
        <v>#DIV/0!</v>
      </c>
      <c r="L1029" s="691" t="e">
        <v>#DIV/0!</v>
      </c>
      <c r="M1029" s="1"/>
    </row>
    <row r="1030" spans="1:13" ht="12.75" x14ac:dyDescent="0.2">
      <c r="A1030" s="345"/>
      <c r="B1030" s="1" t="s">
        <v>1034</v>
      </c>
      <c r="C1030" s="1"/>
      <c r="D1030" s="691" t="e">
        <v>#DIV/0!</v>
      </c>
      <c r="E1030" s="691" t="e">
        <v>#DIV/0!</v>
      </c>
      <c r="F1030" s="691" t="e">
        <v>#DIV/0!</v>
      </c>
      <c r="G1030" s="691" t="e">
        <v>#DIV/0!</v>
      </c>
      <c r="H1030" s="691" t="e">
        <v>#DIV/0!</v>
      </c>
      <c r="I1030" s="691" t="e">
        <v>#DIV/0!</v>
      </c>
      <c r="J1030" s="691" t="e">
        <v>#DIV/0!</v>
      </c>
      <c r="K1030" s="694" t="e">
        <v>#DIV/0!</v>
      </c>
      <c r="L1030" s="691" t="e">
        <v>#DIV/0!</v>
      </c>
      <c r="M1030" s="1"/>
    </row>
    <row r="1031" spans="1:13" ht="12.75" x14ac:dyDescent="0.2">
      <c r="A1031" s="345"/>
      <c r="B1031" s="4" t="s">
        <v>1035</v>
      </c>
      <c r="C1031" s="1"/>
      <c r="D1031" s="691"/>
      <c r="E1031" s="691"/>
      <c r="F1031" s="691"/>
      <c r="G1031" s="691"/>
      <c r="H1031" s="695"/>
      <c r="I1031" s="691"/>
      <c r="J1031" s="691"/>
      <c r="K1031" s="696"/>
      <c r="L1031" s="697"/>
      <c r="M1031" s="8"/>
    </row>
    <row r="1032" spans="1:13" ht="12.75" x14ac:dyDescent="0.2">
      <c r="A1032" s="345"/>
      <c r="B1032" s="1" t="s">
        <v>1036</v>
      </c>
      <c r="C1032" s="1"/>
      <c r="D1032" s="691" t="e">
        <v>#DIV/0!</v>
      </c>
      <c r="E1032" s="691" t="e">
        <v>#DIV/0!</v>
      </c>
      <c r="F1032" s="691" t="e">
        <v>#DIV/0!</v>
      </c>
      <c r="G1032" s="691" t="e">
        <v>#DIV/0!</v>
      </c>
      <c r="H1032" s="691" t="e">
        <v>#DIV/0!</v>
      </c>
      <c r="I1032" s="691" t="e">
        <v>#DIV/0!</v>
      </c>
      <c r="J1032" s="691" t="e">
        <v>#DIV/0!</v>
      </c>
      <c r="K1032" s="694" t="e">
        <v>#DIV/0!</v>
      </c>
      <c r="L1032" s="691" t="e">
        <v>#DIV/0!</v>
      </c>
      <c r="M1032" s="1"/>
    </row>
    <row r="1033" spans="1:13" ht="12.75" x14ac:dyDescent="0.2">
      <c r="A1033" s="345"/>
      <c r="B1033" s="1" t="s">
        <v>1037</v>
      </c>
      <c r="C1033" s="1"/>
      <c r="D1033" s="691" t="e">
        <v>#DIV/0!</v>
      </c>
      <c r="E1033" s="691" t="e">
        <v>#DIV/0!</v>
      </c>
      <c r="F1033" s="691" t="e">
        <v>#DIV/0!</v>
      </c>
      <c r="G1033" s="691" t="e">
        <v>#DIV/0!</v>
      </c>
      <c r="H1033" s="691" t="e">
        <v>#DIV/0!</v>
      </c>
      <c r="I1033" s="691" t="e">
        <v>#DIV/0!</v>
      </c>
      <c r="J1033" s="691" t="e">
        <v>#DIV/0!</v>
      </c>
      <c r="K1033" s="694" t="e">
        <v>#DIV/0!</v>
      </c>
      <c r="L1033" s="691">
        <v>0</v>
      </c>
      <c r="M1033" s="1"/>
    </row>
    <row r="1034" spans="1:13" ht="12.75" x14ac:dyDescent="0.2">
      <c r="A1034" s="345"/>
      <c r="B1034" s="1" t="s">
        <v>1038</v>
      </c>
      <c r="C1034" s="1"/>
      <c r="D1034" s="691" t="e">
        <v>#DIV/0!</v>
      </c>
      <c r="E1034" s="691" t="e">
        <v>#DIV/0!</v>
      </c>
      <c r="F1034" s="691" t="e">
        <v>#DIV/0!</v>
      </c>
      <c r="G1034" s="691" t="e">
        <v>#DIV/0!</v>
      </c>
      <c r="H1034" s="691" t="e">
        <v>#DIV/0!</v>
      </c>
      <c r="I1034" s="691" t="e">
        <v>#DIV/0!</v>
      </c>
      <c r="J1034" s="691" t="e">
        <v>#DIV/0!</v>
      </c>
      <c r="K1034" s="694" t="e">
        <v>#DIV/0!</v>
      </c>
      <c r="L1034" s="691" t="e">
        <v>#DIV/0!</v>
      </c>
      <c r="M1034" s="1"/>
    </row>
    <row r="1035" spans="1:13" ht="12.75" x14ac:dyDescent="0.2">
      <c r="A1035" s="345"/>
      <c r="B1035" s="4" t="s">
        <v>1039</v>
      </c>
      <c r="C1035" s="1"/>
      <c r="D1035" s="691"/>
      <c r="E1035" s="691"/>
      <c r="F1035" s="691"/>
      <c r="G1035" s="691"/>
      <c r="H1035" s="695"/>
      <c r="I1035" s="691"/>
      <c r="J1035" s="691"/>
      <c r="K1035" s="696"/>
      <c r="L1035" s="697"/>
      <c r="M1035" s="8"/>
    </row>
    <row r="1036" spans="1:13" ht="12.75" x14ac:dyDescent="0.2">
      <c r="A1036" s="345"/>
      <c r="B1036" s="1" t="s">
        <v>1040</v>
      </c>
      <c r="C1036" s="1"/>
      <c r="D1036" s="691" t="e">
        <v>#DIV/0!</v>
      </c>
      <c r="E1036" s="691" t="e">
        <v>#DIV/0!</v>
      </c>
      <c r="F1036" s="691" t="e">
        <v>#DIV/0!</v>
      </c>
      <c r="G1036" s="691" t="e">
        <v>#DIV/0!</v>
      </c>
      <c r="H1036" s="691" t="e">
        <v>#DIV/0!</v>
      </c>
      <c r="I1036" s="691" t="e">
        <v>#DIV/0!</v>
      </c>
      <c r="J1036" s="691" t="e">
        <v>#DIV/0!</v>
      </c>
      <c r="K1036" s="694" t="e">
        <v>#DIV/0!</v>
      </c>
      <c r="L1036" s="691" t="e">
        <v>#DIV/0!</v>
      </c>
      <c r="M1036" s="1"/>
    </row>
    <row r="1037" spans="1:13" ht="12.75" x14ac:dyDescent="0.2">
      <c r="A1037" s="345"/>
      <c r="B1037" s="1" t="s">
        <v>1041</v>
      </c>
      <c r="C1037" s="1"/>
      <c r="D1037" s="691" t="e">
        <v>#DIV/0!</v>
      </c>
      <c r="E1037" s="691" t="e">
        <v>#DIV/0!</v>
      </c>
      <c r="F1037" s="691" t="e">
        <v>#DIV/0!</v>
      </c>
      <c r="G1037" s="691" t="e">
        <v>#DIV/0!</v>
      </c>
      <c r="H1037" s="691" t="e">
        <v>#DIV/0!</v>
      </c>
      <c r="I1037" s="691" t="e">
        <v>#DIV/0!</v>
      </c>
      <c r="J1037" s="691" t="e">
        <v>#DIV/0!</v>
      </c>
      <c r="K1037" s="694" t="e">
        <v>#DIV/0!</v>
      </c>
      <c r="L1037" s="691" t="e">
        <v>#DIV/0!</v>
      </c>
      <c r="M1037" s="1"/>
    </row>
    <row r="1038" spans="1:13" ht="12.75" x14ac:dyDescent="0.2">
      <c r="A1038" s="345"/>
      <c r="B1038" s="1" t="s">
        <v>1042</v>
      </c>
      <c r="C1038" s="1"/>
      <c r="D1038" s="698" t="e">
        <v>#DIV/0!</v>
      </c>
      <c r="E1038" s="698" t="e">
        <v>#DIV/0!</v>
      </c>
      <c r="F1038" s="698" t="e">
        <v>#DIV/0!</v>
      </c>
      <c r="G1038" s="698" t="e">
        <v>#DIV/0!</v>
      </c>
      <c r="H1038" s="698" t="e">
        <v>#DIV/0!</v>
      </c>
      <c r="I1038" s="698" t="e">
        <v>#DIV/0!</v>
      </c>
      <c r="J1038" s="698" t="e">
        <v>#DIV/0!</v>
      </c>
      <c r="K1038" s="699" t="e">
        <v>#DIV/0!</v>
      </c>
      <c r="L1038" s="698" t="e">
        <v>#DIV/0!</v>
      </c>
      <c r="M1038" s="275"/>
    </row>
    <row r="1039" spans="1:13" ht="12.75" x14ac:dyDescent="0.2">
      <c r="A1039" s="345"/>
      <c r="B1039" s="1" t="s">
        <v>1043</v>
      </c>
      <c r="C1039" s="1"/>
      <c r="D1039" s="698">
        <v>0.14244910047188797</v>
      </c>
      <c r="E1039" s="698">
        <v>0.17613297035475653</v>
      </c>
      <c r="F1039" s="698">
        <v>0.19655721201821486</v>
      </c>
      <c r="G1039" s="698">
        <v>0.20183307998906472</v>
      </c>
      <c r="H1039" s="698">
        <v>0.19665441361613012</v>
      </c>
      <c r="I1039" s="698">
        <v>0.18803902227829175</v>
      </c>
      <c r="J1039" s="698">
        <v>0.17728030915468004</v>
      </c>
      <c r="K1039" s="699">
        <v>0.16663163851048773</v>
      </c>
      <c r="L1039" s="698">
        <v>0.1555809292224497</v>
      </c>
      <c r="M1039" s="275"/>
    </row>
    <row r="1040" spans="1:13" ht="12.75" x14ac:dyDescent="0.2">
      <c r="A1040" s="345"/>
      <c r="B1040" s="4" t="s">
        <v>1044</v>
      </c>
      <c r="C1040" s="1"/>
      <c r="D1040" s="700"/>
      <c r="E1040" s="700"/>
      <c r="F1040" s="700"/>
      <c r="G1040" s="700"/>
      <c r="H1040" s="700"/>
      <c r="I1040" s="700"/>
      <c r="J1040" s="700"/>
      <c r="K1040" s="700"/>
      <c r="L1040" s="700"/>
      <c r="M1040" s="8"/>
    </row>
    <row r="1041" spans="1:13" ht="12.75" x14ac:dyDescent="0.2">
      <c r="A1041" s="345"/>
      <c r="B1041" s="1" t="s">
        <v>1045</v>
      </c>
      <c r="C1041" s="1"/>
      <c r="D1041" s="691" t="e">
        <v>#REF!</v>
      </c>
      <c r="E1041" s="691">
        <v>1</v>
      </c>
      <c r="F1041" s="691">
        <v>1</v>
      </c>
      <c r="G1041" s="691">
        <v>1</v>
      </c>
      <c r="H1041" s="691">
        <v>1</v>
      </c>
      <c r="I1041" s="691">
        <v>1</v>
      </c>
      <c r="J1041" s="691">
        <v>1</v>
      </c>
      <c r="K1041" s="694">
        <v>1</v>
      </c>
      <c r="L1041" s="691">
        <v>1</v>
      </c>
      <c r="M1041" s="1"/>
    </row>
    <row r="1042" spans="1:13" ht="12.75" x14ac:dyDescent="0.2">
      <c r="A1042" s="345"/>
      <c r="B1042" s="1" t="s">
        <v>1046</v>
      </c>
      <c r="C1042" s="1"/>
      <c r="D1042" s="691">
        <v>0</v>
      </c>
      <c r="E1042" s="691">
        <v>0</v>
      </c>
      <c r="F1042" s="691">
        <v>0</v>
      </c>
      <c r="G1042" s="691">
        <v>0</v>
      </c>
      <c r="H1042" s="691">
        <v>0</v>
      </c>
      <c r="I1042" s="691">
        <v>0</v>
      </c>
      <c r="J1042" s="691">
        <v>0</v>
      </c>
      <c r="K1042" s="694">
        <v>0</v>
      </c>
      <c r="L1042" s="691">
        <v>0</v>
      </c>
      <c r="M1042" s="1"/>
    </row>
    <row r="1043" spans="1:13" ht="12.75" x14ac:dyDescent="0.2">
      <c r="A1043" s="345"/>
      <c r="B1043" s="1"/>
      <c r="C1043" s="1"/>
      <c r="D1043" s="1"/>
      <c r="E1043" s="1"/>
      <c r="F1043" s="1"/>
      <c r="G1043" s="1"/>
      <c r="H1043" s="346"/>
      <c r="I1043" s="1"/>
      <c r="J1043" s="1"/>
      <c r="K1043" s="347"/>
      <c r="L1043" s="1"/>
      <c r="M1043" s="1"/>
    </row>
    <row r="1044" spans="1:13" ht="12.75" x14ac:dyDescent="0.2">
      <c r="A1044" s="345"/>
      <c r="B1044" s="1"/>
      <c r="C1044" s="1"/>
      <c r="D1044" s="1"/>
      <c r="E1044" s="1"/>
      <c r="F1044" s="1"/>
      <c r="G1044" s="1"/>
      <c r="H1044" s="346"/>
      <c r="I1044" s="1"/>
      <c r="J1044" s="1"/>
      <c r="K1044" s="347"/>
      <c r="L1044" s="1"/>
      <c r="M1044" s="1"/>
    </row>
    <row r="1045" spans="1:13" ht="12.75" x14ac:dyDescent="0.2">
      <c r="A1045" s="345"/>
      <c r="B1045" s="1"/>
      <c r="C1045" s="1"/>
      <c r="D1045" s="1"/>
      <c r="E1045" s="1"/>
      <c r="F1045" s="1"/>
      <c r="G1045" s="1"/>
      <c r="H1045" s="346"/>
      <c r="I1045" s="1"/>
      <c r="J1045" s="1"/>
      <c r="K1045" s="347"/>
      <c r="L1045" s="1"/>
      <c r="M1045" s="1"/>
    </row>
    <row r="1046" spans="1:13" ht="12.75" x14ac:dyDescent="0.2">
      <c r="A1046" s="99"/>
      <c r="B1046" s="1"/>
      <c r="C1046" s="1"/>
      <c r="D1046" s="1"/>
      <c r="E1046" s="1"/>
      <c r="F1046" s="1"/>
      <c r="G1046" s="1"/>
      <c r="H1046" s="346"/>
      <c r="I1046" s="1"/>
      <c r="J1046" s="1"/>
      <c r="K1046" s="8"/>
      <c r="L1046" s="1"/>
      <c r="M1046" s="1"/>
    </row>
    <row r="1047" spans="1:13" ht="12.75" x14ac:dyDescent="0.2">
      <c r="A1047" s="99"/>
      <c r="B1047" s="1"/>
      <c r="C1047" s="1"/>
      <c r="D1047" s="1"/>
      <c r="E1047" s="1"/>
      <c r="F1047" s="1"/>
      <c r="G1047" s="1"/>
      <c r="H1047" s="346"/>
      <c r="I1047" s="1"/>
      <c r="J1047" s="1"/>
      <c r="K1047" s="8"/>
      <c r="L1047" s="1"/>
    </row>
    <row r="1048" spans="1:13" ht="12.75" x14ac:dyDescent="0.2">
      <c r="A1048" s="768"/>
      <c r="B1048" s="769"/>
      <c r="C1048" s="769"/>
      <c r="D1048" s="769"/>
      <c r="E1048" s="769"/>
      <c r="F1048" s="769"/>
      <c r="G1048" s="769"/>
      <c r="H1048" s="769"/>
      <c r="I1048" s="769"/>
      <c r="J1048" s="769"/>
      <c r="K1048" s="769"/>
      <c r="L1048" s="769"/>
    </row>
    <row r="1049" spans="1:13" ht="12.75" x14ac:dyDescent="0.2">
      <c r="A1049" s="768"/>
      <c r="B1049" s="769"/>
      <c r="C1049" s="769"/>
      <c r="D1049" s="769"/>
      <c r="E1049" s="769"/>
      <c r="F1049" s="769"/>
      <c r="G1049" s="769"/>
      <c r="H1049" s="769"/>
      <c r="I1049" s="769"/>
      <c r="J1049" s="769"/>
      <c r="K1049" s="769"/>
      <c r="L1049" s="769"/>
    </row>
    <row r="1050" spans="1:13" ht="12.75" x14ac:dyDescent="0.2">
      <c r="A1050" s="768"/>
      <c r="B1050" s="769"/>
      <c r="C1050" s="769"/>
      <c r="D1050" s="769"/>
      <c r="E1050" s="769"/>
      <c r="F1050" s="769"/>
      <c r="G1050" s="769"/>
      <c r="H1050" s="769"/>
      <c r="I1050" s="769"/>
      <c r="J1050" s="769"/>
      <c r="K1050" s="769"/>
      <c r="L1050" s="769"/>
    </row>
    <row r="1051" spans="1:13" ht="12.75" x14ac:dyDescent="0.2">
      <c r="A1051" s="99"/>
      <c r="B1051" s="1"/>
      <c r="C1051" s="1"/>
      <c r="D1051" s="1"/>
      <c r="E1051" s="1"/>
      <c r="F1051" s="1"/>
      <c r="G1051" s="1"/>
      <c r="H1051" s="346"/>
      <c r="I1051" s="1"/>
      <c r="J1051" s="1"/>
      <c r="K1051" s="8"/>
      <c r="L1051" s="1"/>
    </row>
    <row r="1052" spans="1:13" ht="12.75" x14ac:dyDescent="0.2">
      <c r="A1052" s="766"/>
      <c r="B1052" s="766"/>
      <c r="C1052" s="766"/>
      <c r="D1052" s="766"/>
      <c r="E1052" s="766"/>
      <c r="F1052" s="766"/>
      <c r="G1052" s="766"/>
      <c r="H1052" s="766"/>
      <c r="I1052" s="766"/>
      <c r="J1052" s="766"/>
      <c r="K1052" s="766"/>
      <c r="L1052" s="766"/>
    </row>
    <row r="1053" spans="1:13" ht="12.75" x14ac:dyDescent="0.2">
      <c r="A1053" s="99"/>
      <c r="B1053" s="1"/>
      <c r="C1053" s="1"/>
      <c r="D1053" s="1"/>
      <c r="E1053" s="1"/>
      <c r="F1053" s="1"/>
      <c r="G1053" s="1"/>
      <c r="H1053" s="346"/>
      <c r="I1053" s="1"/>
      <c r="J1053" s="1"/>
      <c r="K1053" s="8"/>
      <c r="L1053" s="1"/>
    </row>
    <row r="1054" spans="1:13" ht="12.75" x14ac:dyDescent="0.2">
      <c r="A1054" s="99"/>
      <c r="B1054" s="1"/>
      <c r="C1054" s="1"/>
      <c r="D1054" s="1"/>
      <c r="E1054" s="1"/>
      <c r="F1054" s="1"/>
      <c r="G1054" s="1"/>
      <c r="H1054" s="346"/>
      <c r="I1054" s="1"/>
      <c r="J1054" s="1"/>
      <c r="K1054" s="8"/>
      <c r="L1054" s="1"/>
    </row>
    <row r="1055" spans="1:13" ht="12.75" x14ac:dyDescent="0.2">
      <c r="A1055" s="345"/>
      <c r="B1055" s="1"/>
      <c r="C1055" s="1"/>
      <c r="E1055" s="434"/>
      <c r="F1055" s="434"/>
      <c r="G1055" s="434"/>
      <c r="H1055" s="434"/>
      <c r="I1055" s="434"/>
      <c r="J1055" s="434"/>
      <c r="K1055" s="434"/>
      <c r="L1055" s="434"/>
      <c r="M1055" s="221"/>
    </row>
    <row r="1056" spans="1:13" ht="12.75" x14ac:dyDescent="0.2">
      <c r="A1056" s="345"/>
      <c r="B1056" s="1"/>
      <c r="C1056" s="1"/>
      <c r="E1056" s="221"/>
      <c r="F1056" s="221"/>
      <c r="G1056" s="221"/>
      <c r="H1056" s="221"/>
      <c r="I1056" s="221"/>
      <c r="J1056" s="221"/>
      <c r="K1056" s="221"/>
      <c r="L1056" s="221"/>
      <c r="M1056" s="221"/>
    </row>
    <row r="1057" spans="1:13" ht="12.75" x14ac:dyDescent="0.2">
      <c r="A1057" s="345"/>
      <c r="B1057" s="1"/>
      <c r="C1057" s="1"/>
      <c r="E1057" s="221"/>
      <c r="F1057" s="221"/>
      <c r="G1057" s="221"/>
      <c r="H1057" s="221"/>
      <c r="I1057" s="221"/>
      <c r="J1057" s="221"/>
      <c r="K1057" s="221"/>
      <c r="L1057" s="221"/>
      <c r="M1057" s="221"/>
    </row>
    <row r="1058" spans="1:13" ht="12.75" x14ac:dyDescent="0.2">
      <c r="A1058" s="345"/>
      <c r="B1058" s="350"/>
      <c r="C1058" s="351"/>
      <c r="E1058" s="352"/>
      <c r="F1058" s="352"/>
      <c r="G1058" s="352"/>
      <c r="H1058" s="352"/>
      <c r="I1058" s="352"/>
      <c r="J1058" s="352"/>
      <c r="K1058" s="352"/>
      <c r="L1058" s="352"/>
      <c r="M1058" s="352"/>
    </row>
    <row r="1059" spans="1:13" ht="12.75" x14ac:dyDescent="0.2">
      <c r="A1059" s="345"/>
      <c r="B1059" s="353"/>
      <c r="C1059" s="354"/>
      <c r="E1059" s="355"/>
      <c r="F1059" s="355"/>
      <c r="G1059" s="355"/>
      <c r="H1059" s="355"/>
      <c r="I1059" s="355"/>
      <c r="J1059" s="355"/>
      <c r="K1059" s="355"/>
      <c r="L1059" s="355"/>
      <c r="M1059" s="355"/>
    </row>
    <row r="1060" spans="1:13" ht="12.75" x14ac:dyDescent="0.2">
      <c r="A1060" s="345"/>
      <c r="B1060" s="353"/>
      <c r="C1060" s="354"/>
      <c r="E1060" s="355"/>
      <c r="F1060" s="355"/>
      <c r="G1060" s="355"/>
      <c r="H1060" s="355"/>
      <c r="I1060" s="355"/>
      <c r="J1060" s="355"/>
      <c r="K1060" s="355"/>
      <c r="L1060" s="355"/>
      <c r="M1060" s="355"/>
    </row>
    <row r="1061" spans="1:13" ht="12.75" x14ac:dyDescent="0.2">
      <c r="A1061" s="345"/>
      <c r="B1061" s="356"/>
      <c r="C1061" s="354"/>
      <c r="E1061" s="357"/>
      <c r="F1061" s="357"/>
      <c r="G1061" s="357"/>
      <c r="H1061" s="357"/>
      <c r="I1061" s="357"/>
      <c r="J1061" s="357"/>
      <c r="K1061" s="357"/>
      <c r="L1061" s="357"/>
      <c r="M1061" s="357"/>
    </row>
    <row r="1062" spans="1:13" ht="12.75" x14ac:dyDescent="0.2">
      <c r="A1062" s="345"/>
      <c r="B1062" s="356"/>
      <c r="C1062" s="356"/>
      <c r="D1062" s="358"/>
      <c r="E1062" s="358"/>
      <c r="F1062" s="358"/>
      <c r="G1062" s="358"/>
      <c r="H1062" s="358"/>
      <c r="I1062" s="358"/>
      <c r="J1062" s="1"/>
      <c r="K1062" s="347"/>
      <c r="L1062" s="8"/>
    </row>
    <row r="1063" spans="1:13" ht="12.75" x14ac:dyDescent="0.2">
      <c r="A1063" s="345"/>
      <c r="B1063" s="356"/>
      <c r="C1063" s="354"/>
      <c r="D1063" s="355"/>
      <c r="E1063" s="355"/>
      <c r="F1063" s="355"/>
      <c r="G1063" s="355"/>
      <c r="H1063" s="355"/>
      <c r="I1063" s="355"/>
      <c r="J1063" s="1"/>
      <c r="K1063" s="347"/>
      <c r="L1063" s="8"/>
    </row>
    <row r="1064" spans="1:13" ht="12.75" x14ac:dyDescent="0.2">
      <c r="A1064" s="345"/>
      <c r="B1064" s="356"/>
      <c r="C1064" s="351"/>
      <c r="E1064" s="352"/>
      <c r="F1064" s="352"/>
      <c r="G1064" s="352"/>
      <c r="H1064" s="352"/>
      <c r="I1064" s="352"/>
      <c r="J1064" s="352"/>
      <c r="K1064" s="352"/>
      <c r="L1064" s="352"/>
      <c r="M1064" s="352"/>
    </row>
    <row r="1065" spans="1:13" ht="12.75" x14ac:dyDescent="0.2">
      <c r="A1065" s="345"/>
      <c r="B1065" s="356"/>
      <c r="C1065" s="351"/>
      <c r="E1065" s="358"/>
      <c r="F1065" s="358"/>
      <c r="G1065" s="358"/>
      <c r="H1065" s="358"/>
      <c r="I1065" s="358"/>
      <c r="J1065" s="358"/>
      <c r="K1065" s="1"/>
      <c r="L1065" s="8"/>
      <c r="M1065" s="8"/>
    </row>
    <row r="1066" spans="1:13" ht="12.75" x14ac:dyDescent="0.2">
      <c r="A1066" s="345"/>
      <c r="B1066" s="353"/>
      <c r="C1066" s="351"/>
      <c r="E1066" s="355"/>
      <c r="F1066" s="355"/>
      <c r="G1066" s="355"/>
      <c r="H1066" s="355"/>
      <c r="I1066" s="355"/>
      <c r="J1066" s="355"/>
      <c r="K1066" s="355"/>
      <c r="L1066" s="355"/>
      <c r="M1066" s="355"/>
    </row>
    <row r="1067" spans="1:13" ht="12.75" x14ac:dyDescent="0.2">
      <c r="A1067" s="345"/>
      <c r="B1067" s="353"/>
      <c r="C1067" s="351"/>
      <c r="E1067" s="355"/>
      <c r="F1067" s="355"/>
      <c r="G1067" s="355"/>
      <c r="H1067" s="355"/>
      <c r="I1067" s="355"/>
      <c r="J1067" s="355"/>
      <c r="K1067" s="355"/>
      <c r="L1067" s="355"/>
      <c r="M1067" s="355"/>
    </row>
    <row r="1068" spans="1:13" ht="12.75" x14ac:dyDescent="0.2">
      <c r="A1068" s="345"/>
      <c r="B1068" s="356"/>
      <c r="C1068" s="351"/>
      <c r="E1068" s="357"/>
      <c r="F1068" s="357"/>
      <c r="G1068" s="357"/>
      <c r="H1068" s="357"/>
      <c r="I1068" s="357"/>
      <c r="J1068" s="357"/>
      <c r="K1068" s="357"/>
      <c r="L1068" s="357"/>
      <c r="M1068" s="357"/>
    </row>
    <row r="1069" spans="1:13" ht="12.75" x14ac:dyDescent="0.2">
      <c r="A1069" s="345"/>
      <c r="B1069" s="356"/>
      <c r="C1069" s="356"/>
      <c r="E1069" s="358"/>
      <c r="F1069" s="358"/>
      <c r="G1069" s="358"/>
      <c r="H1069" s="358"/>
      <c r="I1069" s="358"/>
      <c r="J1069" s="358"/>
      <c r="K1069" s="1"/>
      <c r="L1069" s="8"/>
      <c r="M1069" s="8"/>
    </row>
    <row r="1070" spans="1:13" ht="12.75" x14ac:dyDescent="0.2">
      <c r="A1070" s="345"/>
      <c r="B1070" s="356"/>
      <c r="C1070" s="354"/>
      <c r="E1070" s="355"/>
      <c r="F1070" s="355"/>
      <c r="G1070" s="355"/>
      <c r="H1070" s="355"/>
      <c r="I1070" s="355"/>
      <c r="J1070" s="355"/>
      <c r="K1070" s="355"/>
      <c r="L1070" s="355"/>
      <c r="M1070" s="355"/>
    </row>
    <row r="1071" spans="1:13" ht="12.75" x14ac:dyDescent="0.2">
      <c r="A1071" s="345"/>
      <c r="B1071" s="356"/>
      <c r="C1071" s="356"/>
      <c r="E1071" s="358"/>
      <c r="F1071" s="358"/>
      <c r="G1071" s="358"/>
      <c r="H1071" s="358"/>
      <c r="I1071" s="358"/>
      <c r="J1071" s="358"/>
      <c r="K1071" s="1"/>
      <c r="L1071" s="8"/>
      <c r="M1071" s="8"/>
    </row>
    <row r="1072" spans="1:13" ht="12.75" x14ac:dyDescent="0.2">
      <c r="A1072" s="345"/>
      <c r="B1072" s="356"/>
      <c r="C1072" s="356"/>
      <c r="E1072" s="358"/>
      <c r="F1072" s="358"/>
      <c r="G1072" s="358"/>
      <c r="H1072" s="358"/>
      <c r="I1072" s="358"/>
      <c r="J1072" s="358"/>
      <c r="K1072" s="1"/>
      <c r="L1072" s="8"/>
      <c r="M1072" s="8"/>
    </row>
    <row r="1073" spans="1:13" ht="12.75" x14ac:dyDescent="0.2">
      <c r="A1073" s="345"/>
      <c r="B1073" s="356"/>
      <c r="C1073" s="219"/>
      <c r="E1073" s="355"/>
      <c r="F1073" s="355"/>
      <c r="G1073" s="355"/>
      <c r="H1073" s="355"/>
      <c r="I1073" s="355"/>
      <c r="J1073" s="355"/>
      <c r="K1073" s="355"/>
      <c r="L1073" s="355"/>
      <c r="M1073" s="355"/>
    </row>
    <row r="1074" spans="1:13" ht="12.75" x14ac:dyDescent="0.2">
      <c r="A1074" s="345"/>
      <c r="B1074" s="356"/>
      <c r="C1074" s="219"/>
      <c r="E1074" s="355"/>
      <c r="F1074" s="355"/>
      <c r="G1074" s="355"/>
      <c r="H1074" s="355"/>
      <c r="I1074" s="355"/>
      <c r="J1074" s="355"/>
      <c r="K1074" s="355"/>
      <c r="L1074" s="355"/>
      <c r="M1074" s="355"/>
    </row>
    <row r="1075" spans="1:13" ht="12.75" x14ac:dyDescent="0.2">
      <c r="A1075" s="345"/>
      <c r="B1075" s="356"/>
      <c r="C1075" s="219"/>
      <c r="E1075" s="355"/>
      <c r="F1075" s="355"/>
      <c r="G1075" s="355"/>
      <c r="H1075" s="355"/>
      <c r="I1075" s="355"/>
      <c r="J1075" s="355"/>
      <c r="K1075" s="355"/>
      <c r="L1075" s="355"/>
      <c r="M1075" s="355"/>
    </row>
    <row r="1076" spans="1:13" ht="12.75" x14ac:dyDescent="0.2">
      <c r="A1076" s="345"/>
      <c r="B1076" s="356"/>
      <c r="C1076" s="219"/>
      <c r="E1076" s="355"/>
      <c r="F1076" s="355"/>
      <c r="G1076" s="355"/>
      <c r="H1076" s="355"/>
      <c r="I1076" s="355"/>
      <c r="J1076" s="355"/>
      <c r="K1076" s="355"/>
      <c r="L1076" s="355"/>
      <c r="M1076" s="355"/>
    </row>
    <row r="1077" spans="1:13" ht="12.75" x14ac:dyDescent="0.2">
      <c r="A1077" s="345"/>
      <c r="B1077" s="356"/>
      <c r="C1077" s="219"/>
      <c r="E1077" s="355"/>
      <c r="F1077" s="355"/>
      <c r="G1077" s="355"/>
      <c r="H1077" s="355"/>
      <c r="I1077" s="355"/>
      <c r="J1077" s="355"/>
      <c r="K1077" s="355"/>
      <c r="L1077" s="355"/>
      <c r="M1077" s="355"/>
    </row>
    <row r="1078" spans="1:13" ht="12.75" x14ac:dyDescent="0.2">
      <c r="A1078" s="345"/>
      <c r="B1078" s="356"/>
      <c r="C1078" s="219"/>
      <c r="E1078" s="355"/>
      <c r="F1078" s="355"/>
      <c r="G1078" s="355"/>
      <c r="H1078" s="355"/>
      <c r="I1078" s="355"/>
      <c r="J1078" s="355"/>
      <c r="K1078" s="355"/>
      <c r="L1078" s="355"/>
      <c r="M1078" s="355"/>
    </row>
    <row r="1079" spans="1:13" ht="12.75" x14ac:dyDescent="0.2">
      <c r="A1079" s="345"/>
      <c r="B1079" s="356"/>
      <c r="C1079" s="219"/>
      <c r="E1079" s="355"/>
      <c r="F1079" s="355"/>
      <c r="G1079" s="355"/>
      <c r="H1079" s="355"/>
      <c r="I1079" s="355"/>
      <c r="J1079" s="355"/>
      <c r="K1079" s="355"/>
      <c r="L1079" s="355"/>
      <c r="M1079" s="355"/>
    </row>
    <row r="1080" spans="1:13" ht="12.75" x14ac:dyDescent="0.2">
      <c r="A1080" s="345"/>
      <c r="B1080" s="356"/>
      <c r="C1080" s="219"/>
      <c r="E1080" s="355"/>
      <c r="F1080" s="355"/>
      <c r="G1080" s="355"/>
      <c r="H1080" s="355"/>
      <c r="I1080" s="355"/>
      <c r="J1080" s="355"/>
      <c r="K1080" s="355"/>
      <c r="L1080" s="355"/>
      <c r="M1080" s="355"/>
    </row>
    <row r="1081" spans="1:13" ht="12.75" x14ac:dyDescent="0.2">
      <c r="A1081" s="345"/>
      <c r="B1081" s="356"/>
      <c r="C1081" s="219"/>
      <c r="E1081" s="355"/>
      <c r="F1081" s="355"/>
      <c r="G1081" s="355"/>
      <c r="H1081" s="355"/>
      <c r="I1081" s="355"/>
      <c r="J1081" s="355"/>
      <c r="K1081" s="1"/>
      <c r="L1081" s="8"/>
      <c r="M1081" s="8"/>
    </row>
    <row r="1082" spans="1:13" ht="12.75" x14ac:dyDescent="0.2">
      <c r="A1082" s="345"/>
      <c r="B1082" s="356"/>
      <c r="C1082" s="356"/>
      <c r="E1082" s="358"/>
      <c r="F1082" s="358"/>
      <c r="G1082" s="358"/>
      <c r="H1082" s="358"/>
      <c r="I1082" s="358"/>
      <c r="J1082" s="358"/>
      <c r="K1082" s="1"/>
      <c r="L1082" s="8"/>
      <c r="M1082" s="8"/>
    </row>
    <row r="1083" spans="1:13" ht="12.75" x14ac:dyDescent="0.2">
      <c r="A1083" s="345"/>
      <c r="B1083" s="356"/>
      <c r="C1083" s="351"/>
      <c r="E1083" s="358"/>
      <c r="F1083" s="358"/>
      <c r="G1083" s="358"/>
      <c r="H1083" s="358"/>
      <c r="I1083" s="358"/>
      <c r="J1083" s="358"/>
      <c r="K1083" s="358"/>
      <c r="L1083" s="358"/>
      <c r="M1083" s="358"/>
    </row>
    <row r="1084" spans="1:13" ht="12.75" x14ac:dyDescent="0.2">
      <c r="A1084" s="345"/>
      <c r="B1084" s="353"/>
      <c r="C1084" s="354"/>
      <c r="E1084" s="355"/>
      <c r="F1084" s="355"/>
      <c r="G1084" s="355"/>
      <c r="H1084" s="355"/>
      <c r="I1084" s="355"/>
      <c r="J1084" s="355"/>
      <c r="K1084" s="355"/>
      <c r="L1084" s="355"/>
      <c r="M1084" s="355"/>
    </row>
    <row r="1085" spans="1:13" ht="12.75" x14ac:dyDescent="0.2">
      <c r="A1085" s="345"/>
      <c r="B1085" s="353"/>
      <c r="C1085" s="354"/>
      <c r="E1085" s="355"/>
      <c r="F1085" s="355"/>
      <c r="G1085" s="355"/>
      <c r="H1085" s="355"/>
      <c r="I1085" s="355"/>
      <c r="J1085" s="355"/>
      <c r="K1085" s="355"/>
      <c r="L1085" s="355"/>
      <c r="M1085" s="355"/>
    </row>
    <row r="1086" spans="1:13" ht="12.75" x14ac:dyDescent="0.2">
      <c r="A1086" s="345"/>
      <c r="B1086" s="353"/>
      <c r="C1086" s="354"/>
      <c r="E1086" s="357"/>
      <c r="F1086" s="357"/>
      <c r="G1086" s="357"/>
      <c r="H1086" s="357"/>
      <c r="I1086" s="357"/>
      <c r="J1086" s="357"/>
      <c r="K1086" s="357"/>
      <c r="L1086" s="357"/>
      <c r="M1086" s="357"/>
    </row>
    <row r="1087" spans="1:13" ht="12.75" x14ac:dyDescent="0.2">
      <c r="A1087" s="345"/>
      <c r="B1087" s="356"/>
      <c r="C1087" s="356"/>
      <c r="E1087" s="358"/>
      <c r="F1087" s="358"/>
      <c r="G1087" s="358"/>
      <c r="H1087" s="358"/>
      <c r="I1087" s="358"/>
      <c r="J1087" s="358"/>
      <c r="K1087" s="1"/>
      <c r="L1087" s="8"/>
      <c r="M1087" s="8"/>
    </row>
    <row r="1088" spans="1:13" ht="12.75" x14ac:dyDescent="0.2">
      <c r="A1088" s="345"/>
      <c r="B1088" s="356"/>
      <c r="C1088" s="351"/>
      <c r="E1088" s="358"/>
      <c r="F1088" s="358"/>
      <c r="G1088" s="358"/>
      <c r="H1088" s="358"/>
      <c r="I1088" s="358"/>
      <c r="J1088" s="358"/>
      <c r="K1088" s="358"/>
      <c r="L1088" s="358"/>
      <c r="M1088" s="358"/>
    </row>
    <row r="1089" spans="1:13" ht="12.75" x14ac:dyDescent="0.2">
      <c r="A1089" s="345"/>
      <c r="B1089" s="353"/>
      <c r="C1089" s="354"/>
      <c r="E1089" s="355"/>
      <c r="F1089" s="355"/>
      <c r="G1089" s="355"/>
      <c r="H1089" s="355"/>
      <c r="I1089" s="355"/>
      <c r="J1089" s="355"/>
      <c r="K1089" s="355"/>
      <c r="L1089" s="355"/>
      <c r="M1089" s="355"/>
    </row>
    <row r="1090" spans="1:13" ht="12.75" x14ac:dyDescent="0.2">
      <c r="A1090" s="345"/>
      <c r="B1090" s="353"/>
      <c r="C1090" s="354"/>
      <c r="E1090" s="355"/>
      <c r="F1090" s="355"/>
      <c r="G1090" s="355"/>
      <c r="H1090" s="355"/>
      <c r="I1090" s="355"/>
      <c r="J1090" s="355"/>
      <c r="K1090" s="355"/>
      <c r="L1090" s="355"/>
      <c r="M1090" s="355"/>
    </row>
    <row r="1091" spans="1:13" ht="12.75" x14ac:dyDescent="0.2">
      <c r="A1091" s="345"/>
      <c r="B1091" s="353"/>
      <c r="C1091" s="354"/>
      <c r="E1091" s="357"/>
      <c r="F1091" s="357"/>
      <c r="G1091" s="357"/>
      <c r="H1091" s="357"/>
      <c r="I1091" s="357"/>
      <c r="J1091" s="357"/>
      <c r="K1091" s="357"/>
      <c r="L1091" s="357"/>
      <c r="M1091" s="357"/>
    </row>
    <row r="1092" spans="1:13" x14ac:dyDescent="0.2">
      <c r="H1092" s="246"/>
    </row>
    <row r="1093" spans="1:13" x14ac:dyDescent="0.2">
      <c r="H1093" s="246"/>
    </row>
  </sheetData>
  <customSheetViews>
    <customSheetView guid="{1E6FE90F-EDEA-471D-82F7-F8C40D1B6B17}" showPageBreaks="1" view="pageBreakPreview" showRuler="0">
      <selection activeCell="J9" sqref="J9"/>
      <pageMargins left="0.5" right="0.5" top="1" bottom="1" header="0.5" footer="0.5"/>
      <pageSetup scale="91" orientation="portrait" horizontalDpi="180" verticalDpi="180" copies="0" r:id="rId1"/>
      <headerFooter alignWithMargins="0"/>
    </customSheetView>
  </customSheetViews>
  <mergeCells count="117">
    <mergeCell ref="A414:M414"/>
    <mergeCell ref="A413:M413"/>
    <mergeCell ref="A950:M950"/>
    <mergeCell ref="A951:M951"/>
    <mergeCell ref="A952:M952"/>
    <mergeCell ref="A953:M953"/>
    <mergeCell ref="A1:M1"/>
    <mergeCell ref="A2:M2"/>
    <mergeCell ref="A3:M3"/>
    <mergeCell ref="A4:M4"/>
    <mergeCell ref="A903:I903"/>
    <mergeCell ref="A849:I849"/>
    <mergeCell ref="A579:M579"/>
    <mergeCell ref="A627:M627"/>
    <mergeCell ref="A628:M628"/>
    <mergeCell ref="A629:M629"/>
    <mergeCell ref="A630:M630"/>
    <mergeCell ref="A798:M798"/>
    <mergeCell ref="A799:M799"/>
    <mergeCell ref="A842:M842"/>
    <mergeCell ref="A843:M843"/>
    <mergeCell ref="A631:K631"/>
    <mergeCell ref="A412:M412"/>
    <mergeCell ref="A363:M363"/>
    <mergeCell ref="A56:M56"/>
    <mergeCell ref="A58:M58"/>
    <mergeCell ref="A111:M111"/>
    <mergeCell ref="A112:M112"/>
    <mergeCell ref="A157:M157"/>
    <mergeCell ref="A158:M158"/>
    <mergeCell ref="A6:M6"/>
    <mergeCell ref="A8:M8"/>
    <mergeCell ref="A32:M32"/>
    <mergeCell ref="A53:M53"/>
    <mergeCell ref="A54:M54"/>
    <mergeCell ref="A55:M55"/>
    <mergeCell ref="A159:M159"/>
    <mergeCell ref="A160:M160"/>
    <mergeCell ref="A304:M304"/>
    <mergeCell ref="A305:M305"/>
    <mergeCell ref="A361:M361"/>
    <mergeCell ref="A306:M306"/>
    <mergeCell ref="A307:M307"/>
    <mergeCell ref="A309:M309"/>
    <mergeCell ref="A310:M310"/>
    <mergeCell ref="A207:M207"/>
    <mergeCell ref="A208:M208"/>
    <mergeCell ref="A209:M209"/>
    <mergeCell ref="A210:M210"/>
    <mergeCell ref="A256:M256"/>
    <mergeCell ref="A257:M257"/>
    <mergeCell ref="A258:M258"/>
    <mergeCell ref="A259:M259"/>
    <mergeCell ref="A261:M261"/>
    <mergeCell ref="A466:M466"/>
    <mergeCell ref="A467:M467"/>
    <mergeCell ref="A468:M468"/>
    <mergeCell ref="A469:M469"/>
    <mergeCell ref="A471:M471"/>
    <mergeCell ref="A473:M473"/>
    <mergeCell ref="A415:M415"/>
    <mergeCell ref="A418:M418"/>
    <mergeCell ref="A419:M419"/>
    <mergeCell ref="A523:M523"/>
    <mergeCell ref="A573:M573"/>
    <mergeCell ref="A574:M574"/>
    <mergeCell ref="A575:M575"/>
    <mergeCell ref="A576:M576"/>
    <mergeCell ref="A578:M578"/>
    <mergeCell ref="A474:M474"/>
    <mergeCell ref="A518:M518"/>
    <mergeCell ref="A519:M519"/>
    <mergeCell ref="A520:M520"/>
    <mergeCell ref="A521:M521"/>
    <mergeCell ref="A737:M737"/>
    <mergeCell ref="A738:M738"/>
    <mergeCell ref="A739:M739"/>
    <mergeCell ref="A740:M740"/>
    <mergeCell ref="A632:M632"/>
    <mergeCell ref="A634:M634"/>
    <mergeCell ref="A683:M683"/>
    <mergeCell ref="A684:M684"/>
    <mergeCell ref="A685:M685"/>
    <mergeCell ref="A686:M686"/>
    <mergeCell ref="A899:M899"/>
    <mergeCell ref="A902:M902"/>
    <mergeCell ref="A955:M955"/>
    <mergeCell ref="A106:M106"/>
    <mergeCell ref="A107:M107"/>
    <mergeCell ref="A108:M108"/>
    <mergeCell ref="A109:M109"/>
    <mergeCell ref="A358:M358"/>
    <mergeCell ref="A359:M359"/>
    <mergeCell ref="A360:M360"/>
    <mergeCell ref="A844:M844"/>
    <mergeCell ref="A845:M845"/>
    <mergeCell ref="A848:M848"/>
    <mergeCell ref="A896:M896"/>
    <mergeCell ref="A897:M897"/>
    <mergeCell ref="A898:M898"/>
    <mergeCell ref="A743:M743"/>
    <mergeCell ref="A744:M744"/>
    <mergeCell ref="A792:M792"/>
    <mergeCell ref="A793:M793"/>
    <mergeCell ref="A794:M794"/>
    <mergeCell ref="A795:M795"/>
    <mergeCell ref="A689:M689"/>
    <mergeCell ref="A691:M691"/>
    <mergeCell ref="A1003:L1003"/>
    <mergeCell ref="B1005:C1005"/>
    <mergeCell ref="A1048:L1048"/>
    <mergeCell ref="A1049:L1049"/>
    <mergeCell ref="A1050:L1050"/>
    <mergeCell ref="A1052:L1052"/>
    <mergeCell ref="E957:F957"/>
    <mergeCell ref="H957:I957"/>
    <mergeCell ref="J957:K957"/>
  </mergeCells>
  <phoneticPr fontId="0" type="noConversion"/>
  <pageMargins left="0.39370078740157483" right="0.19685039370078741" top="0.98425196850393704" bottom="0.98425196850393704" header="0.51181102362204722" footer="0.51181102362204722"/>
  <pageSetup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10"/>
  <sheetViews>
    <sheetView topLeftCell="A24" zoomScale="75" zoomScaleNormal="100" workbookViewId="0">
      <selection activeCell="B48" sqref="B48"/>
    </sheetView>
  </sheetViews>
  <sheetFormatPr defaultColWidth="9" defaultRowHeight="12.75" x14ac:dyDescent="0.2"/>
  <cols>
    <col min="1" max="1" width="3" style="1" customWidth="1"/>
    <col min="2" max="2" width="19.125" style="1" customWidth="1"/>
    <col min="3" max="13" width="8.125" style="1" customWidth="1"/>
    <col min="14" max="16384" width="9" style="1"/>
  </cols>
  <sheetData>
    <row r="1" spans="1:13" x14ac:dyDescent="0.2">
      <c r="F1" s="131" t="str">
        <f>BASICS!A1</f>
        <v>ARAMCO PAPERS PRIVATE LIMITED</v>
      </c>
    </row>
    <row r="2" spans="1:13" x14ac:dyDescent="0.2">
      <c r="F2" s="131" t="str">
        <f>BASICS!A4</f>
        <v>Works: Khasra No. 550,Village Shernagar  Jansath Road Muzaffarnagar</v>
      </c>
    </row>
    <row r="3" spans="1:13" x14ac:dyDescent="0.2">
      <c r="F3" s="131" t="s">
        <v>521</v>
      </c>
    </row>
    <row r="4" spans="1:13" x14ac:dyDescent="0.2">
      <c r="F4" s="131" t="s">
        <v>522</v>
      </c>
    </row>
    <row r="6" spans="1:13" x14ac:dyDescent="0.2">
      <c r="F6" s="131" t="s">
        <v>278</v>
      </c>
    </row>
    <row r="8" spans="1:13" x14ac:dyDescent="0.2">
      <c r="A8" s="120" t="s">
        <v>812</v>
      </c>
      <c r="B8" s="121" t="s">
        <v>813</v>
      </c>
      <c r="C8" s="120" t="s">
        <v>833</v>
      </c>
      <c r="D8" s="121" t="s">
        <v>814</v>
      </c>
      <c r="E8" s="120" t="s">
        <v>835</v>
      </c>
      <c r="F8" s="121" t="s">
        <v>815</v>
      </c>
      <c r="G8" s="120" t="s">
        <v>816</v>
      </c>
      <c r="H8" s="121" t="s">
        <v>817</v>
      </c>
      <c r="I8" s="120" t="s">
        <v>818</v>
      </c>
      <c r="J8" s="121" t="s">
        <v>819</v>
      </c>
      <c r="K8" s="120" t="s">
        <v>820</v>
      </c>
      <c r="L8" s="120" t="s">
        <v>821</v>
      </c>
      <c r="M8" s="122" t="s">
        <v>838</v>
      </c>
    </row>
    <row r="9" spans="1:13" x14ac:dyDescent="0.2">
      <c r="A9" s="123"/>
      <c r="B9" s="96"/>
      <c r="C9" s="123" t="s">
        <v>834</v>
      </c>
      <c r="D9" s="96"/>
      <c r="E9" s="123" t="s">
        <v>836</v>
      </c>
      <c r="F9" s="96"/>
      <c r="G9" s="123" t="s">
        <v>822</v>
      </c>
      <c r="H9" s="96" t="s">
        <v>823</v>
      </c>
      <c r="I9" s="123" t="s">
        <v>824</v>
      </c>
      <c r="J9" s="96" t="s">
        <v>825</v>
      </c>
      <c r="K9" s="123" t="s">
        <v>837</v>
      </c>
      <c r="L9" s="123" t="s">
        <v>826</v>
      </c>
      <c r="M9" s="124" t="s">
        <v>839</v>
      </c>
    </row>
    <row r="10" spans="1:13" x14ac:dyDescent="0.2">
      <c r="A10" s="123"/>
      <c r="B10" s="96"/>
      <c r="C10" s="123"/>
      <c r="D10" s="96"/>
      <c r="E10" s="123"/>
      <c r="F10" s="96"/>
      <c r="G10" s="123"/>
      <c r="H10" s="96"/>
      <c r="I10" s="123"/>
      <c r="J10" s="96"/>
      <c r="K10" s="123" t="s">
        <v>828</v>
      </c>
      <c r="L10" s="123" t="s">
        <v>827</v>
      </c>
      <c r="M10" s="124" t="s">
        <v>816</v>
      </c>
    </row>
    <row r="11" spans="1:13" x14ac:dyDescent="0.2">
      <c r="A11" s="123"/>
      <c r="B11" s="96"/>
      <c r="C11" s="123"/>
      <c r="D11" s="96"/>
      <c r="E11" s="123"/>
      <c r="F11" s="96"/>
      <c r="G11" s="123"/>
      <c r="H11" s="96"/>
      <c r="I11" s="123"/>
      <c r="J11" s="96"/>
      <c r="K11" s="123"/>
      <c r="L11" s="123" t="s">
        <v>828</v>
      </c>
      <c r="M11" s="124"/>
    </row>
    <row r="12" spans="1:13" x14ac:dyDescent="0.2">
      <c r="A12" s="125"/>
      <c r="B12" s="126"/>
      <c r="C12" s="125" t="s">
        <v>829</v>
      </c>
      <c r="D12" s="126" t="s">
        <v>829</v>
      </c>
      <c r="E12" s="125" t="s">
        <v>830</v>
      </c>
      <c r="F12" s="126" t="s">
        <v>829</v>
      </c>
      <c r="G12" s="125" t="s">
        <v>831</v>
      </c>
      <c r="H12" s="126" t="s">
        <v>832</v>
      </c>
      <c r="I12" s="125" t="s">
        <v>829</v>
      </c>
      <c r="J12" s="126" t="s">
        <v>829</v>
      </c>
      <c r="K12" s="125" t="s">
        <v>830</v>
      </c>
      <c r="L12" s="125" t="s">
        <v>830</v>
      </c>
      <c r="M12" s="127" t="s">
        <v>831</v>
      </c>
    </row>
    <row r="13" spans="1:13" x14ac:dyDescent="0.2">
      <c r="A13" s="102"/>
      <c r="B13" s="103" t="s">
        <v>840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x14ac:dyDescent="0.2">
      <c r="A14" s="104">
        <v>1</v>
      </c>
      <c r="B14" s="106" t="s">
        <v>841</v>
      </c>
      <c r="C14" s="100">
        <v>125</v>
      </c>
      <c r="D14" s="100">
        <v>4</v>
      </c>
      <c r="E14" s="100">
        <v>172</v>
      </c>
      <c r="F14" s="100">
        <v>22</v>
      </c>
      <c r="G14" s="100">
        <v>0.2</v>
      </c>
      <c r="H14" s="100">
        <v>200</v>
      </c>
      <c r="I14" s="100">
        <v>30</v>
      </c>
      <c r="J14" s="100">
        <v>7.2</v>
      </c>
      <c r="K14" s="100">
        <v>0</v>
      </c>
      <c r="L14" s="100">
        <v>84</v>
      </c>
      <c r="M14" s="100">
        <v>4</v>
      </c>
    </row>
    <row r="15" spans="1:13" x14ac:dyDescent="0.2">
      <c r="A15" s="104" t="s">
        <v>20</v>
      </c>
      <c r="B15" s="106" t="s">
        <v>1</v>
      </c>
      <c r="C15" s="100">
        <v>125</v>
      </c>
      <c r="D15" s="100">
        <v>4</v>
      </c>
      <c r="E15" s="100">
        <v>172</v>
      </c>
      <c r="F15" s="100">
        <v>22</v>
      </c>
      <c r="G15" s="100">
        <v>0.2</v>
      </c>
      <c r="H15" s="100">
        <v>200</v>
      </c>
      <c r="I15" s="100">
        <v>30</v>
      </c>
      <c r="J15" s="100">
        <v>7.2</v>
      </c>
      <c r="K15" s="100">
        <v>0</v>
      </c>
      <c r="L15" s="100">
        <v>84</v>
      </c>
      <c r="M15" s="100">
        <v>4</v>
      </c>
    </row>
    <row r="16" spans="1:13" x14ac:dyDescent="0.2">
      <c r="A16" s="104" t="s">
        <v>21</v>
      </c>
      <c r="B16" s="106" t="s">
        <v>2</v>
      </c>
      <c r="C16" s="100">
        <v>216</v>
      </c>
      <c r="D16" s="100">
        <v>7.2</v>
      </c>
      <c r="E16" s="100">
        <v>96</v>
      </c>
      <c r="F16" s="100">
        <v>48</v>
      </c>
      <c r="G16" s="100">
        <v>0.2</v>
      </c>
      <c r="H16" s="100">
        <v>300</v>
      </c>
      <c r="I16" s="100">
        <v>161</v>
      </c>
      <c r="J16" s="100">
        <v>0</v>
      </c>
      <c r="K16" s="100">
        <v>0</v>
      </c>
      <c r="L16" s="100">
        <v>0</v>
      </c>
      <c r="M16" s="100">
        <v>100</v>
      </c>
    </row>
    <row r="17" spans="1:13" x14ac:dyDescent="0.2">
      <c r="A17" s="104" t="s">
        <v>22</v>
      </c>
      <c r="B17" s="106" t="s">
        <v>245</v>
      </c>
      <c r="C17" s="100">
        <v>380</v>
      </c>
      <c r="D17" s="100">
        <v>13</v>
      </c>
      <c r="E17" s="100">
        <v>175</v>
      </c>
      <c r="F17" s="100">
        <v>87</v>
      </c>
      <c r="G17" s="100">
        <v>0.8</v>
      </c>
      <c r="H17" s="100">
        <v>800</v>
      </c>
      <c r="I17" s="100">
        <v>290</v>
      </c>
      <c r="J17" s="100">
        <v>0</v>
      </c>
      <c r="K17" s="100">
        <v>0</v>
      </c>
      <c r="L17" s="100">
        <v>0</v>
      </c>
      <c r="M17" s="100">
        <v>120</v>
      </c>
    </row>
    <row r="18" spans="1:13" x14ac:dyDescent="0.2">
      <c r="A18" s="104" t="s">
        <v>23</v>
      </c>
      <c r="B18" s="106" t="s">
        <v>3</v>
      </c>
      <c r="C18" s="100">
        <v>162</v>
      </c>
      <c r="D18" s="100">
        <v>5.4</v>
      </c>
      <c r="E18" s="100">
        <v>670</v>
      </c>
      <c r="F18" s="100">
        <v>150</v>
      </c>
      <c r="G18" s="100">
        <v>0.3</v>
      </c>
      <c r="H18" s="100">
        <v>600</v>
      </c>
      <c r="I18" s="100">
        <v>125</v>
      </c>
      <c r="J18" s="100">
        <v>0</v>
      </c>
      <c r="K18" s="100">
        <v>0</v>
      </c>
      <c r="L18" s="100">
        <v>0</v>
      </c>
      <c r="M18" s="100">
        <v>84</v>
      </c>
    </row>
    <row r="19" spans="1:13" x14ac:dyDescent="0.2">
      <c r="A19" s="104" t="s">
        <v>24</v>
      </c>
      <c r="B19" s="106" t="s">
        <v>4</v>
      </c>
      <c r="C19" s="100">
        <v>12</v>
      </c>
      <c r="D19" s="100">
        <v>0.6</v>
      </c>
      <c r="E19" s="100">
        <v>16.5</v>
      </c>
      <c r="F19" s="100">
        <v>20</v>
      </c>
      <c r="G19" s="100">
        <v>0.1</v>
      </c>
      <c r="H19" s="100"/>
      <c r="I19" s="100">
        <v>3</v>
      </c>
      <c r="J19" s="100">
        <v>0</v>
      </c>
      <c r="K19" s="100">
        <v>0</v>
      </c>
      <c r="L19" s="100">
        <v>0</v>
      </c>
      <c r="M19" s="100"/>
    </row>
    <row r="20" spans="1:13" x14ac:dyDescent="0.2">
      <c r="A20" s="104" t="s">
        <v>25</v>
      </c>
      <c r="B20" s="106" t="s">
        <v>5</v>
      </c>
      <c r="C20" s="100">
        <v>48</v>
      </c>
      <c r="D20" s="100">
        <v>1.35</v>
      </c>
      <c r="E20" s="100">
        <v>20</v>
      </c>
      <c r="F20" s="100">
        <v>8</v>
      </c>
      <c r="G20" s="100"/>
      <c r="H20" s="100">
        <v>60</v>
      </c>
      <c r="I20" s="100">
        <v>40</v>
      </c>
      <c r="J20" s="100">
        <v>0</v>
      </c>
      <c r="K20" s="100">
        <v>0</v>
      </c>
      <c r="L20" s="100">
        <v>0</v>
      </c>
      <c r="M20" s="100"/>
    </row>
    <row r="21" spans="1:13" x14ac:dyDescent="0.2">
      <c r="A21" s="104" t="s">
        <v>26</v>
      </c>
      <c r="B21" s="106" t="s">
        <v>6</v>
      </c>
      <c r="C21" s="100">
        <v>170</v>
      </c>
      <c r="D21" s="100">
        <v>2.8</v>
      </c>
      <c r="E21" s="100">
        <v>920</v>
      </c>
      <c r="F21" s="100">
        <v>400</v>
      </c>
      <c r="G21" s="100">
        <v>1.5</v>
      </c>
      <c r="H21" s="100">
        <v>100</v>
      </c>
      <c r="I21" s="100">
        <v>50</v>
      </c>
      <c r="J21" s="100">
        <v>0</v>
      </c>
      <c r="K21" s="100">
        <v>0</v>
      </c>
      <c r="L21" s="100">
        <v>0</v>
      </c>
      <c r="M21" s="100">
        <v>5</v>
      </c>
    </row>
    <row r="22" spans="1:13" x14ac:dyDescent="0.2">
      <c r="A22" s="104" t="s">
        <v>27</v>
      </c>
      <c r="B22" s="106" t="s">
        <v>7</v>
      </c>
      <c r="C22" s="100">
        <v>36</v>
      </c>
      <c r="D22" s="100">
        <v>2.4</v>
      </c>
      <c r="E22" s="100">
        <v>34</v>
      </c>
      <c r="F22" s="100">
        <v>12</v>
      </c>
      <c r="G22" s="100">
        <v>0.05</v>
      </c>
      <c r="H22" s="100">
        <v>120</v>
      </c>
      <c r="I22" s="100">
        <v>24</v>
      </c>
      <c r="J22" s="100">
        <v>0</v>
      </c>
      <c r="K22" s="100">
        <v>0</v>
      </c>
      <c r="L22" s="100">
        <v>0</v>
      </c>
      <c r="M22" s="100">
        <v>28</v>
      </c>
    </row>
    <row r="23" spans="1:13" x14ac:dyDescent="0.2">
      <c r="A23" s="104" t="s">
        <v>28</v>
      </c>
      <c r="B23" s="106" t="s">
        <v>8</v>
      </c>
      <c r="C23" s="100">
        <v>1450</v>
      </c>
      <c r="D23" s="100">
        <v>40.5</v>
      </c>
      <c r="E23" s="100">
        <v>1400</v>
      </c>
      <c r="F23" s="100">
        <v>1000</v>
      </c>
      <c r="G23" s="100">
        <v>1</v>
      </c>
      <c r="H23" s="100">
        <v>2100</v>
      </c>
      <c r="I23" s="100">
        <v>810</v>
      </c>
      <c r="J23" s="100">
        <v>0</v>
      </c>
      <c r="K23" s="100">
        <v>66</v>
      </c>
      <c r="L23" s="100">
        <v>0</v>
      </c>
      <c r="M23" s="100"/>
    </row>
    <row r="24" spans="1:13" x14ac:dyDescent="0.2">
      <c r="A24" s="104" t="s">
        <v>29</v>
      </c>
      <c r="B24" s="106" t="s">
        <v>9</v>
      </c>
      <c r="C24" s="100">
        <v>172</v>
      </c>
      <c r="D24" s="100">
        <v>7.2</v>
      </c>
      <c r="E24" s="100">
        <v>90</v>
      </c>
      <c r="F24" s="100">
        <v>40</v>
      </c>
      <c r="G24" s="100">
        <v>0.2</v>
      </c>
      <c r="H24" s="100">
        <v>300</v>
      </c>
      <c r="I24" s="100">
        <v>132</v>
      </c>
      <c r="J24" s="100">
        <v>0</v>
      </c>
      <c r="K24" s="100"/>
      <c r="L24" s="100">
        <v>0</v>
      </c>
      <c r="M24" s="100">
        <v>53</v>
      </c>
    </row>
    <row r="25" spans="1:13" x14ac:dyDescent="0.2">
      <c r="A25" s="104" t="s">
        <v>30</v>
      </c>
      <c r="B25" s="106" t="s">
        <v>10</v>
      </c>
      <c r="C25" s="100">
        <v>328</v>
      </c>
      <c r="D25" s="100">
        <v>12</v>
      </c>
      <c r="E25" s="100">
        <v>422</v>
      </c>
      <c r="F25" s="100">
        <v>150</v>
      </c>
      <c r="G25" s="100">
        <v>0.4</v>
      </c>
      <c r="H25" s="100">
        <v>200</v>
      </c>
      <c r="I25" s="100">
        <v>140</v>
      </c>
      <c r="J25" s="100">
        <v>0</v>
      </c>
      <c r="K25" s="100">
        <v>12.6</v>
      </c>
      <c r="L25" s="100">
        <v>0</v>
      </c>
      <c r="M25" s="100">
        <v>2</v>
      </c>
    </row>
    <row r="26" spans="1:13" x14ac:dyDescent="0.2">
      <c r="A26" s="104" t="s">
        <v>31</v>
      </c>
      <c r="B26" s="106" t="s">
        <v>11</v>
      </c>
      <c r="C26" s="100">
        <v>100</v>
      </c>
      <c r="D26" s="100">
        <v>8</v>
      </c>
      <c r="E26" s="100">
        <v>60</v>
      </c>
      <c r="F26" s="100">
        <v>28</v>
      </c>
      <c r="G26" s="100">
        <v>0.3</v>
      </c>
      <c r="H26" s="100">
        <v>160</v>
      </c>
      <c r="I26" s="100">
        <v>20</v>
      </c>
      <c r="J26" s="100">
        <v>9</v>
      </c>
      <c r="K26" s="100"/>
      <c r="L26" s="100">
        <v>84</v>
      </c>
      <c r="M26" s="100">
        <v>6.3</v>
      </c>
    </row>
    <row r="27" spans="1:13" x14ac:dyDescent="0.2">
      <c r="A27" s="104" t="s">
        <v>32</v>
      </c>
      <c r="B27" s="106" t="s">
        <v>12</v>
      </c>
      <c r="C27" s="100">
        <v>181.62</v>
      </c>
      <c r="D27" s="100">
        <v>15.12</v>
      </c>
      <c r="E27" s="100">
        <v>280.01</v>
      </c>
      <c r="F27" s="100">
        <v>50.01</v>
      </c>
      <c r="G27" s="100">
        <v>3.01</v>
      </c>
      <c r="H27" s="100">
        <v>420.01</v>
      </c>
      <c r="I27" s="69">
        <v>155.01</v>
      </c>
      <c r="J27" s="100">
        <v>0</v>
      </c>
      <c r="K27" s="2">
        <v>59.5</v>
      </c>
      <c r="L27" s="100">
        <v>350.6</v>
      </c>
      <c r="M27" s="117">
        <v>6</v>
      </c>
    </row>
    <row r="28" spans="1:13" x14ac:dyDescent="0.2">
      <c r="A28" s="104" t="s">
        <v>33</v>
      </c>
      <c r="B28" s="106" t="s">
        <v>13</v>
      </c>
      <c r="C28" s="100">
        <v>181.62</v>
      </c>
      <c r="D28" s="100">
        <v>15.12</v>
      </c>
      <c r="E28" s="100">
        <v>280.01</v>
      </c>
      <c r="F28" s="100">
        <v>50.01</v>
      </c>
      <c r="G28" s="69">
        <v>3.01</v>
      </c>
      <c r="H28" s="100">
        <v>420.01</v>
      </c>
      <c r="I28" s="2">
        <v>155.01</v>
      </c>
      <c r="J28" s="100">
        <v>0</v>
      </c>
      <c r="K28" s="2">
        <v>59.5</v>
      </c>
      <c r="L28" s="100">
        <v>350.6</v>
      </c>
      <c r="M28" s="117">
        <v>6</v>
      </c>
    </row>
    <row r="29" spans="1:13" x14ac:dyDescent="0.2">
      <c r="A29" s="104" t="s">
        <v>34</v>
      </c>
      <c r="B29" s="106" t="s">
        <v>14</v>
      </c>
      <c r="C29" s="100">
        <v>300</v>
      </c>
      <c r="D29" s="100">
        <v>31</v>
      </c>
      <c r="E29" s="69">
        <v>450</v>
      </c>
      <c r="F29" s="100">
        <v>100</v>
      </c>
      <c r="G29" s="2">
        <v>6</v>
      </c>
      <c r="H29" s="100">
        <v>700</v>
      </c>
      <c r="I29" s="2">
        <v>300</v>
      </c>
      <c r="J29" s="100">
        <v>0</v>
      </c>
      <c r="K29" s="2">
        <v>100</v>
      </c>
      <c r="L29" s="100">
        <v>600</v>
      </c>
      <c r="M29" s="117">
        <v>20</v>
      </c>
    </row>
    <row r="30" spans="1:13" x14ac:dyDescent="0.2">
      <c r="A30" s="110" t="s">
        <v>35</v>
      </c>
      <c r="B30" s="108" t="s">
        <v>15</v>
      </c>
      <c r="C30" s="111">
        <v>190</v>
      </c>
      <c r="D30" s="111">
        <v>6.7</v>
      </c>
      <c r="E30" s="65">
        <v>96</v>
      </c>
      <c r="F30" s="111">
        <v>50</v>
      </c>
      <c r="G30" s="66">
        <v>0.2</v>
      </c>
      <c r="H30" s="111">
        <v>200</v>
      </c>
      <c r="I30" s="66">
        <v>145</v>
      </c>
      <c r="J30" s="100">
        <v>0</v>
      </c>
      <c r="K30" s="100">
        <v>0</v>
      </c>
      <c r="L30" s="100">
        <v>0</v>
      </c>
      <c r="M30" s="113">
        <v>50</v>
      </c>
    </row>
    <row r="31" spans="1:13" x14ac:dyDescent="0.2">
      <c r="A31" s="112" t="s">
        <v>36</v>
      </c>
      <c r="B31" s="108" t="s">
        <v>16</v>
      </c>
      <c r="C31" s="66">
        <v>375</v>
      </c>
      <c r="D31" s="111">
        <v>8</v>
      </c>
      <c r="E31" s="66">
        <v>2168</v>
      </c>
      <c r="F31" s="111">
        <v>675</v>
      </c>
      <c r="G31" s="66">
        <v>1</v>
      </c>
      <c r="H31" s="111">
        <v>400</v>
      </c>
      <c r="I31" s="66">
        <v>160</v>
      </c>
      <c r="J31" s="100">
        <v>0</v>
      </c>
      <c r="K31" s="100">
        <v>0</v>
      </c>
      <c r="L31" s="100">
        <v>0</v>
      </c>
      <c r="M31" s="113">
        <v>10</v>
      </c>
    </row>
    <row r="32" spans="1:13" x14ac:dyDescent="0.2">
      <c r="A32" s="114"/>
      <c r="B32" s="109" t="s">
        <v>17</v>
      </c>
      <c r="C32" s="68"/>
      <c r="D32" s="102"/>
      <c r="E32" s="68"/>
      <c r="F32" s="102"/>
      <c r="G32" s="68"/>
      <c r="H32" s="102"/>
      <c r="I32" s="68"/>
      <c r="J32" s="102"/>
      <c r="K32" s="68"/>
      <c r="L32" s="102"/>
      <c r="M32" s="75"/>
    </row>
    <row r="33" spans="1:13" x14ac:dyDescent="0.2">
      <c r="A33" s="115" t="s">
        <v>37</v>
      </c>
      <c r="B33" s="118" t="s">
        <v>16</v>
      </c>
      <c r="C33" s="1">
        <v>125</v>
      </c>
      <c r="D33" s="119">
        <v>3</v>
      </c>
      <c r="E33" s="1">
        <v>650</v>
      </c>
      <c r="F33" s="119">
        <v>240</v>
      </c>
      <c r="G33" s="1">
        <v>0.4</v>
      </c>
      <c r="H33" s="119">
        <v>100</v>
      </c>
      <c r="I33" s="1">
        <v>64</v>
      </c>
      <c r="J33" s="100">
        <v>0</v>
      </c>
      <c r="K33" s="100">
        <v>0</v>
      </c>
      <c r="L33" s="100">
        <v>0</v>
      </c>
      <c r="M33" s="74">
        <v>6</v>
      </c>
    </row>
    <row r="34" spans="1:13" x14ac:dyDescent="0.2">
      <c r="A34" s="114"/>
      <c r="B34" s="109" t="s">
        <v>18</v>
      </c>
      <c r="C34" s="68"/>
      <c r="D34" s="102"/>
      <c r="E34" s="68"/>
      <c r="F34" s="102"/>
      <c r="G34" s="68"/>
      <c r="H34" s="102"/>
      <c r="I34" s="68"/>
      <c r="J34" s="102"/>
      <c r="K34" s="68"/>
      <c r="L34" s="102"/>
      <c r="M34" s="75"/>
    </row>
    <row r="35" spans="1:13" x14ac:dyDescent="0.2">
      <c r="A35" s="116" t="s">
        <v>38</v>
      </c>
      <c r="B35" s="106" t="s">
        <v>19</v>
      </c>
      <c r="C35" s="2">
        <v>182</v>
      </c>
      <c r="D35" s="100">
        <v>4</v>
      </c>
      <c r="E35" s="2">
        <v>86</v>
      </c>
      <c r="F35" s="100">
        <v>107</v>
      </c>
      <c r="G35" s="2">
        <v>0.2</v>
      </c>
      <c r="H35" s="100">
        <v>300</v>
      </c>
      <c r="I35" s="2">
        <v>162</v>
      </c>
      <c r="J35" s="100">
        <v>0</v>
      </c>
      <c r="K35" s="100">
        <v>0</v>
      </c>
      <c r="L35" s="100">
        <v>0</v>
      </c>
      <c r="M35" s="117">
        <v>50</v>
      </c>
    </row>
    <row r="36" spans="1:13" x14ac:dyDescent="0.2">
      <c r="A36" s="105"/>
      <c r="B36" s="128"/>
    </row>
    <row r="37" spans="1:13" x14ac:dyDescent="0.2">
      <c r="A37" s="788" t="s">
        <v>275</v>
      </c>
      <c r="B37" s="788"/>
      <c r="C37" s="788"/>
      <c r="D37" s="788"/>
      <c r="E37" s="788"/>
      <c r="F37" s="788"/>
      <c r="G37" s="788"/>
      <c r="H37" s="788"/>
      <c r="I37" s="788"/>
      <c r="J37" s="788"/>
      <c r="K37" s="788"/>
      <c r="L37" s="788"/>
      <c r="M37" s="788"/>
    </row>
    <row r="38" spans="1:13" x14ac:dyDescent="0.2">
      <c r="A38" s="105"/>
      <c r="B38" s="128"/>
    </row>
    <row r="39" spans="1:13" x14ac:dyDescent="0.2">
      <c r="A39" s="105"/>
      <c r="B39" s="128"/>
    </row>
    <row r="40" spans="1:13" x14ac:dyDescent="0.2">
      <c r="A40" s="129"/>
      <c r="B40" s="130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 x14ac:dyDescent="0.2">
      <c r="A41" s="115" t="s">
        <v>53</v>
      </c>
      <c r="B41" s="118" t="s">
        <v>39</v>
      </c>
      <c r="D41" s="119"/>
      <c r="E41" s="1">
        <v>184</v>
      </c>
      <c r="F41" s="119">
        <v>20</v>
      </c>
      <c r="G41" s="1">
        <v>0.1</v>
      </c>
      <c r="H41" s="119">
        <v>200</v>
      </c>
      <c r="I41" s="100">
        <v>0</v>
      </c>
      <c r="J41" s="100">
        <v>0</v>
      </c>
      <c r="K41" s="100">
        <v>0</v>
      </c>
      <c r="L41" s="100">
        <v>0</v>
      </c>
      <c r="M41" s="74"/>
    </row>
    <row r="42" spans="1:13" x14ac:dyDescent="0.2">
      <c r="A42" s="112" t="s">
        <v>54</v>
      </c>
      <c r="B42" s="108" t="s">
        <v>40</v>
      </c>
      <c r="C42" s="66">
        <v>150</v>
      </c>
      <c r="D42" s="111">
        <v>7.5</v>
      </c>
      <c r="E42" s="66">
        <v>170</v>
      </c>
      <c r="F42" s="111">
        <v>75</v>
      </c>
      <c r="G42" s="66">
        <v>0.3</v>
      </c>
      <c r="H42" s="111">
        <v>1000</v>
      </c>
      <c r="I42" s="66">
        <v>60</v>
      </c>
      <c r="J42" s="100">
        <v>0</v>
      </c>
      <c r="K42" s="100">
        <v>0</v>
      </c>
      <c r="L42" s="100">
        <v>0</v>
      </c>
      <c r="M42" s="113">
        <v>60</v>
      </c>
    </row>
    <row r="43" spans="1:13" x14ac:dyDescent="0.2">
      <c r="A43" s="114"/>
      <c r="B43" s="109" t="s">
        <v>41</v>
      </c>
      <c r="C43" s="68"/>
      <c r="D43" s="102"/>
      <c r="E43" s="68"/>
      <c r="F43" s="102"/>
      <c r="G43" s="68"/>
      <c r="H43" s="102"/>
      <c r="I43" s="68"/>
      <c r="J43" s="102"/>
      <c r="K43" s="68"/>
      <c r="L43" s="102"/>
      <c r="M43" s="75"/>
    </row>
    <row r="44" spans="1:13" x14ac:dyDescent="0.2">
      <c r="A44" s="115" t="s">
        <v>55</v>
      </c>
      <c r="B44" s="118" t="s">
        <v>42</v>
      </c>
      <c r="C44" s="1">
        <v>50.31</v>
      </c>
      <c r="D44" s="111">
        <v>15.71</v>
      </c>
      <c r="E44" s="119">
        <v>78</v>
      </c>
      <c r="F44" s="1">
        <v>39.4</v>
      </c>
      <c r="G44" s="119">
        <v>2.6</v>
      </c>
      <c r="H44" s="1">
        <v>100</v>
      </c>
      <c r="I44" s="119">
        <v>48</v>
      </c>
      <c r="J44" s="1">
        <v>36</v>
      </c>
      <c r="K44" s="100">
        <v>0</v>
      </c>
      <c r="L44" s="100">
        <v>0</v>
      </c>
      <c r="M44" s="74">
        <v>2</v>
      </c>
    </row>
    <row r="45" spans="1:13" x14ac:dyDescent="0.2">
      <c r="A45" s="114"/>
      <c r="B45" s="109" t="s">
        <v>43</v>
      </c>
      <c r="C45" s="68"/>
      <c r="D45" s="102"/>
      <c r="E45" s="68"/>
      <c r="F45" s="102"/>
      <c r="G45" s="68"/>
      <c r="H45" s="102"/>
      <c r="I45" s="68"/>
      <c r="J45" s="67"/>
      <c r="K45" s="102"/>
      <c r="L45" s="102"/>
      <c r="M45" s="75"/>
    </row>
    <row r="46" spans="1:13" x14ac:dyDescent="0.2">
      <c r="A46" s="114" t="s">
        <v>56</v>
      </c>
      <c r="B46" s="109" t="s">
        <v>44</v>
      </c>
      <c r="C46" s="68">
        <v>125</v>
      </c>
      <c r="D46" s="102">
        <v>15.3</v>
      </c>
      <c r="E46" s="68">
        <v>621</v>
      </c>
      <c r="F46" s="102">
        <v>20</v>
      </c>
      <c r="G46" s="68">
        <v>1.5</v>
      </c>
      <c r="H46" s="102">
        <v>200</v>
      </c>
      <c r="I46" s="68">
        <v>105</v>
      </c>
      <c r="J46" s="67">
        <v>110</v>
      </c>
      <c r="K46" s="100">
        <v>0</v>
      </c>
      <c r="L46" s="100">
        <v>0</v>
      </c>
      <c r="M46" s="75"/>
    </row>
    <row r="47" spans="1:13" x14ac:dyDescent="0.2">
      <c r="A47" s="116" t="s">
        <v>57</v>
      </c>
      <c r="B47" s="106" t="s">
        <v>45</v>
      </c>
      <c r="C47" s="2">
        <v>110.55</v>
      </c>
      <c r="D47" s="100">
        <v>5.75</v>
      </c>
      <c r="E47" s="2">
        <v>42</v>
      </c>
      <c r="F47" s="100">
        <v>46.2</v>
      </c>
      <c r="G47" s="2">
        <v>3.9</v>
      </c>
      <c r="H47" s="100">
        <v>422</v>
      </c>
      <c r="I47" s="2">
        <v>91</v>
      </c>
      <c r="J47" s="100">
        <v>11.2</v>
      </c>
      <c r="K47" s="100">
        <v>0</v>
      </c>
      <c r="L47" s="100">
        <v>0</v>
      </c>
      <c r="M47" s="117">
        <v>1</v>
      </c>
    </row>
    <row r="48" spans="1:13" x14ac:dyDescent="0.2">
      <c r="A48" s="116" t="s">
        <v>58</v>
      </c>
      <c r="B48" s="106" t="s">
        <v>46</v>
      </c>
      <c r="C48" s="2">
        <v>882</v>
      </c>
      <c r="D48" s="100">
        <v>12</v>
      </c>
      <c r="E48" s="2">
        <v>624</v>
      </c>
      <c r="F48" s="100">
        <v>130</v>
      </c>
      <c r="G48" s="2">
        <v>0.15</v>
      </c>
      <c r="H48" s="100">
        <v>200</v>
      </c>
      <c r="I48" s="2">
        <v>162</v>
      </c>
      <c r="J48" s="100">
        <v>0</v>
      </c>
      <c r="K48" s="100">
        <v>0</v>
      </c>
      <c r="L48" s="100">
        <v>432</v>
      </c>
      <c r="M48" s="117">
        <v>2</v>
      </c>
    </row>
    <row r="49" spans="1:13" x14ac:dyDescent="0.2">
      <c r="A49" s="104"/>
      <c r="B49" s="107" t="s">
        <v>47</v>
      </c>
      <c r="C49" s="69">
        <f>SUM(C14:C48)</f>
        <v>6177.1</v>
      </c>
      <c r="D49" s="69">
        <f t="shared" ref="D49:M49" si="0">SUM(D14:D48)</f>
        <v>247.65</v>
      </c>
      <c r="E49" s="69">
        <f t="shared" si="0"/>
        <v>9976.52</v>
      </c>
      <c r="F49" s="69">
        <f t="shared" si="0"/>
        <v>3589.62</v>
      </c>
      <c r="G49" s="69">
        <f t="shared" si="0"/>
        <v>27.619999999999997</v>
      </c>
      <c r="H49" s="69">
        <f t="shared" si="0"/>
        <v>9802.02</v>
      </c>
      <c r="I49" s="69">
        <f t="shared" si="0"/>
        <v>3462.02</v>
      </c>
      <c r="J49" s="69">
        <f t="shared" si="0"/>
        <v>180.6</v>
      </c>
      <c r="K49" s="69">
        <f t="shared" si="0"/>
        <v>297.60000000000002</v>
      </c>
      <c r="L49" s="69">
        <f t="shared" si="0"/>
        <v>1985.2</v>
      </c>
      <c r="M49" s="69">
        <f t="shared" si="0"/>
        <v>619.29999999999995</v>
      </c>
    </row>
    <row r="50" spans="1:13" x14ac:dyDescent="0.2">
      <c r="A50" s="104"/>
      <c r="B50" s="107" t="s">
        <v>48</v>
      </c>
      <c r="C50" s="100"/>
      <c r="D50" s="100"/>
      <c r="E50" s="69"/>
      <c r="F50" s="100"/>
      <c r="G50" s="2"/>
      <c r="H50" s="100"/>
      <c r="I50" s="2"/>
      <c r="J50" s="100"/>
      <c r="K50" s="2"/>
      <c r="L50" s="100"/>
      <c r="M50" s="117"/>
    </row>
    <row r="51" spans="1:13" x14ac:dyDescent="0.2">
      <c r="A51" s="104"/>
      <c r="B51" s="106" t="s">
        <v>49</v>
      </c>
      <c r="C51" s="100">
        <v>50</v>
      </c>
      <c r="D51" s="100">
        <v>6.12</v>
      </c>
      <c r="E51" s="69">
        <v>248.4</v>
      </c>
      <c r="F51" s="100">
        <v>42</v>
      </c>
      <c r="G51" s="2">
        <v>0.6</v>
      </c>
      <c r="H51" s="100">
        <v>80</v>
      </c>
      <c r="I51" s="2">
        <v>42</v>
      </c>
      <c r="J51" s="100">
        <v>44</v>
      </c>
      <c r="K51" s="117">
        <v>0</v>
      </c>
      <c r="L51" s="100">
        <v>0</v>
      </c>
      <c r="M51" s="100">
        <v>2</v>
      </c>
    </row>
    <row r="52" spans="1:13" x14ac:dyDescent="0.2">
      <c r="A52" s="104"/>
      <c r="B52" s="106" t="s">
        <v>50</v>
      </c>
      <c r="C52" s="100">
        <v>4.8</v>
      </c>
      <c r="D52" s="100">
        <v>2</v>
      </c>
      <c r="E52" s="100">
        <v>19.2</v>
      </c>
      <c r="F52" s="100">
        <v>2</v>
      </c>
      <c r="G52" s="100">
        <v>0.02</v>
      </c>
      <c r="H52" s="100"/>
      <c r="I52" s="100">
        <v>3</v>
      </c>
      <c r="J52" s="100">
        <v>11.2</v>
      </c>
      <c r="K52" s="100">
        <v>0</v>
      </c>
      <c r="L52" s="100">
        <v>112</v>
      </c>
      <c r="M52" s="100">
        <v>1</v>
      </c>
    </row>
    <row r="53" spans="1:13" x14ac:dyDescent="0.2">
      <c r="A53" s="104"/>
      <c r="B53" s="106" t="s">
        <v>51</v>
      </c>
      <c r="C53" s="100">
        <v>91</v>
      </c>
      <c r="D53" s="100">
        <v>2</v>
      </c>
      <c r="E53" s="100">
        <v>43</v>
      </c>
      <c r="F53" s="100">
        <v>53.5</v>
      </c>
      <c r="G53" s="100">
        <v>0.1</v>
      </c>
      <c r="H53" s="100">
        <v>150</v>
      </c>
      <c r="I53" s="100">
        <v>81</v>
      </c>
      <c r="J53" s="100">
        <v>52</v>
      </c>
      <c r="K53" s="100">
        <v>0</v>
      </c>
      <c r="L53" s="100">
        <v>464</v>
      </c>
      <c r="M53" s="100">
        <v>12</v>
      </c>
    </row>
    <row r="54" spans="1:13" x14ac:dyDescent="0.2">
      <c r="A54" s="104"/>
      <c r="B54" s="107" t="s">
        <v>52</v>
      </c>
      <c r="C54" s="100">
        <f>SUM(C51:C53)</f>
        <v>145.80000000000001</v>
      </c>
      <c r="D54" s="100">
        <f t="shared" ref="D54:M54" si="1">SUM(D51:D53)</f>
        <v>10.120000000000001</v>
      </c>
      <c r="E54" s="100">
        <f t="shared" si="1"/>
        <v>310.60000000000002</v>
      </c>
      <c r="F54" s="100">
        <f t="shared" si="1"/>
        <v>97.5</v>
      </c>
      <c r="G54" s="100">
        <f t="shared" si="1"/>
        <v>0.72</v>
      </c>
      <c r="H54" s="100">
        <f t="shared" si="1"/>
        <v>230</v>
      </c>
      <c r="I54" s="100">
        <f t="shared" si="1"/>
        <v>126</v>
      </c>
      <c r="J54" s="100">
        <f t="shared" si="1"/>
        <v>107.2</v>
      </c>
      <c r="K54" s="100">
        <f t="shared" si="1"/>
        <v>0</v>
      </c>
      <c r="L54" s="100">
        <f t="shared" si="1"/>
        <v>576</v>
      </c>
      <c r="M54" s="100">
        <f t="shared" si="1"/>
        <v>15</v>
      </c>
    </row>
    <row r="55" spans="1:13" x14ac:dyDescent="0.2">
      <c r="A55" s="104"/>
      <c r="B55" s="100" t="s">
        <v>444</v>
      </c>
      <c r="C55" s="100">
        <v>80</v>
      </c>
      <c r="D55" s="100">
        <v>300</v>
      </c>
      <c r="E55" s="100">
        <v>120</v>
      </c>
      <c r="F55" s="100">
        <v>3750</v>
      </c>
      <c r="G55" s="100">
        <v>17000</v>
      </c>
      <c r="H55" s="100">
        <v>25</v>
      </c>
      <c r="I55" s="100">
        <v>35</v>
      </c>
      <c r="J55" s="100">
        <v>1200</v>
      </c>
      <c r="K55" s="100">
        <v>275</v>
      </c>
      <c r="L55" s="100">
        <v>60</v>
      </c>
      <c r="M55" s="100">
        <v>17000</v>
      </c>
    </row>
    <row r="56" spans="1:13" x14ac:dyDescent="0.2">
      <c r="A56" s="104"/>
      <c r="B56" s="100" t="s">
        <v>60</v>
      </c>
      <c r="C56" s="100">
        <f>((C49+C54)*C55)/100000</f>
        <v>5.0583200000000001</v>
      </c>
      <c r="D56" s="100">
        <f t="shared" ref="D56:M56" si="2">((D49+D54)*D55)/100000</f>
        <v>0.77331000000000005</v>
      </c>
      <c r="E56" s="100">
        <f t="shared" si="2"/>
        <v>12.344544000000001</v>
      </c>
      <c r="F56" s="100">
        <f t="shared" si="2"/>
        <v>138.267</v>
      </c>
      <c r="G56" s="100">
        <f t="shared" si="2"/>
        <v>4.8177999999999992</v>
      </c>
      <c r="H56" s="100">
        <f t="shared" si="2"/>
        <v>2.5080049999999998</v>
      </c>
      <c r="I56" s="100">
        <f t="shared" si="2"/>
        <v>1.2558069999999999</v>
      </c>
      <c r="J56" s="100">
        <f t="shared" si="2"/>
        <v>3.4535999999999998</v>
      </c>
      <c r="K56" s="100">
        <f t="shared" si="2"/>
        <v>0.81840000000000002</v>
      </c>
      <c r="L56" s="100">
        <f t="shared" si="2"/>
        <v>1.5367200000000001</v>
      </c>
      <c r="M56" s="100">
        <f t="shared" si="2"/>
        <v>107.831</v>
      </c>
    </row>
    <row r="57" spans="1:13" x14ac:dyDescent="0.2">
      <c r="A57" s="105"/>
    </row>
    <row r="58" spans="1:13" ht="13.5" thickBot="1" x14ac:dyDescent="0.25">
      <c r="A58" s="105"/>
      <c r="B58" s="101" t="s">
        <v>61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>
        <f>SUM(C56:M56)</f>
        <v>278.66450600000002</v>
      </c>
    </row>
    <row r="59" spans="1:13" ht="13.5" thickTop="1" x14ac:dyDescent="0.2">
      <c r="A59" s="105"/>
      <c r="B59" s="4"/>
    </row>
    <row r="60" spans="1:13" x14ac:dyDescent="0.2">
      <c r="A60" s="105"/>
      <c r="B60" s="4"/>
    </row>
    <row r="61" spans="1:13" x14ac:dyDescent="0.2">
      <c r="A61" s="105"/>
      <c r="B61" s="4"/>
    </row>
    <row r="62" spans="1:13" x14ac:dyDescent="0.2">
      <c r="A62" s="105"/>
      <c r="B62" s="4"/>
    </row>
    <row r="63" spans="1:13" x14ac:dyDescent="0.2">
      <c r="A63" s="105"/>
      <c r="B63" s="4"/>
    </row>
    <row r="64" spans="1:13" x14ac:dyDescent="0.2">
      <c r="A64" s="105"/>
      <c r="B64" s="4"/>
    </row>
    <row r="65" spans="1:13" x14ac:dyDescent="0.2">
      <c r="A65" s="105"/>
      <c r="B65" s="4"/>
    </row>
    <row r="66" spans="1:13" x14ac:dyDescent="0.2">
      <c r="A66" s="105"/>
      <c r="B66" s="4"/>
    </row>
    <row r="67" spans="1:13" x14ac:dyDescent="0.2">
      <c r="A67" s="105"/>
      <c r="B67" s="4"/>
    </row>
    <row r="68" spans="1:13" x14ac:dyDescent="0.2">
      <c r="A68" s="105"/>
      <c r="B68" s="4"/>
    </row>
    <row r="69" spans="1:13" x14ac:dyDescent="0.2">
      <c r="A69" s="105"/>
      <c r="B69" s="4"/>
    </row>
    <row r="70" spans="1:13" x14ac:dyDescent="0.2">
      <c r="A70" s="105"/>
      <c r="B70" s="4"/>
    </row>
    <row r="71" spans="1:13" x14ac:dyDescent="0.2">
      <c r="A71" s="105"/>
      <c r="B71" s="4"/>
    </row>
    <row r="72" spans="1:13" x14ac:dyDescent="0.2">
      <c r="A72" s="105"/>
      <c r="B72" s="4"/>
    </row>
    <row r="73" spans="1:13" x14ac:dyDescent="0.2">
      <c r="A73" s="788" t="s">
        <v>276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</row>
    <row r="74" spans="1:13" x14ac:dyDescent="0.2">
      <c r="A74" s="105"/>
      <c r="B74" s="4"/>
    </row>
    <row r="75" spans="1:13" x14ac:dyDescent="0.2">
      <c r="A75" s="105"/>
      <c r="B75" s="4"/>
      <c r="F75" s="131" t="e">
        <f>'PROJECT RK'!#REF!</f>
        <v>#REF!</v>
      </c>
    </row>
    <row r="76" spans="1:13" x14ac:dyDescent="0.2">
      <c r="A76" s="105"/>
      <c r="B76" s="4"/>
      <c r="F76" s="131" t="e">
        <f>'PROJECT RK'!#REF!</f>
        <v>#REF!</v>
      </c>
    </row>
    <row r="77" spans="1:13" x14ac:dyDescent="0.2">
      <c r="A77" s="105"/>
      <c r="B77" s="4"/>
      <c r="F77" s="131" t="s">
        <v>523</v>
      </c>
    </row>
    <row r="78" spans="1:13" x14ac:dyDescent="0.2">
      <c r="A78" s="105"/>
      <c r="B78" s="4"/>
      <c r="F78" s="131" t="s">
        <v>522</v>
      </c>
    </row>
    <row r="79" spans="1:13" x14ac:dyDescent="0.2">
      <c r="A79" s="105"/>
      <c r="B79" s="4"/>
      <c r="F79" s="131" t="s">
        <v>274</v>
      </c>
    </row>
    <row r="80" spans="1:13" x14ac:dyDescent="0.2">
      <c r="A80" s="120" t="s">
        <v>812</v>
      </c>
      <c r="B80" s="121" t="s">
        <v>813</v>
      </c>
      <c r="C80" s="120" t="s">
        <v>833</v>
      </c>
      <c r="D80" s="121" t="s">
        <v>814</v>
      </c>
      <c r="E80" s="120" t="s">
        <v>835</v>
      </c>
      <c r="F80" s="121" t="s">
        <v>815</v>
      </c>
      <c r="G80" s="120" t="s">
        <v>816</v>
      </c>
      <c r="H80" s="121" t="s">
        <v>817</v>
      </c>
      <c r="I80" s="120" t="s">
        <v>818</v>
      </c>
      <c r="J80" s="121" t="s">
        <v>819</v>
      </c>
      <c r="K80" s="120" t="s">
        <v>820</v>
      </c>
      <c r="L80" s="120" t="s">
        <v>821</v>
      </c>
      <c r="M80" s="122" t="s">
        <v>838</v>
      </c>
    </row>
    <row r="81" spans="1:13" x14ac:dyDescent="0.2">
      <c r="A81" s="123"/>
      <c r="B81" s="96"/>
      <c r="C81" s="123" t="s">
        <v>834</v>
      </c>
      <c r="D81" s="96"/>
      <c r="E81" s="123" t="s">
        <v>836</v>
      </c>
      <c r="F81" s="96"/>
      <c r="G81" s="123" t="s">
        <v>822</v>
      </c>
      <c r="H81" s="96" t="s">
        <v>823</v>
      </c>
      <c r="I81" s="123" t="s">
        <v>824</v>
      </c>
      <c r="J81" s="96" t="s">
        <v>825</v>
      </c>
      <c r="K81" s="123" t="s">
        <v>837</v>
      </c>
      <c r="L81" s="123" t="s">
        <v>826</v>
      </c>
      <c r="M81" s="124" t="s">
        <v>839</v>
      </c>
    </row>
    <row r="82" spans="1:13" x14ac:dyDescent="0.2">
      <c r="A82" s="123"/>
      <c r="B82" s="96"/>
      <c r="C82" s="123"/>
      <c r="D82" s="96"/>
      <c r="E82" s="123"/>
      <c r="F82" s="96"/>
      <c r="G82" s="123"/>
      <c r="H82" s="96"/>
      <c r="I82" s="123"/>
      <c r="J82" s="96"/>
      <c r="K82" s="123" t="s">
        <v>828</v>
      </c>
      <c r="L82" s="123" t="s">
        <v>827</v>
      </c>
      <c r="M82" s="124" t="s">
        <v>816</v>
      </c>
    </row>
    <row r="83" spans="1:13" x14ac:dyDescent="0.2">
      <c r="A83" s="123"/>
      <c r="B83" s="96"/>
      <c r="C83" s="123"/>
      <c r="D83" s="96"/>
      <c r="E83" s="123"/>
      <c r="F83" s="96"/>
      <c r="G83" s="123"/>
      <c r="H83" s="96"/>
      <c r="I83" s="123"/>
      <c r="J83" s="96"/>
      <c r="K83" s="123"/>
      <c r="L83" s="123" t="s">
        <v>828</v>
      </c>
      <c r="M83" s="124"/>
    </row>
    <row r="84" spans="1:13" x14ac:dyDescent="0.2">
      <c r="A84" s="125"/>
      <c r="B84" s="126"/>
      <c r="C84" s="125" t="s">
        <v>829</v>
      </c>
      <c r="D84" s="126" t="s">
        <v>829</v>
      </c>
      <c r="E84" s="125" t="s">
        <v>830</v>
      </c>
      <c r="F84" s="126" t="s">
        <v>829</v>
      </c>
      <c r="G84" s="125" t="s">
        <v>831</v>
      </c>
      <c r="H84" s="126" t="s">
        <v>832</v>
      </c>
      <c r="I84" s="125" t="s">
        <v>829</v>
      </c>
      <c r="J84" s="126" t="s">
        <v>829</v>
      </c>
      <c r="K84" s="125" t="s">
        <v>830</v>
      </c>
      <c r="L84" s="125" t="s">
        <v>830</v>
      </c>
      <c r="M84" s="127" t="s">
        <v>831</v>
      </c>
    </row>
    <row r="85" spans="1:13" x14ac:dyDescent="0.2">
      <c r="A85" s="102"/>
      <c r="B85" s="103" t="s">
        <v>840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</row>
    <row r="86" spans="1:13" x14ac:dyDescent="0.2">
      <c r="A86" s="104">
        <v>1</v>
      </c>
      <c r="B86" s="106" t="s">
        <v>245</v>
      </c>
      <c r="C86" s="100">
        <v>380</v>
      </c>
      <c r="D86" s="100">
        <v>13</v>
      </c>
      <c r="E86" s="100">
        <v>175</v>
      </c>
      <c r="F86" s="100">
        <v>87</v>
      </c>
      <c r="G86" s="100">
        <v>0.8</v>
      </c>
      <c r="H86" s="100">
        <v>800</v>
      </c>
      <c r="I86" s="100">
        <v>290</v>
      </c>
      <c r="J86" s="100">
        <v>0</v>
      </c>
      <c r="K86" s="100">
        <v>0</v>
      </c>
      <c r="L86" s="100">
        <v>0</v>
      </c>
      <c r="M86" s="100">
        <v>120</v>
      </c>
    </row>
    <row r="87" spans="1:13" x14ac:dyDescent="0.2">
      <c r="A87" s="104" t="s">
        <v>20</v>
      </c>
      <c r="B87" s="106" t="s">
        <v>3</v>
      </c>
      <c r="C87" s="100">
        <v>162</v>
      </c>
      <c r="D87" s="100">
        <v>5.4</v>
      </c>
      <c r="E87" s="100">
        <v>670</v>
      </c>
      <c r="F87" s="100">
        <v>150</v>
      </c>
      <c r="G87" s="100">
        <v>0.3</v>
      </c>
      <c r="H87" s="100">
        <v>600</v>
      </c>
      <c r="I87" s="100">
        <v>125</v>
      </c>
      <c r="J87" s="100">
        <v>0</v>
      </c>
      <c r="K87" s="100">
        <v>0</v>
      </c>
      <c r="L87" s="100">
        <v>0</v>
      </c>
      <c r="M87" s="100">
        <v>120</v>
      </c>
    </row>
    <row r="88" spans="1:13" x14ac:dyDescent="0.2">
      <c r="A88" s="104" t="s">
        <v>21</v>
      </c>
      <c r="B88" s="106" t="s">
        <v>4</v>
      </c>
      <c r="C88" s="100">
        <v>12</v>
      </c>
      <c r="D88" s="100">
        <v>0.6</v>
      </c>
      <c r="E88" s="100">
        <v>16.5</v>
      </c>
      <c r="F88" s="100">
        <v>20</v>
      </c>
      <c r="G88" s="100">
        <v>0.1</v>
      </c>
      <c r="H88" s="100">
        <v>0</v>
      </c>
      <c r="I88" s="100">
        <v>3</v>
      </c>
      <c r="J88" s="100">
        <v>0</v>
      </c>
      <c r="K88" s="100">
        <v>0</v>
      </c>
      <c r="L88" s="100">
        <v>0</v>
      </c>
      <c r="M88" s="100">
        <v>0</v>
      </c>
    </row>
    <row r="89" spans="1:13" x14ac:dyDescent="0.2">
      <c r="A89" s="104" t="s">
        <v>22</v>
      </c>
      <c r="B89" s="106" t="s">
        <v>5</v>
      </c>
      <c r="C89" s="100">
        <v>48</v>
      </c>
      <c r="D89" s="100">
        <v>1.35</v>
      </c>
      <c r="E89" s="100">
        <v>20</v>
      </c>
      <c r="F89" s="100">
        <v>8</v>
      </c>
      <c r="G89" s="100">
        <v>0</v>
      </c>
      <c r="H89" s="100">
        <v>60</v>
      </c>
      <c r="I89" s="100">
        <v>40</v>
      </c>
      <c r="J89" s="100">
        <v>0</v>
      </c>
      <c r="K89" s="100">
        <v>0</v>
      </c>
      <c r="L89" s="100">
        <v>0</v>
      </c>
      <c r="M89" s="100">
        <v>0</v>
      </c>
    </row>
    <row r="90" spans="1:13" x14ac:dyDescent="0.2">
      <c r="A90" s="104" t="s">
        <v>23</v>
      </c>
      <c r="B90" s="106" t="s">
        <v>6</v>
      </c>
      <c r="C90" s="100">
        <v>170</v>
      </c>
      <c r="D90" s="100">
        <v>2.8</v>
      </c>
      <c r="E90" s="100">
        <v>920</v>
      </c>
      <c r="F90" s="100">
        <v>400</v>
      </c>
      <c r="G90" s="100">
        <v>1.5</v>
      </c>
      <c r="H90" s="100">
        <v>100</v>
      </c>
      <c r="I90" s="100">
        <v>50</v>
      </c>
      <c r="J90" s="100">
        <v>0</v>
      </c>
      <c r="K90" s="100">
        <v>0</v>
      </c>
      <c r="L90" s="100">
        <v>0</v>
      </c>
      <c r="M90" s="100">
        <v>5</v>
      </c>
    </row>
    <row r="91" spans="1:13" x14ac:dyDescent="0.2">
      <c r="A91" s="104" t="s">
        <v>24</v>
      </c>
      <c r="B91" s="106" t="s">
        <v>7</v>
      </c>
      <c r="C91" s="100">
        <v>36</v>
      </c>
      <c r="D91" s="100">
        <v>2.4</v>
      </c>
      <c r="E91" s="100">
        <v>34</v>
      </c>
      <c r="F91" s="100">
        <v>12</v>
      </c>
      <c r="G91" s="100">
        <v>0.05</v>
      </c>
      <c r="H91" s="100">
        <v>120</v>
      </c>
      <c r="I91" s="100">
        <v>24</v>
      </c>
      <c r="J91" s="100">
        <v>0</v>
      </c>
      <c r="K91" s="100">
        <v>0</v>
      </c>
      <c r="L91" s="100">
        <v>0</v>
      </c>
      <c r="M91" s="100">
        <v>60</v>
      </c>
    </row>
    <row r="92" spans="1:13" x14ac:dyDescent="0.2">
      <c r="A92" s="104" t="s">
        <v>25</v>
      </c>
      <c r="B92" s="106" t="s">
        <v>8</v>
      </c>
      <c r="C92" s="100">
        <v>1450</v>
      </c>
      <c r="D92" s="100">
        <v>40.5</v>
      </c>
      <c r="E92" s="100">
        <v>1400</v>
      </c>
      <c r="F92" s="100">
        <v>1000</v>
      </c>
      <c r="G92" s="100">
        <v>1</v>
      </c>
      <c r="H92" s="100">
        <v>2100</v>
      </c>
      <c r="I92" s="100">
        <v>810</v>
      </c>
      <c r="J92" s="100">
        <v>0</v>
      </c>
      <c r="K92" s="100">
        <v>66</v>
      </c>
      <c r="L92" s="100">
        <v>0</v>
      </c>
      <c r="M92" s="100">
        <v>0</v>
      </c>
    </row>
    <row r="93" spans="1:13" x14ac:dyDescent="0.2">
      <c r="A93" s="104" t="s">
        <v>26</v>
      </c>
      <c r="B93" s="106" t="s">
        <v>9</v>
      </c>
      <c r="C93" s="100">
        <v>172</v>
      </c>
      <c r="D93" s="100">
        <v>7.2</v>
      </c>
      <c r="E93" s="100">
        <v>90</v>
      </c>
      <c r="F93" s="100">
        <v>40</v>
      </c>
      <c r="G93" s="100">
        <v>0.2</v>
      </c>
      <c r="H93" s="100">
        <v>300</v>
      </c>
      <c r="I93" s="100">
        <v>132</v>
      </c>
      <c r="J93" s="100">
        <v>0</v>
      </c>
      <c r="K93" s="100">
        <v>0</v>
      </c>
      <c r="L93" s="100">
        <v>0</v>
      </c>
      <c r="M93" s="100">
        <v>70</v>
      </c>
    </row>
    <row r="94" spans="1:13" x14ac:dyDescent="0.2">
      <c r="A94" s="104" t="s">
        <v>27</v>
      </c>
      <c r="B94" s="106" t="s">
        <v>10</v>
      </c>
      <c r="C94" s="100">
        <v>328</v>
      </c>
      <c r="D94" s="100">
        <v>12</v>
      </c>
      <c r="E94" s="100">
        <v>422</v>
      </c>
      <c r="F94" s="100">
        <v>150</v>
      </c>
      <c r="G94" s="100">
        <v>0.4</v>
      </c>
      <c r="H94" s="100">
        <v>200</v>
      </c>
      <c r="I94" s="100">
        <v>140</v>
      </c>
      <c r="J94" s="100">
        <v>0</v>
      </c>
      <c r="K94" s="100">
        <v>12.6</v>
      </c>
      <c r="L94" s="100">
        <v>0</v>
      </c>
      <c r="M94" s="100">
        <v>4</v>
      </c>
    </row>
    <row r="95" spans="1:13" x14ac:dyDescent="0.2">
      <c r="A95" s="112" t="s">
        <v>28</v>
      </c>
      <c r="B95" s="108" t="s">
        <v>11</v>
      </c>
      <c r="C95" s="66">
        <v>100</v>
      </c>
      <c r="D95" s="111">
        <v>8</v>
      </c>
      <c r="E95" s="66">
        <v>60</v>
      </c>
      <c r="F95" s="111">
        <v>28</v>
      </c>
      <c r="G95" s="66">
        <v>0.3</v>
      </c>
      <c r="H95" s="111">
        <v>160</v>
      </c>
      <c r="I95" s="66">
        <v>20</v>
      </c>
      <c r="J95" s="111">
        <v>9</v>
      </c>
      <c r="K95" s="66">
        <v>0</v>
      </c>
      <c r="L95" s="111">
        <v>0</v>
      </c>
      <c r="M95" s="113">
        <v>20</v>
      </c>
    </row>
    <row r="96" spans="1:13" x14ac:dyDescent="0.2">
      <c r="A96" s="112" t="s">
        <v>29</v>
      </c>
      <c r="B96" s="108" t="s">
        <v>40</v>
      </c>
      <c r="C96" s="66">
        <v>150</v>
      </c>
      <c r="D96" s="111">
        <v>7.5</v>
      </c>
      <c r="E96" s="66">
        <v>170</v>
      </c>
      <c r="F96" s="111">
        <v>75</v>
      </c>
      <c r="G96" s="66">
        <v>0.3</v>
      </c>
      <c r="H96" s="111">
        <v>1000</v>
      </c>
      <c r="I96" s="66">
        <v>60</v>
      </c>
      <c r="J96" s="111">
        <v>0</v>
      </c>
      <c r="K96" s="66">
        <v>0</v>
      </c>
      <c r="L96" s="111">
        <v>0</v>
      </c>
      <c r="M96" s="113">
        <v>60</v>
      </c>
    </row>
    <row r="97" spans="1:13" x14ac:dyDescent="0.2">
      <c r="A97" s="114"/>
      <c r="B97" s="109" t="s">
        <v>41</v>
      </c>
      <c r="C97" s="68"/>
      <c r="D97" s="102"/>
      <c r="E97" s="68"/>
      <c r="F97" s="102"/>
      <c r="G97" s="68"/>
      <c r="H97" s="102"/>
      <c r="I97" s="68"/>
      <c r="J97" s="102"/>
      <c r="K97" s="68"/>
      <c r="L97" s="102"/>
      <c r="M97" s="75"/>
    </row>
    <row r="98" spans="1:13" x14ac:dyDescent="0.2">
      <c r="A98" s="104"/>
      <c r="B98" s="107" t="s">
        <v>59</v>
      </c>
      <c r="C98" s="100">
        <f>SUM(C86:C97)</f>
        <v>3008</v>
      </c>
      <c r="D98" s="100">
        <f t="shared" ref="D98:M98" si="3">SUM(D86:D97)</f>
        <v>100.75</v>
      </c>
      <c r="E98" s="100">
        <f t="shared" si="3"/>
        <v>3977.5</v>
      </c>
      <c r="F98" s="100">
        <f t="shared" si="3"/>
        <v>1970</v>
      </c>
      <c r="G98" s="100">
        <f t="shared" si="3"/>
        <v>4.95</v>
      </c>
      <c r="H98" s="100">
        <f t="shared" si="3"/>
        <v>5440</v>
      </c>
      <c r="I98" s="100">
        <f t="shared" si="3"/>
        <v>1694</v>
      </c>
      <c r="J98" s="100">
        <f t="shared" si="3"/>
        <v>9</v>
      </c>
      <c r="K98" s="100">
        <f t="shared" si="3"/>
        <v>78.599999999999994</v>
      </c>
      <c r="L98" s="100">
        <f t="shared" si="3"/>
        <v>0</v>
      </c>
      <c r="M98" s="100">
        <f t="shared" si="3"/>
        <v>459</v>
      </c>
    </row>
    <row r="99" spans="1:13" x14ac:dyDescent="0.2">
      <c r="A99" s="100"/>
      <c r="B99" s="107" t="s">
        <v>444</v>
      </c>
      <c r="C99" s="100">
        <f>C55</f>
        <v>80</v>
      </c>
      <c r="D99" s="100">
        <f t="shared" ref="D99:M99" si="4">D55</f>
        <v>300</v>
      </c>
      <c r="E99" s="100">
        <f t="shared" si="4"/>
        <v>120</v>
      </c>
      <c r="F99" s="100">
        <f t="shared" si="4"/>
        <v>3750</v>
      </c>
      <c r="G99" s="100">
        <f t="shared" si="4"/>
        <v>17000</v>
      </c>
      <c r="H99" s="100">
        <f t="shared" si="4"/>
        <v>25</v>
      </c>
      <c r="I99" s="100">
        <f t="shared" si="4"/>
        <v>35</v>
      </c>
      <c r="J99" s="100">
        <f t="shared" si="4"/>
        <v>1200</v>
      </c>
      <c r="K99" s="100">
        <f t="shared" si="4"/>
        <v>275</v>
      </c>
      <c r="L99" s="100">
        <f t="shared" si="4"/>
        <v>60</v>
      </c>
      <c r="M99" s="100">
        <f t="shared" si="4"/>
        <v>17000</v>
      </c>
    </row>
    <row r="100" spans="1:13" x14ac:dyDescent="0.2">
      <c r="A100" s="100"/>
      <c r="B100" s="107" t="s">
        <v>60</v>
      </c>
      <c r="C100" s="100">
        <f t="shared" ref="C100:M100" si="5">(C98*C99)/100000</f>
        <v>2.4064000000000001</v>
      </c>
      <c r="D100" s="100">
        <f t="shared" si="5"/>
        <v>0.30225000000000002</v>
      </c>
      <c r="E100" s="100">
        <f t="shared" si="5"/>
        <v>4.7729999999999997</v>
      </c>
      <c r="F100" s="100">
        <f t="shared" si="5"/>
        <v>73.875</v>
      </c>
      <c r="G100" s="100">
        <f t="shared" si="5"/>
        <v>0.84150000000000003</v>
      </c>
      <c r="H100" s="100">
        <f t="shared" si="5"/>
        <v>1.36</v>
      </c>
      <c r="I100" s="100">
        <f t="shared" si="5"/>
        <v>0.59289999999999998</v>
      </c>
      <c r="J100" s="100">
        <f t="shared" si="5"/>
        <v>0.108</v>
      </c>
      <c r="K100" s="100">
        <f t="shared" si="5"/>
        <v>0.21615000000000001</v>
      </c>
      <c r="L100" s="100">
        <f t="shared" si="5"/>
        <v>0</v>
      </c>
      <c r="M100" s="100">
        <f t="shared" si="5"/>
        <v>78.03</v>
      </c>
    </row>
    <row r="102" spans="1:13" ht="13.5" thickBot="1" x14ac:dyDescent="0.25">
      <c r="A102" s="77"/>
      <c r="B102" s="101" t="s">
        <v>61</v>
      </c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101">
        <f>SUM(C100:M100)</f>
        <v>162.5052</v>
      </c>
    </row>
    <row r="103" spans="1:13" ht="13.5" thickTop="1" x14ac:dyDescent="0.2">
      <c r="G103" s="6"/>
    </row>
    <row r="110" spans="1:13" x14ac:dyDescent="0.2">
      <c r="A110" s="788" t="s">
        <v>277</v>
      </c>
      <c r="B110" s="788"/>
      <c r="C110" s="788"/>
      <c r="D110" s="788"/>
      <c r="E110" s="788"/>
      <c r="F110" s="788"/>
      <c r="G110" s="788"/>
      <c r="H110" s="788"/>
      <c r="I110" s="788"/>
      <c r="J110" s="788"/>
      <c r="K110" s="788"/>
      <c r="L110" s="788"/>
      <c r="M110" s="788"/>
    </row>
  </sheetData>
  <mergeCells count="3">
    <mergeCell ref="A37:M37"/>
    <mergeCell ref="A73:M73"/>
    <mergeCell ref="A110:M110"/>
  </mergeCells>
  <phoneticPr fontId="0" type="noConversion"/>
  <pageMargins left="0.25" right="0.25" top="1" bottom="1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5"/>
  <sheetViews>
    <sheetView topLeftCell="A43" workbookViewId="0">
      <selection activeCell="C35" sqref="C35:M35"/>
    </sheetView>
  </sheetViews>
  <sheetFormatPr defaultRowHeight="12" x14ac:dyDescent="0.15"/>
  <sheetData>
    <row r="1" spans="1:13" ht="12.75" x14ac:dyDescent="0.2">
      <c r="A1" s="93"/>
    </row>
    <row r="8" spans="1:13" ht="12.75" x14ac:dyDescent="0.2">
      <c r="C8" s="278" t="s">
        <v>941</v>
      </c>
      <c r="D8" s="278"/>
      <c r="E8" s="278"/>
      <c r="F8" s="278" t="s">
        <v>1090</v>
      </c>
      <c r="G8" s="279"/>
      <c r="H8" s="280"/>
      <c r="I8" s="281"/>
      <c r="J8" s="278"/>
      <c r="K8" s="278"/>
      <c r="L8" s="282"/>
      <c r="M8" s="278">
        <v>0.62659260000000006</v>
      </c>
    </row>
    <row r="9" spans="1:13" ht="12.75" x14ac:dyDescent="0.2">
      <c r="C9" s="277" t="s">
        <v>939</v>
      </c>
      <c r="D9" s="93"/>
      <c r="E9" s="93"/>
      <c r="F9" s="93" t="s">
        <v>1065</v>
      </c>
      <c r="G9" s="97"/>
      <c r="H9" s="226"/>
      <c r="I9" s="246"/>
      <c r="J9" s="93"/>
      <c r="K9" s="93"/>
      <c r="L9" s="147"/>
      <c r="M9" s="93">
        <v>0.94525000000000003</v>
      </c>
    </row>
    <row r="11" spans="1:13" ht="12.75" x14ac:dyDescent="0.2">
      <c r="C11" s="142" t="s">
        <v>1102</v>
      </c>
      <c r="D11" s="223"/>
      <c r="E11" s="148"/>
      <c r="F11" s="93"/>
      <c r="G11" s="93"/>
      <c r="H11" s="147"/>
      <c r="I11" s="225"/>
      <c r="J11" s="93"/>
      <c r="K11" s="93" t="s">
        <v>1064</v>
      </c>
      <c r="L11" s="147"/>
      <c r="M11" s="93">
        <v>0.21</v>
      </c>
    </row>
    <row r="12" spans="1:13" ht="12.75" x14ac:dyDescent="0.2">
      <c r="C12" s="148" t="s">
        <v>1103</v>
      </c>
      <c r="D12" s="223"/>
      <c r="E12" s="148"/>
      <c r="F12" s="93"/>
      <c r="G12" s="93"/>
      <c r="H12" s="147"/>
      <c r="I12" s="225"/>
      <c r="J12" s="93"/>
      <c r="K12" s="93"/>
      <c r="L12" s="147"/>
      <c r="M12" s="93"/>
    </row>
    <row r="13" spans="1:13" ht="12.75" x14ac:dyDescent="0.2">
      <c r="C13" s="148" t="s">
        <v>1104</v>
      </c>
      <c r="D13" s="223"/>
      <c r="E13" s="148"/>
      <c r="F13" s="93"/>
      <c r="G13" s="93"/>
      <c r="H13" s="147"/>
      <c r="I13" s="225"/>
      <c r="J13" s="93"/>
      <c r="K13" s="93"/>
      <c r="L13" s="147"/>
      <c r="M13" s="93"/>
    </row>
    <row r="14" spans="1:13" ht="12.75" x14ac:dyDescent="0.2">
      <c r="C14" s="148" t="s">
        <v>1099</v>
      </c>
      <c r="D14" s="223"/>
      <c r="E14" s="148"/>
      <c r="F14" s="93"/>
      <c r="G14" s="93"/>
      <c r="H14" s="147"/>
      <c r="I14" s="225"/>
      <c r="J14" s="93"/>
      <c r="K14" s="93"/>
      <c r="L14" s="147"/>
      <c r="M14" s="93"/>
    </row>
    <row r="15" spans="1:13" ht="12.75" x14ac:dyDescent="0.2">
      <c r="C15" s="148" t="s">
        <v>1105</v>
      </c>
      <c r="D15" s="223"/>
      <c r="E15" s="148"/>
      <c r="F15" s="93"/>
      <c r="G15" s="93"/>
      <c r="H15" s="147"/>
      <c r="I15" s="225"/>
      <c r="J15" s="93"/>
      <c r="K15" s="93"/>
      <c r="L15" s="147"/>
      <c r="M15" s="93"/>
    </row>
    <row r="16" spans="1:13" ht="12.75" x14ac:dyDescent="0.2">
      <c r="C16" s="148" t="s">
        <v>1106</v>
      </c>
      <c r="D16" s="223"/>
      <c r="E16" s="148"/>
      <c r="F16" s="93"/>
      <c r="G16" s="93"/>
      <c r="H16" s="147"/>
      <c r="I16" s="225"/>
      <c r="J16" s="93"/>
      <c r="K16" s="93"/>
      <c r="L16" s="147"/>
      <c r="M16" s="93"/>
    </row>
    <row r="17" spans="3:14" ht="12.75" x14ac:dyDescent="0.2">
      <c r="C17" s="148" t="s">
        <v>1107</v>
      </c>
      <c r="D17" s="223"/>
      <c r="E17" s="148"/>
      <c r="F17" s="93"/>
      <c r="G17" s="93"/>
      <c r="H17" s="147"/>
      <c r="I17" s="225"/>
      <c r="J17" s="93"/>
      <c r="K17" s="93"/>
      <c r="L17" s="147"/>
      <c r="M17" s="93"/>
    </row>
    <row r="19" spans="3:14" ht="12.75" x14ac:dyDescent="0.2">
      <c r="C19" s="148" t="s">
        <v>1092</v>
      </c>
      <c r="D19" s="223"/>
      <c r="E19" s="148"/>
      <c r="F19" s="93"/>
      <c r="G19" s="93"/>
      <c r="H19" s="147"/>
      <c r="I19" s="276"/>
      <c r="J19" s="93"/>
      <c r="K19" s="93">
        <v>8</v>
      </c>
      <c r="L19" s="147"/>
      <c r="M19" s="93">
        <v>0.59</v>
      </c>
    </row>
    <row r="22" spans="3:14" ht="12.75" x14ac:dyDescent="0.2">
      <c r="C22" s="148" t="s">
        <v>1062</v>
      </c>
      <c r="D22" s="223"/>
      <c r="E22" s="148"/>
      <c r="F22" s="93" t="s">
        <v>1063</v>
      </c>
      <c r="G22" s="93"/>
      <c r="H22" s="147"/>
      <c r="I22" s="276"/>
      <c r="J22" s="93"/>
      <c r="K22" s="93" t="s">
        <v>1064</v>
      </c>
      <c r="L22" s="147"/>
      <c r="M22" s="93">
        <v>0.70199999999999996</v>
      </c>
      <c r="N22" s="210"/>
    </row>
    <row r="23" spans="3:14" ht="12.75" x14ac:dyDescent="0.2">
      <c r="C23" s="277" t="s">
        <v>1122</v>
      </c>
      <c r="D23" s="223"/>
      <c r="E23" s="147"/>
      <c r="F23" s="277" t="s">
        <v>1123</v>
      </c>
      <c r="G23" s="97"/>
      <c r="H23" s="147"/>
      <c r="I23" s="224"/>
      <c r="J23" s="93"/>
      <c r="K23" s="93">
        <v>214</v>
      </c>
      <c r="L23" s="147"/>
      <c r="M23" s="93">
        <v>1.7524</v>
      </c>
    </row>
    <row r="25" spans="3:14" ht="12.75" x14ac:dyDescent="0.2">
      <c r="C25" s="277" t="s">
        <v>1081</v>
      </c>
      <c r="D25" s="223"/>
      <c r="E25" s="147"/>
      <c r="F25" s="277" t="s">
        <v>1080</v>
      </c>
      <c r="G25" s="97"/>
      <c r="H25" s="147"/>
      <c r="I25" s="224"/>
      <c r="J25" s="93"/>
      <c r="K25" s="93"/>
      <c r="L25" s="147"/>
      <c r="M25" s="93">
        <v>0.24496799999999999</v>
      </c>
    </row>
    <row r="26" spans="3:14" ht="12.75" x14ac:dyDescent="0.2">
      <c r="C26" s="277" t="s">
        <v>1083</v>
      </c>
      <c r="D26" s="223"/>
      <c r="E26" s="147"/>
      <c r="F26" s="277" t="s">
        <v>1082</v>
      </c>
      <c r="G26" s="97"/>
      <c r="H26" s="147"/>
      <c r="I26" s="224"/>
      <c r="J26" s="93"/>
      <c r="K26" s="93"/>
      <c r="L26" s="147"/>
      <c r="M26" s="93">
        <v>0.383575</v>
      </c>
    </row>
    <row r="27" spans="3:14" ht="12.75" x14ac:dyDescent="0.2">
      <c r="C27" s="277" t="s">
        <v>1084</v>
      </c>
      <c r="D27" s="223"/>
      <c r="E27" s="147"/>
      <c r="F27" s="277" t="s">
        <v>1082</v>
      </c>
      <c r="G27" s="97"/>
      <c r="H27" s="147"/>
      <c r="I27" s="224"/>
      <c r="J27" s="93"/>
      <c r="K27" s="93"/>
      <c r="L27" s="147"/>
      <c r="M27" s="93"/>
    </row>
    <row r="28" spans="3:14" ht="12.75" x14ac:dyDescent="0.2">
      <c r="C28" s="277" t="s">
        <v>1085</v>
      </c>
      <c r="D28" s="223"/>
      <c r="E28" s="147"/>
      <c r="F28" s="277" t="s">
        <v>1082</v>
      </c>
      <c r="G28" s="97"/>
      <c r="H28" s="147"/>
      <c r="I28" s="224"/>
      <c r="J28" s="93"/>
      <c r="K28" s="93"/>
      <c r="L28" s="147"/>
      <c r="M28" s="93"/>
    </row>
    <row r="30" spans="3:14" ht="12.75" x14ac:dyDescent="0.2">
      <c r="C30" s="277" t="s">
        <v>1069</v>
      </c>
      <c r="D30" s="223"/>
      <c r="E30" s="147"/>
      <c r="F30" s="93" t="s">
        <v>1073</v>
      </c>
      <c r="G30" s="93"/>
      <c r="H30" s="147"/>
      <c r="I30" s="246"/>
      <c r="J30" s="93"/>
      <c r="K30" s="93">
        <v>4</v>
      </c>
      <c r="L30" s="147"/>
      <c r="M30" s="244">
        <v>4.8000000000000001E-2</v>
      </c>
    </row>
    <row r="31" spans="3:14" ht="12.75" x14ac:dyDescent="0.2">
      <c r="C31" s="277" t="s">
        <v>1070</v>
      </c>
      <c r="D31" s="223"/>
      <c r="E31" s="147"/>
      <c r="F31" s="93" t="s">
        <v>1073</v>
      </c>
      <c r="G31" s="93"/>
      <c r="H31" s="147"/>
      <c r="I31" s="246"/>
      <c r="J31" s="93"/>
      <c r="K31" s="93">
        <v>4</v>
      </c>
      <c r="L31" s="147"/>
      <c r="M31" s="244">
        <v>5.1999999999999998E-2</v>
      </c>
    </row>
    <row r="32" spans="3:14" ht="12.75" x14ac:dyDescent="0.2">
      <c r="C32" s="277" t="s">
        <v>1071</v>
      </c>
      <c r="D32" s="223"/>
      <c r="E32" s="147"/>
      <c r="F32" s="93" t="s">
        <v>1073</v>
      </c>
      <c r="G32" s="93"/>
      <c r="H32" s="147"/>
      <c r="I32" s="246"/>
      <c r="J32" s="93"/>
      <c r="K32" s="93">
        <v>15</v>
      </c>
      <c r="L32" s="147"/>
      <c r="M32" s="244">
        <v>3.3000000000000002E-2</v>
      </c>
    </row>
    <row r="33" spans="3:13" ht="12.75" x14ac:dyDescent="0.2">
      <c r="C33" s="277" t="s">
        <v>1072</v>
      </c>
      <c r="D33" s="223"/>
      <c r="E33" s="147"/>
      <c r="F33" s="93" t="s">
        <v>1073</v>
      </c>
      <c r="G33" s="93"/>
      <c r="H33" s="147"/>
      <c r="I33" s="246"/>
      <c r="J33" s="93"/>
      <c r="K33" s="93">
        <v>2</v>
      </c>
      <c r="L33" s="147"/>
      <c r="M33" s="244">
        <v>7.5999999999999998E-2</v>
      </c>
    </row>
    <row r="34" spans="3:13" ht="12.75" x14ac:dyDescent="0.2">
      <c r="C34" s="277" t="s">
        <v>938</v>
      </c>
      <c r="D34" s="223"/>
      <c r="E34" s="147"/>
      <c r="F34" s="93" t="s">
        <v>1077</v>
      </c>
      <c r="G34" s="93"/>
      <c r="H34" s="147"/>
      <c r="I34" s="224"/>
      <c r="J34" s="93"/>
      <c r="K34" s="93" t="s">
        <v>1064</v>
      </c>
      <c r="L34" s="147"/>
      <c r="M34" s="93">
        <v>0.123795</v>
      </c>
    </row>
    <row r="35" spans="3:13" ht="12.75" x14ac:dyDescent="0.2">
      <c r="C35" s="277" t="s">
        <v>1129</v>
      </c>
      <c r="D35" s="223"/>
      <c r="E35" s="147"/>
      <c r="F35" s="277" t="s">
        <v>1073</v>
      </c>
      <c r="G35" s="97"/>
      <c r="H35" s="147"/>
      <c r="I35" s="224"/>
      <c r="J35" s="93"/>
      <c r="K35" s="93"/>
      <c r="L35" s="147"/>
      <c r="M35" s="93">
        <v>0.11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U891"/>
  <sheetViews>
    <sheetView view="pageBreakPreview" zoomScaleNormal="100" zoomScaleSheetLayoutView="100" workbookViewId="0">
      <selection activeCell="H478" sqref="H478"/>
    </sheetView>
  </sheetViews>
  <sheetFormatPr defaultColWidth="8.625" defaultRowHeight="15" x14ac:dyDescent="0.25"/>
  <cols>
    <col min="1" max="1" width="3.75" style="9" customWidth="1"/>
    <col min="2" max="2" width="8.75" style="9" customWidth="1"/>
    <col min="3" max="4" width="8.625" style="9"/>
    <col min="5" max="5" width="2.5" style="9" customWidth="1"/>
    <col min="6" max="6" width="3" style="9" customWidth="1"/>
    <col min="7" max="7" width="4.5" style="9" bestFit="1" customWidth="1"/>
    <col min="8" max="16" width="6.625" style="9" customWidth="1"/>
    <col min="17" max="18" width="13.5" style="9" bestFit="1" customWidth="1"/>
    <col min="19" max="16384" width="8.625" style="9"/>
  </cols>
  <sheetData>
    <row r="1" spans="1:16" x14ac:dyDescent="0.25">
      <c r="A1" s="816" t="s">
        <v>843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8"/>
    </row>
    <row r="2" spans="1:16" x14ac:dyDescent="0.25">
      <c r="A2" s="810" t="s">
        <v>1139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2"/>
    </row>
    <row r="3" spans="1:16" x14ac:dyDescent="0.25">
      <c r="A3" s="810" t="s">
        <v>978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2"/>
    </row>
    <row r="4" spans="1:16" x14ac:dyDescent="0.25">
      <c r="A4" s="490"/>
      <c r="B4" s="581"/>
      <c r="C4" s="581"/>
      <c r="D4" s="581"/>
      <c r="E4" s="582"/>
      <c r="F4" s="582"/>
      <c r="G4" s="581"/>
      <c r="H4" s="581"/>
      <c r="I4" s="583"/>
      <c r="J4" s="584"/>
      <c r="P4" s="17"/>
    </row>
    <row r="5" spans="1:16" x14ac:dyDescent="0.25">
      <c r="A5" s="490"/>
      <c r="B5" s="581"/>
      <c r="C5" s="581"/>
      <c r="D5" s="581"/>
      <c r="E5" s="582"/>
      <c r="F5" s="582"/>
      <c r="G5" s="581"/>
      <c r="H5" s="581"/>
      <c r="I5" s="583"/>
      <c r="P5" s="17"/>
    </row>
    <row r="6" spans="1:16" x14ac:dyDescent="0.25">
      <c r="A6" s="491"/>
      <c r="B6" s="581"/>
      <c r="C6" s="581"/>
      <c r="D6" s="581"/>
      <c r="E6" s="582"/>
      <c r="F6" s="582"/>
      <c r="G6" s="581"/>
      <c r="H6" s="581"/>
      <c r="I6" s="583"/>
      <c r="J6" s="584"/>
      <c r="P6" s="17"/>
    </row>
    <row r="7" spans="1:16" x14ac:dyDescent="0.25">
      <c r="A7" s="492" t="s">
        <v>97</v>
      </c>
      <c r="B7" s="581"/>
      <c r="C7" s="581"/>
      <c r="D7" s="581"/>
      <c r="E7" s="582"/>
      <c r="F7" s="582"/>
      <c r="G7" s="581"/>
      <c r="H7" s="581"/>
      <c r="I7" s="583"/>
      <c r="J7" s="584"/>
      <c r="P7" s="17"/>
    </row>
    <row r="8" spans="1:16" x14ac:dyDescent="0.25">
      <c r="A8" s="491"/>
      <c r="B8" s="581"/>
      <c r="C8" s="581"/>
      <c r="D8" s="581"/>
      <c r="E8" s="582"/>
      <c r="G8" s="582"/>
      <c r="H8" s="581"/>
      <c r="I8" s="581"/>
      <c r="J8" s="583"/>
      <c r="K8" s="584"/>
      <c r="L8" s="585" t="s">
        <v>972</v>
      </c>
      <c r="P8" s="17"/>
    </row>
    <row r="9" spans="1:16" x14ac:dyDescent="0.25">
      <c r="A9" s="493" t="s">
        <v>98</v>
      </c>
      <c r="B9" s="10"/>
      <c r="C9" s="11" t="s">
        <v>99</v>
      </c>
      <c r="D9" s="12"/>
      <c r="E9" s="11" t="s">
        <v>100</v>
      </c>
      <c r="F9" s="12"/>
      <c r="G9" s="12"/>
      <c r="H9" s="13" t="s">
        <v>101</v>
      </c>
      <c r="I9" s="14" t="s">
        <v>102</v>
      </c>
      <c r="J9" s="15"/>
      <c r="K9" s="12"/>
      <c r="L9" s="11" t="s">
        <v>103</v>
      </c>
      <c r="M9" s="10"/>
      <c r="N9" s="12"/>
      <c r="O9" s="16"/>
      <c r="P9" s="17"/>
    </row>
    <row r="10" spans="1:16" x14ac:dyDescent="0.25">
      <c r="A10" s="494" t="s">
        <v>104</v>
      </c>
      <c r="B10" s="581"/>
      <c r="C10" s="586" t="s">
        <v>105</v>
      </c>
      <c r="E10" s="586" t="s">
        <v>106</v>
      </c>
      <c r="H10" s="585" t="s">
        <v>107</v>
      </c>
      <c r="I10" s="587" t="s">
        <v>108</v>
      </c>
      <c r="J10" s="582"/>
      <c r="L10" s="586" t="s">
        <v>109</v>
      </c>
      <c r="M10" s="581"/>
      <c r="N10" s="588" t="s">
        <v>114</v>
      </c>
      <c r="O10" s="17"/>
      <c r="P10" s="17"/>
    </row>
    <row r="11" spans="1:16" x14ac:dyDescent="0.25">
      <c r="A11" s="490"/>
      <c r="B11" s="581"/>
      <c r="C11" s="581"/>
      <c r="E11" s="581"/>
      <c r="H11" s="582"/>
      <c r="I11" s="587" t="s">
        <v>110</v>
      </c>
      <c r="J11" s="582"/>
      <c r="L11" s="586" t="s">
        <v>111</v>
      </c>
      <c r="M11" s="581"/>
      <c r="O11" s="17"/>
      <c r="P11" s="17"/>
    </row>
    <row r="12" spans="1:16" x14ac:dyDescent="0.25">
      <c r="A12" s="495"/>
      <c r="B12" s="18"/>
      <c r="C12" s="18"/>
      <c r="D12" s="19"/>
      <c r="E12" s="18"/>
      <c r="F12" s="19"/>
      <c r="G12" s="19"/>
      <c r="H12" s="20"/>
      <c r="I12" s="21" t="s">
        <v>112</v>
      </c>
      <c r="J12" s="21" t="s">
        <v>113</v>
      </c>
      <c r="K12" s="19"/>
      <c r="L12" s="20"/>
      <c r="M12" s="19"/>
      <c r="N12" s="19"/>
      <c r="O12" s="22"/>
      <c r="P12" s="17"/>
    </row>
    <row r="13" spans="1:16" x14ac:dyDescent="0.25">
      <c r="A13" s="496" t="s">
        <v>578</v>
      </c>
      <c r="B13" s="23"/>
      <c r="C13" s="24" t="s">
        <v>579</v>
      </c>
      <c r="D13" s="25"/>
      <c r="E13" s="24" t="s">
        <v>580</v>
      </c>
      <c r="F13" s="25"/>
      <c r="G13" s="25"/>
      <c r="H13" s="26" t="s">
        <v>581</v>
      </c>
      <c r="I13" s="26" t="s">
        <v>83</v>
      </c>
      <c r="J13" s="25"/>
      <c r="K13" s="25"/>
      <c r="L13" s="26" t="s">
        <v>84</v>
      </c>
      <c r="M13" s="25"/>
      <c r="N13" s="24" t="s">
        <v>85</v>
      </c>
      <c r="O13" s="27"/>
      <c r="P13" s="17"/>
    </row>
    <row r="14" spans="1:16" x14ac:dyDescent="0.25">
      <c r="A14" s="497" t="s">
        <v>115</v>
      </c>
      <c r="B14" s="589" t="s">
        <v>116</v>
      </c>
      <c r="E14" s="581"/>
      <c r="H14" s="582"/>
      <c r="I14" s="582"/>
      <c r="J14" s="582"/>
      <c r="L14" s="581"/>
      <c r="N14" s="581"/>
      <c r="O14" s="17"/>
      <c r="P14" s="17"/>
    </row>
    <row r="15" spans="1:16" x14ac:dyDescent="0.25">
      <c r="A15" s="490"/>
      <c r="B15" s="581"/>
      <c r="C15" s="581"/>
      <c r="E15" s="581"/>
      <c r="H15" s="587" t="s">
        <v>441</v>
      </c>
      <c r="I15" s="582"/>
      <c r="J15" s="582"/>
      <c r="L15" s="581"/>
      <c r="N15" s="588" t="s">
        <v>441</v>
      </c>
      <c r="O15" s="17"/>
      <c r="P15" s="17"/>
    </row>
    <row r="16" spans="1:16" x14ac:dyDescent="0.25">
      <c r="A16" s="492" t="s">
        <v>117</v>
      </c>
      <c r="B16" s="582" t="s">
        <v>971</v>
      </c>
      <c r="D16" s="587" t="s">
        <v>248</v>
      </c>
      <c r="E16" s="582"/>
      <c r="H16" s="582">
        <v>0</v>
      </c>
      <c r="I16" s="585">
        <v>0</v>
      </c>
      <c r="J16" s="585">
        <v>0</v>
      </c>
      <c r="L16" s="585">
        <v>0</v>
      </c>
      <c r="N16" s="581">
        <v>2</v>
      </c>
      <c r="O16" s="17"/>
      <c r="P16" s="17"/>
    </row>
    <row r="17" spans="1:16" x14ac:dyDescent="0.25">
      <c r="A17" s="492" t="s">
        <v>118</v>
      </c>
      <c r="B17" s="582"/>
      <c r="D17" s="587"/>
      <c r="E17" s="582"/>
      <c r="H17" s="582"/>
      <c r="I17" s="585"/>
      <c r="J17" s="585"/>
      <c r="L17" s="585"/>
      <c r="N17" s="581"/>
      <c r="O17" s="17"/>
      <c r="P17" s="17"/>
    </row>
    <row r="18" spans="1:16" x14ac:dyDescent="0.25">
      <c r="A18" s="492" t="s">
        <v>119</v>
      </c>
      <c r="B18" s="582"/>
      <c r="D18" s="587"/>
      <c r="E18" s="582"/>
      <c r="H18" s="582"/>
      <c r="I18" s="582"/>
      <c r="J18" s="582"/>
      <c r="L18" s="582"/>
      <c r="N18" s="581"/>
      <c r="O18" s="17"/>
      <c r="P18" s="17"/>
    </row>
    <row r="19" spans="1:16" x14ac:dyDescent="0.25">
      <c r="A19" s="492" t="s">
        <v>120</v>
      </c>
      <c r="B19" s="582"/>
      <c r="C19" s="581"/>
      <c r="E19" s="582"/>
      <c r="H19" s="582"/>
      <c r="I19" s="582"/>
      <c r="J19" s="582"/>
      <c r="L19" s="582"/>
      <c r="N19" s="581"/>
      <c r="O19" s="17"/>
      <c r="P19" s="17"/>
    </row>
    <row r="20" spans="1:16" x14ac:dyDescent="0.25">
      <c r="A20" s="492" t="s">
        <v>121</v>
      </c>
      <c r="B20" s="582"/>
      <c r="C20" s="582"/>
      <c r="E20" s="582"/>
      <c r="H20" s="582"/>
      <c r="I20" s="582"/>
      <c r="J20" s="582"/>
      <c r="L20" s="582"/>
      <c r="N20" s="581"/>
      <c r="O20" s="17"/>
      <c r="P20" s="17"/>
    </row>
    <row r="21" spans="1:16" x14ac:dyDescent="0.25">
      <c r="A21" s="492" t="s">
        <v>122</v>
      </c>
      <c r="B21" s="581"/>
      <c r="C21" s="581"/>
      <c r="E21" s="581"/>
      <c r="H21" s="582"/>
      <c r="I21" s="582"/>
      <c r="J21" s="582"/>
      <c r="L21" s="581"/>
      <c r="N21" s="581"/>
      <c r="O21" s="17"/>
      <c r="P21" s="17"/>
    </row>
    <row r="22" spans="1:16" x14ac:dyDescent="0.25">
      <c r="A22" s="498"/>
      <c r="B22" s="590"/>
      <c r="C22" s="590"/>
      <c r="D22" s="591"/>
      <c r="E22" s="592" t="s">
        <v>454</v>
      </c>
      <c r="F22" s="591"/>
      <c r="H22" s="593">
        <f>H16</f>
        <v>0</v>
      </c>
      <c r="I22" s="593">
        <f t="shared" ref="I22:L22" si="0">I16</f>
        <v>0</v>
      </c>
      <c r="J22" s="593">
        <f t="shared" si="0"/>
        <v>0</v>
      </c>
      <c r="K22" s="593"/>
      <c r="L22" s="593">
        <f t="shared" si="0"/>
        <v>0</v>
      </c>
      <c r="M22" s="591"/>
      <c r="N22" s="593">
        <f>N16</f>
        <v>2</v>
      </c>
      <c r="O22" s="17"/>
      <c r="P22" s="17"/>
    </row>
    <row r="23" spans="1:16" x14ac:dyDescent="0.25">
      <c r="A23" s="497" t="s">
        <v>123</v>
      </c>
      <c r="B23" s="589" t="s">
        <v>199</v>
      </c>
      <c r="E23" s="594" t="s">
        <v>441</v>
      </c>
      <c r="H23" s="587" t="s">
        <v>441</v>
      </c>
      <c r="I23" s="582"/>
      <c r="J23" s="582"/>
      <c r="L23" s="581"/>
      <c r="N23" s="581"/>
      <c r="O23" s="17"/>
      <c r="P23" s="17"/>
    </row>
    <row r="24" spans="1:16" x14ac:dyDescent="0.25">
      <c r="A24" s="490"/>
      <c r="B24" s="581"/>
      <c r="C24" s="581"/>
      <c r="E24" s="594"/>
      <c r="H24" s="582"/>
      <c r="I24" s="582"/>
      <c r="J24" s="582"/>
      <c r="L24" s="581"/>
      <c r="N24" s="581"/>
      <c r="O24" s="17"/>
      <c r="P24" s="17"/>
    </row>
    <row r="25" spans="1:16" x14ac:dyDescent="0.25">
      <c r="A25" s="492" t="s">
        <v>117</v>
      </c>
      <c r="B25" s="582" t="s">
        <v>971</v>
      </c>
      <c r="C25" s="587"/>
      <c r="D25" s="9" t="s">
        <v>549</v>
      </c>
      <c r="E25" s="595" t="s">
        <v>441</v>
      </c>
      <c r="H25" s="582">
        <v>8</v>
      </c>
      <c r="I25" s="582">
        <v>0</v>
      </c>
      <c r="J25" s="582">
        <v>0</v>
      </c>
      <c r="L25" s="582">
        <v>0</v>
      </c>
      <c r="N25" s="582">
        <v>12</v>
      </c>
      <c r="O25" s="17"/>
      <c r="P25" s="17"/>
    </row>
    <row r="26" spans="1:16" x14ac:dyDescent="0.25">
      <c r="A26" s="492" t="s">
        <v>118</v>
      </c>
      <c r="B26" s="581"/>
      <c r="C26" s="587" t="s">
        <v>441</v>
      </c>
      <c r="E26" s="595"/>
      <c r="H26" s="582"/>
      <c r="I26" s="582"/>
      <c r="J26" s="582"/>
      <c r="L26" s="587" t="s">
        <v>441</v>
      </c>
      <c r="N26" s="581"/>
      <c r="O26" s="17"/>
      <c r="P26" s="17"/>
    </row>
    <row r="27" spans="1:16" x14ac:dyDescent="0.25">
      <c r="A27" s="492" t="s">
        <v>119</v>
      </c>
      <c r="B27" s="581"/>
      <c r="C27" s="587" t="s">
        <v>441</v>
      </c>
      <c r="E27" s="595"/>
      <c r="H27" s="582"/>
      <c r="I27" s="582"/>
      <c r="J27" s="582"/>
      <c r="L27" s="582"/>
      <c r="N27" s="581"/>
      <c r="O27" s="17"/>
      <c r="P27" s="17"/>
    </row>
    <row r="28" spans="1:16" x14ac:dyDescent="0.25">
      <c r="A28" s="492" t="s">
        <v>120</v>
      </c>
      <c r="B28" s="581"/>
      <c r="C28" s="581"/>
      <c r="E28" s="594"/>
      <c r="H28" s="582"/>
      <c r="I28" s="582"/>
      <c r="J28" s="582"/>
      <c r="L28" s="581"/>
      <c r="N28" s="581"/>
      <c r="O28" s="17"/>
      <c r="P28" s="17"/>
    </row>
    <row r="29" spans="1:16" x14ac:dyDescent="0.25">
      <c r="A29" s="498"/>
      <c r="B29" s="590"/>
      <c r="C29" s="590"/>
      <c r="D29" s="591"/>
      <c r="E29" s="592" t="s">
        <v>454</v>
      </c>
      <c r="F29" s="591"/>
      <c r="H29" s="593">
        <f>H25</f>
        <v>8</v>
      </c>
      <c r="I29" s="593">
        <f t="shared" ref="I29:L29" si="1">I25</f>
        <v>0</v>
      </c>
      <c r="J29" s="593">
        <f t="shared" si="1"/>
        <v>0</v>
      </c>
      <c r="K29" s="593"/>
      <c r="L29" s="593">
        <f t="shared" si="1"/>
        <v>0</v>
      </c>
      <c r="M29" s="591"/>
      <c r="N29" s="590">
        <f>N25</f>
        <v>12</v>
      </c>
      <c r="O29" s="17"/>
      <c r="P29" s="17"/>
    </row>
    <row r="30" spans="1:16" x14ac:dyDescent="0.25">
      <c r="A30" s="490"/>
      <c r="B30" s="581"/>
      <c r="C30" s="581"/>
      <c r="E30" s="594"/>
      <c r="H30" s="582"/>
      <c r="I30" s="582"/>
      <c r="J30" s="582"/>
      <c r="L30" s="581"/>
      <c r="M30" s="581"/>
      <c r="O30" s="17"/>
      <c r="P30" s="17"/>
    </row>
    <row r="31" spans="1:16" x14ac:dyDescent="0.25">
      <c r="A31" s="499"/>
      <c r="B31" s="78"/>
      <c r="C31" s="78"/>
      <c r="D31" s="79"/>
      <c r="E31" s="80" t="s">
        <v>124</v>
      </c>
      <c r="F31" s="79"/>
      <c r="G31" s="19"/>
      <c r="H31" s="81">
        <f>H22+H29</f>
        <v>8</v>
      </c>
      <c r="I31" s="81">
        <f t="shared" ref="I31:L31" si="2">I22+I29</f>
        <v>0</v>
      </c>
      <c r="J31" s="81">
        <f t="shared" si="2"/>
        <v>0</v>
      </c>
      <c r="K31" s="81"/>
      <c r="L31" s="81">
        <f t="shared" si="2"/>
        <v>0</v>
      </c>
      <c r="M31" s="78"/>
      <c r="N31" s="81">
        <f>N29+N22</f>
        <v>14</v>
      </c>
      <c r="O31" s="22"/>
      <c r="P31" s="17"/>
    </row>
    <row r="32" spans="1:16" x14ac:dyDescent="0.25">
      <c r="A32" s="498"/>
      <c r="B32" s="590"/>
      <c r="C32" s="590"/>
      <c r="D32" s="591"/>
      <c r="E32" s="592"/>
      <c r="F32" s="591"/>
      <c r="G32" s="593"/>
      <c r="H32" s="593"/>
      <c r="I32" s="591"/>
      <c r="J32" s="593"/>
      <c r="K32" s="590"/>
      <c r="L32" s="593"/>
      <c r="P32" s="17"/>
    </row>
    <row r="33" spans="1:16" x14ac:dyDescent="0.25">
      <c r="A33" s="498"/>
      <c r="B33" s="590"/>
      <c r="C33" s="590"/>
      <c r="D33" s="591"/>
      <c r="E33" s="592"/>
      <c r="F33" s="591"/>
      <c r="G33" s="593"/>
      <c r="H33" s="593"/>
      <c r="I33" s="591"/>
      <c r="J33" s="593"/>
      <c r="K33" s="590"/>
      <c r="L33" s="593"/>
      <c r="P33" s="17"/>
    </row>
    <row r="34" spans="1:16" x14ac:dyDescent="0.25">
      <c r="A34" s="498"/>
      <c r="B34" s="590"/>
      <c r="C34" s="590"/>
      <c r="D34" s="591"/>
      <c r="E34" s="592"/>
      <c r="F34" s="591"/>
      <c r="G34" s="593"/>
      <c r="H34" s="593"/>
      <c r="I34" s="591"/>
      <c r="J34" s="593"/>
      <c r="K34" s="590"/>
      <c r="L34" s="593"/>
      <c r="P34" s="17"/>
    </row>
    <row r="35" spans="1:16" x14ac:dyDescent="0.25">
      <c r="A35" s="498"/>
      <c r="B35" s="590"/>
      <c r="C35" s="590"/>
      <c r="D35" s="591"/>
      <c r="E35" s="592"/>
      <c r="F35" s="591"/>
      <c r="G35" s="593"/>
      <c r="H35" s="593"/>
      <c r="I35" s="591"/>
      <c r="J35" s="593"/>
      <c r="K35" s="590"/>
      <c r="L35" s="593"/>
      <c r="P35" s="17"/>
    </row>
    <row r="36" spans="1:16" x14ac:dyDescent="0.25">
      <c r="A36" s="498"/>
      <c r="B36" s="590"/>
      <c r="C36" s="590"/>
      <c r="D36" s="591"/>
      <c r="E36" s="592"/>
      <c r="F36" s="591"/>
      <c r="G36" s="593"/>
      <c r="H36" s="593"/>
      <c r="I36" s="591"/>
      <c r="J36" s="593"/>
      <c r="K36" s="590"/>
      <c r="L36" s="593"/>
      <c r="P36" s="17"/>
    </row>
    <row r="37" spans="1:16" x14ac:dyDescent="0.25">
      <c r="A37" s="498"/>
      <c r="B37" s="590"/>
      <c r="C37" s="590"/>
      <c r="D37" s="591"/>
      <c r="E37" s="592"/>
      <c r="F37" s="591"/>
      <c r="G37" s="593"/>
      <c r="H37" s="593"/>
      <c r="I37" s="591"/>
      <c r="J37" s="593"/>
      <c r="K37" s="590"/>
      <c r="L37" s="593"/>
      <c r="P37" s="17"/>
    </row>
    <row r="38" spans="1:16" x14ac:dyDescent="0.25">
      <c r="A38" s="498"/>
      <c r="B38" s="590"/>
      <c r="C38" s="590"/>
      <c r="D38" s="591"/>
      <c r="E38" s="592"/>
      <c r="F38" s="591"/>
      <c r="G38" s="593"/>
      <c r="H38" s="593"/>
      <c r="I38" s="591"/>
      <c r="J38" s="593"/>
      <c r="K38" s="590"/>
      <c r="L38" s="593"/>
      <c r="P38" s="17"/>
    </row>
    <row r="39" spans="1:16" x14ac:dyDescent="0.25">
      <c r="A39" s="498"/>
      <c r="B39" s="590"/>
      <c r="C39" s="590"/>
      <c r="D39" s="591"/>
      <c r="E39" s="592"/>
      <c r="F39" s="591"/>
      <c r="G39" s="593"/>
      <c r="H39" s="593"/>
      <c r="I39" s="591"/>
      <c r="J39" s="593"/>
      <c r="K39" s="590"/>
      <c r="L39" s="593"/>
      <c r="P39" s="17"/>
    </row>
    <row r="40" spans="1:16" x14ac:dyDescent="0.25">
      <c r="A40" s="498"/>
      <c r="B40" s="590"/>
      <c r="C40" s="590"/>
      <c r="D40" s="591"/>
      <c r="E40" s="592"/>
      <c r="F40" s="591"/>
      <c r="G40" s="593"/>
      <c r="H40" s="593"/>
      <c r="I40" s="591"/>
      <c r="J40" s="593"/>
      <c r="K40" s="590"/>
      <c r="L40" s="593"/>
      <c r="P40" s="17"/>
    </row>
    <row r="41" spans="1:16" x14ac:dyDescent="0.25">
      <c r="A41" s="498"/>
      <c r="B41" s="590"/>
      <c r="C41" s="590"/>
      <c r="D41" s="591"/>
      <c r="E41" s="592"/>
      <c r="F41" s="591"/>
      <c r="G41" s="593"/>
      <c r="H41" s="593"/>
      <c r="I41" s="591"/>
      <c r="J41" s="593"/>
      <c r="K41" s="590"/>
      <c r="L41" s="593"/>
      <c r="P41" s="17"/>
    </row>
    <row r="42" spans="1:16" x14ac:dyDescent="0.25">
      <c r="A42" s="498"/>
      <c r="B42" s="590"/>
      <c r="C42" s="590"/>
      <c r="D42" s="591"/>
      <c r="E42" s="592"/>
      <c r="F42" s="591"/>
      <c r="G42" s="593"/>
      <c r="H42" s="593"/>
      <c r="I42" s="591"/>
      <c r="J42" s="593"/>
      <c r="K42" s="590"/>
      <c r="L42" s="593"/>
      <c r="P42" s="17"/>
    </row>
    <row r="43" spans="1:16" x14ac:dyDescent="0.25">
      <c r="A43" s="498"/>
      <c r="B43" s="590"/>
      <c r="C43" s="590"/>
      <c r="D43" s="591"/>
      <c r="E43" s="592"/>
      <c r="F43" s="591"/>
      <c r="G43" s="593"/>
      <c r="H43" s="593"/>
      <c r="I43" s="591"/>
      <c r="J43" s="593"/>
      <c r="K43" s="590"/>
      <c r="L43" s="593"/>
      <c r="P43" s="17"/>
    </row>
    <row r="44" spans="1:16" x14ac:dyDescent="0.25">
      <c r="A44" s="498"/>
      <c r="B44" s="590"/>
      <c r="C44" s="590"/>
      <c r="D44" s="591"/>
      <c r="E44" s="592"/>
      <c r="F44" s="591"/>
      <c r="G44" s="593"/>
      <c r="H44" s="593"/>
      <c r="I44" s="591"/>
      <c r="J44" s="593"/>
      <c r="K44" s="590"/>
      <c r="L44" s="593"/>
      <c r="P44" s="17"/>
    </row>
    <row r="45" spans="1:16" x14ac:dyDescent="0.25">
      <c r="A45" s="498"/>
      <c r="B45" s="590"/>
      <c r="C45" s="590"/>
      <c r="D45" s="591"/>
      <c r="E45" s="592"/>
      <c r="F45" s="591"/>
      <c r="G45" s="593"/>
      <c r="H45" s="593"/>
      <c r="I45" s="591"/>
      <c r="J45" s="593"/>
      <c r="K45" s="590"/>
      <c r="L45" s="593"/>
      <c r="P45" s="17"/>
    </row>
    <row r="46" spans="1:16" x14ac:dyDescent="0.25">
      <c r="A46" s="499"/>
      <c r="B46" s="78"/>
      <c r="C46" s="78"/>
      <c r="D46" s="79"/>
      <c r="E46" s="80"/>
      <c r="F46" s="79"/>
      <c r="G46" s="81"/>
      <c r="H46" s="81"/>
      <c r="I46" s="79"/>
      <c r="J46" s="81"/>
      <c r="K46" s="78"/>
      <c r="L46" s="81"/>
      <c r="M46" s="19"/>
      <c r="N46" s="19"/>
      <c r="O46" s="19"/>
      <c r="P46" s="22"/>
    </row>
    <row r="47" spans="1:16" x14ac:dyDescent="0.25">
      <c r="A47" s="819" t="s">
        <v>843</v>
      </c>
      <c r="B47" s="820"/>
      <c r="C47" s="820"/>
      <c r="D47" s="820"/>
      <c r="E47" s="820"/>
      <c r="F47" s="820"/>
      <c r="G47" s="820"/>
      <c r="H47" s="820"/>
      <c r="I47" s="820"/>
      <c r="J47" s="820"/>
      <c r="K47" s="820"/>
      <c r="L47" s="820"/>
      <c r="M47" s="820"/>
      <c r="N47" s="820"/>
      <c r="O47" s="820"/>
      <c r="P47" s="821"/>
    </row>
    <row r="48" spans="1:16" x14ac:dyDescent="0.25">
      <c r="A48" s="822" t="s">
        <v>1139</v>
      </c>
      <c r="B48" s="823"/>
      <c r="C48" s="823"/>
      <c r="D48" s="823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4"/>
    </row>
    <row r="49" spans="1:17" x14ac:dyDescent="0.25">
      <c r="A49" s="822" t="s">
        <v>577</v>
      </c>
      <c r="B49" s="823"/>
      <c r="C49" s="823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4"/>
    </row>
    <row r="50" spans="1:17" x14ac:dyDescent="0.25">
      <c r="A50" s="813" t="s">
        <v>200</v>
      </c>
      <c r="B50" s="814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4"/>
      <c r="P50" s="815"/>
    </row>
    <row r="51" spans="1:17" x14ac:dyDescent="0.25">
      <c r="A51" s="795" t="s">
        <v>443</v>
      </c>
      <c r="B51" s="795"/>
      <c r="C51" s="795"/>
      <c r="D51" s="795"/>
      <c r="E51" s="795"/>
      <c r="F51" s="795"/>
      <c r="G51" s="795"/>
      <c r="H51" s="250">
        <v>1</v>
      </c>
      <c r="I51" s="248">
        <v>2</v>
      </c>
      <c r="J51" s="252">
        <v>3</v>
      </c>
      <c r="K51" s="248">
        <v>4</v>
      </c>
      <c r="L51" s="252">
        <v>5</v>
      </c>
      <c r="M51" s="248">
        <v>6</v>
      </c>
      <c r="N51" s="254">
        <v>7</v>
      </c>
      <c r="O51" s="268">
        <v>8</v>
      </c>
      <c r="P51" s="268">
        <v>9</v>
      </c>
    </row>
    <row r="52" spans="1:17" x14ac:dyDescent="0.25">
      <c r="A52" s="799" t="s">
        <v>582</v>
      </c>
      <c r="B52" s="800"/>
      <c r="C52" s="800"/>
      <c r="D52" s="800"/>
      <c r="E52" s="800"/>
      <c r="F52" s="800"/>
      <c r="G52" s="806"/>
      <c r="H52" s="475">
        <v>2024</v>
      </c>
      <c r="I52" s="476">
        <v>2025</v>
      </c>
      <c r="J52" s="477">
        <v>2026</v>
      </c>
      <c r="K52" s="476">
        <v>2027</v>
      </c>
      <c r="L52" s="477">
        <v>2028</v>
      </c>
      <c r="M52" s="476">
        <v>2029</v>
      </c>
      <c r="N52" s="477">
        <v>2030</v>
      </c>
      <c r="O52" s="476">
        <v>2031</v>
      </c>
      <c r="P52" s="476">
        <v>2032</v>
      </c>
    </row>
    <row r="53" spans="1:17" x14ac:dyDescent="0.25">
      <c r="A53" s="500" t="s">
        <v>583</v>
      </c>
      <c r="B53" s="59"/>
      <c r="C53" s="59"/>
      <c r="D53" s="59"/>
      <c r="E53" s="59"/>
      <c r="F53" s="12"/>
      <c r="G53" s="60"/>
      <c r="H53" s="134">
        <f>BASICS!E219</f>
        <v>0.6</v>
      </c>
      <c r="I53" s="134">
        <f>BASICS!F219</f>
        <v>0.65</v>
      </c>
      <c r="J53" s="134">
        <f>BASICS!G219</f>
        <v>0.70000000000000007</v>
      </c>
      <c r="K53" s="134">
        <f>BASICS!H219</f>
        <v>0.75000000000000011</v>
      </c>
      <c r="L53" s="134">
        <f>BASICS!I219</f>
        <v>0.80000000000000016</v>
      </c>
      <c r="M53" s="134">
        <f>BASICS!J219</f>
        <v>0.8500000000000002</v>
      </c>
      <c r="N53" s="134">
        <f>BASICS!K219</f>
        <v>0.90000000000000024</v>
      </c>
      <c r="O53" s="134">
        <f>BASICS!L219</f>
        <v>0.95000000000000029</v>
      </c>
      <c r="P53" s="134">
        <f>BASICS!M219</f>
        <v>1.0000000000000002</v>
      </c>
    </row>
    <row r="54" spans="1:17" x14ac:dyDescent="0.25">
      <c r="A54" s="501" t="s">
        <v>249</v>
      </c>
      <c r="B54" s="598"/>
      <c r="C54" s="598"/>
      <c r="D54" s="598"/>
      <c r="E54" s="598"/>
      <c r="G54" s="54"/>
      <c r="H54" s="37">
        <f>BASICS!E221</f>
        <v>23760</v>
      </c>
      <c r="I54" s="37">
        <f>BASICS!F221</f>
        <v>25740</v>
      </c>
      <c r="J54" s="37">
        <f>BASICS!G221</f>
        <v>27720.000000000004</v>
      </c>
      <c r="K54" s="37">
        <f>BASICS!H221</f>
        <v>29700.000000000004</v>
      </c>
      <c r="L54" s="37">
        <f>BASICS!I221</f>
        <v>31680.000000000007</v>
      </c>
      <c r="M54" s="37">
        <f>BASICS!J221</f>
        <v>33660.000000000007</v>
      </c>
      <c r="N54" s="37">
        <f>BASICS!K221</f>
        <v>35640.000000000007</v>
      </c>
      <c r="O54" s="37">
        <f>BASICS!L221</f>
        <v>37620.000000000015</v>
      </c>
      <c r="P54" s="37">
        <f>BASICS!M221</f>
        <v>39600.000000000007</v>
      </c>
    </row>
    <row r="55" spans="1:17" x14ac:dyDescent="0.25">
      <c r="A55" s="502" t="s">
        <v>250</v>
      </c>
      <c r="B55" s="42"/>
      <c r="C55" s="42"/>
      <c r="D55" s="42"/>
      <c r="E55" s="42"/>
      <c r="F55" s="19"/>
      <c r="G55" s="257"/>
      <c r="H55" s="470">
        <f>BASICS!E224</f>
        <v>23256</v>
      </c>
      <c r="I55" s="470">
        <f>BASICS!F224</f>
        <v>25698</v>
      </c>
      <c r="J55" s="470">
        <f>BASICS!G224</f>
        <v>27678.000000000004</v>
      </c>
      <c r="K55" s="470">
        <f>BASICS!H224</f>
        <v>29658.000000000004</v>
      </c>
      <c r="L55" s="470">
        <f>BASICS!I224</f>
        <v>31638.000000000007</v>
      </c>
      <c r="M55" s="470">
        <f>BASICS!J224</f>
        <v>33618.000000000007</v>
      </c>
      <c r="N55" s="470">
        <f>BASICS!K224</f>
        <v>35598.000000000007</v>
      </c>
      <c r="O55" s="470">
        <f>BASICS!L224</f>
        <v>37578.000000000015</v>
      </c>
      <c r="P55" s="470">
        <f>BASICS!M224</f>
        <v>39558.000000000007</v>
      </c>
    </row>
    <row r="56" spans="1:17" x14ac:dyDescent="0.25">
      <c r="A56" s="37" t="s">
        <v>584</v>
      </c>
      <c r="B56" s="599" t="s">
        <v>485</v>
      </c>
      <c r="C56" s="599" t="s">
        <v>585</v>
      </c>
      <c r="D56" s="598"/>
      <c r="E56" s="598"/>
      <c r="G56" s="54"/>
      <c r="H56" s="583">
        <f>BASICS!E227</f>
        <v>89.861183999999994</v>
      </c>
      <c r="I56" s="583">
        <f>BASICS!F227</f>
        <v>99.297072</v>
      </c>
      <c r="J56" s="583">
        <f>BASICS!G227</f>
        <v>106.94779200000001</v>
      </c>
      <c r="K56" s="583">
        <f>BASICS!H227</f>
        <v>114.59851200000001</v>
      </c>
      <c r="L56" s="583">
        <f>BASICS!I227</f>
        <v>122.24923200000003</v>
      </c>
      <c r="M56" s="583">
        <f>BASICS!J227</f>
        <v>129.89995200000001</v>
      </c>
      <c r="N56" s="583">
        <f>BASICS!K227</f>
        <v>137.55067200000002</v>
      </c>
      <c r="O56" s="583">
        <f>BASICS!L227</f>
        <v>145.20139200000006</v>
      </c>
      <c r="P56" s="583">
        <f>BASICS!M227</f>
        <v>152.85211200000003</v>
      </c>
    </row>
    <row r="57" spans="1:17" x14ac:dyDescent="0.25">
      <c r="A57" s="503"/>
      <c r="B57" s="584"/>
      <c r="C57" s="599" t="s">
        <v>82</v>
      </c>
      <c r="D57" s="598"/>
      <c r="E57" s="598"/>
      <c r="G57" s="54"/>
      <c r="H57" s="583">
        <v>0</v>
      </c>
      <c r="I57" s="33">
        <v>0</v>
      </c>
      <c r="J57" s="583">
        <v>0</v>
      </c>
      <c r="K57" s="33">
        <v>0</v>
      </c>
      <c r="L57" s="583">
        <v>0</v>
      </c>
      <c r="M57" s="33">
        <v>0</v>
      </c>
      <c r="N57" s="583">
        <v>0</v>
      </c>
      <c r="O57" s="33">
        <v>0</v>
      </c>
      <c r="P57" s="33">
        <v>0</v>
      </c>
    </row>
    <row r="58" spans="1:17" x14ac:dyDescent="0.25">
      <c r="A58" s="639"/>
      <c r="B58" s="636" t="s">
        <v>454</v>
      </c>
      <c r="C58" s="95"/>
      <c r="D58" s="95"/>
      <c r="E58" s="95"/>
      <c r="F58" s="637"/>
      <c r="G58" s="638"/>
      <c r="H58" s="251">
        <f>SUM(H56:H57)</f>
        <v>89.861183999999994</v>
      </c>
      <c r="I58" s="251">
        <f t="shared" ref="I58:P58" si="3">SUM(I56:I57)</f>
        <v>99.297072</v>
      </c>
      <c r="J58" s="251">
        <f t="shared" si="3"/>
        <v>106.94779200000001</v>
      </c>
      <c r="K58" s="251">
        <f t="shared" si="3"/>
        <v>114.59851200000001</v>
      </c>
      <c r="L58" s="251">
        <f t="shared" si="3"/>
        <v>122.24923200000003</v>
      </c>
      <c r="M58" s="251">
        <f t="shared" si="3"/>
        <v>129.89995200000001</v>
      </c>
      <c r="N58" s="251">
        <f t="shared" si="3"/>
        <v>137.55067200000002</v>
      </c>
      <c r="O58" s="251">
        <f t="shared" si="3"/>
        <v>145.20139200000006</v>
      </c>
      <c r="P58" s="251">
        <f t="shared" si="3"/>
        <v>152.85211200000003</v>
      </c>
      <c r="Q58" s="591"/>
    </row>
    <row r="59" spans="1:17" x14ac:dyDescent="0.25">
      <c r="A59" s="37" t="s">
        <v>586</v>
      </c>
      <c r="B59" s="599" t="s">
        <v>979</v>
      </c>
      <c r="C59" s="598"/>
      <c r="D59" s="598"/>
      <c r="E59" s="598"/>
      <c r="G59" s="54"/>
      <c r="H59" s="583">
        <f>BASICS!E226</f>
        <v>9.6279839999999997</v>
      </c>
      <c r="I59" s="583">
        <f>BASICS!F226</f>
        <v>10.638972000000001</v>
      </c>
      <c r="J59" s="583">
        <f>BASICS!G226</f>
        <v>11.458692000000001</v>
      </c>
      <c r="K59" s="583">
        <f>BASICS!H226</f>
        <v>12.278412000000001</v>
      </c>
      <c r="L59" s="583">
        <f>BASICS!I226</f>
        <v>13.098132000000003</v>
      </c>
      <c r="M59" s="583">
        <f>BASICS!J226</f>
        <v>13.917852000000002</v>
      </c>
      <c r="N59" s="583">
        <f>BASICS!K226</f>
        <v>14.737572000000002</v>
      </c>
      <c r="O59" s="583">
        <f>BASICS!L226</f>
        <v>15.557292000000004</v>
      </c>
      <c r="P59" s="583">
        <f>BASICS!M226</f>
        <v>16.377012000000004</v>
      </c>
    </row>
    <row r="60" spans="1:17" x14ac:dyDescent="0.25">
      <c r="A60" s="640" t="s">
        <v>587</v>
      </c>
      <c r="B60" s="636" t="s">
        <v>588</v>
      </c>
      <c r="C60" s="95"/>
      <c r="D60" s="95"/>
      <c r="E60" s="95"/>
      <c r="F60" s="637"/>
      <c r="G60" s="638"/>
      <c r="H60" s="251">
        <f>H58-H59</f>
        <v>80.233199999999997</v>
      </c>
      <c r="I60" s="251">
        <f t="shared" ref="I60:P60" si="4">I58-I59</f>
        <v>88.658100000000005</v>
      </c>
      <c r="J60" s="251">
        <f t="shared" si="4"/>
        <v>95.489100000000008</v>
      </c>
      <c r="K60" s="251">
        <f t="shared" si="4"/>
        <v>102.32010000000001</v>
      </c>
      <c r="L60" s="251">
        <f t="shared" si="4"/>
        <v>109.15110000000003</v>
      </c>
      <c r="M60" s="251">
        <f t="shared" si="4"/>
        <v>115.98210000000002</v>
      </c>
      <c r="N60" s="251">
        <f t="shared" si="4"/>
        <v>122.81310000000002</v>
      </c>
      <c r="O60" s="251">
        <f t="shared" si="4"/>
        <v>129.64410000000004</v>
      </c>
      <c r="P60" s="251">
        <f t="shared" si="4"/>
        <v>136.47510000000003</v>
      </c>
    </row>
    <row r="61" spans="1:17" x14ac:dyDescent="0.25">
      <c r="A61" s="37" t="s">
        <v>589</v>
      </c>
      <c r="B61" s="599" t="s">
        <v>980</v>
      </c>
      <c r="C61" s="598"/>
      <c r="D61" s="598"/>
      <c r="E61" s="598"/>
      <c r="G61" s="54"/>
      <c r="H61" s="49">
        <v>0</v>
      </c>
      <c r="I61" s="249">
        <f>I60/H60-1</f>
        <v>0.10500515995872051</v>
      </c>
      <c r="J61" s="249">
        <f t="shared" ref="J61:P61" si="5">J60/I60-1</f>
        <v>7.7048797571795502E-2</v>
      </c>
      <c r="K61" s="249">
        <f t="shared" si="5"/>
        <v>7.1536960763060931E-2</v>
      </c>
      <c r="L61" s="249">
        <f t="shared" si="5"/>
        <v>6.6761076269472142E-2</v>
      </c>
      <c r="M61" s="249">
        <f t="shared" si="5"/>
        <v>6.2582969846387115E-2</v>
      </c>
      <c r="N61" s="249">
        <f t="shared" si="5"/>
        <v>5.8897019453864052E-2</v>
      </c>
      <c r="O61" s="249">
        <f t="shared" si="5"/>
        <v>5.5621102309118653E-2</v>
      </c>
      <c r="P61" s="249">
        <f t="shared" si="5"/>
        <v>5.2690403959763543E-2</v>
      </c>
    </row>
    <row r="62" spans="1:17" x14ac:dyDescent="0.25">
      <c r="A62" s="37" t="s">
        <v>590</v>
      </c>
      <c r="B62" s="599" t="s">
        <v>487</v>
      </c>
      <c r="C62" s="598"/>
      <c r="D62" s="598"/>
      <c r="E62" s="598"/>
      <c r="G62" s="49"/>
      <c r="H62" s="49"/>
      <c r="I62" s="35"/>
      <c r="J62" s="37"/>
      <c r="K62" s="37"/>
      <c r="L62" s="37"/>
      <c r="M62" s="38"/>
      <c r="O62" s="28"/>
      <c r="P62" s="62"/>
    </row>
    <row r="63" spans="1:17" x14ac:dyDescent="0.25">
      <c r="A63" s="37" t="s">
        <v>591</v>
      </c>
      <c r="B63" s="599" t="s">
        <v>272</v>
      </c>
      <c r="C63" s="598"/>
      <c r="D63" s="598"/>
      <c r="E63" s="598"/>
      <c r="G63" s="49"/>
      <c r="H63" s="49"/>
      <c r="I63" s="35"/>
      <c r="J63" s="37"/>
      <c r="K63" s="37"/>
      <c r="L63" s="37"/>
      <c r="M63" s="38"/>
      <c r="O63" s="28"/>
      <c r="P63" s="62"/>
    </row>
    <row r="64" spans="1:17" x14ac:dyDescent="0.25">
      <c r="A64" s="503"/>
      <c r="B64" s="599" t="s">
        <v>273</v>
      </c>
      <c r="C64" s="598"/>
      <c r="D64" s="598"/>
      <c r="E64" s="598"/>
      <c r="G64" s="49"/>
      <c r="H64" s="49"/>
      <c r="I64" s="35"/>
      <c r="J64" s="37"/>
      <c r="K64" s="37"/>
      <c r="L64" s="37"/>
      <c r="M64" s="38"/>
      <c r="O64" s="28"/>
      <c r="P64" s="62"/>
    </row>
    <row r="65" spans="1:21" x14ac:dyDescent="0.25">
      <c r="A65" s="503"/>
      <c r="B65" s="599" t="s">
        <v>592</v>
      </c>
      <c r="C65" s="598"/>
      <c r="D65" s="598"/>
      <c r="E65" s="598"/>
      <c r="G65" s="54"/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45">
        <v>0</v>
      </c>
      <c r="O65" s="30">
        <v>0</v>
      </c>
      <c r="P65" s="54">
        <v>0</v>
      </c>
    </row>
    <row r="66" spans="1:21" x14ac:dyDescent="0.25">
      <c r="A66" s="503"/>
      <c r="B66" s="599" t="s">
        <v>593</v>
      </c>
      <c r="C66" s="598"/>
      <c r="D66" s="598"/>
      <c r="E66" s="598"/>
      <c r="G66" s="57"/>
      <c r="H66" s="49">
        <f>BASICS!E34</f>
        <v>65.05017391304348</v>
      </c>
      <c r="I66" s="49">
        <f>BASICS!F34</f>
        <v>70.471021739130435</v>
      </c>
      <c r="J66" s="49">
        <f>BASICS!G34</f>
        <v>75.891869565217405</v>
      </c>
      <c r="K66" s="49">
        <f>BASICS!H34</f>
        <v>81.312717391304361</v>
      </c>
      <c r="L66" s="49">
        <f>BASICS!I34</f>
        <v>86.73356521739133</v>
      </c>
      <c r="M66" s="49">
        <f>BASICS!J34</f>
        <v>92.154413043478272</v>
      </c>
      <c r="N66" s="49">
        <f>BASICS!K34</f>
        <v>97.575260869565241</v>
      </c>
      <c r="O66" s="49">
        <f>BASICS!L34</f>
        <v>102.9961086956522</v>
      </c>
      <c r="P66" s="49">
        <f>BASICS!M34</f>
        <v>108.41695652173915</v>
      </c>
    </row>
    <row r="67" spans="1:21" x14ac:dyDescent="0.25">
      <c r="A67" s="37" t="s">
        <v>569</v>
      </c>
      <c r="B67" s="599" t="s">
        <v>341</v>
      </c>
      <c r="C67" s="598"/>
      <c r="D67" s="598"/>
      <c r="E67" s="598"/>
      <c r="G67" s="49"/>
      <c r="H67" s="85"/>
      <c r="I67" s="85"/>
      <c r="J67" s="85"/>
      <c r="K67" s="85"/>
      <c r="L67" s="85"/>
      <c r="M67" s="85"/>
      <c r="N67" s="85"/>
      <c r="O67" s="85"/>
      <c r="P67" s="85"/>
    </row>
    <row r="68" spans="1:21" x14ac:dyDescent="0.25">
      <c r="A68" s="503"/>
      <c r="B68" s="599" t="s">
        <v>592</v>
      </c>
      <c r="C68" s="598"/>
      <c r="D68" s="598"/>
      <c r="E68" s="598"/>
      <c r="G68" s="54"/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</row>
    <row r="69" spans="1:21" x14ac:dyDescent="0.25">
      <c r="A69" s="503"/>
      <c r="B69" s="599" t="s">
        <v>593</v>
      </c>
      <c r="C69" s="598"/>
      <c r="D69" s="598"/>
      <c r="E69" s="598"/>
      <c r="G69" s="57"/>
      <c r="H69" s="49">
        <f>BASICS!$J$62*CMA!H53</f>
        <v>1.1879999999999999</v>
      </c>
      <c r="I69" s="49">
        <f>BASICS!$J$62*CMA!I53</f>
        <v>1.2869999999999999</v>
      </c>
      <c r="J69" s="49">
        <f>BASICS!$J$62*CMA!J53</f>
        <v>1.3860000000000001</v>
      </c>
      <c r="K69" s="49">
        <f>BASICS!$J$62*CMA!K53</f>
        <v>1.4850000000000001</v>
      </c>
      <c r="L69" s="49">
        <f>BASICS!$J$62*CMA!L53</f>
        <v>1.5840000000000003</v>
      </c>
      <c r="M69" s="49">
        <f>BASICS!$J$62*CMA!M53</f>
        <v>1.6830000000000003</v>
      </c>
      <c r="N69" s="49">
        <f>BASICS!$J$62*CMA!N53</f>
        <v>1.7820000000000005</v>
      </c>
      <c r="O69" s="49">
        <f>BASICS!$J$62*CMA!O53</f>
        <v>1.8810000000000004</v>
      </c>
      <c r="P69" s="49">
        <f>BASICS!$J$62*CMA!P53</f>
        <v>1.9800000000000004</v>
      </c>
    </row>
    <row r="70" spans="1:21" x14ac:dyDescent="0.25">
      <c r="A70" s="37" t="s">
        <v>570</v>
      </c>
      <c r="B70" s="599" t="s">
        <v>594</v>
      </c>
      <c r="C70" s="598"/>
      <c r="D70" s="598"/>
      <c r="E70" s="598"/>
      <c r="G70" s="54"/>
      <c r="H70" s="85">
        <f>BASICS!$J$76*CMA!H53</f>
        <v>4.2977087999999997</v>
      </c>
      <c r="I70" s="85">
        <f>BASICS!$J$76*CMA!I53</f>
        <v>4.6558512000000007</v>
      </c>
      <c r="J70" s="85">
        <f>BASICS!$J$76*CMA!J53</f>
        <v>5.0139936000000009</v>
      </c>
      <c r="K70" s="85">
        <f>BASICS!$J$76*CMA!K53</f>
        <v>5.3721360000000011</v>
      </c>
      <c r="L70" s="85">
        <f>BASICS!$J$76*CMA!L53</f>
        <v>5.7302784000000013</v>
      </c>
      <c r="M70" s="85">
        <f>BASICS!$J$76*CMA!M53</f>
        <v>6.0884208000000015</v>
      </c>
      <c r="N70" s="85">
        <f>BASICS!$J$76*CMA!N53</f>
        <v>6.4465632000000017</v>
      </c>
      <c r="O70" s="85">
        <f>BASICS!$J$76*CMA!O53</f>
        <v>6.8047056000000028</v>
      </c>
      <c r="P70" s="85">
        <f>BASICS!$J$76*CMA!P53</f>
        <v>7.1628480000000021</v>
      </c>
    </row>
    <row r="71" spans="1:21" x14ac:dyDescent="0.25">
      <c r="A71" s="503"/>
      <c r="B71" s="599" t="s">
        <v>595</v>
      </c>
      <c r="C71" s="598"/>
      <c r="D71" s="598"/>
      <c r="E71" s="598"/>
      <c r="G71" s="54"/>
      <c r="H71" s="54">
        <f>BASICS!$J$87*CMA!H53</f>
        <v>0.41016000000000002</v>
      </c>
      <c r="I71" s="54">
        <f>BASICS!$J$87*CMA!I53</f>
        <v>0.44434000000000007</v>
      </c>
      <c r="J71" s="54">
        <f>BASICS!$J$87*CMA!J53</f>
        <v>0.47852000000000011</v>
      </c>
      <c r="K71" s="54">
        <f>BASICS!$J$87*CMA!K53</f>
        <v>0.51270000000000016</v>
      </c>
      <c r="L71" s="54">
        <f>BASICS!$J$87*CMA!L53</f>
        <v>0.54688000000000014</v>
      </c>
      <c r="M71" s="54">
        <f>BASICS!$J$87*CMA!M53</f>
        <v>0.58106000000000024</v>
      </c>
      <c r="N71" s="54">
        <f>BASICS!$J$87*CMA!N53</f>
        <v>0.61524000000000023</v>
      </c>
      <c r="O71" s="54">
        <f>BASICS!$J$87*CMA!O53</f>
        <v>0.64942000000000033</v>
      </c>
      <c r="P71" s="54">
        <f>BASICS!$J$87*CMA!P53</f>
        <v>0.68360000000000021</v>
      </c>
    </row>
    <row r="72" spans="1:21" x14ac:dyDescent="0.25">
      <c r="A72" s="503"/>
      <c r="B72" s="599" t="s">
        <v>212</v>
      </c>
      <c r="C72" s="598"/>
      <c r="D72" s="598"/>
      <c r="E72" s="598"/>
      <c r="G72" s="54"/>
      <c r="H72" s="54">
        <f>BASICS!$J$48*CMA!H53</f>
        <v>2.6313913043478259</v>
      </c>
      <c r="I72" s="54">
        <f>BASICS!$J$48*CMA!I53</f>
        <v>2.8506739130434782</v>
      </c>
      <c r="J72" s="54">
        <f>BASICS!$J$48*CMA!J53</f>
        <v>3.0699565217391305</v>
      </c>
      <c r="K72" s="54">
        <f>BASICS!$J$48*CMA!K53</f>
        <v>3.2892391304347832</v>
      </c>
      <c r="L72" s="54">
        <f>BASICS!$J$48*CMA!L53</f>
        <v>3.5085217391304355</v>
      </c>
      <c r="M72" s="54">
        <f>BASICS!$J$48*CMA!M53</f>
        <v>3.7278043478260878</v>
      </c>
      <c r="N72" s="54">
        <f>BASICS!$J$48*CMA!N53</f>
        <v>3.9470869565217401</v>
      </c>
      <c r="O72" s="54">
        <f>BASICS!$J$48*CMA!O53</f>
        <v>4.1663695652173924</v>
      </c>
      <c r="P72" s="54">
        <f>BASICS!$J$48*CMA!P53</f>
        <v>4.3856521739130443</v>
      </c>
    </row>
    <row r="73" spans="1:21" x14ac:dyDescent="0.25">
      <c r="A73" s="37" t="s">
        <v>571</v>
      </c>
      <c r="B73" s="599" t="s">
        <v>431</v>
      </c>
      <c r="C73" s="598"/>
      <c r="D73" s="598"/>
      <c r="E73" s="598"/>
      <c r="G73" s="642">
        <v>0.05</v>
      </c>
      <c r="H73" s="85">
        <f>BASICS!I125</f>
        <v>0.77</v>
      </c>
      <c r="I73" s="85">
        <f>H73*(1+$G$73)</f>
        <v>0.80850000000000011</v>
      </c>
      <c r="J73" s="85">
        <f t="shared" ref="J73:P73" si="6">I73*(1+$G$73)</f>
        <v>0.84892500000000015</v>
      </c>
      <c r="K73" s="85">
        <f t="shared" si="6"/>
        <v>0.89137125000000017</v>
      </c>
      <c r="L73" s="85">
        <f t="shared" si="6"/>
        <v>0.93593981250000025</v>
      </c>
      <c r="M73" s="85">
        <f t="shared" si="6"/>
        <v>0.98273680312500034</v>
      </c>
      <c r="N73" s="85">
        <f t="shared" si="6"/>
        <v>1.0318736432812503</v>
      </c>
      <c r="O73" s="85">
        <f t="shared" si="6"/>
        <v>1.0834673254453129</v>
      </c>
      <c r="P73" s="85">
        <f t="shared" si="6"/>
        <v>1.1376406917175785</v>
      </c>
      <c r="Q73" s="641"/>
      <c r="R73" s="641"/>
      <c r="S73" s="641"/>
      <c r="T73" s="641"/>
      <c r="U73" s="641"/>
    </row>
    <row r="74" spans="1:21" x14ac:dyDescent="0.25">
      <c r="A74" s="37" t="s">
        <v>572</v>
      </c>
      <c r="B74" s="599" t="s">
        <v>568</v>
      </c>
      <c r="C74" s="598"/>
      <c r="D74" s="598"/>
      <c r="E74" s="598"/>
      <c r="G74" s="54"/>
      <c r="H74" s="85">
        <v>0.18170967111780001</v>
      </c>
      <c r="I74" s="85">
        <v>0.19988063822958005</v>
      </c>
      <c r="J74" s="85">
        <v>0.21986870205253806</v>
      </c>
      <c r="K74" s="85">
        <v>0.24185557225779186</v>
      </c>
      <c r="L74" s="85">
        <v>0.26604112948357106</v>
      </c>
      <c r="M74" s="85">
        <v>0.29264524243192819</v>
      </c>
      <c r="N74" s="85">
        <v>0.321909766675121</v>
      </c>
      <c r="O74" s="85">
        <v>0.35410074334263308</v>
      </c>
      <c r="P74" s="85">
        <v>0.38951081767689638</v>
      </c>
      <c r="Q74" s="670"/>
    </row>
    <row r="75" spans="1:21" x14ac:dyDescent="0.25">
      <c r="A75" s="37"/>
      <c r="B75" s="599" t="s">
        <v>367</v>
      </c>
      <c r="C75" s="598"/>
      <c r="D75" s="598"/>
      <c r="E75" s="598"/>
      <c r="G75" s="54"/>
      <c r="H75" s="85">
        <f>'PROJECT RK'!D540</f>
        <v>0.15035252835266702</v>
      </c>
      <c r="I75" s="85">
        <f>'PROJECT RK'!E540</f>
        <v>0.12955511803044528</v>
      </c>
      <c r="J75" s="85">
        <f>'PROJECT RK'!F540</f>
        <v>0.11164295992222048</v>
      </c>
      <c r="K75" s="85">
        <f>'PROJECT RK'!G540</f>
        <v>9.6214827970827407E-2</v>
      </c>
      <c r="L75" s="85">
        <f>'PROJECT RK'!H540</f>
        <v>8.2925407203043131E-2</v>
      </c>
      <c r="M75" s="85">
        <f>'PROJECT RK'!I540</f>
        <v>7.1477486849434016E-2</v>
      </c>
      <c r="N75" s="85">
        <f>'PROJECT RK'!J540</f>
        <v>6.1615245850473899E-2</v>
      </c>
      <c r="O75" s="85">
        <f>'PROJECT RK'!K540</f>
        <v>5.3118477528489652E-2</v>
      </c>
      <c r="P75" s="85">
        <f>'PROJECT RK'!L540</f>
        <v>4.5797621757355092E-2</v>
      </c>
    </row>
    <row r="76" spans="1:21" x14ac:dyDescent="0.25">
      <c r="A76" s="37" t="s">
        <v>563</v>
      </c>
      <c r="B76" s="599" t="s">
        <v>528</v>
      </c>
      <c r="C76" s="598"/>
      <c r="D76" s="598"/>
      <c r="E76" s="598"/>
      <c r="G76" s="54"/>
      <c r="H76" s="54">
        <f>BASICS!E193</f>
        <v>2.7729880429628957</v>
      </c>
      <c r="I76" s="54">
        <f>BASICS!F193</f>
        <v>2.3882877477633078</v>
      </c>
      <c r="J76" s="54">
        <f>BASICS!G193</f>
        <v>2.0570842601857433</v>
      </c>
      <c r="K76" s="54">
        <f>BASICS!H193</f>
        <v>1.7719227690379042</v>
      </c>
      <c r="L76" s="54">
        <f>BASICS!I193</f>
        <v>1.5263893804812168</v>
      </c>
      <c r="M76" s="54">
        <f>BASICS!J193</f>
        <v>1.3149654665280146</v>
      </c>
      <c r="N76" s="54">
        <f>BASICS!K193</f>
        <v>1.1329024429312327</v>
      </c>
      <c r="O76" s="54">
        <f>BASICS!L193</f>
        <v>0.97611410281794175</v>
      </c>
      <c r="P76" s="54">
        <f>BASICS!M193</f>
        <v>0.8410840380404454</v>
      </c>
    </row>
    <row r="77" spans="1:21" x14ac:dyDescent="0.25">
      <c r="A77" s="37" t="s">
        <v>573</v>
      </c>
      <c r="B77" s="606" t="s">
        <v>86</v>
      </c>
      <c r="C77" s="602"/>
      <c r="D77" s="602"/>
      <c r="E77" s="602"/>
      <c r="F77" s="591"/>
      <c r="G77" s="487"/>
      <c r="H77" s="265">
        <f>SUM(H66:H76)</f>
        <v>77.452484259824672</v>
      </c>
      <c r="I77" s="265">
        <f t="shared" ref="I77:P77" si="7">SUM(I66:I76)</f>
        <v>83.235110356197254</v>
      </c>
      <c r="J77" s="265">
        <f t="shared" si="7"/>
        <v>89.077860609117039</v>
      </c>
      <c r="K77" s="265">
        <f t="shared" si="7"/>
        <v>94.973156941005655</v>
      </c>
      <c r="L77" s="265">
        <f t="shared" si="7"/>
        <v>100.9145410861896</v>
      </c>
      <c r="M77" s="265">
        <f t="shared" si="7"/>
        <v>106.89652319023874</v>
      </c>
      <c r="N77" s="265">
        <f t="shared" si="7"/>
        <v>112.91445212482506</v>
      </c>
      <c r="O77" s="265">
        <f t="shared" si="7"/>
        <v>118.96440451000397</v>
      </c>
      <c r="P77" s="265">
        <f t="shared" si="7"/>
        <v>125.04308986484448</v>
      </c>
      <c r="Q77" s="641"/>
      <c r="R77" s="641"/>
      <c r="S77" s="641"/>
      <c r="T77" s="641"/>
      <c r="U77" s="641"/>
    </row>
    <row r="78" spans="1:21" x14ac:dyDescent="0.25">
      <c r="A78" s="37"/>
      <c r="B78" s="599" t="s">
        <v>268</v>
      </c>
      <c r="C78" s="598"/>
      <c r="D78" s="598"/>
      <c r="E78" s="598"/>
      <c r="G78" s="54"/>
      <c r="H78" s="40">
        <v>0</v>
      </c>
      <c r="I78" s="63">
        <f ca="1">H80</f>
        <v>0.35</v>
      </c>
      <c r="J78" s="63">
        <f t="shared" ref="J78:P78" ca="1" si="8">I80</f>
        <v>0.38</v>
      </c>
      <c r="K78" s="63">
        <f t="shared" ca="1" si="8"/>
        <v>0.4</v>
      </c>
      <c r="L78" s="63">
        <f t="shared" ca="1" si="8"/>
        <v>0.43</v>
      </c>
      <c r="M78" s="63">
        <f t="shared" ca="1" si="8"/>
        <v>0.46</v>
      </c>
      <c r="N78" s="63">
        <f t="shared" ca="1" si="8"/>
        <v>0.49</v>
      </c>
      <c r="O78" s="63">
        <f t="shared" ca="1" si="8"/>
        <v>0.51</v>
      </c>
      <c r="P78" s="63">
        <f t="shared" ca="1" si="8"/>
        <v>0.54</v>
      </c>
    </row>
    <row r="79" spans="1:21" x14ac:dyDescent="0.25">
      <c r="A79" s="37"/>
      <c r="B79" s="599" t="s">
        <v>269</v>
      </c>
      <c r="C79" s="598"/>
      <c r="D79" s="598"/>
      <c r="E79" s="598"/>
      <c r="G79" s="54"/>
      <c r="H79" s="49">
        <f>H77+H78</f>
        <v>77.452484259824672</v>
      </c>
      <c r="I79" s="49">
        <f t="shared" ref="I79:P79" ca="1" si="9">I77+I78</f>
        <v>83.585110356197248</v>
      </c>
      <c r="J79" s="49">
        <f t="shared" ca="1" si="9"/>
        <v>89.457860609117034</v>
      </c>
      <c r="K79" s="49">
        <f t="shared" ca="1" si="9"/>
        <v>95.373156941005661</v>
      </c>
      <c r="L79" s="49">
        <f t="shared" ca="1" si="9"/>
        <v>101.34454108618961</v>
      </c>
      <c r="M79" s="49">
        <f t="shared" ca="1" si="9"/>
        <v>107.35652319023873</v>
      </c>
      <c r="N79" s="49">
        <f t="shared" ca="1" si="9"/>
        <v>113.40445212482506</v>
      </c>
      <c r="O79" s="49">
        <f t="shared" ca="1" si="9"/>
        <v>119.47440451000398</v>
      </c>
      <c r="P79" s="49">
        <f t="shared" ca="1" si="9"/>
        <v>125.58308986484448</v>
      </c>
    </row>
    <row r="80" spans="1:21" x14ac:dyDescent="0.25">
      <c r="A80" s="37"/>
      <c r="B80" s="599" t="s">
        <v>270</v>
      </c>
      <c r="C80" s="598"/>
      <c r="D80" s="598"/>
      <c r="E80" s="598"/>
      <c r="G80" s="54"/>
      <c r="H80" s="49">
        <f ca="1">H253</f>
        <v>0.35</v>
      </c>
      <c r="I80" s="49">
        <f t="shared" ref="I80:P80" ca="1" si="10">I253</f>
        <v>0.38</v>
      </c>
      <c r="J80" s="49">
        <f t="shared" ca="1" si="10"/>
        <v>0.4</v>
      </c>
      <c r="K80" s="49">
        <f t="shared" ca="1" si="10"/>
        <v>0.43</v>
      </c>
      <c r="L80" s="49">
        <f t="shared" ca="1" si="10"/>
        <v>0.46</v>
      </c>
      <c r="M80" s="49">
        <f t="shared" ca="1" si="10"/>
        <v>0.49</v>
      </c>
      <c r="N80" s="49">
        <f t="shared" ca="1" si="10"/>
        <v>0.51</v>
      </c>
      <c r="O80" s="49">
        <f t="shared" ca="1" si="10"/>
        <v>0.54</v>
      </c>
      <c r="P80" s="49">
        <f t="shared" ca="1" si="10"/>
        <v>0.56999999999999995</v>
      </c>
    </row>
    <row r="81" spans="1:17" x14ac:dyDescent="0.25">
      <c r="A81" s="37"/>
      <c r="B81" s="599" t="s">
        <v>269</v>
      </c>
      <c r="C81" s="598"/>
      <c r="D81" s="598"/>
      <c r="E81" s="598"/>
      <c r="G81" s="54"/>
      <c r="H81" s="478">
        <f ca="1">H79-H80</f>
        <v>77.102484259824678</v>
      </c>
      <c r="I81" s="478">
        <f t="shared" ref="I81:P81" ca="1" si="11">I79-I80</f>
        <v>83.205110356197252</v>
      </c>
      <c r="J81" s="478">
        <f t="shared" ca="1" si="11"/>
        <v>89.057860609117029</v>
      </c>
      <c r="K81" s="478">
        <f t="shared" ca="1" si="11"/>
        <v>94.943156941005654</v>
      </c>
      <c r="L81" s="478">
        <f t="shared" ca="1" si="11"/>
        <v>100.88454108618961</v>
      </c>
      <c r="M81" s="478">
        <f t="shared" ca="1" si="11"/>
        <v>106.86652319023874</v>
      </c>
      <c r="N81" s="478">
        <f t="shared" ca="1" si="11"/>
        <v>112.89445212482505</v>
      </c>
      <c r="O81" s="478">
        <f t="shared" ca="1" si="11"/>
        <v>118.93440451000397</v>
      </c>
      <c r="P81" s="478">
        <f t="shared" ca="1" si="11"/>
        <v>125.01308986484449</v>
      </c>
    </row>
    <row r="82" spans="1:17" x14ac:dyDescent="0.25">
      <c r="A82" s="37" t="s">
        <v>574</v>
      </c>
      <c r="B82" s="599" t="s">
        <v>596</v>
      </c>
      <c r="C82" s="598"/>
      <c r="D82" s="598"/>
      <c r="E82" s="598"/>
      <c r="G82" s="54"/>
      <c r="H82" s="40">
        <v>0</v>
      </c>
      <c r="I82" s="63">
        <f ca="1">H84</f>
        <v>1.6015352813613433</v>
      </c>
      <c r="J82" s="63">
        <f t="shared" ref="J82:P82" ca="1" si="12">I84</f>
        <v>1.7615623722935023</v>
      </c>
      <c r="K82" s="63">
        <f t="shared" ca="1" si="12"/>
        <v>1.8864568571806342</v>
      </c>
      <c r="L82" s="63">
        <f t="shared" ca="1" si="12"/>
        <v>2.0112976159860652</v>
      </c>
      <c r="M82" s="63">
        <f t="shared" ca="1" si="12"/>
        <v>2.1373022875822842</v>
      </c>
      <c r="N82" s="63">
        <f t="shared" ca="1" si="12"/>
        <v>2.2641744164532556</v>
      </c>
      <c r="O82" s="63">
        <f t="shared" ca="1" si="12"/>
        <v>2.3920189489286297</v>
      </c>
      <c r="P82" s="63">
        <f t="shared" ca="1" si="12"/>
        <v>2.5201334249629914</v>
      </c>
    </row>
    <row r="83" spans="1:17" x14ac:dyDescent="0.25">
      <c r="A83" s="503"/>
      <c r="B83" s="599" t="s">
        <v>597</v>
      </c>
      <c r="C83" s="598"/>
      <c r="D83" s="598"/>
      <c r="E83" s="598"/>
      <c r="G83" s="54"/>
      <c r="H83" s="31">
        <f ca="1">H81+H82</f>
        <v>77.102484259824678</v>
      </c>
      <c r="I83" s="31">
        <f t="shared" ref="I83:P83" ca="1" si="13">I81+I82</f>
        <v>84.806645637558603</v>
      </c>
      <c r="J83" s="31">
        <f t="shared" ca="1" si="13"/>
        <v>90.819422981410526</v>
      </c>
      <c r="K83" s="31">
        <f t="shared" ca="1" si="13"/>
        <v>96.829613798186287</v>
      </c>
      <c r="L83" s="31">
        <f t="shared" ca="1" si="13"/>
        <v>102.89583870217568</v>
      </c>
      <c r="M83" s="31">
        <f t="shared" ca="1" si="13"/>
        <v>109.00382547782102</v>
      </c>
      <c r="N83" s="31">
        <f t="shared" ca="1" si="13"/>
        <v>115.15862654127831</v>
      </c>
      <c r="O83" s="31">
        <f t="shared" ca="1" si="13"/>
        <v>121.3264234589326</v>
      </c>
      <c r="P83" s="31">
        <f t="shared" ca="1" si="13"/>
        <v>127.53322328980748</v>
      </c>
    </row>
    <row r="84" spans="1:17" x14ac:dyDescent="0.25">
      <c r="A84" s="37" t="s">
        <v>575</v>
      </c>
      <c r="B84" s="599" t="s">
        <v>598</v>
      </c>
      <c r="C84" s="598"/>
      <c r="D84" s="598"/>
      <c r="E84" s="598"/>
      <c r="G84" s="54"/>
      <c r="H84" s="40">
        <f ca="1">H255</f>
        <v>1.6015352813613433</v>
      </c>
      <c r="I84" s="40">
        <f t="shared" ref="I84:P84" ca="1" si="14">I255</f>
        <v>1.7615623722935023</v>
      </c>
      <c r="J84" s="40">
        <f t="shared" ca="1" si="14"/>
        <v>1.8864568571806342</v>
      </c>
      <c r="K84" s="40">
        <f t="shared" ca="1" si="14"/>
        <v>2.0112976159860652</v>
      </c>
      <c r="L84" s="40">
        <f t="shared" ca="1" si="14"/>
        <v>2.1373022875822842</v>
      </c>
      <c r="M84" s="40">
        <f t="shared" ca="1" si="14"/>
        <v>2.2641744164532556</v>
      </c>
      <c r="N84" s="40">
        <f t="shared" ca="1" si="14"/>
        <v>2.3920189489286297</v>
      </c>
      <c r="O84" s="40">
        <f t="shared" ca="1" si="14"/>
        <v>2.5201334249629914</v>
      </c>
      <c r="P84" s="40">
        <f t="shared" ca="1" si="14"/>
        <v>2.6490580505301256</v>
      </c>
    </row>
    <row r="85" spans="1:17" x14ac:dyDescent="0.25">
      <c r="A85" s="37" t="s">
        <v>599</v>
      </c>
      <c r="B85" s="599" t="s">
        <v>600</v>
      </c>
      <c r="C85" s="598"/>
      <c r="D85" s="598"/>
      <c r="E85" s="598"/>
      <c r="G85" s="54"/>
      <c r="H85" s="49">
        <f ca="1">H83-H84</f>
        <v>75.500948978463327</v>
      </c>
      <c r="I85" s="49">
        <f t="shared" ref="I85:P85" ca="1" si="15">I83-I84</f>
        <v>83.045083265265106</v>
      </c>
      <c r="J85" s="49">
        <f t="shared" ca="1" si="15"/>
        <v>88.932966124229893</v>
      </c>
      <c r="K85" s="49">
        <f t="shared" ca="1" si="15"/>
        <v>94.818316182200221</v>
      </c>
      <c r="L85" s="49">
        <f t="shared" ca="1" si="15"/>
        <v>100.75853641459339</v>
      </c>
      <c r="M85" s="49">
        <f t="shared" ca="1" si="15"/>
        <v>106.73965106136777</v>
      </c>
      <c r="N85" s="49">
        <f t="shared" ca="1" si="15"/>
        <v>112.76660759234969</v>
      </c>
      <c r="O85" s="49">
        <f t="shared" ca="1" si="15"/>
        <v>118.8062900339696</v>
      </c>
      <c r="P85" s="49">
        <f t="shared" ca="1" si="15"/>
        <v>124.88416523927735</v>
      </c>
    </row>
    <row r="86" spans="1:17" x14ac:dyDescent="0.25">
      <c r="A86" s="37" t="s">
        <v>601</v>
      </c>
      <c r="B86" s="599" t="s">
        <v>271</v>
      </c>
      <c r="C86" s="598"/>
      <c r="D86" s="598"/>
      <c r="E86" s="598"/>
      <c r="G86" s="54"/>
      <c r="H86" s="49">
        <f>'PROJECT RK'!D562</f>
        <v>1.4000000000000002E-2</v>
      </c>
      <c r="I86" s="49">
        <f>'PROJECT RK'!E562</f>
        <v>1.4000000000000002E-2</v>
      </c>
      <c r="J86" s="49">
        <f>'PROJECT RK'!F562</f>
        <v>1.4000000000000002E-2</v>
      </c>
      <c r="K86" s="49">
        <f>'PROJECT RK'!G562</f>
        <v>1.4000000000000002E-2</v>
      </c>
      <c r="L86" s="49">
        <f>'PROJECT RK'!H562</f>
        <v>1.4000000000000002E-2</v>
      </c>
      <c r="M86" s="49">
        <f>'PROJECT RK'!I562</f>
        <v>0</v>
      </c>
      <c r="N86" s="49">
        <f>'PROJECT RK'!J562</f>
        <v>0</v>
      </c>
      <c r="O86" s="49">
        <f>'PROJECT RK'!K562</f>
        <v>0</v>
      </c>
      <c r="P86" s="49">
        <f>'PROJECT RK'!L562</f>
        <v>0</v>
      </c>
    </row>
    <row r="87" spans="1:17" x14ac:dyDescent="0.25">
      <c r="A87" s="37" t="s">
        <v>603</v>
      </c>
      <c r="B87" s="599" t="s">
        <v>602</v>
      </c>
      <c r="C87" s="598"/>
      <c r="D87" s="598"/>
      <c r="E87" s="598"/>
      <c r="G87" s="54"/>
      <c r="H87" s="49">
        <f>SUM('PROJECT RK'!D553:D555)</f>
        <v>2.044664</v>
      </c>
      <c r="I87" s="49">
        <f>SUM('PROJECT RK'!E553:E555)</f>
        <v>2.2351620000000003</v>
      </c>
      <c r="J87" s="49">
        <f>SUM('PROJECT RK'!F553:F555)</f>
        <v>2.394882</v>
      </c>
      <c r="K87" s="49">
        <f>SUM('PROJECT RK'!G553:G555)</f>
        <v>2.5557570000000003</v>
      </c>
      <c r="L87" s="49">
        <f>SUM('PROJECT RK'!H553:H555)</f>
        <v>2.7178447500000007</v>
      </c>
      <c r="M87" s="49">
        <f>SUM('PROJECT RK'!I553:I555)</f>
        <v>2.8812058875000006</v>
      </c>
      <c r="N87" s="49">
        <f>SUM('PROJECT RK'!J553:J555)</f>
        <v>3.0459040818750007</v>
      </c>
      <c r="O87" s="49">
        <f>SUM('PROJECT RK'!K553:K555)</f>
        <v>3.2120061859687512</v>
      </c>
      <c r="P87" s="49">
        <f>SUM('PROJECT RK'!L553:L555)</f>
        <v>3.3795823952671884</v>
      </c>
    </row>
    <row r="88" spans="1:17" x14ac:dyDescent="0.25">
      <c r="A88" s="470" t="s">
        <v>605</v>
      </c>
      <c r="B88" s="61" t="s">
        <v>604</v>
      </c>
      <c r="C88" s="701"/>
      <c r="D88" s="701"/>
      <c r="E88" s="701"/>
      <c r="F88" s="79"/>
      <c r="G88" s="702"/>
      <c r="H88" s="256">
        <f ca="1">H85+H86+H87</f>
        <v>77.559612978463321</v>
      </c>
      <c r="I88" s="256">
        <f t="shared" ref="I88:P88" ca="1" si="16">I85+I86+I87</f>
        <v>85.294245265265104</v>
      </c>
      <c r="J88" s="256">
        <f t="shared" ca="1" si="16"/>
        <v>91.341848124229884</v>
      </c>
      <c r="K88" s="256">
        <f t="shared" ca="1" si="16"/>
        <v>97.388073182200216</v>
      </c>
      <c r="L88" s="256">
        <f t="shared" ca="1" si="16"/>
        <v>103.49038116459339</v>
      </c>
      <c r="M88" s="256">
        <f t="shared" ca="1" si="16"/>
        <v>109.62085694886777</v>
      </c>
      <c r="N88" s="256">
        <f t="shared" ca="1" si="16"/>
        <v>115.81251167422468</v>
      </c>
      <c r="O88" s="256">
        <f t="shared" ca="1" si="16"/>
        <v>122.01829621993835</v>
      </c>
      <c r="P88" s="256">
        <f t="shared" ca="1" si="16"/>
        <v>128.26374763454453</v>
      </c>
    </row>
    <row r="89" spans="1:17" x14ac:dyDescent="0.25">
      <c r="A89" s="473"/>
      <c r="B89" s="504"/>
      <c r="C89" s="59"/>
      <c r="D89" s="59"/>
      <c r="E89" s="59"/>
      <c r="F89" s="12"/>
      <c r="G89" s="52"/>
      <c r="H89" s="52"/>
      <c r="I89" s="52"/>
      <c r="J89" s="52"/>
      <c r="K89" s="52"/>
      <c r="L89" s="52"/>
      <c r="M89" s="52"/>
      <c r="N89" s="12"/>
      <c r="O89" s="12"/>
      <c r="P89" s="16"/>
    </row>
    <row r="90" spans="1:17" x14ac:dyDescent="0.25">
      <c r="A90" s="37"/>
      <c r="B90" s="599"/>
      <c r="C90" s="598"/>
      <c r="D90" s="598"/>
      <c r="E90" s="598"/>
      <c r="G90" s="583"/>
      <c r="H90" s="583"/>
      <c r="I90" s="583"/>
      <c r="J90" s="583"/>
      <c r="K90" s="583"/>
      <c r="L90" s="583"/>
      <c r="M90" s="583"/>
      <c r="P90" s="17"/>
    </row>
    <row r="91" spans="1:17" x14ac:dyDescent="0.25">
      <c r="A91" s="37"/>
      <c r="B91" s="599"/>
      <c r="C91" s="598"/>
      <c r="D91" s="598"/>
      <c r="E91" s="598"/>
      <c r="G91" s="583"/>
      <c r="H91" s="583"/>
      <c r="I91" s="583"/>
      <c r="J91" s="583"/>
      <c r="K91" s="583"/>
      <c r="L91" s="583"/>
      <c r="M91" s="583"/>
      <c r="P91" s="17"/>
    </row>
    <row r="92" spans="1:17" x14ac:dyDescent="0.25">
      <c r="A92" s="470"/>
      <c r="B92" s="41"/>
      <c r="C92" s="42"/>
      <c r="D92" s="42"/>
      <c r="E92" s="42"/>
      <c r="F92" s="19"/>
      <c r="G92" s="43"/>
      <c r="H92" s="43"/>
      <c r="I92" s="43"/>
      <c r="J92" s="43"/>
      <c r="K92" s="43"/>
      <c r="L92" s="43"/>
      <c r="M92" s="43"/>
      <c r="N92" s="19"/>
      <c r="O92" s="19"/>
      <c r="P92" s="22"/>
    </row>
    <row r="93" spans="1:17" x14ac:dyDescent="0.25">
      <c r="A93" s="803" t="s">
        <v>843</v>
      </c>
      <c r="B93" s="804"/>
      <c r="C93" s="804"/>
      <c r="D93" s="804"/>
      <c r="E93" s="804"/>
      <c r="F93" s="804"/>
      <c r="G93" s="804"/>
      <c r="H93" s="804"/>
      <c r="I93" s="804"/>
      <c r="J93" s="804"/>
      <c r="K93" s="804"/>
      <c r="L93" s="804"/>
      <c r="M93" s="804"/>
      <c r="N93" s="804"/>
      <c r="O93" s="804"/>
      <c r="P93" s="805"/>
    </row>
    <row r="94" spans="1:17" x14ac:dyDescent="0.25">
      <c r="A94" s="796" t="s">
        <v>1139</v>
      </c>
      <c r="B94" s="797"/>
      <c r="C94" s="797"/>
      <c r="D94" s="797"/>
      <c r="E94" s="797"/>
      <c r="F94" s="797"/>
      <c r="G94" s="797"/>
      <c r="H94" s="797"/>
      <c r="I94" s="797"/>
      <c r="J94" s="797"/>
      <c r="K94" s="797"/>
      <c r="L94" s="797"/>
      <c r="M94" s="797"/>
      <c r="N94" s="797"/>
      <c r="O94" s="797"/>
      <c r="P94" s="798"/>
    </row>
    <row r="95" spans="1:17" x14ac:dyDescent="0.25">
      <c r="A95" s="796"/>
      <c r="B95" s="797"/>
      <c r="C95" s="797"/>
      <c r="D95" s="797"/>
      <c r="E95" s="797"/>
      <c r="F95" s="797"/>
      <c r="G95" s="797"/>
      <c r="H95" s="797"/>
      <c r="I95" s="797"/>
      <c r="J95" s="797"/>
      <c r="K95" s="797"/>
      <c r="L95" s="797"/>
      <c r="M95" s="797"/>
      <c r="N95" s="797"/>
      <c r="O95" s="797"/>
      <c r="P95" s="798"/>
    </row>
    <row r="96" spans="1:17" x14ac:dyDescent="0.25">
      <c r="A96" s="795" t="s">
        <v>443</v>
      </c>
      <c r="B96" s="795"/>
      <c r="C96" s="795"/>
      <c r="D96" s="795"/>
      <c r="E96" s="795"/>
      <c r="F96" s="795"/>
      <c r="G96" s="795"/>
      <c r="H96" s="250">
        <v>1</v>
      </c>
      <c r="I96" s="250">
        <v>2</v>
      </c>
      <c r="J96" s="250">
        <v>3</v>
      </c>
      <c r="K96" s="250">
        <v>4</v>
      </c>
      <c r="L96" s="250">
        <v>5</v>
      </c>
      <c r="M96" s="250">
        <v>6</v>
      </c>
      <c r="N96" s="250">
        <v>7</v>
      </c>
      <c r="O96" s="250">
        <v>8</v>
      </c>
      <c r="P96" s="248">
        <v>9</v>
      </c>
      <c r="Q96" s="9" t="s">
        <v>441</v>
      </c>
    </row>
    <row r="97" spans="1:20" x14ac:dyDescent="0.25">
      <c r="A97" s="799" t="s">
        <v>582</v>
      </c>
      <c r="B97" s="800"/>
      <c r="C97" s="800"/>
      <c r="D97" s="800"/>
      <c r="E97" s="800"/>
      <c r="F97" s="800"/>
      <c r="G97" s="806"/>
      <c r="H97" s="250">
        <v>2024</v>
      </c>
      <c r="I97" s="250">
        <v>2025</v>
      </c>
      <c r="J97" s="250">
        <v>2026</v>
      </c>
      <c r="K97" s="250">
        <v>2027</v>
      </c>
      <c r="L97" s="250">
        <v>2028</v>
      </c>
      <c r="M97" s="250">
        <v>2029</v>
      </c>
      <c r="N97" s="250">
        <v>2030</v>
      </c>
      <c r="O97" s="250">
        <v>2031</v>
      </c>
      <c r="P97" s="248">
        <v>2032</v>
      </c>
    </row>
    <row r="98" spans="1:20" x14ac:dyDescent="0.25">
      <c r="A98" s="37" t="s">
        <v>607</v>
      </c>
      <c r="B98" s="599" t="s">
        <v>606</v>
      </c>
      <c r="C98" s="598"/>
      <c r="D98" s="598"/>
      <c r="E98" s="598"/>
      <c r="G98" s="54"/>
      <c r="H98" s="583">
        <f ca="1">H60-H88</f>
        <v>2.6735870215366759</v>
      </c>
      <c r="I98" s="583">
        <f t="shared" ref="I98:P98" ca="1" si="17">I60-I88</f>
        <v>3.3638547347349004</v>
      </c>
      <c r="J98" s="583">
        <f t="shared" ca="1" si="17"/>
        <v>4.1472518757701238</v>
      </c>
      <c r="K98" s="583">
        <f t="shared" ca="1" si="17"/>
        <v>4.9320268177997946</v>
      </c>
      <c r="L98" s="583">
        <f t="shared" ca="1" si="17"/>
        <v>5.6607188354066409</v>
      </c>
      <c r="M98" s="583">
        <f t="shared" ca="1" si="17"/>
        <v>6.3612430511322486</v>
      </c>
      <c r="N98" s="583">
        <f t="shared" ca="1" si="17"/>
        <v>7.0005883257753396</v>
      </c>
      <c r="O98" s="583">
        <f t="shared" ca="1" si="17"/>
        <v>7.6258037800616876</v>
      </c>
      <c r="P98" s="583">
        <f t="shared" ca="1" si="17"/>
        <v>8.2113523654554967</v>
      </c>
      <c r="Q98" s="645"/>
      <c r="R98" s="645"/>
      <c r="S98" s="645"/>
      <c r="T98" s="645"/>
    </row>
    <row r="99" spans="1:20" x14ac:dyDescent="0.25">
      <c r="A99" s="37" t="s">
        <v>608</v>
      </c>
      <c r="B99" s="599" t="s">
        <v>419</v>
      </c>
      <c r="C99" s="598"/>
      <c r="D99" s="598"/>
      <c r="E99" s="598"/>
      <c r="G99" s="54"/>
      <c r="H99" s="63">
        <f>SUM('PROJECT RK'!D558:D560)</f>
        <v>1.3018999999999998</v>
      </c>
      <c r="I99" s="63">
        <f>SUM('PROJECT RK'!E558:E560)</f>
        <v>1.2477</v>
      </c>
      <c r="J99" s="63">
        <f>SUM('PROJECT RK'!F558:F560)</f>
        <v>1.1693250000000002</v>
      </c>
      <c r="K99" s="63">
        <f>SUM('PROJECT RK'!G558:G560)</f>
        <v>1.0748812500000009</v>
      </c>
      <c r="L99" s="63">
        <f>SUM('PROJECT RK'!H558:H560)</f>
        <v>0.96437531250000108</v>
      </c>
      <c r="M99" s="63">
        <f>SUM('PROJECT RK'!I558:I560)</f>
        <v>0.8216140781250012</v>
      </c>
      <c r="N99" s="63">
        <f>SUM('PROJECT RK'!J558:J560)</f>
        <v>0.64660478203125127</v>
      </c>
      <c r="O99" s="63">
        <f>SUM('PROJECT RK'!K558:K560)</f>
        <v>0.45555502113281365</v>
      </c>
      <c r="P99" s="63">
        <f>SUM('PROJECT RK'!L558:L560)</f>
        <v>0.28087277218945428</v>
      </c>
    </row>
    <row r="100" spans="1:20" x14ac:dyDescent="0.25">
      <c r="A100" s="37" t="s">
        <v>610</v>
      </c>
      <c r="B100" s="599" t="s">
        <v>609</v>
      </c>
      <c r="C100" s="598"/>
      <c r="D100" s="598"/>
      <c r="E100" s="598"/>
      <c r="G100" s="45"/>
      <c r="H100" s="31">
        <f ca="1">H98-H99</f>
        <v>1.3716870215366761</v>
      </c>
      <c r="I100" s="31">
        <f t="shared" ref="I100:P100" ca="1" si="18">I98-I99</f>
        <v>2.1161547347349003</v>
      </c>
      <c r="J100" s="31">
        <f t="shared" ca="1" si="18"/>
        <v>2.9779268757701236</v>
      </c>
      <c r="K100" s="31">
        <f t="shared" ca="1" si="18"/>
        <v>3.8571455677997939</v>
      </c>
      <c r="L100" s="31">
        <f t="shared" ca="1" si="18"/>
        <v>4.6963435229066395</v>
      </c>
      <c r="M100" s="31">
        <f t="shared" ca="1" si="18"/>
        <v>5.5396289730072477</v>
      </c>
      <c r="N100" s="31">
        <f t="shared" ca="1" si="18"/>
        <v>6.3539835437440884</v>
      </c>
      <c r="O100" s="31">
        <f t="shared" ca="1" si="18"/>
        <v>7.1702487589288744</v>
      </c>
      <c r="P100" s="31">
        <f t="shared" ca="1" si="18"/>
        <v>7.9304795932660426</v>
      </c>
    </row>
    <row r="101" spans="1:20" x14ac:dyDescent="0.25">
      <c r="A101" s="37" t="s">
        <v>618</v>
      </c>
      <c r="B101" s="599" t="s">
        <v>89</v>
      </c>
      <c r="C101" s="598"/>
      <c r="D101" s="598"/>
      <c r="E101" s="598"/>
      <c r="G101" s="45"/>
      <c r="H101" s="33"/>
      <c r="I101" s="583"/>
      <c r="J101" s="33"/>
      <c r="K101" s="583"/>
      <c r="L101" s="33"/>
      <c r="M101" s="583"/>
      <c r="N101" s="62"/>
      <c r="P101" s="62"/>
    </row>
    <row r="102" spans="1:20" x14ac:dyDescent="0.25">
      <c r="A102" s="37" t="s">
        <v>591</v>
      </c>
      <c r="B102" s="599" t="s">
        <v>611</v>
      </c>
      <c r="D102" s="598"/>
      <c r="E102" s="598"/>
      <c r="G102" s="45"/>
      <c r="H102" s="30">
        <v>0</v>
      </c>
      <c r="I102" s="45">
        <v>0</v>
      </c>
      <c r="J102" s="30">
        <v>0</v>
      </c>
      <c r="K102" s="45">
        <v>0</v>
      </c>
      <c r="L102" s="30">
        <v>0</v>
      </c>
      <c r="M102" s="45">
        <v>0</v>
      </c>
      <c r="N102" s="30">
        <v>0</v>
      </c>
      <c r="O102" s="45">
        <v>0</v>
      </c>
      <c r="P102" s="30">
        <v>0</v>
      </c>
    </row>
    <row r="103" spans="1:20" x14ac:dyDescent="0.25">
      <c r="A103" s="503"/>
      <c r="B103" s="599" t="s">
        <v>612</v>
      </c>
      <c r="D103" s="598"/>
      <c r="E103" s="598"/>
      <c r="G103" s="45"/>
      <c r="H103" s="30">
        <v>0</v>
      </c>
      <c r="I103" s="45">
        <v>0</v>
      </c>
      <c r="J103" s="30">
        <v>0</v>
      </c>
      <c r="K103" s="45">
        <v>0</v>
      </c>
      <c r="L103" s="30">
        <v>0</v>
      </c>
      <c r="M103" s="45">
        <v>0</v>
      </c>
      <c r="N103" s="30">
        <v>0</v>
      </c>
      <c r="O103" s="45">
        <v>0</v>
      </c>
      <c r="P103" s="30">
        <v>0</v>
      </c>
    </row>
    <row r="104" spans="1:20" x14ac:dyDescent="0.25">
      <c r="A104" s="37" t="s">
        <v>569</v>
      </c>
      <c r="B104" s="599" t="s">
        <v>613</v>
      </c>
      <c r="D104" s="598"/>
      <c r="E104" s="598"/>
      <c r="G104" s="45"/>
      <c r="H104" s="30">
        <v>0</v>
      </c>
      <c r="I104" s="45">
        <v>0</v>
      </c>
      <c r="J104" s="30">
        <v>0</v>
      </c>
      <c r="K104" s="45">
        <v>0</v>
      </c>
      <c r="L104" s="30">
        <v>0</v>
      </c>
      <c r="M104" s="45">
        <v>0</v>
      </c>
      <c r="N104" s="30">
        <v>0</v>
      </c>
      <c r="O104" s="45">
        <v>0</v>
      </c>
      <c r="P104" s="30">
        <v>0</v>
      </c>
    </row>
    <row r="105" spans="1:20" x14ac:dyDescent="0.25">
      <c r="A105" s="503"/>
      <c r="B105" s="599" t="s">
        <v>614</v>
      </c>
      <c r="D105" s="598"/>
      <c r="E105" s="598"/>
      <c r="G105" s="45"/>
      <c r="H105" s="30">
        <v>0</v>
      </c>
      <c r="I105" s="45">
        <v>0</v>
      </c>
      <c r="J105" s="30">
        <v>0</v>
      </c>
      <c r="K105" s="45">
        <v>0</v>
      </c>
      <c r="L105" s="30">
        <v>0</v>
      </c>
      <c r="M105" s="45">
        <v>0</v>
      </c>
      <c r="N105" s="30">
        <v>0</v>
      </c>
      <c r="O105" s="45">
        <v>0</v>
      </c>
      <c r="P105" s="30">
        <v>0</v>
      </c>
    </row>
    <row r="106" spans="1:20" x14ac:dyDescent="0.25">
      <c r="A106" s="37" t="s">
        <v>570</v>
      </c>
      <c r="B106" s="599" t="s">
        <v>615</v>
      </c>
      <c r="D106" s="598"/>
      <c r="E106" s="598"/>
      <c r="G106" s="45"/>
      <c r="H106" s="30">
        <v>0</v>
      </c>
      <c r="I106" s="45">
        <v>0</v>
      </c>
      <c r="J106" s="30">
        <v>0</v>
      </c>
      <c r="K106" s="45">
        <v>0</v>
      </c>
      <c r="L106" s="30">
        <v>0</v>
      </c>
      <c r="M106" s="45">
        <v>0</v>
      </c>
      <c r="N106" s="30">
        <v>0</v>
      </c>
      <c r="O106" s="45">
        <v>0</v>
      </c>
      <c r="P106" s="30">
        <v>0</v>
      </c>
    </row>
    <row r="107" spans="1:20" x14ac:dyDescent="0.25">
      <c r="A107" s="503"/>
      <c r="B107" s="599" t="s">
        <v>616</v>
      </c>
      <c r="D107" s="598"/>
      <c r="E107" s="598"/>
      <c r="G107" s="583"/>
      <c r="H107" s="33"/>
      <c r="I107" s="583"/>
      <c r="J107" s="33"/>
      <c r="K107" s="583"/>
      <c r="L107" s="33"/>
      <c r="M107" s="583"/>
      <c r="N107" s="33"/>
      <c r="O107" s="583"/>
      <c r="P107" s="33"/>
    </row>
    <row r="108" spans="1:20" x14ac:dyDescent="0.25">
      <c r="A108" s="503"/>
      <c r="B108" s="599" t="s">
        <v>617</v>
      </c>
      <c r="D108" s="598"/>
      <c r="E108" s="598"/>
      <c r="G108" s="583"/>
      <c r="H108" s="33"/>
      <c r="I108" s="583"/>
      <c r="J108" s="33"/>
      <c r="K108" s="583"/>
      <c r="L108" s="33"/>
      <c r="M108" s="583"/>
      <c r="N108" s="33"/>
      <c r="O108" s="583"/>
      <c r="P108" s="33"/>
    </row>
    <row r="109" spans="1:20" x14ac:dyDescent="0.25">
      <c r="A109" s="37" t="s">
        <v>620</v>
      </c>
      <c r="B109" s="599" t="s">
        <v>619</v>
      </c>
      <c r="C109" s="598"/>
      <c r="D109" s="598"/>
      <c r="E109" s="598"/>
      <c r="G109" s="45"/>
      <c r="H109" s="34">
        <f ca="1">H100-H106</f>
        <v>1.3716870215366761</v>
      </c>
      <c r="I109" s="34">
        <f t="shared" ref="I109:P109" ca="1" si="19">I100-I106</f>
        <v>2.1161547347349003</v>
      </c>
      <c r="J109" s="34">
        <f t="shared" ca="1" si="19"/>
        <v>2.9779268757701236</v>
      </c>
      <c r="K109" s="34">
        <f t="shared" ca="1" si="19"/>
        <v>3.8571455677997939</v>
      </c>
      <c r="L109" s="34">
        <f t="shared" ca="1" si="19"/>
        <v>4.6963435229066395</v>
      </c>
      <c r="M109" s="34">
        <f t="shared" ca="1" si="19"/>
        <v>5.5396289730072477</v>
      </c>
      <c r="N109" s="34">
        <f t="shared" ca="1" si="19"/>
        <v>6.3539835437440884</v>
      </c>
      <c r="O109" s="34">
        <f t="shared" ca="1" si="19"/>
        <v>7.1702487589288744</v>
      </c>
      <c r="P109" s="34">
        <f t="shared" ca="1" si="19"/>
        <v>7.9304795932660426</v>
      </c>
    </row>
    <row r="110" spans="1:20" x14ac:dyDescent="0.25">
      <c r="A110" s="37" t="s">
        <v>622</v>
      </c>
      <c r="B110" s="599" t="s">
        <v>621</v>
      </c>
      <c r="C110" s="598"/>
      <c r="D110" s="598"/>
      <c r="E110" s="598"/>
      <c r="G110" s="45"/>
      <c r="H110" s="33">
        <f ca="1">'PROJECT RK'!D564</f>
        <v>0.28432129496886005</v>
      </c>
      <c r="I110" s="33">
        <f ca="1">'PROJECT RK'!E564</f>
        <v>0.48137107491666109</v>
      </c>
      <c r="J110" s="33">
        <f ca="1">'PROJECT RK'!F564</f>
        <v>0.70394791232315168</v>
      </c>
      <c r="K110" s="33">
        <f ca="1">'PROJECT RK'!G564</f>
        <v>0.9282173042086268</v>
      </c>
      <c r="L110" s="33">
        <f ca="1">'PROJECT RK'!H564</f>
        <v>1.1406124524880144</v>
      </c>
      <c r="M110" s="33">
        <f ca="1">'PROJECT RK'!I564</f>
        <v>1.3523427194837474</v>
      </c>
      <c r="N110" s="33">
        <f ca="1">'PROJECT RK'!J564</f>
        <v>1.5556603286499131</v>
      </c>
      <c r="O110" s="33">
        <f ca="1">'PROJECT RK'!K564</f>
        <v>1.7583892857109396</v>
      </c>
      <c r="P110" s="33">
        <f ca="1">'PROJECT RK'!L564</f>
        <v>1.9465660243875629</v>
      </c>
    </row>
    <row r="111" spans="1:20" x14ac:dyDescent="0.25">
      <c r="A111" s="37" t="s">
        <v>624</v>
      </c>
      <c r="B111" s="599" t="s">
        <v>623</v>
      </c>
      <c r="C111" s="598"/>
      <c r="D111" s="598"/>
      <c r="E111" s="598"/>
      <c r="G111" s="45"/>
      <c r="H111" s="34">
        <f ca="1">H109-H110</f>
        <v>1.087365726567816</v>
      </c>
      <c r="I111" s="34">
        <f t="shared" ref="I111:P111" ca="1" si="20">I109-I110</f>
        <v>1.6347836598182393</v>
      </c>
      <c r="J111" s="34">
        <f t="shared" ca="1" si="20"/>
        <v>2.273978963446972</v>
      </c>
      <c r="K111" s="34">
        <f t="shared" ca="1" si="20"/>
        <v>2.9289282635911671</v>
      </c>
      <c r="L111" s="34">
        <f t="shared" ca="1" si="20"/>
        <v>3.5557310704186254</v>
      </c>
      <c r="M111" s="34">
        <f t="shared" ca="1" si="20"/>
        <v>4.1872862535235003</v>
      </c>
      <c r="N111" s="34">
        <f t="shared" ca="1" si="20"/>
        <v>4.7983232150941753</v>
      </c>
      <c r="O111" s="34">
        <f t="shared" ca="1" si="20"/>
        <v>5.4118594732179348</v>
      </c>
      <c r="P111" s="34">
        <f t="shared" ca="1" si="20"/>
        <v>5.9839135688784797</v>
      </c>
    </row>
    <row r="112" spans="1:20" x14ac:dyDescent="0.25">
      <c r="A112" s="37" t="s">
        <v>627</v>
      </c>
      <c r="B112" s="599" t="s">
        <v>625</v>
      </c>
      <c r="C112" s="598"/>
      <c r="D112" s="598"/>
      <c r="E112" s="598"/>
      <c r="G112" s="54"/>
      <c r="H112" s="49"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</row>
    <row r="113" spans="1:16" x14ac:dyDescent="0.25">
      <c r="A113" s="503"/>
      <c r="B113" s="599" t="s">
        <v>626</v>
      </c>
      <c r="C113" s="598"/>
      <c r="D113" s="598"/>
      <c r="E113" s="598"/>
      <c r="G113" s="54"/>
      <c r="H113" s="89">
        <f ca="1">H112/H111</f>
        <v>0</v>
      </c>
      <c r="I113" s="89">
        <f t="shared" ref="I113:P113" ca="1" si="21">I112/I111</f>
        <v>0</v>
      </c>
      <c r="J113" s="89">
        <f t="shared" ca="1" si="21"/>
        <v>0</v>
      </c>
      <c r="K113" s="89">
        <f t="shared" ca="1" si="21"/>
        <v>0</v>
      </c>
      <c r="L113" s="89">
        <f t="shared" ca="1" si="21"/>
        <v>0</v>
      </c>
      <c r="M113" s="89">
        <f t="shared" ca="1" si="21"/>
        <v>0</v>
      </c>
      <c r="N113" s="89">
        <f t="shared" ca="1" si="21"/>
        <v>0</v>
      </c>
      <c r="O113" s="89">
        <f t="shared" ca="1" si="21"/>
        <v>0</v>
      </c>
      <c r="P113" s="89">
        <f t="shared" ca="1" si="21"/>
        <v>0</v>
      </c>
    </row>
    <row r="114" spans="1:16" x14ac:dyDescent="0.25">
      <c r="A114" s="37" t="s">
        <v>629</v>
      </c>
      <c r="B114" s="599" t="s">
        <v>628</v>
      </c>
      <c r="C114" s="598"/>
      <c r="D114" s="598"/>
      <c r="E114" s="598"/>
      <c r="G114" s="45"/>
      <c r="H114" s="35">
        <f ca="1">H111-H112</f>
        <v>1.087365726567816</v>
      </c>
      <c r="I114" s="35">
        <f t="shared" ref="I114:P114" ca="1" si="22">I111-I112</f>
        <v>1.6347836598182393</v>
      </c>
      <c r="J114" s="35">
        <f t="shared" ca="1" si="22"/>
        <v>2.273978963446972</v>
      </c>
      <c r="K114" s="35">
        <f t="shared" ca="1" si="22"/>
        <v>2.9289282635911671</v>
      </c>
      <c r="L114" s="35">
        <f t="shared" ca="1" si="22"/>
        <v>3.5557310704186254</v>
      </c>
      <c r="M114" s="35">
        <f t="shared" ca="1" si="22"/>
        <v>4.1872862535235003</v>
      </c>
      <c r="N114" s="35">
        <f t="shared" ca="1" si="22"/>
        <v>4.7983232150941753</v>
      </c>
      <c r="O114" s="35">
        <f t="shared" ca="1" si="22"/>
        <v>5.4118594732179348</v>
      </c>
      <c r="P114" s="35">
        <f t="shared" ca="1" si="22"/>
        <v>5.9839135688784797</v>
      </c>
    </row>
    <row r="115" spans="1:16" x14ac:dyDescent="0.25">
      <c r="A115" s="470" t="s">
        <v>659</v>
      </c>
      <c r="B115" s="41" t="s">
        <v>630</v>
      </c>
      <c r="C115" s="42"/>
      <c r="D115" s="42"/>
      <c r="E115" s="42"/>
      <c r="F115" s="19"/>
      <c r="G115" s="84"/>
      <c r="H115" s="135">
        <f ca="1">H114/H111</f>
        <v>1</v>
      </c>
      <c r="I115" s="135">
        <f t="shared" ref="I115:P115" ca="1" si="23">I114/I111</f>
        <v>1</v>
      </c>
      <c r="J115" s="135">
        <f t="shared" ca="1" si="23"/>
        <v>1</v>
      </c>
      <c r="K115" s="135">
        <f t="shared" ca="1" si="23"/>
        <v>1</v>
      </c>
      <c r="L115" s="135">
        <f t="shared" ca="1" si="23"/>
        <v>1</v>
      </c>
      <c r="M115" s="135">
        <f t="shared" ca="1" si="23"/>
        <v>1</v>
      </c>
      <c r="N115" s="135">
        <f t="shared" ca="1" si="23"/>
        <v>1</v>
      </c>
      <c r="O115" s="135">
        <f t="shared" ca="1" si="23"/>
        <v>1</v>
      </c>
      <c r="P115" s="135">
        <f t="shared" ca="1" si="23"/>
        <v>1</v>
      </c>
    </row>
    <row r="116" spans="1:16" x14ac:dyDescent="0.25">
      <c r="A116" s="37"/>
      <c r="B116" s="599"/>
      <c r="C116" s="598"/>
      <c r="D116" s="598"/>
      <c r="E116" s="598"/>
      <c r="G116" s="45"/>
      <c r="H116" s="583"/>
      <c r="I116" s="583"/>
      <c r="J116" s="583"/>
      <c r="K116" s="583"/>
      <c r="L116" s="583"/>
      <c r="M116" s="583"/>
      <c r="P116" s="17"/>
    </row>
    <row r="117" spans="1:16" x14ac:dyDescent="0.25">
      <c r="A117" s="37"/>
      <c r="B117" s="599"/>
      <c r="C117" s="598"/>
      <c r="D117" s="598"/>
      <c r="E117" s="598"/>
      <c r="G117" s="45"/>
      <c r="H117" s="583"/>
      <c r="I117" s="583"/>
      <c r="J117" s="583"/>
      <c r="K117" s="583"/>
      <c r="L117" s="583"/>
      <c r="M117" s="583"/>
      <c r="P117" s="17"/>
    </row>
    <row r="118" spans="1:16" x14ac:dyDescent="0.25">
      <c r="A118" s="37"/>
      <c r="B118" s="599"/>
      <c r="C118" s="598"/>
      <c r="D118" s="598"/>
      <c r="E118" s="598"/>
      <c r="G118" s="45"/>
      <c r="H118" s="583"/>
      <c r="I118" s="583"/>
      <c r="J118" s="583"/>
      <c r="K118" s="583"/>
      <c r="L118" s="583"/>
      <c r="M118" s="583"/>
      <c r="N118" s="583"/>
      <c r="O118" s="583"/>
      <c r="P118" s="49"/>
    </row>
    <row r="119" spans="1:16" x14ac:dyDescent="0.25">
      <c r="A119" s="37"/>
      <c r="B119" s="599"/>
      <c r="C119" s="598"/>
      <c r="D119" s="598"/>
      <c r="E119" s="598"/>
      <c r="G119" s="45"/>
      <c r="H119" s="583"/>
      <c r="I119" s="583"/>
      <c r="J119" s="583"/>
      <c r="K119" s="583"/>
      <c r="L119" s="583"/>
      <c r="M119" s="583"/>
      <c r="N119" s="583"/>
      <c r="O119" s="583"/>
      <c r="P119" s="49"/>
    </row>
    <row r="120" spans="1:16" x14ac:dyDescent="0.25">
      <c r="A120" s="37"/>
      <c r="B120" s="599"/>
      <c r="C120" s="598"/>
      <c r="D120" s="598"/>
      <c r="E120" s="598"/>
      <c r="G120" s="45"/>
      <c r="H120" s="583"/>
      <c r="I120" s="583"/>
      <c r="J120" s="583"/>
      <c r="K120" s="583"/>
      <c r="L120" s="583"/>
      <c r="M120" s="583"/>
      <c r="P120" s="17"/>
    </row>
    <row r="121" spans="1:16" x14ac:dyDescent="0.25">
      <c r="A121" s="37"/>
      <c r="B121" s="599"/>
      <c r="C121" s="598"/>
      <c r="D121" s="598"/>
      <c r="E121" s="598"/>
      <c r="G121" s="45"/>
      <c r="H121" s="583"/>
      <c r="I121" s="583"/>
      <c r="J121" s="583"/>
      <c r="K121" s="583"/>
      <c r="L121" s="583"/>
      <c r="M121" s="583"/>
      <c r="P121" s="17"/>
    </row>
    <row r="122" spans="1:16" x14ac:dyDescent="0.25">
      <c r="A122" s="37"/>
      <c r="B122" s="599"/>
      <c r="C122" s="598"/>
      <c r="D122" s="598"/>
      <c r="E122" s="598"/>
      <c r="G122" s="45"/>
      <c r="H122" s="583"/>
      <c r="I122" s="583"/>
      <c r="J122" s="583"/>
      <c r="K122" s="583"/>
      <c r="L122" s="583"/>
      <c r="M122" s="583"/>
      <c r="P122" s="17"/>
    </row>
    <row r="123" spans="1:16" x14ac:dyDescent="0.25">
      <c r="A123" s="37"/>
      <c r="B123" s="599"/>
      <c r="C123" s="598"/>
      <c r="D123" s="598"/>
      <c r="E123" s="598"/>
      <c r="G123" s="45"/>
      <c r="H123" s="583"/>
      <c r="I123" s="583"/>
      <c r="J123" s="583"/>
      <c r="K123" s="583"/>
      <c r="L123" s="583"/>
      <c r="M123" s="583"/>
      <c r="P123" s="17"/>
    </row>
    <row r="124" spans="1:16" x14ac:dyDescent="0.25">
      <c r="A124" s="37"/>
      <c r="B124" s="599"/>
      <c r="C124" s="598"/>
      <c r="D124" s="598"/>
      <c r="E124" s="598"/>
      <c r="G124" s="45"/>
      <c r="H124" s="583"/>
      <c r="I124" s="583"/>
      <c r="J124" s="583"/>
      <c r="K124" s="583"/>
      <c r="L124" s="583"/>
      <c r="M124" s="583"/>
      <c r="P124" s="17"/>
    </row>
    <row r="125" spans="1:16" x14ac:dyDescent="0.25">
      <c r="A125" s="37"/>
      <c r="B125" s="599"/>
      <c r="C125" s="598"/>
      <c r="D125" s="598"/>
      <c r="E125" s="598"/>
      <c r="G125" s="45"/>
      <c r="H125" s="583"/>
      <c r="I125" s="583"/>
      <c r="J125" s="583"/>
      <c r="K125" s="583"/>
      <c r="L125" s="583"/>
      <c r="M125" s="583"/>
      <c r="P125" s="17"/>
    </row>
    <row r="126" spans="1:16" x14ac:dyDescent="0.25">
      <c r="A126" s="37"/>
      <c r="B126" s="599"/>
      <c r="C126" s="598"/>
      <c r="D126" s="598"/>
      <c r="E126" s="598"/>
      <c r="G126" s="45"/>
      <c r="H126" s="583"/>
      <c r="I126" s="583"/>
      <c r="J126" s="583"/>
      <c r="K126" s="583"/>
      <c r="L126" s="583"/>
      <c r="M126" s="583"/>
      <c r="P126" s="17"/>
    </row>
    <row r="127" spans="1:16" x14ac:dyDescent="0.25">
      <c r="A127" s="37"/>
      <c r="B127" s="599"/>
      <c r="C127" s="598"/>
      <c r="D127" s="598"/>
      <c r="E127" s="598"/>
      <c r="G127" s="45"/>
      <c r="H127" s="583"/>
      <c r="I127" s="583"/>
      <c r="J127" s="583"/>
      <c r="K127" s="583"/>
      <c r="L127" s="583"/>
      <c r="M127" s="583"/>
      <c r="P127" s="17"/>
    </row>
    <row r="128" spans="1:16" x14ac:dyDescent="0.25">
      <c r="A128" s="37"/>
      <c r="B128" s="599"/>
      <c r="C128" s="598"/>
      <c r="D128" s="598"/>
      <c r="E128" s="598"/>
      <c r="G128" s="45"/>
      <c r="H128" s="583"/>
      <c r="I128" s="583"/>
      <c r="J128" s="583"/>
      <c r="K128" s="583"/>
      <c r="L128" s="583"/>
      <c r="M128" s="583"/>
      <c r="P128" s="17"/>
    </row>
    <row r="129" spans="1:16" x14ac:dyDescent="0.25">
      <c r="A129" s="37"/>
      <c r="B129" s="599"/>
      <c r="C129" s="598"/>
      <c r="D129" s="598"/>
      <c r="E129" s="598"/>
      <c r="G129" s="45"/>
      <c r="H129" s="583"/>
      <c r="I129" s="583"/>
      <c r="J129" s="583"/>
      <c r="K129" s="583"/>
      <c r="L129" s="583"/>
      <c r="M129" s="583"/>
      <c r="P129" s="17"/>
    </row>
    <row r="130" spans="1:16" x14ac:dyDescent="0.25">
      <c r="A130" s="37"/>
      <c r="B130" s="599"/>
      <c r="C130" s="598"/>
      <c r="D130" s="598"/>
      <c r="E130" s="598"/>
      <c r="G130" s="45"/>
      <c r="H130" s="583"/>
      <c r="I130" s="583"/>
      <c r="J130" s="583"/>
      <c r="K130" s="583"/>
      <c r="L130" s="583"/>
      <c r="M130" s="583"/>
      <c r="P130" s="17"/>
    </row>
    <row r="131" spans="1:16" x14ac:dyDescent="0.25">
      <c r="A131" s="37"/>
      <c r="B131" s="599"/>
      <c r="C131" s="598"/>
      <c r="D131" s="598"/>
      <c r="E131" s="598"/>
      <c r="G131" s="45"/>
      <c r="H131" s="583"/>
      <c r="I131" s="583"/>
      <c r="J131" s="583"/>
      <c r="K131" s="583"/>
      <c r="L131" s="583"/>
      <c r="M131" s="583"/>
      <c r="P131" s="17"/>
    </row>
    <row r="132" spans="1:16" x14ac:dyDescent="0.25">
      <c r="A132" s="37"/>
      <c r="B132" s="599"/>
      <c r="C132" s="598"/>
      <c r="D132" s="598"/>
      <c r="E132" s="598"/>
      <c r="G132" s="45"/>
      <c r="H132" s="583"/>
      <c r="I132" s="583"/>
      <c r="J132" s="583"/>
      <c r="K132" s="583"/>
      <c r="L132" s="583"/>
      <c r="M132" s="583"/>
      <c r="P132" s="17"/>
    </row>
    <row r="133" spans="1:16" x14ac:dyDescent="0.25">
      <c r="A133" s="37"/>
      <c r="B133" s="599"/>
      <c r="C133" s="598"/>
      <c r="D133" s="598"/>
      <c r="E133" s="598"/>
      <c r="G133" s="45"/>
      <c r="H133" s="583"/>
      <c r="I133" s="583"/>
      <c r="J133" s="583"/>
      <c r="K133" s="583"/>
      <c r="L133" s="583"/>
      <c r="M133" s="583"/>
      <c r="P133" s="17"/>
    </row>
    <row r="134" spans="1:16" x14ac:dyDescent="0.25">
      <c r="A134" s="37"/>
      <c r="B134" s="599"/>
      <c r="C134" s="598"/>
      <c r="D134" s="598"/>
      <c r="E134" s="598"/>
      <c r="G134" s="45"/>
      <c r="H134" s="583"/>
      <c r="I134" s="583"/>
      <c r="J134" s="583"/>
      <c r="K134" s="583"/>
      <c r="L134" s="583"/>
      <c r="M134" s="583"/>
      <c r="P134" s="17"/>
    </row>
    <row r="135" spans="1:16" x14ac:dyDescent="0.25">
      <c r="A135" s="37"/>
      <c r="B135" s="599"/>
      <c r="C135" s="598"/>
      <c r="D135" s="598"/>
      <c r="E135" s="598"/>
      <c r="G135" s="45"/>
      <c r="H135" s="583"/>
      <c r="I135" s="583"/>
      <c r="J135" s="583"/>
      <c r="K135" s="583"/>
      <c r="L135" s="583"/>
      <c r="M135" s="583"/>
      <c r="P135" s="17"/>
    </row>
    <row r="136" spans="1:16" x14ac:dyDescent="0.25">
      <c r="A136" s="37"/>
      <c r="B136" s="599"/>
      <c r="C136" s="598"/>
      <c r="D136" s="598"/>
      <c r="E136" s="598"/>
      <c r="G136" s="45"/>
      <c r="H136" s="583"/>
      <c r="I136" s="583"/>
      <c r="J136" s="583"/>
      <c r="K136" s="583"/>
      <c r="L136" s="583"/>
      <c r="M136" s="583"/>
      <c r="P136" s="17"/>
    </row>
    <row r="137" spans="1:16" x14ac:dyDescent="0.25">
      <c r="A137" s="37"/>
      <c r="B137" s="599"/>
      <c r="C137" s="598"/>
      <c r="D137" s="598"/>
      <c r="E137" s="598"/>
      <c r="G137" s="45"/>
      <c r="H137" s="583"/>
      <c r="I137" s="583"/>
      <c r="J137" s="583"/>
      <c r="K137" s="583"/>
      <c r="L137" s="583"/>
      <c r="M137" s="583"/>
      <c r="P137" s="17"/>
    </row>
    <row r="138" spans="1:16" x14ac:dyDescent="0.25">
      <c r="A138" s="470"/>
      <c r="B138" s="41"/>
      <c r="C138" s="42"/>
      <c r="D138" s="42"/>
      <c r="E138" s="42"/>
      <c r="F138" s="19"/>
      <c r="G138" s="84"/>
      <c r="H138" s="43"/>
      <c r="I138" s="43"/>
      <c r="J138" s="43"/>
      <c r="K138" s="43"/>
      <c r="L138" s="43"/>
      <c r="M138" s="43"/>
      <c r="N138" s="19"/>
      <c r="O138" s="19"/>
      <c r="P138" s="22"/>
    </row>
    <row r="139" spans="1:16" x14ac:dyDescent="0.25">
      <c r="A139" s="789" t="s">
        <v>843</v>
      </c>
      <c r="B139" s="790"/>
      <c r="C139" s="790"/>
      <c r="D139" s="790"/>
      <c r="E139" s="790"/>
      <c r="F139" s="790"/>
      <c r="G139" s="790"/>
      <c r="H139" s="790"/>
      <c r="I139" s="790"/>
      <c r="J139" s="790"/>
      <c r="K139" s="790"/>
      <c r="L139" s="790"/>
      <c r="M139" s="790"/>
      <c r="N139" s="790"/>
      <c r="O139" s="790"/>
      <c r="P139" s="791"/>
    </row>
    <row r="140" spans="1:16" x14ac:dyDescent="0.25">
      <c r="A140" s="792" t="s">
        <v>1139</v>
      </c>
      <c r="B140" s="793"/>
      <c r="C140" s="793"/>
      <c r="D140" s="793"/>
      <c r="E140" s="793"/>
      <c r="F140" s="793"/>
      <c r="G140" s="793"/>
      <c r="H140" s="793"/>
      <c r="I140" s="793"/>
      <c r="J140" s="793"/>
      <c r="K140" s="793"/>
      <c r="L140" s="793"/>
      <c r="M140" s="793"/>
      <c r="N140" s="793"/>
      <c r="O140" s="793"/>
      <c r="P140" s="794"/>
    </row>
    <row r="141" spans="1:16" x14ac:dyDescent="0.25">
      <c r="A141" s="792" t="s">
        <v>132</v>
      </c>
      <c r="B141" s="793"/>
      <c r="C141" s="793"/>
      <c r="D141" s="793"/>
      <c r="E141" s="793"/>
      <c r="F141" s="793"/>
      <c r="G141" s="793"/>
      <c r="H141" s="793"/>
      <c r="I141" s="793"/>
      <c r="J141" s="793"/>
      <c r="K141" s="793"/>
      <c r="L141" s="793"/>
      <c r="M141" s="793"/>
      <c r="N141" s="793"/>
      <c r="O141" s="793"/>
      <c r="P141" s="794"/>
    </row>
    <row r="142" spans="1:16" x14ac:dyDescent="0.25">
      <c r="A142" s="502"/>
      <c r="B142" s="42"/>
      <c r="C142" s="42"/>
      <c r="D142" s="42"/>
      <c r="E142" s="42"/>
      <c r="F142" s="82"/>
      <c r="G142" s="83"/>
      <c r="H142" s="43"/>
      <c r="I142" s="43"/>
      <c r="J142" s="47"/>
      <c r="K142" s="47"/>
      <c r="L142" s="47"/>
      <c r="M142" s="47"/>
      <c r="P142" s="17"/>
    </row>
    <row r="143" spans="1:16" x14ac:dyDescent="0.25">
      <c r="A143" s="799" t="s">
        <v>538</v>
      </c>
      <c r="B143" s="800"/>
      <c r="C143" s="800"/>
      <c r="D143" s="800"/>
      <c r="E143" s="800"/>
      <c r="F143" s="800"/>
      <c r="G143" s="51"/>
      <c r="H143" s="136">
        <v>1</v>
      </c>
      <c r="I143" s="136">
        <v>2</v>
      </c>
      <c r="J143" s="136">
        <v>3</v>
      </c>
      <c r="K143" s="136">
        <v>4</v>
      </c>
      <c r="L143" s="136">
        <v>5</v>
      </c>
      <c r="M143" s="136">
        <v>6</v>
      </c>
      <c r="N143" s="136">
        <v>7</v>
      </c>
      <c r="O143" s="136">
        <v>8</v>
      </c>
      <c r="P143" s="136">
        <v>9</v>
      </c>
    </row>
    <row r="144" spans="1:16" x14ac:dyDescent="0.25">
      <c r="A144" s="801" t="s">
        <v>582</v>
      </c>
      <c r="B144" s="802"/>
      <c r="C144" s="802"/>
      <c r="D144" s="802"/>
      <c r="E144" s="802"/>
      <c r="F144" s="802"/>
      <c r="G144" s="63"/>
      <c r="H144" s="136">
        <v>2024</v>
      </c>
      <c r="I144" s="136">
        <v>2025</v>
      </c>
      <c r="J144" s="136">
        <v>2026</v>
      </c>
      <c r="K144" s="136">
        <v>2027</v>
      </c>
      <c r="L144" s="136">
        <v>2028</v>
      </c>
      <c r="M144" s="136">
        <v>2029</v>
      </c>
      <c r="N144" s="476">
        <v>2030</v>
      </c>
      <c r="O144" s="287">
        <v>2031</v>
      </c>
      <c r="P144" s="136">
        <v>2032</v>
      </c>
    </row>
    <row r="145" spans="1:16" x14ac:dyDescent="0.25">
      <c r="A145" s="505" t="s">
        <v>631</v>
      </c>
      <c r="B145" s="602"/>
      <c r="C145" s="602"/>
      <c r="D145" s="598"/>
      <c r="E145" s="598"/>
      <c r="G145" s="49"/>
      <c r="H145" s="49"/>
      <c r="I145" s="35"/>
      <c r="J145" s="38"/>
      <c r="K145" s="584"/>
      <c r="L145" s="38"/>
      <c r="M145" s="46"/>
      <c r="N145" s="62"/>
      <c r="P145" s="62"/>
    </row>
    <row r="146" spans="1:16" x14ac:dyDescent="0.25">
      <c r="A146" s="37" t="s">
        <v>584</v>
      </c>
      <c r="B146" s="599" t="s">
        <v>632</v>
      </c>
      <c r="C146" s="598"/>
      <c r="D146" s="598"/>
      <c r="E146" s="598"/>
      <c r="G146" s="49"/>
      <c r="H146" s="49"/>
      <c r="I146" s="35"/>
      <c r="J146" s="38"/>
      <c r="K146" s="584"/>
      <c r="L146" s="38"/>
      <c r="M146" s="46"/>
      <c r="N146" s="62"/>
      <c r="P146" s="62"/>
    </row>
    <row r="147" spans="1:16" x14ac:dyDescent="0.25">
      <c r="A147" s="503"/>
      <c r="B147" s="599" t="s">
        <v>633</v>
      </c>
      <c r="C147" s="598"/>
      <c r="D147" s="598"/>
      <c r="E147" s="598"/>
      <c r="G147" s="49"/>
      <c r="H147" s="49"/>
      <c r="I147" s="35"/>
      <c r="J147" s="38"/>
      <c r="K147" s="584"/>
      <c r="L147" s="38"/>
      <c r="M147" s="46"/>
      <c r="N147" s="62"/>
      <c r="P147" s="62"/>
    </row>
    <row r="148" spans="1:16" x14ac:dyDescent="0.25">
      <c r="A148" s="503"/>
      <c r="B148" s="599" t="s">
        <v>634</v>
      </c>
      <c r="C148" s="598"/>
      <c r="D148" s="598"/>
      <c r="E148" s="598"/>
      <c r="G148" s="49"/>
      <c r="H148" s="49"/>
      <c r="I148" s="35"/>
      <c r="J148" s="38"/>
      <c r="K148" s="584"/>
      <c r="L148" s="38"/>
      <c r="M148" s="46"/>
      <c r="N148" s="62"/>
      <c r="P148" s="62"/>
    </row>
    <row r="149" spans="1:16" x14ac:dyDescent="0.25">
      <c r="A149" s="503"/>
      <c r="B149" s="584" t="s">
        <v>591</v>
      </c>
      <c r="C149" s="599" t="s">
        <v>635</v>
      </c>
      <c r="D149" s="598"/>
      <c r="E149" s="598"/>
      <c r="G149" s="54"/>
      <c r="H149" s="49">
        <v>2</v>
      </c>
      <c r="I149" s="49">
        <v>2</v>
      </c>
      <c r="J149" s="49">
        <v>2</v>
      </c>
      <c r="K149" s="49">
        <v>2</v>
      </c>
      <c r="L149" s="49">
        <v>2</v>
      </c>
      <c r="M149" s="49">
        <v>2</v>
      </c>
      <c r="N149" s="33">
        <v>2</v>
      </c>
      <c r="O149" s="583">
        <v>2</v>
      </c>
      <c r="P149" s="33">
        <v>2</v>
      </c>
    </row>
    <row r="150" spans="1:16" x14ac:dyDescent="0.25">
      <c r="A150" s="503"/>
      <c r="B150" s="584" t="s">
        <v>569</v>
      </c>
      <c r="C150" s="599" t="s">
        <v>636</v>
      </c>
      <c r="D150" s="598"/>
      <c r="E150" s="598"/>
      <c r="G150" s="49"/>
      <c r="H150" s="49"/>
      <c r="I150" s="35"/>
      <c r="J150" s="38"/>
      <c r="K150" s="584"/>
      <c r="L150" s="38"/>
      <c r="M150" s="46"/>
      <c r="N150" s="62"/>
      <c r="P150" s="62"/>
    </row>
    <row r="151" spans="1:16" x14ac:dyDescent="0.25">
      <c r="A151" s="503"/>
      <c r="B151" s="584" t="s">
        <v>570</v>
      </c>
      <c r="C151" s="599" t="s">
        <v>637</v>
      </c>
      <c r="D151" s="598"/>
      <c r="E151" s="598"/>
      <c r="G151" s="49"/>
      <c r="H151" s="49"/>
      <c r="I151" s="35"/>
      <c r="J151" s="38"/>
      <c r="K151" s="584"/>
      <c r="L151" s="38"/>
      <c r="M151" s="46"/>
      <c r="N151" s="62"/>
      <c r="P151" s="62"/>
    </row>
    <row r="152" spans="1:16" x14ac:dyDescent="0.25">
      <c r="A152" s="503"/>
      <c r="B152" s="599" t="s">
        <v>638</v>
      </c>
      <c r="C152" s="598"/>
      <c r="D152" s="598"/>
      <c r="E152" s="598"/>
      <c r="G152" s="54"/>
      <c r="H152" s="51">
        <f>H149</f>
        <v>2</v>
      </c>
      <c r="I152" s="51">
        <f t="shared" ref="I152:P152" si="24">I149</f>
        <v>2</v>
      </c>
      <c r="J152" s="51">
        <f t="shared" si="24"/>
        <v>2</v>
      </c>
      <c r="K152" s="51">
        <f t="shared" si="24"/>
        <v>2</v>
      </c>
      <c r="L152" s="51">
        <f t="shared" si="24"/>
        <v>2</v>
      </c>
      <c r="M152" s="51">
        <f t="shared" si="24"/>
        <v>2</v>
      </c>
      <c r="N152" s="51">
        <f t="shared" si="24"/>
        <v>2</v>
      </c>
      <c r="O152" s="51">
        <f t="shared" si="24"/>
        <v>2</v>
      </c>
      <c r="P152" s="51">
        <f t="shared" si="24"/>
        <v>2</v>
      </c>
    </row>
    <row r="153" spans="1:16" x14ac:dyDescent="0.25">
      <c r="A153" s="503"/>
      <c r="B153" s="598"/>
      <c r="C153" s="598"/>
      <c r="D153" s="598"/>
      <c r="E153" s="598"/>
      <c r="G153" s="49"/>
      <c r="H153" s="53"/>
      <c r="I153" s="36"/>
      <c r="J153" s="38"/>
      <c r="K153" s="584"/>
      <c r="L153" s="38"/>
      <c r="M153" s="46"/>
      <c r="O153" s="259"/>
      <c r="P153" s="17"/>
    </row>
    <row r="154" spans="1:16" x14ac:dyDescent="0.25">
      <c r="A154" s="37" t="s">
        <v>586</v>
      </c>
      <c r="B154" s="599" t="s">
        <v>639</v>
      </c>
      <c r="C154" s="598"/>
      <c r="D154" s="598"/>
      <c r="E154" s="598"/>
      <c r="G154" s="54"/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0</v>
      </c>
      <c r="N154" s="45">
        <v>0</v>
      </c>
      <c r="O154" s="30">
        <v>0</v>
      </c>
      <c r="P154" s="54">
        <v>0</v>
      </c>
    </row>
    <row r="155" spans="1:16" x14ac:dyDescent="0.25">
      <c r="A155" s="37" t="s">
        <v>587</v>
      </c>
      <c r="B155" s="599" t="s">
        <v>338</v>
      </c>
      <c r="C155" s="598"/>
      <c r="D155" s="598"/>
      <c r="E155" s="598"/>
      <c r="G155" s="54"/>
      <c r="H155" s="86">
        <f>'PROJECT RK'!D587</f>
        <v>3.9468504672694786</v>
      </c>
      <c r="I155" s="86">
        <f>'PROJECT RK'!E587</f>
        <v>4.1250535325861364</v>
      </c>
      <c r="J155" s="86">
        <f>'PROJECT RK'!F587</f>
        <v>4.4413993098344982</v>
      </c>
      <c r="K155" s="86">
        <f>'PROJECT RK'!G587</f>
        <v>4.7577450870828599</v>
      </c>
      <c r="L155" s="86">
        <f>'PROJECT RK'!H587</f>
        <v>5.0740908643312217</v>
      </c>
      <c r="M155" s="86">
        <f>'PROJECT RK'!I587</f>
        <v>5.3904366415795844</v>
      </c>
      <c r="N155" s="86">
        <f>'PROJECT RK'!J587</f>
        <v>5.706782418827947</v>
      </c>
      <c r="O155" s="86">
        <f>'PROJECT RK'!K587</f>
        <v>6.0231281960763106</v>
      </c>
      <c r="P155" s="86">
        <f>'PROJECT RK'!L587</f>
        <v>6.3394739733246723</v>
      </c>
    </row>
    <row r="156" spans="1:16" x14ac:dyDescent="0.25">
      <c r="A156" s="37" t="s">
        <v>90</v>
      </c>
      <c r="B156" s="604">
        <v>20</v>
      </c>
      <c r="C156" s="598" t="s">
        <v>95</v>
      </c>
      <c r="D156" s="598"/>
      <c r="E156" s="598"/>
      <c r="G156" s="54"/>
      <c r="H156" s="86"/>
      <c r="I156" s="86"/>
      <c r="J156" s="86"/>
      <c r="K156" s="86"/>
      <c r="L156" s="86"/>
      <c r="M156" s="86"/>
      <c r="N156" s="86"/>
      <c r="O156" s="86"/>
      <c r="P156" s="86"/>
    </row>
    <row r="157" spans="1:16" x14ac:dyDescent="0.25">
      <c r="A157" s="37" t="s">
        <v>589</v>
      </c>
      <c r="B157" s="599" t="s">
        <v>640</v>
      </c>
      <c r="C157" s="598"/>
      <c r="D157" s="598"/>
      <c r="E157" s="598"/>
      <c r="G157" s="54"/>
      <c r="H157" s="54">
        <v>0</v>
      </c>
      <c r="I157" s="54">
        <v>0</v>
      </c>
      <c r="J157" s="54">
        <v>0</v>
      </c>
      <c r="K157" s="54">
        <v>0</v>
      </c>
      <c r="L157" s="54">
        <v>0</v>
      </c>
      <c r="M157" s="54">
        <v>0</v>
      </c>
      <c r="N157" s="45">
        <v>0</v>
      </c>
      <c r="O157" s="30">
        <v>0</v>
      </c>
      <c r="P157" s="54">
        <v>0</v>
      </c>
    </row>
    <row r="158" spans="1:16" x14ac:dyDescent="0.25">
      <c r="A158" s="503"/>
      <c r="B158" s="599" t="s">
        <v>641</v>
      </c>
      <c r="C158" s="598"/>
      <c r="D158" s="598"/>
      <c r="E158" s="598"/>
      <c r="G158" s="54"/>
      <c r="H158" s="86"/>
      <c r="I158" s="86"/>
      <c r="J158" s="86"/>
      <c r="K158" s="86"/>
      <c r="L158" s="86"/>
      <c r="M158" s="86"/>
      <c r="N158" s="603"/>
      <c r="O158" s="479"/>
      <c r="P158" s="86"/>
    </row>
    <row r="159" spans="1:16" x14ac:dyDescent="0.25">
      <c r="A159" s="37" t="s">
        <v>590</v>
      </c>
      <c r="B159" s="599" t="s">
        <v>642</v>
      </c>
      <c r="C159" s="598"/>
      <c r="D159" s="598"/>
      <c r="E159" s="598"/>
      <c r="G159" s="54"/>
      <c r="H159" s="86">
        <f ca="1">'PROJECT RK'!D588</f>
        <v>0.28432129496886005</v>
      </c>
      <c r="I159" s="86">
        <f ca="1">'PROJECT RK'!E588</f>
        <v>0.48137107491666109</v>
      </c>
      <c r="J159" s="86">
        <f ca="1">'PROJECT RK'!F588</f>
        <v>0.70394791232315168</v>
      </c>
      <c r="K159" s="86">
        <f ca="1">'PROJECT RK'!G588</f>
        <v>0.9282173042086268</v>
      </c>
      <c r="L159" s="86">
        <f ca="1">'PROJECT RK'!H588</f>
        <v>1.1406124524880144</v>
      </c>
      <c r="M159" s="86">
        <f ca="1">'PROJECT RK'!I588</f>
        <v>1.3523427194837474</v>
      </c>
      <c r="N159" s="86">
        <f ca="1">'PROJECT RK'!J588</f>
        <v>1.5556603286499131</v>
      </c>
      <c r="O159" s="86">
        <f ca="1">'PROJECT RK'!K588</f>
        <v>1.7583892857109396</v>
      </c>
      <c r="P159" s="86">
        <f ca="1">'PROJECT RK'!L588</f>
        <v>1.9465660243875629</v>
      </c>
    </row>
    <row r="160" spans="1:16" x14ac:dyDescent="0.25">
      <c r="A160" s="37" t="s">
        <v>601</v>
      </c>
      <c r="B160" s="599" t="s">
        <v>643</v>
      </c>
      <c r="C160" s="598"/>
      <c r="D160" s="598"/>
      <c r="E160" s="598"/>
      <c r="G160" s="54"/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45">
        <v>0</v>
      </c>
      <c r="O160" s="30">
        <v>0</v>
      </c>
      <c r="P160" s="54">
        <v>0</v>
      </c>
    </row>
    <row r="161" spans="1:16" x14ac:dyDescent="0.25">
      <c r="A161" s="37" t="s">
        <v>603</v>
      </c>
      <c r="B161" s="599" t="s">
        <v>644</v>
      </c>
      <c r="C161" s="598"/>
      <c r="D161" s="598"/>
      <c r="E161" s="598"/>
      <c r="G161" s="54"/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4">
        <v>0</v>
      </c>
      <c r="N161" s="45">
        <v>0</v>
      </c>
      <c r="O161" s="30">
        <v>0</v>
      </c>
      <c r="P161" s="54">
        <v>0</v>
      </c>
    </row>
    <row r="162" spans="1:16" x14ac:dyDescent="0.25">
      <c r="A162" s="503"/>
      <c r="B162" s="599" t="s">
        <v>645</v>
      </c>
      <c r="C162" s="598"/>
      <c r="D162" s="598"/>
      <c r="E162" s="598"/>
      <c r="G162" s="54"/>
      <c r="H162" s="86"/>
      <c r="I162" s="86"/>
      <c r="J162" s="86"/>
      <c r="K162" s="86"/>
      <c r="L162" s="86"/>
      <c r="M162" s="86"/>
      <c r="N162" s="603"/>
      <c r="O162" s="479"/>
      <c r="P162" s="86"/>
    </row>
    <row r="163" spans="1:16" x14ac:dyDescent="0.25">
      <c r="A163" s="37" t="s">
        <v>605</v>
      </c>
      <c r="B163" s="599" t="s">
        <v>646</v>
      </c>
      <c r="C163" s="598"/>
      <c r="D163" s="598"/>
      <c r="E163" s="598"/>
      <c r="G163" s="54"/>
      <c r="H163" s="54">
        <f>'PROJECT RK'!D584</f>
        <v>0.72</v>
      </c>
      <c r="I163" s="54">
        <f>'PROJECT RK'!E584</f>
        <v>1.08</v>
      </c>
      <c r="J163" s="54">
        <f>'PROJECT RK'!F584</f>
        <v>1.08</v>
      </c>
      <c r="K163" s="54">
        <f>'PROJECT RK'!G584</f>
        <v>1.44</v>
      </c>
      <c r="L163" s="54">
        <f>'PROJECT RK'!H584</f>
        <v>1.7999999999999998</v>
      </c>
      <c r="M163" s="54">
        <f>'PROJECT RK'!I584</f>
        <v>2.16</v>
      </c>
      <c r="N163" s="54">
        <f>'PROJECT RK'!J584</f>
        <v>2.16</v>
      </c>
      <c r="O163" s="54">
        <f>'PROJECT RK'!K584</f>
        <v>1.2000000000000002</v>
      </c>
      <c r="P163" s="54">
        <f>'PROJECT RK'!L584</f>
        <v>0</v>
      </c>
    </row>
    <row r="164" spans="1:16" x14ac:dyDescent="0.25">
      <c r="A164" s="503"/>
      <c r="B164" s="599" t="s">
        <v>647</v>
      </c>
      <c r="C164" s="598"/>
      <c r="D164" s="598"/>
      <c r="E164" s="598"/>
      <c r="G164" s="54"/>
      <c r="H164" s="86"/>
      <c r="I164" s="86"/>
      <c r="J164" s="86"/>
      <c r="K164" s="86"/>
      <c r="L164" s="86"/>
      <c r="M164" s="86"/>
      <c r="N164" s="603"/>
      <c r="O164" s="479"/>
      <c r="P164" s="86"/>
    </row>
    <row r="165" spans="1:16" x14ac:dyDescent="0.25">
      <c r="A165" s="37" t="s">
        <v>607</v>
      </c>
      <c r="B165" s="599" t="s">
        <v>648</v>
      </c>
      <c r="C165" s="598"/>
      <c r="D165" s="598"/>
      <c r="E165" s="598"/>
      <c r="G165" s="54"/>
      <c r="H165" s="86">
        <f ca="1">'PROJECT RK'!D589</f>
        <v>1.5100189795692667</v>
      </c>
      <c r="I165" s="86">
        <f ca="1">'PROJECT RK'!E589</f>
        <v>1.6609016653053021</v>
      </c>
      <c r="J165" s="86">
        <f ca="1">'PROJECT RK'!F589</f>
        <v>1.7786593224845979</v>
      </c>
      <c r="K165" s="86">
        <f ca="1">'PROJECT RK'!G589</f>
        <v>1.8963663236440045</v>
      </c>
      <c r="L165" s="86">
        <f ca="1">'PROJECT RK'!H589</f>
        <v>2.0151707282918681</v>
      </c>
      <c r="M165" s="86">
        <f ca="1">'PROJECT RK'!I589</f>
        <v>2.1347930212273556</v>
      </c>
      <c r="N165" s="86">
        <f ca="1">'PROJECT RK'!J589</f>
        <v>2.2553321518469938</v>
      </c>
      <c r="O165" s="86">
        <f ca="1">'PROJECT RK'!K589</f>
        <v>2.3761258006793922</v>
      </c>
      <c r="P165" s="86">
        <f ca="1">'PROJECT RK'!L589</f>
        <v>2.4976833047855469</v>
      </c>
    </row>
    <row r="166" spans="1:16" x14ac:dyDescent="0.25">
      <c r="A166" s="503"/>
      <c r="B166" s="599"/>
      <c r="C166" s="598"/>
      <c r="D166" s="598"/>
      <c r="E166" s="598"/>
      <c r="G166" s="54"/>
      <c r="H166" s="86"/>
      <c r="I166" s="86"/>
      <c r="J166" s="86"/>
      <c r="K166" s="86"/>
      <c r="L166" s="86"/>
      <c r="M166" s="86"/>
      <c r="N166" s="603"/>
      <c r="O166" s="479"/>
      <c r="P166" s="86"/>
    </row>
    <row r="167" spans="1:16" x14ac:dyDescent="0.25">
      <c r="A167" s="503"/>
      <c r="B167" s="599" t="s">
        <v>649</v>
      </c>
      <c r="C167" s="598"/>
      <c r="D167" s="598"/>
      <c r="E167" s="598"/>
      <c r="G167" s="49"/>
      <c r="H167" s="265">
        <f ca="1">SUM(H154:H166)</f>
        <v>6.4611907418076058</v>
      </c>
      <c r="I167" s="265">
        <f t="shared" ref="I167:P167" ca="1" si="25">SUM(I154:I166)</f>
        <v>7.3473262728080995</v>
      </c>
      <c r="J167" s="265">
        <f t="shared" ca="1" si="25"/>
        <v>8.0040065446422481</v>
      </c>
      <c r="K167" s="265">
        <f t="shared" ca="1" si="25"/>
        <v>9.0223287149354903</v>
      </c>
      <c r="L167" s="265">
        <f t="shared" ca="1" si="25"/>
        <v>10.029874045111104</v>
      </c>
      <c r="M167" s="265">
        <f t="shared" ca="1" si="25"/>
        <v>11.037572382290687</v>
      </c>
      <c r="N167" s="265">
        <f t="shared" ca="1" si="25"/>
        <v>11.677774899324852</v>
      </c>
      <c r="O167" s="265">
        <f t="shared" ca="1" si="25"/>
        <v>11.357643282466643</v>
      </c>
      <c r="P167" s="265">
        <f t="shared" ca="1" si="25"/>
        <v>10.783723302497782</v>
      </c>
    </row>
    <row r="168" spans="1:16" x14ac:dyDescent="0.25">
      <c r="A168" s="37" t="s">
        <v>608</v>
      </c>
      <c r="B168" s="605" t="s">
        <v>650</v>
      </c>
      <c r="C168" s="602"/>
      <c r="D168" s="602"/>
      <c r="E168" s="602"/>
      <c r="F168" s="591"/>
      <c r="G168" s="49"/>
      <c r="H168" s="256">
        <f ca="1">H167+H152</f>
        <v>8.4611907418076058</v>
      </c>
      <c r="I168" s="256">
        <f t="shared" ref="I168:P168" ca="1" si="26">I167+I152</f>
        <v>9.3473262728081004</v>
      </c>
      <c r="J168" s="256">
        <f t="shared" ca="1" si="26"/>
        <v>10.004006544642248</v>
      </c>
      <c r="K168" s="256">
        <f t="shared" ca="1" si="26"/>
        <v>11.02232871493549</v>
      </c>
      <c r="L168" s="256">
        <f t="shared" ca="1" si="26"/>
        <v>12.029874045111104</v>
      </c>
      <c r="M168" s="256">
        <f t="shared" ca="1" si="26"/>
        <v>13.037572382290687</v>
      </c>
      <c r="N168" s="256">
        <f t="shared" ca="1" si="26"/>
        <v>13.677774899324852</v>
      </c>
      <c r="O168" s="256">
        <f t="shared" ca="1" si="26"/>
        <v>13.357643282466643</v>
      </c>
      <c r="P168" s="256">
        <f t="shared" ca="1" si="26"/>
        <v>12.783723302497782</v>
      </c>
    </row>
    <row r="169" spans="1:16" x14ac:dyDescent="0.25">
      <c r="A169" s="503"/>
      <c r="B169" s="606" t="s">
        <v>651</v>
      </c>
      <c r="C169" s="598"/>
      <c r="D169" s="598"/>
      <c r="E169" s="598"/>
      <c r="G169" s="583"/>
      <c r="H169" s="583"/>
      <c r="I169" s="583"/>
      <c r="J169" s="584"/>
      <c r="K169" s="584"/>
      <c r="L169" s="584"/>
      <c r="M169" s="46"/>
      <c r="P169" s="17"/>
    </row>
    <row r="170" spans="1:16" x14ac:dyDescent="0.25">
      <c r="A170" s="37" t="s">
        <v>610</v>
      </c>
      <c r="B170" s="599" t="s">
        <v>652</v>
      </c>
      <c r="C170" s="598"/>
      <c r="D170" s="598"/>
      <c r="E170" s="598"/>
      <c r="G170" s="54"/>
      <c r="H170" s="480">
        <v>0</v>
      </c>
      <c r="I170" s="480">
        <v>0</v>
      </c>
      <c r="J170" s="480">
        <v>0</v>
      </c>
      <c r="K170" s="480">
        <v>0</v>
      </c>
      <c r="L170" s="480">
        <v>0</v>
      </c>
      <c r="M170" s="481">
        <v>0</v>
      </c>
      <c r="N170" s="482"/>
      <c r="O170" s="483"/>
      <c r="P170" s="482"/>
    </row>
    <row r="171" spans="1:16" x14ac:dyDescent="0.25">
      <c r="A171" s="37" t="s">
        <v>618</v>
      </c>
      <c r="B171" s="599" t="s">
        <v>653</v>
      </c>
      <c r="C171" s="598"/>
      <c r="D171" s="598"/>
      <c r="E171" s="598"/>
      <c r="G171" s="54"/>
      <c r="H171" s="484">
        <v>0</v>
      </c>
      <c r="I171" s="484">
        <v>0</v>
      </c>
      <c r="J171" s="484">
        <v>0</v>
      </c>
      <c r="K171" s="484">
        <v>0</v>
      </c>
      <c r="L171" s="484">
        <v>0</v>
      </c>
      <c r="M171" s="485">
        <v>0</v>
      </c>
      <c r="N171" s="486"/>
      <c r="O171" s="591"/>
      <c r="P171" s="486"/>
    </row>
    <row r="172" spans="1:16" x14ac:dyDescent="0.25">
      <c r="A172" s="37" t="s">
        <v>620</v>
      </c>
      <c r="B172" s="599" t="s">
        <v>654</v>
      </c>
      <c r="C172" s="598"/>
      <c r="D172" s="598"/>
      <c r="E172" s="598"/>
      <c r="G172" s="54"/>
      <c r="H172" s="484">
        <f>'PROJECT RK'!D583</f>
        <v>10.919999999999998</v>
      </c>
      <c r="I172" s="484">
        <f>'PROJECT RK'!E583</f>
        <v>9.8399999999999981</v>
      </c>
      <c r="J172" s="484">
        <f>'PROJECT RK'!F583</f>
        <v>8.759999999999998</v>
      </c>
      <c r="K172" s="484">
        <f>'PROJECT RK'!G583</f>
        <v>7.3199999999999985</v>
      </c>
      <c r="L172" s="484">
        <f>'PROJECT RK'!H583</f>
        <v>5.5199999999999987</v>
      </c>
      <c r="M172" s="484">
        <f>'PROJECT RK'!I583</f>
        <v>3.3599999999999985</v>
      </c>
      <c r="N172" s="484">
        <f>'PROJECT RK'!J583</f>
        <v>1.1999999999999984</v>
      </c>
      <c r="O172" s="484">
        <f>'PROJECT RK'!K583</f>
        <v>-1.7763568394002505E-15</v>
      </c>
      <c r="P172" s="484">
        <f>'PROJECT RK'!L583</f>
        <v>-1.7763568394002505E-15</v>
      </c>
    </row>
    <row r="173" spans="1:16" x14ac:dyDescent="0.25">
      <c r="A173" s="37" t="s">
        <v>622</v>
      </c>
      <c r="B173" s="599" t="s">
        <v>655</v>
      </c>
      <c r="C173" s="598"/>
      <c r="D173" s="598"/>
      <c r="E173" s="598"/>
      <c r="G173" s="49"/>
      <c r="H173" s="484">
        <v>0</v>
      </c>
      <c r="I173" s="485">
        <v>0</v>
      </c>
      <c r="J173" s="484">
        <v>0</v>
      </c>
      <c r="K173" s="484">
        <v>0</v>
      </c>
      <c r="L173" s="484">
        <v>0</v>
      </c>
      <c r="M173" s="485">
        <v>0</v>
      </c>
      <c r="N173" s="486"/>
      <c r="O173" s="591"/>
      <c r="P173" s="486"/>
    </row>
    <row r="174" spans="1:16" x14ac:dyDescent="0.25">
      <c r="A174" s="37" t="s">
        <v>624</v>
      </c>
      <c r="B174" s="599" t="s">
        <v>656</v>
      </c>
      <c r="C174" s="598"/>
      <c r="D174" s="598"/>
      <c r="E174" s="598"/>
      <c r="G174" s="49"/>
      <c r="H174" s="474">
        <f>'PROJECT RK'!D586</f>
        <v>3.0640507427337997</v>
      </c>
      <c r="I174" s="474">
        <f>'PROJECT RK'!E586</f>
        <v>3.0640507427337997</v>
      </c>
      <c r="J174" s="474">
        <f>'PROJECT RK'!F586</f>
        <v>3.0640507427337997</v>
      </c>
      <c r="K174" s="474">
        <f>'PROJECT RK'!G586</f>
        <v>3.0640507427337997</v>
      </c>
      <c r="L174" s="474">
        <f>'PROJECT RK'!H586</f>
        <v>3.0640507427337997</v>
      </c>
      <c r="M174" s="474">
        <f>'PROJECT RK'!I586</f>
        <v>3.0640507427337997</v>
      </c>
      <c r="N174" s="474">
        <f>'PROJECT RK'!J586</f>
        <v>3.0640507427337997</v>
      </c>
      <c r="O174" s="474">
        <f>'PROJECT RK'!K586</f>
        <v>3.0640507427337997</v>
      </c>
      <c r="P174" s="474">
        <f>'PROJECT RK'!L586</f>
        <v>3.0640507427337997</v>
      </c>
    </row>
    <row r="175" spans="1:16" x14ac:dyDescent="0.25">
      <c r="A175" s="37" t="s">
        <v>627</v>
      </c>
      <c r="B175" s="599" t="s">
        <v>657</v>
      </c>
      <c r="C175" s="598"/>
      <c r="D175" s="598"/>
      <c r="E175" s="598"/>
      <c r="G175" s="54"/>
      <c r="H175" s="484">
        <v>0</v>
      </c>
      <c r="I175" s="484">
        <v>0</v>
      </c>
      <c r="J175" s="474"/>
      <c r="K175" s="607"/>
      <c r="L175" s="474"/>
      <c r="M175" s="607"/>
      <c r="N175" s="486"/>
      <c r="O175" s="591"/>
      <c r="P175" s="486"/>
    </row>
    <row r="176" spans="1:16" x14ac:dyDescent="0.25">
      <c r="A176" s="37" t="s">
        <v>629</v>
      </c>
      <c r="B176" s="599" t="s">
        <v>658</v>
      </c>
      <c r="C176" s="598"/>
      <c r="D176" s="598"/>
      <c r="E176" s="598"/>
      <c r="G176" s="49"/>
      <c r="H176" s="256">
        <f>SUM(H170:H175)</f>
        <v>13.984050742733798</v>
      </c>
      <c r="I176" s="256">
        <f t="shared" ref="I176:P176" si="27">SUM(I170:I175)</f>
        <v>12.904050742733798</v>
      </c>
      <c r="J176" s="256">
        <f t="shared" si="27"/>
        <v>11.824050742733798</v>
      </c>
      <c r="K176" s="256">
        <f t="shared" si="27"/>
        <v>10.384050742733798</v>
      </c>
      <c r="L176" s="256">
        <f t="shared" si="27"/>
        <v>8.5840507427337975</v>
      </c>
      <c r="M176" s="256">
        <f t="shared" si="27"/>
        <v>6.4240507427337983</v>
      </c>
      <c r="N176" s="256">
        <f t="shared" si="27"/>
        <v>4.2640507427337981</v>
      </c>
      <c r="O176" s="256">
        <f t="shared" si="27"/>
        <v>3.064050742733798</v>
      </c>
      <c r="P176" s="256">
        <f t="shared" si="27"/>
        <v>3.064050742733798</v>
      </c>
    </row>
    <row r="177" spans="1:16" x14ac:dyDescent="0.25">
      <c r="A177" s="37" t="s">
        <v>659</v>
      </c>
      <c r="B177" s="599" t="s">
        <v>660</v>
      </c>
      <c r="C177" s="598"/>
      <c r="D177" s="598"/>
      <c r="E177" s="598"/>
      <c r="G177" s="49"/>
      <c r="H177" s="256">
        <f ca="1">H176+H168</f>
        <v>22.445241484541405</v>
      </c>
      <c r="I177" s="256">
        <f t="shared" ref="I177:P177" ca="1" si="28">I176+I168</f>
        <v>22.251377015541898</v>
      </c>
      <c r="J177" s="256">
        <f t="shared" ca="1" si="28"/>
        <v>21.828057287376048</v>
      </c>
      <c r="K177" s="256">
        <f t="shared" ca="1" si="28"/>
        <v>21.406379457669289</v>
      </c>
      <c r="L177" s="256">
        <f t="shared" ca="1" si="28"/>
        <v>20.613924787844901</v>
      </c>
      <c r="M177" s="256">
        <f t="shared" ca="1" si="28"/>
        <v>19.461623125024484</v>
      </c>
      <c r="N177" s="256">
        <f t="shared" ca="1" si="28"/>
        <v>17.941825642058649</v>
      </c>
      <c r="O177" s="256">
        <f t="shared" ca="1" si="28"/>
        <v>16.421694025200441</v>
      </c>
      <c r="P177" s="256">
        <f t="shared" ca="1" si="28"/>
        <v>15.84777404523158</v>
      </c>
    </row>
    <row r="178" spans="1:16" x14ac:dyDescent="0.25">
      <c r="A178" s="503"/>
      <c r="B178" s="598"/>
      <c r="C178" s="598"/>
      <c r="D178" s="598"/>
      <c r="E178" s="598"/>
      <c r="G178" s="583"/>
      <c r="H178" s="583"/>
      <c r="I178" s="583"/>
      <c r="J178" s="583"/>
      <c r="K178" s="583"/>
      <c r="L178" s="583"/>
      <c r="M178" s="583"/>
      <c r="P178" s="17"/>
    </row>
    <row r="179" spans="1:16" x14ac:dyDescent="0.25">
      <c r="A179" s="503"/>
      <c r="B179" s="598"/>
      <c r="C179" s="598"/>
      <c r="D179" s="598"/>
      <c r="E179" s="598"/>
      <c r="G179" s="583"/>
      <c r="H179" s="583"/>
      <c r="I179" s="583"/>
      <c r="J179" s="583"/>
      <c r="K179" s="583"/>
      <c r="L179" s="583"/>
      <c r="M179" s="583"/>
      <c r="P179" s="17"/>
    </row>
    <row r="180" spans="1:16" x14ac:dyDescent="0.25">
      <c r="A180" s="503"/>
      <c r="B180" s="598"/>
      <c r="C180" s="598"/>
      <c r="D180" s="598"/>
      <c r="E180" s="598"/>
      <c r="G180" s="583"/>
      <c r="H180" s="583"/>
      <c r="I180" s="583"/>
      <c r="J180" s="583"/>
      <c r="K180" s="583"/>
      <c r="L180" s="583"/>
      <c r="M180" s="583"/>
      <c r="P180" s="17"/>
    </row>
    <row r="181" spans="1:16" x14ac:dyDescent="0.25">
      <c r="A181" s="503"/>
      <c r="B181" s="598"/>
      <c r="C181" s="598"/>
      <c r="D181" s="598"/>
      <c r="E181" s="598"/>
      <c r="G181" s="583"/>
      <c r="H181" s="583"/>
      <c r="I181" s="583"/>
      <c r="J181" s="583"/>
      <c r="K181" s="583"/>
      <c r="L181" s="583"/>
      <c r="M181" s="583"/>
      <c r="P181" s="17"/>
    </row>
    <row r="182" spans="1:16" x14ac:dyDescent="0.25">
      <c r="A182" s="503"/>
      <c r="B182" s="598"/>
      <c r="C182" s="598"/>
      <c r="D182" s="598"/>
      <c r="E182" s="598"/>
      <c r="G182" s="583"/>
      <c r="H182" s="583"/>
      <c r="I182" s="583"/>
      <c r="J182" s="583"/>
      <c r="K182" s="583"/>
      <c r="L182" s="583"/>
      <c r="M182" s="583"/>
      <c r="P182" s="17"/>
    </row>
    <row r="183" spans="1:16" x14ac:dyDescent="0.25">
      <c r="A183" s="503"/>
      <c r="B183" s="598"/>
      <c r="C183" s="598"/>
      <c r="D183" s="598"/>
      <c r="E183" s="598"/>
      <c r="G183" s="583"/>
      <c r="H183" s="583"/>
      <c r="I183" s="583"/>
      <c r="J183" s="583"/>
      <c r="K183" s="583"/>
      <c r="L183" s="583"/>
      <c r="M183" s="583"/>
      <c r="P183" s="17"/>
    </row>
    <row r="184" spans="1:16" x14ac:dyDescent="0.25">
      <c r="A184" s="502"/>
      <c r="B184" s="42"/>
      <c r="C184" s="42"/>
      <c r="D184" s="42"/>
      <c r="E184" s="42"/>
      <c r="F184" s="19"/>
      <c r="G184" s="43"/>
      <c r="H184" s="43"/>
      <c r="I184" s="43"/>
      <c r="J184" s="43"/>
      <c r="K184" s="43"/>
      <c r="L184" s="43"/>
      <c r="M184" s="43"/>
      <c r="N184" s="19"/>
      <c r="O184" s="19"/>
      <c r="P184" s="22"/>
    </row>
    <row r="185" spans="1:16" x14ac:dyDescent="0.25">
      <c r="A185" s="803" t="s">
        <v>843</v>
      </c>
      <c r="B185" s="804"/>
      <c r="C185" s="804"/>
      <c r="D185" s="804"/>
      <c r="E185" s="804"/>
      <c r="F185" s="804"/>
      <c r="G185" s="804"/>
      <c r="H185" s="804"/>
      <c r="I185" s="804"/>
      <c r="J185" s="804"/>
      <c r="K185" s="804"/>
      <c r="L185" s="804"/>
      <c r="M185" s="804"/>
      <c r="N185" s="804"/>
      <c r="O185" s="804"/>
      <c r="P185" s="805"/>
    </row>
    <row r="186" spans="1:16" x14ac:dyDescent="0.25">
      <c r="A186" s="796" t="s">
        <v>1139</v>
      </c>
      <c r="B186" s="797"/>
      <c r="C186" s="797"/>
      <c r="D186" s="797"/>
      <c r="E186" s="797"/>
      <c r="F186" s="797"/>
      <c r="G186" s="797"/>
      <c r="H186" s="797"/>
      <c r="I186" s="797"/>
      <c r="J186" s="797"/>
      <c r="K186" s="797"/>
      <c r="L186" s="797"/>
      <c r="M186" s="797"/>
      <c r="N186" s="797"/>
      <c r="O186" s="797"/>
      <c r="P186" s="798"/>
    </row>
    <row r="187" spans="1:16" x14ac:dyDescent="0.25">
      <c r="A187" s="507"/>
      <c r="B187" s="600"/>
      <c r="C187" s="600"/>
      <c r="D187" s="600"/>
      <c r="E187" s="600"/>
      <c r="F187" s="600"/>
      <c r="G187" s="600"/>
      <c r="H187" s="600"/>
      <c r="I187" s="600"/>
      <c r="J187" s="600"/>
      <c r="K187" s="600"/>
      <c r="L187" s="600"/>
      <c r="M187" s="600"/>
      <c r="N187" s="600"/>
      <c r="O187" s="600"/>
      <c r="P187" s="601"/>
    </row>
    <row r="188" spans="1:16" x14ac:dyDescent="0.25">
      <c r="A188" s="507"/>
      <c r="B188" s="606" t="s">
        <v>670</v>
      </c>
      <c r="C188" s="600"/>
      <c r="D188" s="600"/>
      <c r="E188" s="600"/>
      <c r="F188" s="600"/>
      <c r="G188" s="600"/>
      <c r="H188" s="600"/>
      <c r="I188" s="600"/>
      <c r="J188" s="600"/>
      <c r="K188" s="600"/>
      <c r="L188" s="600"/>
      <c r="M188" s="600"/>
      <c r="N188" s="600"/>
      <c r="O188" s="600"/>
      <c r="P188" s="601"/>
    </row>
    <row r="189" spans="1:16" x14ac:dyDescent="0.25">
      <c r="A189" s="503"/>
      <c r="B189" s="598"/>
      <c r="C189" s="598"/>
      <c r="D189" s="598"/>
      <c r="E189" s="598"/>
      <c r="G189" s="583"/>
      <c r="H189" s="583"/>
      <c r="I189" s="583"/>
      <c r="J189" s="583"/>
      <c r="K189" s="583"/>
      <c r="L189" s="583"/>
      <c r="M189" s="583"/>
      <c r="P189" s="17"/>
    </row>
    <row r="190" spans="1:16" x14ac:dyDescent="0.25">
      <c r="A190" s="803" t="s">
        <v>443</v>
      </c>
      <c r="B190" s="804"/>
      <c r="C190" s="804"/>
      <c r="D190" s="804"/>
      <c r="E190" s="804"/>
      <c r="F190" s="804"/>
      <c r="G190" s="805"/>
      <c r="H190" s="258">
        <v>1</v>
      </c>
      <c r="I190" s="136">
        <v>2</v>
      </c>
      <c r="J190" s="287">
        <v>3</v>
      </c>
      <c r="K190" s="136">
        <v>4</v>
      </c>
      <c r="L190" s="287">
        <v>5</v>
      </c>
      <c r="M190" s="136">
        <v>6</v>
      </c>
      <c r="N190" s="287">
        <v>7</v>
      </c>
      <c r="O190" s="136">
        <v>8</v>
      </c>
      <c r="P190" s="136">
        <v>9</v>
      </c>
    </row>
    <row r="191" spans="1:16" x14ac:dyDescent="0.25">
      <c r="A191" s="799" t="s">
        <v>582</v>
      </c>
      <c r="B191" s="800"/>
      <c r="C191" s="800"/>
      <c r="D191" s="800"/>
      <c r="E191" s="800"/>
      <c r="F191" s="800"/>
      <c r="G191" s="806"/>
      <c r="H191" s="261">
        <v>2024</v>
      </c>
      <c r="I191" s="260">
        <v>2025</v>
      </c>
      <c r="J191" s="262">
        <v>2026</v>
      </c>
      <c r="K191" s="260">
        <v>2027</v>
      </c>
      <c r="L191" s="262">
        <v>2028</v>
      </c>
      <c r="M191" s="260">
        <v>2029</v>
      </c>
      <c r="N191" s="262">
        <v>2030</v>
      </c>
      <c r="O191" s="260">
        <v>2031</v>
      </c>
      <c r="P191" s="260">
        <v>2032</v>
      </c>
    </row>
    <row r="192" spans="1:16" x14ac:dyDescent="0.25">
      <c r="A192" s="37" t="s">
        <v>671</v>
      </c>
      <c r="B192" s="599" t="s">
        <v>672</v>
      </c>
      <c r="C192" s="598"/>
      <c r="D192" s="598"/>
      <c r="E192" s="598"/>
      <c r="G192" s="54"/>
      <c r="H192" s="583">
        <f>'PROJECT RK'!D581</f>
        <v>6.6</v>
      </c>
      <c r="I192" s="583">
        <f>'PROJECT RK'!E581</f>
        <v>6.6</v>
      </c>
      <c r="J192" s="583">
        <f>'PROJECT RK'!F581</f>
        <v>6.6</v>
      </c>
      <c r="K192" s="583">
        <f>'PROJECT RK'!G581</f>
        <v>6.6</v>
      </c>
      <c r="L192" s="583">
        <f>'PROJECT RK'!H581</f>
        <v>6.6</v>
      </c>
      <c r="M192" s="583">
        <f>'PROJECT RK'!I581</f>
        <v>6.6</v>
      </c>
      <c r="N192" s="583">
        <f>'PROJECT RK'!J581</f>
        <v>6.6</v>
      </c>
      <c r="O192" s="583">
        <f>'PROJECT RK'!K581</f>
        <v>6.6</v>
      </c>
      <c r="P192" s="583">
        <f>'PROJECT RK'!L581</f>
        <v>6.6</v>
      </c>
    </row>
    <row r="193" spans="1:16" x14ac:dyDescent="0.25">
      <c r="A193" s="503"/>
      <c r="B193" s="598"/>
      <c r="C193" s="598"/>
      <c r="D193" s="598"/>
      <c r="E193" s="598"/>
      <c r="G193" s="49"/>
      <c r="H193" s="583"/>
      <c r="I193" s="583"/>
      <c r="J193" s="583"/>
      <c r="K193" s="583"/>
      <c r="L193" s="583"/>
      <c r="M193" s="583"/>
      <c r="N193" s="583"/>
      <c r="O193" s="583"/>
      <c r="P193" s="583"/>
    </row>
    <row r="194" spans="1:16" x14ac:dyDescent="0.25">
      <c r="A194" s="37" t="s">
        <v>673</v>
      </c>
      <c r="B194" s="599" t="s">
        <v>674</v>
      </c>
      <c r="C194" s="598"/>
      <c r="D194" s="598"/>
      <c r="E194" s="598"/>
      <c r="G194" s="54"/>
      <c r="H194" s="45">
        <f>'PROJECT RK'!D582</f>
        <v>1.0870339171715557</v>
      </c>
      <c r="I194" s="45">
        <f>'PROJECT RK'!E582</f>
        <v>2.7214512246272333</v>
      </c>
      <c r="J194" s="45">
        <f>'PROJECT RK'!F582</f>
        <v>4.9950354674189015</v>
      </c>
      <c r="K194" s="45">
        <f>'PROJECT RK'!G582</f>
        <v>7.9235407703193657</v>
      </c>
      <c r="L194" s="45">
        <f>'PROJECT RK'!H582</f>
        <v>11.478820642676002</v>
      </c>
      <c r="M194" s="45">
        <f>'PROJECT RK'!I582</f>
        <v>15.665627460821575</v>
      </c>
      <c r="N194" s="45">
        <f>'PROJECT RK'!J582</f>
        <v>20.463443003223013</v>
      </c>
      <c r="O194" s="45">
        <f>'PROJECT RK'!K582</f>
        <v>25.874766566433419</v>
      </c>
      <c r="P194" s="45">
        <f>'PROJECT RK'!L582</f>
        <v>31.858115987989589</v>
      </c>
    </row>
    <row r="195" spans="1:16" x14ac:dyDescent="0.25">
      <c r="A195" s="503"/>
      <c r="B195" s="598"/>
      <c r="C195" s="598"/>
      <c r="D195" s="598"/>
      <c r="E195" s="598"/>
      <c r="G195" s="49"/>
      <c r="H195" s="583"/>
      <c r="I195" s="33"/>
      <c r="J195" s="584"/>
      <c r="K195" s="38"/>
      <c r="L195" s="584"/>
      <c r="M195" s="38"/>
      <c r="O195" s="62"/>
      <c r="P195" s="62"/>
    </row>
    <row r="196" spans="1:16" x14ac:dyDescent="0.25">
      <c r="A196" s="37" t="s">
        <v>675</v>
      </c>
      <c r="B196" s="599" t="s">
        <v>676</v>
      </c>
      <c r="C196" s="598"/>
      <c r="D196" s="598"/>
      <c r="E196" s="598"/>
      <c r="G196" s="54"/>
      <c r="H196" s="45">
        <v>0</v>
      </c>
      <c r="I196" s="30">
        <v>0</v>
      </c>
      <c r="J196" s="45">
        <v>0</v>
      </c>
      <c r="K196" s="30">
        <v>0</v>
      </c>
      <c r="L196" s="45">
        <v>0</v>
      </c>
      <c r="M196" s="30">
        <v>0</v>
      </c>
      <c r="N196" s="45">
        <v>0</v>
      </c>
      <c r="O196" s="30">
        <v>0</v>
      </c>
      <c r="P196" s="30">
        <v>0</v>
      </c>
    </row>
    <row r="197" spans="1:16" x14ac:dyDescent="0.25">
      <c r="A197" s="37" t="s">
        <v>677</v>
      </c>
      <c r="B197" s="599" t="s">
        <v>678</v>
      </c>
      <c r="C197" s="598"/>
      <c r="D197" s="598"/>
      <c r="E197" s="598"/>
      <c r="G197" s="54"/>
      <c r="H197" s="45">
        <v>0</v>
      </c>
      <c r="I197" s="30">
        <v>0</v>
      </c>
      <c r="J197" s="45">
        <v>0</v>
      </c>
      <c r="K197" s="30">
        <v>0</v>
      </c>
      <c r="L197" s="45">
        <v>0</v>
      </c>
      <c r="M197" s="30">
        <v>0</v>
      </c>
      <c r="N197" s="45">
        <v>0</v>
      </c>
      <c r="O197" s="30">
        <v>0</v>
      </c>
      <c r="P197" s="30">
        <v>0</v>
      </c>
    </row>
    <row r="198" spans="1:16" x14ac:dyDescent="0.25">
      <c r="A198" s="37" t="s">
        <v>679</v>
      </c>
      <c r="B198" s="599" t="s">
        <v>680</v>
      </c>
      <c r="C198" s="598"/>
      <c r="D198" s="598"/>
      <c r="E198" s="598"/>
      <c r="G198" s="54"/>
      <c r="H198" s="45">
        <v>0</v>
      </c>
      <c r="I198" s="30">
        <v>0</v>
      </c>
      <c r="J198" s="45">
        <v>0</v>
      </c>
      <c r="K198" s="30">
        <v>0</v>
      </c>
      <c r="L198" s="45">
        <v>0</v>
      </c>
      <c r="M198" s="30">
        <v>0</v>
      </c>
      <c r="N198" s="45">
        <v>0</v>
      </c>
      <c r="O198" s="30">
        <v>0</v>
      </c>
      <c r="P198" s="30">
        <v>0</v>
      </c>
    </row>
    <row r="199" spans="1:16" x14ac:dyDescent="0.25">
      <c r="A199" s="503"/>
      <c r="B199" s="599" t="s">
        <v>681</v>
      </c>
      <c r="C199" s="598"/>
      <c r="D199" s="598"/>
      <c r="E199" s="598"/>
      <c r="G199" s="49"/>
      <c r="H199" s="583"/>
      <c r="I199" s="33"/>
      <c r="J199" s="584"/>
      <c r="K199" s="38"/>
      <c r="L199" s="584"/>
      <c r="M199" s="38"/>
      <c r="O199" s="62"/>
      <c r="P199" s="62"/>
    </row>
    <row r="200" spans="1:16" x14ac:dyDescent="0.25">
      <c r="A200" s="37" t="s">
        <v>682</v>
      </c>
      <c r="B200" s="599" t="s">
        <v>683</v>
      </c>
      <c r="C200" s="598"/>
      <c r="D200" s="598"/>
      <c r="E200" s="598"/>
      <c r="G200" s="49"/>
      <c r="H200" s="264">
        <f>SUM(H192:H199)</f>
        <v>7.6870339171715552</v>
      </c>
      <c r="I200" s="264">
        <f t="shared" ref="I200:P200" si="29">SUM(I192:I199)</f>
        <v>9.3214512246272321</v>
      </c>
      <c r="J200" s="264">
        <f t="shared" si="29"/>
        <v>11.595035467418901</v>
      </c>
      <c r="K200" s="264">
        <f t="shared" si="29"/>
        <v>14.523540770319364</v>
      </c>
      <c r="L200" s="264">
        <f t="shared" si="29"/>
        <v>18.078820642676</v>
      </c>
      <c r="M200" s="264">
        <f t="shared" si="29"/>
        <v>22.265627460821577</v>
      </c>
      <c r="N200" s="264">
        <f t="shared" si="29"/>
        <v>27.063443003223014</v>
      </c>
      <c r="O200" s="264">
        <f t="shared" si="29"/>
        <v>32.474766566433416</v>
      </c>
      <c r="P200" s="264">
        <f t="shared" si="29"/>
        <v>38.458115987989586</v>
      </c>
    </row>
    <row r="201" spans="1:16" x14ac:dyDescent="0.25">
      <c r="A201" s="470" t="s">
        <v>684</v>
      </c>
      <c r="B201" s="41" t="s">
        <v>685</v>
      </c>
      <c r="C201" s="42"/>
      <c r="D201" s="42"/>
      <c r="E201" s="42"/>
      <c r="F201" s="19"/>
      <c r="G201" s="63"/>
      <c r="H201" s="263">
        <f ca="1">H200+H177</f>
        <v>30.13227540171296</v>
      </c>
      <c r="I201" s="263">
        <f t="shared" ref="I201:P201" ca="1" si="30">I200+I177</f>
        <v>31.57282824016913</v>
      </c>
      <c r="J201" s="263">
        <f t="shared" ca="1" si="30"/>
        <v>33.423092754794951</v>
      </c>
      <c r="K201" s="263">
        <f t="shared" ca="1" si="30"/>
        <v>35.929920227988653</v>
      </c>
      <c r="L201" s="263">
        <f t="shared" ca="1" si="30"/>
        <v>38.692745430520901</v>
      </c>
      <c r="M201" s="263">
        <f t="shared" ca="1" si="30"/>
        <v>41.727250585846065</v>
      </c>
      <c r="N201" s="263">
        <f t="shared" ca="1" si="30"/>
        <v>45.00526864528166</v>
      </c>
      <c r="O201" s="263">
        <f t="shared" ca="1" si="30"/>
        <v>48.896460591633854</v>
      </c>
      <c r="P201" s="263">
        <f t="shared" ca="1" si="30"/>
        <v>54.305890033221168</v>
      </c>
    </row>
    <row r="202" spans="1:16" x14ac:dyDescent="0.25">
      <c r="A202" s="503"/>
      <c r="B202" s="598"/>
      <c r="C202" s="598"/>
      <c r="D202" s="598"/>
      <c r="E202" s="598"/>
      <c r="G202" s="52"/>
      <c r="H202" s="583"/>
      <c r="I202" s="583"/>
      <c r="J202" s="584"/>
      <c r="K202" s="584"/>
      <c r="L202" s="584"/>
      <c r="M202" s="584"/>
      <c r="P202" s="17"/>
    </row>
    <row r="203" spans="1:16" x14ac:dyDescent="0.25">
      <c r="A203" s="503"/>
      <c r="B203" s="598"/>
      <c r="C203" s="598"/>
      <c r="D203" s="598"/>
      <c r="E203" s="598"/>
      <c r="G203" s="583"/>
      <c r="H203" s="583"/>
      <c r="I203" s="583"/>
      <c r="J203" s="584"/>
      <c r="K203" s="584"/>
      <c r="L203" s="584"/>
      <c r="M203" s="584"/>
      <c r="P203" s="17"/>
    </row>
    <row r="204" spans="1:16" x14ac:dyDescent="0.25">
      <c r="A204" s="503"/>
      <c r="B204" s="598"/>
      <c r="C204" s="598"/>
      <c r="D204" s="598"/>
      <c r="E204" s="598"/>
      <c r="G204" s="583"/>
      <c r="H204" s="583"/>
      <c r="I204" s="583"/>
      <c r="J204" s="584"/>
      <c r="K204" s="584"/>
      <c r="L204" s="584"/>
      <c r="M204" s="584"/>
      <c r="P204" s="17"/>
    </row>
    <row r="205" spans="1:16" x14ac:dyDescent="0.25">
      <c r="A205" s="503"/>
      <c r="B205" s="598"/>
      <c r="C205" s="598"/>
      <c r="D205" s="598"/>
      <c r="E205" s="598"/>
      <c r="G205" s="583"/>
      <c r="H205" s="583"/>
      <c r="I205" s="583"/>
      <c r="J205" s="584"/>
      <c r="K205" s="584"/>
      <c r="L205" s="584"/>
      <c r="M205" s="584"/>
      <c r="P205" s="17"/>
    </row>
    <row r="206" spans="1:16" x14ac:dyDescent="0.25">
      <c r="A206" s="503"/>
      <c r="B206" s="598"/>
      <c r="C206" s="598"/>
      <c r="D206" s="598"/>
      <c r="E206" s="598"/>
      <c r="G206" s="583"/>
      <c r="H206" s="583"/>
      <c r="I206" s="583"/>
      <c r="J206" s="584"/>
      <c r="K206" s="584"/>
      <c r="L206" s="584"/>
      <c r="M206" s="584"/>
      <c r="P206" s="17"/>
    </row>
    <row r="207" spans="1:16" x14ac:dyDescent="0.25">
      <c r="A207" s="503"/>
      <c r="B207" s="598"/>
      <c r="C207" s="598"/>
      <c r="D207" s="598"/>
      <c r="E207" s="598"/>
      <c r="G207" s="583"/>
      <c r="H207" s="583"/>
      <c r="I207" s="583"/>
      <c r="J207" s="584"/>
      <c r="K207" s="584"/>
      <c r="L207" s="584"/>
      <c r="M207" s="584"/>
      <c r="P207" s="17"/>
    </row>
    <row r="208" spans="1:16" x14ac:dyDescent="0.25">
      <c r="A208" s="503"/>
      <c r="B208" s="598"/>
      <c r="C208" s="598"/>
      <c r="D208" s="598"/>
      <c r="E208" s="598"/>
      <c r="G208" s="583"/>
      <c r="H208" s="583"/>
      <c r="I208" s="583"/>
      <c r="J208" s="584"/>
      <c r="K208" s="584"/>
      <c r="L208" s="584"/>
      <c r="M208" s="584"/>
      <c r="P208" s="17"/>
    </row>
    <row r="209" spans="1:16" x14ac:dyDescent="0.25">
      <c r="A209" s="503"/>
      <c r="B209" s="598"/>
      <c r="C209" s="598"/>
      <c r="D209" s="598"/>
      <c r="E209" s="598"/>
      <c r="G209" s="583"/>
      <c r="H209" s="583"/>
      <c r="I209" s="583"/>
      <c r="J209" s="584"/>
      <c r="K209" s="584"/>
      <c r="L209" s="584"/>
      <c r="M209" s="584"/>
      <c r="P209" s="17"/>
    </row>
    <row r="210" spans="1:16" x14ac:dyDescent="0.25">
      <c r="A210" s="503"/>
      <c r="B210" s="598"/>
      <c r="C210" s="598"/>
      <c r="D210" s="598"/>
      <c r="E210" s="598"/>
      <c r="G210" s="583"/>
      <c r="H210" s="583"/>
      <c r="I210" s="583"/>
      <c r="J210" s="584"/>
      <c r="K210" s="584"/>
      <c r="L210" s="584"/>
      <c r="M210" s="584"/>
      <c r="P210" s="17"/>
    </row>
    <row r="211" spans="1:16" x14ac:dyDescent="0.25">
      <c r="A211" s="503"/>
      <c r="B211" s="598"/>
      <c r="C211" s="598"/>
      <c r="D211" s="598"/>
      <c r="E211" s="598"/>
      <c r="G211" s="583"/>
      <c r="H211" s="583"/>
      <c r="I211" s="583"/>
      <c r="J211" s="584"/>
      <c r="K211" s="584"/>
      <c r="L211" s="584"/>
      <c r="M211" s="584"/>
      <c r="P211" s="17"/>
    </row>
    <row r="212" spans="1:16" x14ac:dyDescent="0.25">
      <c r="A212" s="503"/>
      <c r="B212" s="598"/>
      <c r="C212" s="598"/>
      <c r="D212" s="598"/>
      <c r="E212" s="598"/>
      <c r="G212" s="583"/>
      <c r="H212" s="583"/>
      <c r="I212" s="583"/>
      <c r="J212" s="584"/>
      <c r="K212" s="584"/>
      <c r="L212" s="584"/>
      <c r="M212" s="584"/>
      <c r="P212" s="17"/>
    </row>
    <row r="213" spans="1:16" x14ac:dyDescent="0.25">
      <c r="A213" s="503"/>
      <c r="B213" s="598"/>
      <c r="C213" s="598"/>
      <c r="D213" s="598"/>
      <c r="E213" s="598"/>
      <c r="G213" s="583"/>
      <c r="H213" s="583"/>
      <c r="I213" s="583"/>
      <c r="J213" s="584"/>
      <c r="K213" s="584"/>
      <c r="L213" s="584"/>
      <c r="M213" s="584"/>
      <c r="P213" s="17"/>
    </row>
    <row r="214" spans="1:16" x14ac:dyDescent="0.25">
      <c r="A214" s="503"/>
      <c r="B214" s="598"/>
      <c r="C214" s="598"/>
      <c r="D214" s="598"/>
      <c r="E214" s="598"/>
      <c r="G214" s="583"/>
      <c r="H214" s="583"/>
      <c r="I214" s="583"/>
      <c r="J214" s="584"/>
      <c r="K214" s="584"/>
      <c r="L214" s="584"/>
      <c r="M214" s="584"/>
      <c r="P214" s="17"/>
    </row>
    <row r="215" spans="1:16" x14ac:dyDescent="0.25">
      <c r="A215" s="503"/>
      <c r="B215" s="598"/>
      <c r="C215" s="598"/>
      <c r="D215" s="598"/>
      <c r="E215" s="598"/>
      <c r="G215" s="583"/>
      <c r="H215" s="583"/>
      <c r="I215" s="583"/>
      <c r="J215" s="584"/>
      <c r="K215" s="584"/>
      <c r="L215" s="584"/>
      <c r="M215" s="584"/>
      <c r="P215" s="17"/>
    </row>
    <row r="216" spans="1:16" x14ac:dyDescent="0.25">
      <c r="A216" s="503"/>
      <c r="B216" s="598"/>
      <c r="C216" s="598"/>
      <c r="D216" s="598"/>
      <c r="E216" s="598"/>
      <c r="G216" s="583"/>
      <c r="H216" s="583"/>
      <c r="I216" s="583"/>
      <c r="J216" s="584"/>
      <c r="K216" s="584"/>
      <c r="L216" s="584"/>
      <c r="M216" s="584"/>
      <c r="P216" s="17"/>
    </row>
    <row r="217" spans="1:16" x14ac:dyDescent="0.25">
      <c r="A217" s="503"/>
      <c r="B217" s="598"/>
      <c r="C217" s="598"/>
      <c r="D217" s="598"/>
      <c r="E217" s="598"/>
      <c r="G217" s="583"/>
      <c r="H217" s="583"/>
      <c r="I217" s="583"/>
      <c r="J217" s="584"/>
      <c r="K217" s="584"/>
      <c r="L217" s="584"/>
      <c r="M217" s="584"/>
      <c r="P217" s="17"/>
    </row>
    <row r="218" spans="1:16" x14ac:dyDescent="0.25">
      <c r="A218" s="503"/>
      <c r="B218" s="598"/>
      <c r="C218" s="598"/>
      <c r="D218" s="598"/>
      <c r="E218" s="598"/>
      <c r="G218" s="583"/>
      <c r="H218" s="583"/>
      <c r="I218" s="583"/>
      <c r="J218" s="584"/>
      <c r="K218" s="584"/>
      <c r="L218" s="584"/>
      <c r="M218" s="584"/>
      <c r="P218" s="17"/>
    </row>
    <row r="219" spans="1:16" x14ac:dyDescent="0.25">
      <c r="A219" s="503"/>
      <c r="B219" s="598"/>
      <c r="C219" s="598"/>
      <c r="D219" s="598"/>
      <c r="E219" s="598"/>
      <c r="G219" s="583"/>
      <c r="H219" s="583"/>
      <c r="I219" s="583"/>
      <c r="J219" s="584"/>
      <c r="K219" s="584"/>
      <c r="L219" s="584"/>
      <c r="M219" s="584"/>
      <c r="P219" s="17"/>
    </row>
    <row r="220" spans="1:16" x14ac:dyDescent="0.25">
      <c r="A220" s="503"/>
      <c r="B220" s="598"/>
      <c r="C220" s="598"/>
      <c r="D220" s="598"/>
      <c r="E220" s="598"/>
      <c r="G220" s="583"/>
      <c r="H220" s="583"/>
      <c r="I220" s="583"/>
      <c r="J220" s="584"/>
      <c r="K220" s="584"/>
      <c r="L220" s="584"/>
      <c r="M220" s="584"/>
      <c r="P220" s="17"/>
    </row>
    <row r="221" spans="1:16" x14ac:dyDescent="0.25">
      <c r="A221" s="503"/>
      <c r="B221" s="598"/>
      <c r="C221" s="598"/>
      <c r="D221" s="598"/>
      <c r="E221" s="598"/>
      <c r="G221" s="583"/>
      <c r="H221" s="583"/>
      <c r="I221" s="583"/>
      <c r="J221" s="584"/>
      <c r="K221" s="584"/>
      <c r="L221" s="584"/>
      <c r="M221" s="584"/>
      <c r="P221" s="17"/>
    </row>
    <row r="222" spans="1:16" x14ac:dyDescent="0.25">
      <c r="A222" s="503"/>
      <c r="B222" s="598"/>
      <c r="C222" s="598"/>
      <c r="D222" s="598"/>
      <c r="E222" s="598"/>
      <c r="G222" s="583"/>
      <c r="H222" s="583"/>
      <c r="I222" s="583"/>
      <c r="J222" s="584"/>
      <c r="K222" s="584"/>
      <c r="L222" s="584"/>
      <c r="M222" s="584"/>
      <c r="P222" s="17"/>
    </row>
    <row r="223" spans="1:16" x14ac:dyDescent="0.25">
      <c r="A223" s="503"/>
      <c r="B223" s="598"/>
      <c r="C223" s="598"/>
      <c r="D223" s="598"/>
      <c r="E223" s="598"/>
      <c r="G223" s="583"/>
      <c r="H223" s="583"/>
      <c r="I223" s="583"/>
      <c r="J223" s="584"/>
      <c r="K223" s="584"/>
      <c r="L223" s="584"/>
      <c r="M223" s="584"/>
      <c r="P223" s="17"/>
    </row>
    <row r="224" spans="1:16" x14ac:dyDescent="0.25">
      <c r="A224" s="503"/>
      <c r="B224" s="598"/>
      <c r="C224" s="598"/>
      <c r="D224" s="598"/>
      <c r="E224" s="598"/>
      <c r="G224" s="583"/>
      <c r="H224" s="583"/>
      <c r="I224" s="583"/>
      <c r="J224" s="584"/>
      <c r="K224" s="584"/>
      <c r="L224" s="584"/>
      <c r="M224" s="584"/>
      <c r="P224" s="17"/>
    </row>
    <row r="225" spans="1:16" x14ac:dyDescent="0.25">
      <c r="A225" s="503"/>
      <c r="B225" s="598"/>
      <c r="C225" s="598"/>
      <c r="D225" s="598"/>
      <c r="E225" s="598"/>
      <c r="G225" s="583"/>
      <c r="H225" s="583"/>
      <c r="I225" s="583"/>
      <c r="J225" s="584"/>
      <c r="K225" s="584"/>
      <c r="L225" s="584"/>
      <c r="M225" s="584"/>
      <c r="P225" s="17"/>
    </row>
    <row r="226" spans="1:16" x14ac:dyDescent="0.25">
      <c r="A226" s="503"/>
      <c r="B226" s="598"/>
      <c r="C226" s="598"/>
      <c r="D226" s="598"/>
      <c r="E226" s="598"/>
      <c r="G226" s="583"/>
      <c r="H226" s="583"/>
      <c r="I226" s="583"/>
      <c r="J226" s="584"/>
      <c r="K226" s="584"/>
      <c r="L226" s="584"/>
      <c r="M226" s="584"/>
      <c r="P226" s="17"/>
    </row>
    <row r="227" spans="1:16" x14ac:dyDescent="0.25">
      <c r="A227" s="503"/>
      <c r="B227" s="598"/>
      <c r="C227" s="598"/>
      <c r="D227" s="598"/>
      <c r="E227" s="598"/>
      <c r="G227" s="583"/>
      <c r="H227" s="583"/>
      <c r="I227" s="583"/>
      <c r="J227" s="584"/>
      <c r="K227" s="584"/>
      <c r="L227" s="584"/>
      <c r="M227" s="584"/>
      <c r="P227" s="17"/>
    </row>
    <row r="228" spans="1:16" x14ac:dyDescent="0.25">
      <c r="A228" s="503"/>
      <c r="B228" s="598"/>
      <c r="C228" s="598"/>
      <c r="D228" s="598"/>
      <c r="E228" s="598"/>
      <c r="G228" s="583"/>
      <c r="H228" s="583"/>
      <c r="I228" s="583"/>
      <c r="J228" s="584"/>
      <c r="K228" s="584"/>
      <c r="L228" s="584"/>
      <c r="M228" s="584"/>
      <c r="P228" s="17"/>
    </row>
    <row r="229" spans="1:16" x14ac:dyDescent="0.25">
      <c r="A229" s="503"/>
      <c r="B229" s="598"/>
      <c r="C229" s="598"/>
      <c r="D229" s="598"/>
      <c r="E229" s="598"/>
      <c r="G229" s="583"/>
      <c r="H229" s="583"/>
      <c r="I229" s="583"/>
      <c r="J229" s="584"/>
      <c r="K229" s="584"/>
      <c r="L229" s="584"/>
      <c r="M229" s="584"/>
      <c r="P229" s="17"/>
    </row>
    <row r="230" spans="1:16" x14ac:dyDescent="0.25">
      <c r="A230" s="502"/>
      <c r="B230" s="42"/>
      <c r="C230" s="42"/>
      <c r="D230" s="42"/>
      <c r="E230" s="42"/>
      <c r="F230" s="19"/>
      <c r="G230" s="43"/>
      <c r="H230" s="43"/>
      <c r="I230" s="43"/>
      <c r="J230" s="47"/>
      <c r="K230" s="47"/>
      <c r="L230" s="47"/>
      <c r="M230" s="47"/>
      <c r="N230" s="19"/>
      <c r="O230" s="19"/>
      <c r="P230" s="22"/>
    </row>
    <row r="231" spans="1:16" x14ac:dyDescent="0.25">
      <c r="A231" s="803" t="s">
        <v>843</v>
      </c>
      <c r="B231" s="804"/>
      <c r="C231" s="804"/>
      <c r="D231" s="804"/>
      <c r="E231" s="804"/>
      <c r="F231" s="804"/>
      <c r="G231" s="804"/>
      <c r="H231" s="804"/>
      <c r="I231" s="804"/>
      <c r="J231" s="804"/>
      <c r="K231" s="804"/>
      <c r="L231" s="804"/>
      <c r="M231" s="804"/>
      <c r="N231" s="804"/>
      <c r="O231" s="804"/>
      <c r="P231" s="805"/>
    </row>
    <row r="232" spans="1:16" x14ac:dyDescent="0.25">
      <c r="A232" s="796" t="s">
        <v>1139</v>
      </c>
      <c r="B232" s="797"/>
      <c r="C232" s="797"/>
      <c r="D232" s="797"/>
      <c r="E232" s="797"/>
      <c r="F232" s="797"/>
      <c r="G232" s="797"/>
      <c r="H232" s="797"/>
      <c r="I232" s="797"/>
      <c r="J232" s="797"/>
      <c r="K232" s="797"/>
      <c r="L232" s="797"/>
      <c r="M232" s="797"/>
      <c r="N232" s="797"/>
      <c r="O232" s="797"/>
      <c r="P232" s="798"/>
    </row>
    <row r="233" spans="1:16" x14ac:dyDescent="0.25">
      <c r="A233" s="503"/>
      <c r="B233" s="606" t="s">
        <v>686</v>
      </c>
      <c r="C233" s="598"/>
      <c r="D233" s="598"/>
      <c r="E233" s="598"/>
      <c r="G233" s="583"/>
      <c r="H233" s="583"/>
      <c r="I233" s="583"/>
      <c r="J233" s="584"/>
      <c r="K233" s="584"/>
      <c r="L233" s="584"/>
      <c r="M233" s="584"/>
      <c r="P233" s="17"/>
    </row>
    <row r="234" spans="1:16" x14ac:dyDescent="0.25">
      <c r="A234" s="799" t="s">
        <v>443</v>
      </c>
      <c r="B234" s="800"/>
      <c r="C234" s="800"/>
      <c r="D234" s="800"/>
      <c r="E234" s="800"/>
      <c r="F234" s="800"/>
      <c r="G234" s="806"/>
      <c r="H234" s="258">
        <v>1</v>
      </c>
      <c r="I234" s="136">
        <v>2</v>
      </c>
      <c r="J234" s="287">
        <v>3</v>
      </c>
      <c r="K234" s="136">
        <v>4</v>
      </c>
      <c r="L234" s="287">
        <v>5</v>
      </c>
      <c r="M234" s="136">
        <v>6</v>
      </c>
      <c r="N234" s="287">
        <v>7</v>
      </c>
      <c r="O234" s="136">
        <v>8</v>
      </c>
      <c r="P234" s="136">
        <v>9</v>
      </c>
    </row>
    <row r="235" spans="1:16" x14ac:dyDescent="0.25">
      <c r="A235" s="799" t="s">
        <v>582</v>
      </c>
      <c r="B235" s="800"/>
      <c r="C235" s="800"/>
      <c r="D235" s="800"/>
      <c r="E235" s="800"/>
      <c r="F235" s="800"/>
      <c r="G235" s="806"/>
      <c r="H235" s="258">
        <v>2024</v>
      </c>
      <c r="I235" s="136">
        <v>2025</v>
      </c>
      <c r="J235" s="287">
        <v>2026</v>
      </c>
      <c r="K235" s="136">
        <v>2027</v>
      </c>
      <c r="L235" s="287">
        <v>2028</v>
      </c>
      <c r="M235" s="136">
        <v>2029</v>
      </c>
      <c r="N235" s="287">
        <v>2030</v>
      </c>
      <c r="O235" s="136">
        <v>2031</v>
      </c>
      <c r="P235" s="136">
        <v>2032</v>
      </c>
    </row>
    <row r="236" spans="1:16" x14ac:dyDescent="0.25">
      <c r="A236" s="503"/>
      <c r="B236" s="606" t="s">
        <v>687</v>
      </c>
      <c r="C236" s="598"/>
      <c r="D236" s="598"/>
      <c r="E236" s="598"/>
      <c r="G236" s="49"/>
      <c r="H236" s="583"/>
      <c r="I236" s="31"/>
      <c r="J236" s="52"/>
      <c r="K236" s="31"/>
      <c r="L236" s="52"/>
      <c r="M236" s="31"/>
      <c r="N236" s="52"/>
      <c r="O236" s="31"/>
      <c r="P236" s="31"/>
    </row>
    <row r="237" spans="1:16" x14ac:dyDescent="0.25">
      <c r="A237" s="503"/>
      <c r="B237" s="598"/>
      <c r="C237" s="598"/>
      <c r="D237" s="598"/>
      <c r="E237" s="598"/>
      <c r="G237" s="49"/>
      <c r="H237" s="583"/>
      <c r="I237" s="33"/>
      <c r="J237" s="583"/>
      <c r="K237" s="33"/>
      <c r="L237" s="583"/>
      <c r="M237" s="33"/>
      <c r="N237" s="583"/>
      <c r="O237" s="33"/>
      <c r="P237" s="33"/>
    </row>
    <row r="238" spans="1:16" x14ac:dyDescent="0.25">
      <c r="A238" s="37" t="s">
        <v>688</v>
      </c>
      <c r="B238" s="599" t="s">
        <v>689</v>
      </c>
      <c r="C238" s="598"/>
      <c r="D238" s="598"/>
      <c r="E238" s="598"/>
      <c r="G238" s="49"/>
      <c r="H238" s="583">
        <f ca="1">'PROJECT RK'!D606</f>
        <v>0.41949303113803538</v>
      </c>
      <c r="I238" s="583">
        <f ca="1">'PROJECT RK'!E606</f>
        <v>1.2190499495024429</v>
      </c>
      <c r="J238" s="583">
        <f ca="1">'PROJECT RK'!F606</f>
        <v>1.1975073173740345</v>
      </c>
      <c r="K238" s="583">
        <f ca="1">'PROJECT RK'!G606</f>
        <v>1.5357273242683966</v>
      </c>
      <c r="L238" s="583">
        <f ca="1">'PROJECT RK'!H606</f>
        <v>0.89512200275991116</v>
      </c>
      <c r="M238" s="583">
        <f ca="1">'PROJECT RK'!I606</f>
        <v>1.3005701441000355</v>
      </c>
      <c r="N238" s="583">
        <f ca="1">'PROJECT RK'!J606</f>
        <v>0.78490842017898732</v>
      </c>
      <c r="O238" s="583">
        <f ca="1">'PROJECT RK'!K606</f>
        <v>1.7159509516073905</v>
      </c>
      <c r="P238" s="583">
        <f ca="1">'PROJECT RK'!L606</f>
        <v>1.0439429823450412</v>
      </c>
    </row>
    <row r="239" spans="1:16" x14ac:dyDescent="0.25">
      <c r="A239" s="37" t="s">
        <v>690</v>
      </c>
      <c r="B239" s="599" t="s">
        <v>691</v>
      </c>
      <c r="C239" s="598"/>
      <c r="D239" s="598"/>
      <c r="E239" s="598"/>
      <c r="G239" s="49"/>
      <c r="H239" s="583"/>
      <c r="I239" s="33"/>
      <c r="J239" s="583"/>
      <c r="K239" s="33"/>
      <c r="L239" s="583"/>
      <c r="M239" s="33"/>
      <c r="N239" s="583"/>
      <c r="O239" s="33"/>
      <c r="P239" s="33"/>
    </row>
    <row r="240" spans="1:16" x14ac:dyDescent="0.25">
      <c r="A240" s="503"/>
      <c r="B240" s="584" t="s">
        <v>591</v>
      </c>
      <c r="C240" s="599" t="s">
        <v>692</v>
      </c>
      <c r="D240" s="598"/>
      <c r="E240" s="598"/>
      <c r="G240" s="54"/>
      <c r="H240" s="45">
        <v>0</v>
      </c>
      <c r="I240" s="30">
        <v>0</v>
      </c>
      <c r="J240" s="45">
        <v>0</v>
      </c>
      <c r="K240" s="30">
        <v>0</v>
      </c>
      <c r="L240" s="45">
        <v>0</v>
      </c>
      <c r="M240" s="30">
        <v>0</v>
      </c>
      <c r="N240" s="45">
        <v>0</v>
      </c>
      <c r="O240" s="30">
        <v>0</v>
      </c>
      <c r="P240" s="30">
        <v>0</v>
      </c>
    </row>
    <row r="241" spans="1:17" x14ac:dyDescent="0.25">
      <c r="A241" s="503"/>
      <c r="B241" s="584" t="s">
        <v>569</v>
      </c>
      <c r="C241" s="599" t="s">
        <v>693</v>
      </c>
      <c r="D241" s="598"/>
      <c r="E241" s="598"/>
      <c r="G241" s="54"/>
      <c r="H241" s="45">
        <v>0</v>
      </c>
      <c r="I241" s="30">
        <v>0</v>
      </c>
      <c r="J241" s="45">
        <v>0</v>
      </c>
      <c r="K241" s="30">
        <v>0</v>
      </c>
      <c r="L241" s="45">
        <v>0</v>
      </c>
      <c r="M241" s="30">
        <v>0</v>
      </c>
      <c r="N241" s="45">
        <v>0</v>
      </c>
      <c r="O241" s="30">
        <v>0</v>
      </c>
      <c r="P241" s="30">
        <v>0</v>
      </c>
    </row>
    <row r="242" spans="1:17" x14ac:dyDescent="0.25">
      <c r="A242" s="37" t="s">
        <v>694</v>
      </c>
      <c r="B242" s="599" t="s">
        <v>93</v>
      </c>
      <c r="D242" s="598"/>
      <c r="E242" s="598"/>
      <c r="G242" s="54"/>
      <c r="H242" s="583">
        <f ca="1">'PROJECT RK'!D605</f>
        <v>2.4619502465753422</v>
      </c>
      <c r="I242" s="583">
        <f>'PROJECT RK'!E605</f>
        <v>2.7204677260273975</v>
      </c>
      <c r="J242" s="583">
        <f>'PROJECT RK'!F605</f>
        <v>2.9300764931506853</v>
      </c>
      <c r="K242" s="583">
        <f>'PROJECT RK'!G605</f>
        <v>3.1396852602739727</v>
      </c>
      <c r="L242" s="583">
        <f>'PROJECT RK'!H605</f>
        <v>3.3492940273972609</v>
      </c>
      <c r="M242" s="583">
        <f>'PROJECT RK'!I605</f>
        <v>3.5589027945205483</v>
      </c>
      <c r="N242" s="583">
        <f>'PROJECT RK'!J605</f>
        <v>3.7685115616438365</v>
      </c>
      <c r="O242" s="583">
        <f>'PROJECT RK'!K605</f>
        <v>3.9781203287671247</v>
      </c>
      <c r="P242" s="583">
        <f>'PROJECT RK'!L605</f>
        <v>4.1877290958904121</v>
      </c>
    </row>
    <row r="243" spans="1:17" x14ac:dyDescent="0.25">
      <c r="A243" s="37" t="s">
        <v>90</v>
      </c>
      <c r="B243" s="604">
        <v>10</v>
      </c>
      <c r="C243" s="9" t="s">
        <v>92</v>
      </c>
      <c r="D243" s="598"/>
      <c r="E243" s="598"/>
      <c r="G243" s="57"/>
      <c r="H243" s="583"/>
      <c r="I243" s="583"/>
      <c r="J243" s="583"/>
      <c r="K243" s="583"/>
      <c r="L243" s="583"/>
      <c r="M243" s="583"/>
      <c r="N243" s="583"/>
      <c r="O243" s="583"/>
      <c r="P243" s="583"/>
    </row>
    <row r="244" spans="1:17" x14ac:dyDescent="0.25">
      <c r="A244" s="503"/>
      <c r="B244" s="599" t="s">
        <v>94</v>
      </c>
      <c r="D244" s="598"/>
      <c r="E244" s="598"/>
      <c r="G244" s="54"/>
      <c r="H244" s="45">
        <v>0</v>
      </c>
      <c r="I244" s="30">
        <v>0</v>
      </c>
      <c r="J244" s="45">
        <v>0</v>
      </c>
      <c r="K244" s="30">
        <v>0</v>
      </c>
      <c r="L244" s="45">
        <v>0</v>
      </c>
      <c r="M244" s="30">
        <v>0</v>
      </c>
      <c r="N244" s="45">
        <v>0</v>
      </c>
      <c r="O244" s="30">
        <v>0</v>
      </c>
      <c r="P244" s="30">
        <v>0</v>
      </c>
    </row>
    <row r="245" spans="1:17" x14ac:dyDescent="0.25">
      <c r="A245" s="37" t="s">
        <v>696</v>
      </c>
      <c r="B245" s="599" t="s">
        <v>697</v>
      </c>
      <c r="C245" s="598"/>
      <c r="D245" s="598"/>
      <c r="E245" s="598"/>
      <c r="G245" s="54"/>
      <c r="H245" s="45">
        <v>0</v>
      </c>
      <c r="I245" s="30">
        <v>0</v>
      </c>
      <c r="J245" s="45">
        <v>0</v>
      </c>
      <c r="K245" s="30">
        <v>0</v>
      </c>
      <c r="L245" s="45">
        <v>0</v>
      </c>
      <c r="M245" s="30">
        <v>0</v>
      </c>
      <c r="N245" s="45">
        <v>0</v>
      </c>
      <c r="O245" s="30">
        <v>0</v>
      </c>
      <c r="P245" s="30">
        <v>0</v>
      </c>
    </row>
    <row r="246" spans="1:17" x14ac:dyDescent="0.25">
      <c r="A246" s="37" t="s">
        <v>698</v>
      </c>
      <c r="B246" s="599" t="s">
        <v>699</v>
      </c>
      <c r="C246" s="598"/>
      <c r="D246" s="598"/>
      <c r="E246" s="598"/>
      <c r="G246" s="49"/>
      <c r="H246" s="583"/>
      <c r="I246" s="33"/>
      <c r="J246" s="583"/>
      <c r="K246" s="33"/>
      <c r="L246" s="583"/>
      <c r="M246" s="33"/>
      <c r="N246" s="583"/>
      <c r="O246" s="33"/>
      <c r="P246" s="33"/>
    </row>
    <row r="247" spans="1:17" x14ac:dyDescent="0.25">
      <c r="A247" s="37"/>
      <c r="B247" s="599"/>
      <c r="C247" s="598"/>
      <c r="D247" s="598"/>
      <c r="E247" s="598"/>
      <c r="G247" s="49"/>
      <c r="H247" s="583"/>
      <c r="I247" s="33"/>
      <c r="J247" s="583"/>
      <c r="K247" s="33"/>
      <c r="L247" s="583"/>
      <c r="M247" s="33"/>
      <c r="N247" s="583"/>
      <c r="O247" s="33"/>
      <c r="P247" s="33"/>
    </row>
    <row r="248" spans="1:17" x14ac:dyDescent="0.25">
      <c r="A248" s="37" t="s">
        <v>591</v>
      </c>
      <c r="B248" s="599" t="s">
        <v>74</v>
      </c>
      <c r="D248" s="598"/>
      <c r="E248" s="598"/>
      <c r="G248" s="49"/>
      <c r="H248" s="583"/>
      <c r="I248" s="33"/>
      <c r="J248" s="583"/>
      <c r="K248" s="33"/>
      <c r="L248" s="583"/>
      <c r="M248" s="33"/>
      <c r="N248" s="583"/>
      <c r="O248" s="33"/>
      <c r="P248" s="33"/>
    </row>
    <row r="249" spans="1:17" x14ac:dyDescent="0.25">
      <c r="A249" s="37"/>
      <c r="B249" s="599" t="s">
        <v>342</v>
      </c>
      <c r="D249" s="598"/>
      <c r="E249" s="598"/>
      <c r="G249" s="54"/>
      <c r="H249" s="583">
        <f>(BASICS!E32/330*10)+(BASICS!E33/330*20)</f>
        <v>2.2764347826086953</v>
      </c>
      <c r="I249" s="583">
        <f>(BASICS!F32/330*10)+(BASICS!F33/330*20)</f>
        <v>2.4661376811594202</v>
      </c>
      <c r="J249" s="583">
        <f>(BASICS!G32/330*10)+(BASICS!G33/330*20)</f>
        <v>2.6558405797101452</v>
      </c>
      <c r="K249" s="583">
        <f>(BASICS!H32/330*10)+(BASICS!H33/330*20)</f>
        <v>2.8455434782608702</v>
      </c>
      <c r="L249" s="583">
        <f>(BASICS!I32/330*10)+(BASICS!I33/330*20)</f>
        <v>3.0352463768115951</v>
      </c>
      <c r="M249" s="583">
        <f>(BASICS!J32/330*10)+(BASICS!J33/330*20)</f>
        <v>3.2249492753623192</v>
      </c>
      <c r="N249" s="583">
        <f>(BASICS!K32/330*10)+(BASICS!K33/330*20)</f>
        <v>3.4146521739130447</v>
      </c>
      <c r="O249" s="583">
        <f>(BASICS!L32/330*10)+(BASICS!L33/330*20)</f>
        <v>3.6043550724637692</v>
      </c>
      <c r="P249" s="583">
        <f>(BASICS!M32/330*10)+(BASICS!M33/330*20)</f>
        <v>3.7940579710144933</v>
      </c>
    </row>
    <row r="250" spans="1:17" x14ac:dyDescent="0.25">
      <c r="A250" s="37" t="s">
        <v>90</v>
      </c>
      <c r="B250" s="604">
        <v>20</v>
      </c>
      <c r="C250" s="9" t="s">
        <v>91</v>
      </c>
      <c r="D250" s="598"/>
      <c r="E250" s="598"/>
      <c r="G250" s="49"/>
      <c r="H250" s="583"/>
      <c r="I250" s="583"/>
      <c r="J250" s="583"/>
      <c r="K250" s="583"/>
      <c r="L250" s="583"/>
      <c r="M250" s="583"/>
      <c r="N250" s="583"/>
      <c r="O250" s="583"/>
      <c r="P250" s="583"/>
      <c r="Q250" s="644"/>
    </row>
    <row r="251" spans="1:17" x14ac:dyDescent="0.25">
      <c r="A251" s="37"/>
      <c r="B251" s="599" t="s">
        <v>461</v>
      </c>
      <c r="D251" s="598"/>
      <c r="E251" s="598"/>
      <c r="G251" s="49"/>
      <c r="H251" s="583">
        <f>H72/330*30</f>
        <v>0.2392173913043478</v>
      </c>
      <c r="I251" s="583">
        <f t="shared" ref="I251:P251" si="31">I72/330*30</f>
        <v>0.25915217391304346</v>
      </c>
      <c r="J251" s="583">
        <f t="shared" si="31"/>
        <v>0.27908695652173915</v>
      </c>
      <c r="K251" s="583">
        <f t="shared" si="31"/>
        <v>0.29902173913043484</v>
      </c>
      <c r="L251" s="583">
        <f t="shared" si="31"/>
        <v>0.31895652173913047</v>
      </c>
      <c r="M251" s="583">
        <f t="shared" si="31"/>
        <v>0.33889130434782616</v>
      </c>
      <c r="N251" s="583">
        <f t="shared" si="31"/>
        <v>0.35882608695652185</v>
      </c>
      <c r="O251" s="583">
        <f t="shared" si="31"/>
        <v>0.37876086956521748</v>
      </c>
      <c r="P251" s="583">
        <f t="shared" si="31"/>
        <v>0.39869565217391312</v>
      </c>
    </row>
    <row r="252" spans="1:17" x14ac:dyDescent="0.25">
      <c r="A252" s="37" t="s">
        <v>90</v>
      </c>
      <c r="B252" s="604">
        <v>30</v>
      </c>
      <c r="C252" s="9" t="s">
        <v>91</v>
      </c>
      <c r="D252" s="598"/>
      <c r="E252" s="598"/>
      <c r="G252" s="54"/>
      <c r="H252" s="583"/>
      <c r="I252" s="583"/>
      <c r="J252" s="583"/>
      <c r="K252" s="583"/>
      <c r="L252" s="583"/>
      <c r="M252" s="583"/>
      <c r="N252" s="583"/>
      <c r="O252" s="583"/>
      <c r="P252" s="583"/>
    </row>
    <row r="253" spans="1:17" x14ac:dyDescent="0.25">
      <c r="A253" s="37" t="s">
        <v>569</v>
      </c>
      <c r="B253" s="599" t="s">
        <v>700</v>
      </c>
      <c r="D253" s="598"/>
      <c r="E253" s="598"/>
      <c r="G253" s="54"/>
      <c r="H253" s="45">
        <f ca="1">'PROJECT RK'!D603</f>
        <v>0.35</v>
      </c>
      <c r="I253" s="45">
        <f ca="1">'PROJECT RK'!E603</f>
        <v>0.38</v>
      </c>
      <c r="J253" s="45">
        <f ca="1">'PROJECT RK'!F603</f>
        <v>0.4</v>
      </c>
      <c r="K253" s="45">
        <f ca="1">'PROJECT RK'!G603</f>
        <v>0.43</v>
      </c>
      <c r="L253" s="45">
        <f ca="1">'PROJECT RK'!H603</f>
        <v>0.46</v>
      </c>
      <c r="M253" s="45">
        <f ca="1">'PROJECT RK'!I603</f>
        <v>0.49</v>
      </c>
      <c r="N253" s="45">
        <f ca="1">'PROJECT RK'!J603</f>
        <v>0.51</v>
      </c>
      <c r="O253" s="45">
        <f ca="1">'PROJECT RK'!K603</f>
        <v>0.54</v>
      </c>
      <c r="P253" s="45">
        <f ca="1">'PROJECT RK'!L603</f>
        <v>0.56999999999999995</v>
      </c>
    </row>
    <row r="254" spans="1:17" x14ac:dyDescent="0.25">
      <c r="A254" s="37"/>
      <c r="B254" s="599"/>
      <c r="D254" s="598"/>
      <c r="E254" s="598"/>
      <c r="G254" s="49"/>
      <c r="H254" s="583"/>
      <c r="I254" s="33"/>
      <c r="J254" s="583"/>
      <c r="K254" s="33"/>
      <c r="L254" s="583"/>
      <c r="M254" s="33"/>
      <c r="N254" s="583"/>
      <c r="O254" s="33"/>
      <c r="P254" s="33"/>
    </row>
    <row r="255" spans="1:17" x14ac:dyDescent="0.25">
      <c r="A255" s="37" t="s">
        <v>570</v>
      </c>
      <c r="B255" s="599" t="s">
        <v>701</v>
      </c>
      <c r="D255" s="598"/>
      <c r="E255" s="598"/>
      <c r="G255" s="54"/>
      <c r="H255" s="583">
        <f ca="1">H85/330*7</f>
        <v>1.6015352813613433</v>
      </c>
      <c r="I255" s="583">
        <f t="shared" ref="I255:P255" ca="1" si="32">I85/330*7</f>
        <v>1.7615623722935023</v>
      </c>
      <c r="J255" s="583">
        <f t="shared" ca="1" si="32"/>
        <v>1.8864568571806342</v>
      </c>
      <c r="K255" s="583">
        <f t="shared" ca="1" si="32"/>
        <v>2.0112976159860652</v>
      </c>
      <c r="L255" s="583">
        <f t="shared" ca="1" si="32"/>
        <v>2.1373022875822842</v>
      </c>
      <c r="M255" s="583">
        <f t="shared" ca="1" si="32"/>
        <v>2.2641744164532556</v>
      </c>
      <c r="N255" s="583">
        <f t="shared" ca="1" si="32"/>
        <v>2.3920189489286297</v>
      </c>
      <c r="O255" s="583">
        <f t="shared" ca="1" si="32"/>
        <v>2.5201334249629914</v>
      </c>
      <c r="P255" s="583">
        <f t="shared" ca="1" si="32"/>
        <v>2.6490580505301256</v>
      </c>
    </row>
    <row r="256" spans="1:17" x14ac:dyDescent="0.25">
      <c r="A256" s="37" t="s">
        <v>90</v>
      </c>
      <c r="B256" s="604">
        <v>7</v>
      </c>
      <c r="C256" s="9" t="s">
        <v>96</v>
      </c>
      <c r="D256" s="598"/>
      <c r="E256" s="598"/>
      <c r="G256" s="49"/>
      <c r="H256" s="583"/>
      <c r="I256" s="583"/>
      <c r="J256" s="583"/>
      <c r="K256" s="583"/>
      <c r="L256" s="583"/>
      <c r="M256" s="583"/>
      <c r="N256" s="583"/>
      <c r="O256" s="583"/>
      <c r="P256" s="583"/>
    </row>
    <row r="257" spans="1:16" x14ac:dyDescent="0.25">
      <c r="A257" s="37" t="s">
        <v>571</v>
      </c>
      <c r="B257" s="599" t="s">
        <v>702</v>
      </c>
      <c r="D257" s="598"/>
      <c r="E257" s="598"/>
      <c r="G257" s="49"/>
      <c r="H257" s="583"/>
      <c r="I257" s="33"/>
      <c r="J257" s="583"/>
      <c r="K257" s="33"/>
      <c r="L257" s="583"/>
      <c r="M257" s="33"/>
      <c r="N257" s="583"/>
      <c r="O257" s="33"/>
      <c r="P257" s="33"/>
    </row>
    <row r="258" spans="1:16" x14ac:dyDescent="0.25">
      <c r="A258" s="503"/>
      <c r="B258" s="599" t="s">
        <v>339</v>
      </c>
      <c r="C258" s="9" t="s">
        <v>1209</v>
      </c>
      <c r="D258" s="598"/>
      <c r="E258" s="598"/>
      <c r="G258" s="57"/>
      <c r="H258" s="56">
        <f>H71/330*15</f>
        <v>1.8643636363636366E-2</v>
      </c>
      <c r="I258" s="56">
        <f t="shared" ref="I258:P258" si="33">I71/330*15</f>
        <v>2.019727272727273E-2</v>
      </c>
      <c r="J258" s="56">
        <f t="shared" si="33"/>
        <v>2.1750909090909095E-2</v>
      </c>
      <c r="K258" s="56">
        <f t="shared" si="33"/>
        <v>2.330454545454546E-2</v>
      </c>
      <c r="L258" s="56">
        <f t="shared" si="33"/>
        <v>2.4858181818181824E-2</v>
      </c>
      <c r="M258" s="56">
        <f t="shared" si="33"/>
        <v>2.6411818181818193E-2</v>
      </c>
      <c r="N258" s="56">
        <f t="shared" si="33"/>
        <v>2.7965454545454557E-2</v>
      </c>
      <c r="O258" s="56">
        <f t="shared" si="33"/>
        <v>2.9519090909090925E-2</v>
      </c>
      <c r="P258" s="56">
        <f t="shared" si="33"/>
        <v>3.1072727272727287E-2</v>
      </c>
    </row>
    <row r="259" spans="1:16" x14ac:dyDescent="0.25">
      <c r="A259" s="503"/>
      <c r="B259" s="599" t="s">
        <v>340</v>
      </c>
      <c r="D259" s="598"/>
      <c r="E259" s="598"/>
      <c r="G259" s="54"/>
      <c r="H259" s="583">
        <f>H69/330*60</f>
        <v>0.216</v>
      </c>
      <c r="I259" s="583">
        <f t="shared" ref="I259:P259" si="34">I69/330*60</f>
        <v>0.23399999999999999</v>
      </c>
      <c r="J259" s="583">
        <f t="shared" si="34"/>
        <v>0.25200000000000006</v>
      </c>
      <c r="K259" s="583">
        <f t="shared" si="34"/>
        <v>0.27</v>
      </c>
      <c r="L259" s="583">
        <f t="shared" si="34"/>
        <v>0.28800000000000009</v>
      </c>
      <c r="M259" s="583">
        <f t="shared" si="34"/>
        <v>0.30600000000000005</v>
      </c>
      <c r="N259" s="583">
        <f t="shared" si="34"/>
        <v>0.32400000000000007</v>
      </c>
      <c r="O259" s="583">
        <f t="shared" si="34"/>
        <v>0.34200000000000008</v>
      </c>
      <c r="P259" s="583">
        <f t="shared" si="34"/>
        <v>0.36000000000000004</v>
      </c>
    </row>
    <row r="260" spans="1:16" x14ac:dyDescent="0.25">
      <c r="A260" s="37" t="s">
        <v>90</v>
      </c>
      <c r="B260" s="604">
        <v>60</v>
      </c>
      <c r="C260" s="9" t="s">
        <v>91</v>
      </c>
      <c r="D260" s="598"/>
      <c r="E260" s="598"/>
      <c r="G260" s="49"/>
      <c r="H260" s="583"/>
      <c r="I260" s="583"/>
      <c r="J260" s="583"/>
      <c r="K260" s="583"/>
      <c r="L260" s="583"/>
      <c r="M260" s="583"/>
      <c r="N260" s="583"/>
      <c r="O260" s="583"/>
      <c r="P260" s="583"/>
    </row>
    <row r="261" spans="1:16" x14ac:dyDescent="0.25">
      <c r="A261" s="37" t="s">
        <v>703</v>
      </c>
      <c r="B261" s="599" t="s">
        <v>704</v>
      </c>
      <c r="C261" s="598"/>
      <c r="D261" s="598"/>
      <c r="E261" s="598"/>
      <c r="G261" s="49"/>
      <c r="H261" s="56">
        <v>3</v>
      </c>
      <c r="I261" s="55">
        <v>5</v>
      </c>
      <c r="J261" s="56">
        <v>6</v>
      </c>
      <c r="K261" s="55">
        <v>7</v>
      </c>
      <c r="L261" s="56">
        <v>8</v>
      </c>
      <c r="M261" s="55">
        <v>8</v>
      </c>
      <c r="N261" s="56">
        <v>8</v>
      </c>
      <c r="O261" s="55">
        <v>5</v>
      </c>
      <c r="P261" s="55">
        <v>6</v>
      </c>
    </row>
    <row r="262" spans="1:16" x14ac:dyDescent="0.25">
      <c r="A262" s="37" t="s">
        <v>705</v>
      </c>
      <c r="B262" s="599" t="s">
        <v>706</v>
      </c>
      <c r="C262" s="598"/>
      <c r="D262" s="598"/>
      <c r="E262" s="608"/>
      <c r="G262" s="54"/>
      <c r="H262" s="45">
        <f ca="1">'PROJECT RK'!D608</f>
        <v>0.28432129496886005</v>
      </c>
      <c r="I262" s="45">
        <f ca="1">'PROJECT RK'!E608</f>
        <v>0.48137107491666109</v>
      </c>
      <c r="J262" s="45">
        <f ca="1">'PROJECT RK'!F608</f>
        <v>0.70394791232315168</v>
      </c>
      <c r="K262" s="45">
        <f ca="1">'PROJECT RK'!G608</f>
        <v>0.9282173042086268</v>
      </c>
      <c r="L262" s="45">
        <f ca="1">'PROJECT RK'!H608</f>
        <v>1.1406124524880144</v>
      </c>
      <c r="M262" s="45">
        <f ca="1">'PROJECT RK'!I608</f>
        <v>1.3523427194837474</v>
      </c>
      <c r="N262" s="45">
        <f ca="1">'PROJECT RK'!J608</f>
        <v>1.5556603286499131</v>
      </c>
      <c r="O262" s="45">
        <f ca="1">'PROJECT RK'!K608</f>
        <v>1.7583892857109396</v>
      </c>
      <c r="P262" s="45">
        <f ca="1">'PROJECT RK'!L608</f>
        <v>1.9465660243875629</v>
      </c>
    </row>
    <row r="263" spans="1:16" x14ac:dyDescent="0.25">
      <c r="A263" s="37" t="s">
        <v>707</v>
      </c>
      <c r="B263" s="599" t="s">
        <v>708</v>
      </c>
      <c r="C263" s="598"/>
      <c r="D263" s="598"/>
      <c r="E263" s="598"/>
      <c r="G263" s="54"/>
      <c r="H263" s="266">
        <f ca="1">'PROJECT RK'!D609</f>
        <v>1.6046639999999999</v>
      </c>
      <c r="I263" s="266">
        <f>'PROJECT RK'!E609</f>
        <v>1.7731620000000001</v>
      </c>
      <c r="J263" s="266">
        <f>'PROJECT RK'!F609</f>
        <v>1.9097820000000001</v>
      </c>
      <c r="K263" s="266">
        <f>'PROJECT RK'!G609</f>
        <v>2.0464020000000001</v>
      </c>
      <c r="L263" s="266">
        <f>'PROJECT RK'!H609</f>
        <v>2.1830220000000007</v>
      </c>
      <c r="M263" s="266">
        <f>'PROJECT RK'!I609</f>
        <v>2.3196420000000004</v>
      </c>
      <c r="N263" s="266">
        <f>'PROJECT RK'!J609</f>
        <v>2.4562620000000006</v>
      </c>
      <c r="O263" s="266">
        <f>'PROJECT RK'!K609</f>
        <v>2.5928820000000008</v>
      </c>
      <c r="P263" s="266">
        <f>'PROJECT RK'!L609</f>
        <v>2.7295020000000005</v>
      </c>
    </row>
    <row r="264" spans="1:16" x14ac:dyDescent="0.25">
      <c r="A264" s="470" t="s">
        <v>709</v>
      </c>
      <c r="B264" s="41" t="s">
        <v>710</v>
      </c>
      <c r="C264" s="42"/>
      <c r="D264" s="42"/>
      <c r="E264" s="42"/>
      <c r="F264" s="19"/>
      <c r="G264" s="63"/>
      <c r="H264" s="34">
        <f ca="1">SUM(H238:H263)</f>
        <v>12.47225966432026</v>
      </c>
      <c r="I264" s="34">
        <f t="shared" ref="I264:P264" ca="1" si="35">SUM(I238:I263)</f>
        <v>16.315100250539739</v>
      </c>
      <c r="J264" s="34">
        <f t="shared" ca="1" si="35"/>
        <v>18.236449025351302</v>
      </c>
      <c r="K264" s="34">
        <f t="shared" ca="1" si="35"/>
        <v>20.529199267582911</v>
      </c>
      <c r="L264" s="34">
        <f t="shared" ca="1" si="35"/>
        <v>21.832413850596378</v>
      </c>
      <c r="M264" s="34">
        <f t="shared" ca="1" si="35"/>
        <v>23.181884472449553</v>
      </c>
      <c r="N264" s="34">
        <f t="shared" ca="1" si="35"/>
        <v>23.592804974816389</v>
      </c>
      <c r="O264" s="34">
        <f t="shared" ca="1" si="35"/>
        <v>22.460111023986524</v>
      </c>
      <c r="P264" s="34">
        <f t="shared" ca="1" si="35"/>
        <v>23.71062450361428</v>
      </c>
    </row>
    <row r="265" spans="1:16" x14ac:dyDescent="0.25">
      <c r="A265" s="503"/>
      <c r="B265" s="598"/>
      <c r="C265" s="598"/>
      <c r="D265" s="598"/>
      <c r="E265" s="598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</row>
    <row r="266" spans="1:16" x14ac:dyDescent="0.25">
      <c r="A266" s="503"/>
      <c r="B266" s="598"/>
      <c r="C266" s="598"/>
      <c r="D266" s="598"/>
      <c r="E266" s="598"/>
      <c r="G266" s="583"/>
      <c r="H266" s="583"/>
      <c r="I266" s="583"/>
      <c r="J266" s="584"/>
      <c r="K266" s="584"/>
      <c r="L266" s="584"/>
      <c r="M266" s="584"/>
      <c r="P266" s="17"/>
    </row>
    <row r="267" spans="1:16" x14ac:dyDescent="0.25">
      <c r="A267" s="503"/>
      <c r="B267" s="598"/>
      <c r="C267" s="598"/>
      <c r="D267" s="598"/>
      <c r="E267" s="598"/>
      <c r="G267" s="583"/>
      <c r="H267" s="583"/>
      <c r="I267" s="583"/>
      <c r="J267" s="584"/>
      <c r="K267" s="584"/>
      <c r="L267" s="584"/>
      <c r="M267" s="584"/>
      <c r="P267" s="17"/>
    </row>
    <row r="268" spans="1:16" x14ac:dyDescent="0.25">
      <c r="A268" s="503"/>
      <c r="B268" s="598"/>
      <c r="C268" s="598"/>
      <c r="D268" s="598"/>
      <c r="E268" s="598"/>
      <c r="G268" s="583"/>
      <c r="H268" s="583"/>
      <c r="I268" s="583"/>
      <c r="J268" s="584"/>
      <c r="K268" s="584"/>
      <c r="L268" s="584"/>
      <c r="M268" s="584"/>
      <c r="P268" s="17"/>
    </row>
    <row r="269" spans="1:16" x14ac:dyDescent="0.25">
      <c r="A269" s="503"/>
      <c r="B269" s="598"/>
      <c r="C269" s="598"/>
      <c r="D269" s="598"/>
      <c r="E269" s="598"/>
      <c r="G269" s="583"/>
      <c r="H269" s="583"/>
      <c r="I269" s="583"/>
      <c r="J269" s="584"/>
      <c r="K269" s="584"/>
      <c r="L269" s="584"/>
      <c r="M269" s="584"/>
      <c r="P269" s="17"/>
    </row>
    <row r="270" spans="1:16" x14ac:dyDescent="0.25">
      <c r="A270" s="503"/>
      <c r="B270" s="598"/>
      <c r="C270" s="598"/>
      <c r="D270" s="598"/>
      <c r="E270" s="598"/>
      <c r="G270" s="583"/>
      <c r="H270" s="583"/>
      <c r="I270" s="583"/>
      <c r="J270" s="584"/>
      <c r="K270" s="584"/>
      <c r="L270" s="584"/>
      <c r="M270" s="584"/>
      <c r="P270" s="17"/>
    </row>
    <row r="271" spans="1:16" x14ac:dyDescent="0.25">
      <c r="A271" s="503"/>
      <c r="B271" s="598"/>
      <c r="C271" s="598"/>
      <c r="D271" s="598"/>
      <c r="E271" s="598"/>
      <c r="G271" s="583"/>
      <c r="H271" s="583"/>
      <c r="I271" s="583"/>
      <c r="J271" s="584"/>
      <c r="K271" s="584"/>
      <c r="L271" s="584"/>
      <c r="M271" s="584"/>
      <c r="P271" s="17"/>
    </row>
    <row r="272" spans="1:16" x14ac:dyDescent="0.25">
      <c r="A272" s="503"/>
      <c r="B272" s="598"/>
      <c r="C272" s="598"/>
      <c r="D272" s="598"/>
      <c r="E272" s="598"/>
      <c r="G272" s="583"/>
      <c r="H272" s="583"/>
      <c r="I272" s="583"/>
      <c r="J272" s="584"/>
      <c r="K272" s="584"/>
      <c r="L272" s="584"/>
      <c r="M272" s="584"/>
      <c r="P272" s="17"/>
    </row>
    <row r="273" spans="1:16" x14ac:dyDescent="0.25">
      <c r="A273" s="503"/>
      <c r="B273" s="598"/>
      <c r="C273" s="598"/>
      <c r="D273" s="598"/>
      <c r="E273" s="598"/>
      <c r="G273" s="583"/>
      <c r="H273" s="583"/>
      <c r="I273" s="583"/>
      <c r="J273" s="584"/>
      <c r="K273" s="584"/>
      <c r="L273" s="584"/>
      <c r="M273" s="584"/>
      <c r="P273" s="17"/>
    </row>
    <row r="274" spans="1:16" x14ac:dyDescent="0.25">
      <c r="A274" s="503"/>
      <c r="B274" s="598"/>
      <c r="C274" s="598"/>
      <c r="D274" s="598"/>
      <c r="E274" s="598"/>
      <c r="G274" s="583"/>
      <c r="H274" s="583"/>
      <c r="I274" s="583"/>
      <c r="J274" s="584"/>
      <c r="K274" s="584"/>
      <c r="L274" s="584"/>
      <c r="M274" s="584"/>
      <c r="P274" s="17"/>
    </row>
    <row r="275" spans="1:16" x14ac:dyDescent="0.25">
      <c r="A275" s="503"/>
      <c r="B275" s="598"/>
      <c r="C275" s="598"/>
      <c r="D275" s="598"/>
      <c r="E275" s="598"/>
      <c r="G275" s="583"/>
      <c r="H275" s="583"/>
      <c r="I275" s="583"/>
      <c r="J275" s="584"/>
      <c r="K275" s="584"/>
      <c r="L275" s="584"/>
      <c r="M275" s="584"/>
      <c r="P275" s="17"/>
    </row>
    <row r="276" spans="1:16" x14ac:dyDescent="0.25">
      <c r="A276" s="502"/>
      <c r="B276" s="42"/>
      <c r="C276" s="42"/>
      <c r="D276" s="42"/>
      <c r="E276" s="42"/>
      <c r="F276" s="19"/>
      <c r="G276" s="43"/>
      <c r="H276" s="43"/>
      <c r="I276" s="43"/>
      <c r="J276" s="47"/>
      <c r="K276" s="47"/>
      <c r="L276" s="47"/>
      <c r="M276" s="47"/>
      <c r="N276" s="19"/>
      <c r="O276" s="19"/>
      <c r="P276" s="22"/>
    </row>
    <row r="277" spans="1:16" x14ac:dyDescent="0.25">
      <c r="A277" s="803" t="s">
        <v>843</v>
      </c>
      <c r="B277" s="804"/>
      <c r="C277" s="804"/>
      <c r="D277" s="804"/>
      <c r="E277" s="804"/>
      <c r="F277" s="804"/>
      <c r="G277" s="804"/>
      <c r="H277" s="804"/>
      <c r="I277" s="804"/>
      <c r="J277" s="804"/>
      <c r="K277" s="804"/>
      <c r="L277" s="804"/>
      <c r="M277" s="804"/>
      <c r="N277" s="804"/>
      <c r="O277" s="804"/>
      <c r="P277" s="805"/>
    </row>
    <row r="278" spans="1:16" x14ac:dyDescent="0.25">
      <c r="A278" s="796" t="s">
        <v>1139</v>
      </c>
      <c r="B278" s="797"/>
      <c r="C278" s="797"/>
      <c r="D278" s="797"/>
      <c r="E278" s="797"/>
      <c r="F278" s="797"/>
      <c r="G278" s="797"/>
      <c r="H278" s="797"/>
      <c r="I278" s="797"/>
      <c r="J278" s="797"/>
      <c r="K278" s="797"/>
      <c r="L278" s="797"/>
      <c r="M278" s="797"/>
      <c r="N278" s="797"/>
      <c r="O278" s="797"/>
      <c r="P278" s="798"/>
    </row>
    <row r="279" spans="1:16" x14ac:dyDescent="0.25">
      <c r="A279" s="503"/>
      <c r="B279" s="606" t="s">
        <v>545</v>
      </c>
      <c r="C279" s="598"/>
      <c r="D279" s="598"/>
      <c r="E279" s="598"/>
      <c r="G279" s="583"/>
      <c r="H279" s="583"/>
      <c r="I279" s="583"/>
      <c r="J279" s="584"/>
      <c r="K279" s="584"/>
      <c r="L279" s="584"/>
      <c r="M279" s="584"/>
      <c r="P279" s="17"/>
    </row>
    <row r="280" spans="1:16" x14ac:dyDescent="0.25">
      <c r="A280" s="799" t="s">
        <v>443</v>
      </c>
      <c r="B280" s="800"/>
      <c r="C280" s="800"/>
      <c r="D280" s="800"/>
      <c r="E280" s="800"/>
      <c r="F280" s="800"/>
      <c r="G280" s="806"/>
      <c r="H280" s="136">
        <v>1</v>
      </c>
      <c r="I280" s="287">
        <v>2</v>
      </c>
      <c r="J280" s="136">
        <v>3</v>
      </c>
      <c r="K280" s="287">
        <v>4</v>
      </c>
      <c r="L280" s="136">
        <v>5</v>
      </c>
      <c r="M280" s="287">
        <v>6</v>
      </c>
      <c r="N280" s="136">
        <v>7</v>
      </c>
      <c r="O280" s="287">
        <v>8</v>
      </c>
      <c r="P280" s="136">
        <v>9</v>
      </c>
    </row>
    <row r="281" spans="1:16" x14ac:dyDescent="0.25">
      <c r="A281" s="799" t="s">
        <v>582</v>
      </c>
      <c r="B281" s="800"/>
      <c r="C281" s="800"/>
      <c r="D281" s="800"/>
      <c r="E281" s="800"/>
      <c r="F281" s="800"/>
      <c r="G281" s="806"/>
      <c r="H281" s="136">
        <v>2024</v>
      </c>
      <c r="I281" s="287">
        <v>2025</v>
      </c>
      <c r="J281" s="136">
        <v>2026</v>
      </c>
      <c r="K281" s="287">
        <v>2027</v>
      </c>
      <c r="L281" s="136">
        <v>2028</v>
      </c>
      <c r="M281" s="287">
        <v>2029</v>
      </c>
      <c r="N281" s="136">
        <v>2030</v>
      </c>
      <c r="O281" s="287">
        <v>2031</v>
      </c>
      <c r="P281" s="136">
        <v>2032</v>
      </c>
    </row>
    <row r="282" spans="1:16" x14ac:dyDescent="0.25">
      <c r="A282" s="37" t="s">
        <v>711</v>
      </c>
      <c r="B282" s="599" t="s">
        <v>546</v>
      </c>
      <c r="C282" s="598"/>
      <c r="D282" s="598"/>
      <c r="E282" s="598"/>
      <c r="G282" s="583"/>
      <c r="H282" s="31">
        <f>'PROJECT RK'!D593</f>
        <v>20.047003780355602</v>
      </c>
      <c r="I282" s="31">
        <f>'PROJECT RK'!E593</f>
        <v>20.047003780355602</v>
      </c>
      <c r="J282" s="31">
        <f>'PROJECT RK'!F593</f>
        <v>20.047003780355602</v>
      </c>
      <c r="K282" s="31">
        <f>'PROJECT RK'!G593</f>
        <v>20.047003780355602</v>
      </c>
      <c r="L282" s="31">
        <f>'PROJECT RK'!H593</f>
        <v>20.047003780355602</v>
      </c>
      <c r="M282" s="31">
        <f>'PROJECT RK'!I593</f>
        <v>20.047003780355602</v>
      </c>
      <c r="N282" s="31">
        <f>'PROJECT RK'!J593</f>
        <v>20.047003780355602</v>
      </c>
      <c r="O282" s="31">
        <f>'PROJECT RK'!K593</f>
        <v>20.047003780355602</v>
      </c>
      <c r="P282" s="31">
        <f>'PROJECT RK'!L593</f>
        <v>20.047003780355602</v>
      </c>
    </row>
    <row r="283" spans="1:16" x14ac:dyDescent="0.25">
      <c r="A283" s="37" t="s">
        <v>712</v>
      </c>
      <c r="B283" s="599" t="s">
        <v>713</v>
      </c>
      <c r="C283" s="598"/>
      <c r="D283" s="598"/>
      <c r="E283" s="598"/>
      <c r="G283" s="583"/>
      <c r="H283" s="33">
        <f>'PROJECT RK'!D594</f>
        <v>2.7729880429628957</v>
      </c>
      <c r="I283" s="33">
        <f>'PROJECT RK'!E594</f>
        <v>5.1612757907262035</v>
      </c>
      <c r="J283" s="33">
        <f>'PROJECT RK'!F594</f>
        <v>7.2183600509119472</v>
      </c>
      <c r="K283" s="33">
        <f>'PROJECT RK'!G594</f>
        <v>8.9902828199498508</v>
      </c>
      <c r="L283" s="33">
        <f>'PROJECT RK'!H594</f>
        <v>10.516672200431067</v>
      </c>
      <c r="M283" s="33">
        <f>'PROJECT RK'!I594</f>
        <v>11.831637666959082</v>
      </c>
      <c r="N283" s="33">
        <f>'PROJECT RK'!J594</f>
        <v>12.964540109890315</v>
      </c>
      <c r="O283" s="33">
        <f>'PROJECT RK'!K594</f>
        <v>13.940654212708257</v>
      </c>
      <c r="P283" s="33">
        <f>'PROJECT RK'!L594</f>
        <v>14.781738250748703</v>
      </c>
    </row>
    <row r="284" spans="1:16" x14ac:dyDescent="0.25">
      <c r="A284" s="37" t="s">
        <v>733</v>
      </c>
      <c r="B284" s="599" t="s">
        <v>734</v>
      </c>
      <c r="C284" s="598"/>
      <c r="D284" s="598"/>
      <c r="E284" s="598"/>
      <c r="G284" s="583"/>
      <c r="H284" s="256">
        <f>H282-H283</f>
        <v>17.274015737392705</v>
      </c>
      <c r="I284" s="256">
        <f t="shared" ref="I284:P284" si="36">I282-I283</f>
        <v>14.885727989629398</v>
      </c>
      <c r="J284" s="256">
        <f t="shared" si="36"/>
        <v>12.828643729443655</v>
      </c>
      <c r="K284" s="256">
        <f t="shared" si="36"/>
        <v>11.056720960405752</v>
      </c>
      <c r="L284" s="256">
        <f t="shared" si="36"/>
        <v>9.5303315799245354</v>
      </c>
      <c r="M284" s="256">
        <f t="shared" si="36"/>
        <v>8.2153661133965201</v>
      </c>
      <c r="N284" s="256">
        <f t="shared" si="36"/>
        <v>7.0824636704652875</v>
      </c>
      <c r="O284" s="256">
        <f t="shared" si="36"/>
        <v>6.1063495676473458</v>
      </c>
      <c r="P284" s="256">
        <f t="shared" si="36"/>
        <v>5.2652655296069</v>
      </c>
    </row>
    <row r="285" spans="1:16" x14ac:dyDescent="0.25">
      <c r="A285" s="503"/>
      <c r="B285" s="598"/>
      <c r="C285" s="598"/>
      <c r="D285" s="598"/>
      <c r="E285" s="598"/>
      <c r="G285" s="583"/>
      <c r="H285" s="33"/>
      <c r="I285" s="583"/>
      <c r="J285" s="38"/>
      <c r="K285" s="584"/>
      <c r="L285" s="38"/>
      <c r="M285" s="584"/>
      <c r="N285" s="259"/>
      <c r="P285" s="259"/>
    </row>
    <row r="286" spans="1:16" x14ac:dyDescent="0.25">
      <c r="A286" s="503"/>
      <c r="B286" s="599" t="s">
        <v>735</v>
      </c>
      <c r="C286" s="598"/>
      <c r="D286" s="598"/>
      <c r="E286" s="598"/>
      <c r="G286" s="583"/>
      <c r="H286" s="33"/>
      <c r="I286" s="583"/>
      <c r="J286" s="38"/>
      <c r="K286" s="584"/>
      <c r="L286" s="38"/>
      <c r="M286" s="584"/>
      <c r="N286" s="62"/>
      <c r="P286" s="62"/>
    </row>
    <row r="287" spans="1:16" x14ac:dyDescent="0.25">
      <c r="A287" s="37" t="s">
        <v>736</v>
      </c>
      <c r="B287" s="599" t="s">
        <v>737</v>
      </c>
      <c r="C287" s="598"/>
      <c r="D287" s="598"/>
      <c r="E287" s="598"/>
      <c r="G287" s="45"/>
      <c r="H287" s="30">
        <f>'PROJECT RK'!D596</f>
        <v>0</v>
      </c>
      <c r="I287" s="30">
        <f>'PROJECT RK'!E596</f>
        <v>0</v>
      </c>
      <c r="J287" s="30">
        <f>'PROJECT RK'!F596</f>
        <v>2</v>
      </c>
      <c r="K287" s="30">
        <f>'PROJECT RK'!G596</f>
        <v>4</v>
      </c>
      <c r="L287" s="30">
        <f>'PROJECT RK'!H596</f>
        <v>7</v>
      </c>
      <c r="M287" s="30">
        <f>'PROJECT RK'!I596</f>
        <v>10</v>
      </c>
      <c r="N287" s="30">
        <f>'PROJECT RK'!J596</f>
        <v>14</v>
      </c>
      <c r="O287" s="30">
        <f>'PROJECT RK'!K596</f>
        <v>20</v>
      </c>
      <c r="P287" s="30">
        <f>'PROJECT RK'!L596</f>
        <v>25</v>
      </c>
    </row>
    <row r="288" spans="1:16" x14ac:dyDescent="0.25">
      <c r="A288" s="37" t="s">
        <v>591</v>
      </c>
      <c r="B288" s="599" t="s">
        <v>738</v>
      </c>
      <c r="D288" s="598"/>
      <c r="E288" s="598"/>
      <c r="G288" s="45"/>
      <c r="H288" s="30">
        <v>0</v>
      </c>
      <c r="I288" s="45">
        <v>0</v>
      </c>
      <c r="J288" s="55">
        <v>0</v>
      </c>
      <c r="K288" s="56">
        <v>0</v>
      </c>
      <c r="L288" s="55">
        <v>0</v>
      </c>
      <c r="M288" s="56">
        <v>0</v>
      </c>
      <c r="N288" s="55">
        <v>0</v>
      </c>
      <c r="O288" s="56">
        <v>0</v>
      </c>
      <c r="P288" s="55">
        <v>0</v>
      </c>
    </row>
    <row r="289" spans="1:16" x14ac:dyDescent="0.25">
      <c r="A289" s="37"/>
      <c r="B289" s="599" t="s">
        <v>739</v>
      </c>
      <c r="D289" s="598"/>
      <c r="E289" s="598"/>
      <c r="G289" s="45"/>
      <c r="H289" s="30"/>
      <c r="I289" s="45"/>
      <c r="J289" s="38"/>
      <c r="K289" s="584"/>
      <c r="L289" s="38"/>
      <c r="M289" s="584"/>
      <c r="N289" s="38"/>
      <c r="O289" s="584"/>
      <c r="P289" s="38"/>
    </row>
    <row r="290" spans="1:16" x14ac:dyDescent="0.25">
      <c r="A290" s="37"/>
      <c r="B290" s="599" t="s">
        <v>740</v>
      </c>
      <c r="D290" s="598"/>
      <c r="E290" s="598"/>
      <c r="G290" s="45"/>
      <c r="H290" s="30">
        <v>0</v>
      </c>
      <c r="I290" s="45">
        <v>0</v>
      </c>
      <c r="J290" s="55">
        <v>0</v>
      </c>
      <c r="K290" s="56">
        <v>0</v>
      </c>
      <c r="L290" s="55">
        <v>0</v>
      </c>
      <c r="M290" s="56">
        <v>0</v>
      </c>
      <c r="N290" s="55">
        <v>0</v>
      </c>
      <c r="O290" s="56">
        <v>0</v>
      </c>
      <c r="P290" s="55">
        <v>0</v>
      </c>
    </row>
    <row r="291" spans="1:16" x14ac:dyDescent="0.25">
      <c r="A291" s="37" t="s">
        <v>569</v>
      </c>
      <c r="B291" s="599" t="s">
        <v>741</v>
      </c>
      <c r="D291" s="598"/>
      <c r="E291" s="598"/>
      <c r="G291" s="45"/>
      <c r="H291" s="30">
        <v>0</v>
      </c>
      <c r="I291" s="45">
        <v>0</v>
      </c>
      <c r="J291" s="55">
        <v>0</v>
      </c>
      <c r="K291" s="56">
        <v>0</v>
      </c>
      <c r="L291" s="55">
        <v>0</v>
      </c>
      <c r="M291" s="56">
        <v>0</v>
      </c>
      <c r="N291" s="55">
        <v>0</v>
      </c>
      <c r="O291" s="56">
        <v>0</v>
      </c>
      <c r="P291" s="55">
        <v>0</v>
      </c>
    </row>
    <row r="292" spans="1:16" x14ac:dyDescent="0.25">
      <c r="A292" s="37" t="s">
        <v>570</v>
      </c>
      <c r="B292" s="599" t="s">
        <v>742</v>
      </c>
      <c r="D292" s="598"/>
      <c r="E292" s="598"/>
      <c r="G292" s="45"/>
      <c r="H292" s="30">
        <v>0</v>
      </c>
      <c r="I292" s="45">
        <v>0</v>
      </c>
      <c r="J292" s="55">
        <v>0</v>
      </c>
      <c r="K292" s="56">
        <v>0</v>
      </c>
      <c r="L292" s="55">
        <v>0</v>
      </c>
      <c r="M292" s="56">
        <v>0</v>
      </c>
      <c r="N292" s="55">
        <v>0</v>
      </c>
      <c r="O292" s="56">
        <v>0</v>
      </c>
      <c r="P292" s="55">
        <v>0</v>
      </c>
    </row>
    <row r="293" spans="1:16" x14ac:dyDescent="0.25">
      <c r="A293" s="37" t="s">
        <v>571</v>
      </c>
      <c r="B293" s="599" t="s">
        <v>743</v>
      </c>
      <c r="D293" s="598"/>
      <c r="E293" s="598"/>
      <c r="G293" s="45"/>
      <c r="H293" s="30">
        <f>'PROJECT RK'!D611</f>
        <v>0.33</v>
      </c>
      <c r="I293" s="30">
        <f>'PROJECT RK'!E611</f>
        <v>0.33</v>
      </c>
      <c r="J293" s="30">
        <f>'PROJECT RK'!F611</f>
        <v>0.33</v>
      </c>
      <c r="K293" s="30">
        <f>'PROJECT RK'!G611</f>
        <v>0.33</v>
      </c>
      <c r="L293" s="30">
        <f>'PROJECT RK'!H611</f>
        <v>0.33</v>
      </c>
      <c r="M293" s="30">
        <f>'PROJECT RK'!I611</f>
        <v>0.33</v>
      </c>
      <c r="N293" s="30">
        <f>'PROJECT RK'!J611</f>
        <v>0.33</v>
      </c>
      <c r="O293" s="30">
        <f>'PROJECT RK'!K611</f>
        <v>0.33</v>
      </c>
      <c r="P293" s="30">
        <f>'PROJECT RK'!L611</f>
        <v>0.33</v>
      </c>
    </row>
    <row r="294" spans="1:16" x14ac:dyDescent="0.25">
      <c r="A294" s="37" t="s">
        <v>744</v>
      </c>
      <c r="B294" s="599" t="s">
        <v>745</v>
      </c>
      <c r="C294" s="598"/>
      <c r="D294" s="598"/>
      <c r="E294" s="598"/>
      <c r="G294" s="45"/>
      <c r="H294" s="30">
        <v>0</v>
      </c>
      <c r="I294" s="45">
        <v>0</v>
      </c>
      <c r="J294" s="55">
        <v>0</v>
      </c>
      <c r="K294" s="56">
        <v>0</v>
      </c>
      <c r="L294" s="55">
        <v>0</v>
      </c>
      <c r="M294" s="56">
        <v>0</v>
      </c>
      <c r="N294" s="62"/>
      <c r="P294" s="62"/>
    </row>
    <row r="295" spans="1:16" x14ac:dyDescent="0.25">
      <c r="A295" s="37" t="s">
        <v>746</v>
      </c>
      <c r="B295" s="599" t="s">
        <v>747</v>
      </c>
      <c r="C295" s="598"/>
      <c r="D295" s="598"/>
      <c r="E295" s="598"/>
      <c r="G295" s="45"/>
      <c r="H295" s="30">
        <v>0</v>
      </c>
      <c r="I295" s="45">
        <v>0</v>
      </c>
      <c r="J295" s="55">
        <v>0</v>
      </c>
      <c r="K295" s="56">
        <v>0</v>
      </c>
      <c r="L295" s="55">
        <v>0</v>
      </c>
      <c r="M295" s="56">
        <v>0</v>
      </c>
      <c r="N295" s="62"/>
      <c r="P295" s="62"/>
    </row>
    <row r="296" spans="1:16" x14ac:dyDescent="0.25">
      <c r="A296" s="503"/>
      <c r="B296" s="599" t="s">
        <v>748</v>
      </c>
      <c r="C296" s="598"/>
      <c r="D296" s="598"/>
      <c r="E296" s="598"/>
      <c r="G296" s="45"/>
      <c r="H296" s="30"/>
      <c r="I296" s="45"/>
      <c r="J296" s="38"/>
      <c r="K296" s="584"/>
      <c r="L296" s="38"/>
      <c r="M296" s="584"/>
      <c r="N296" s="269"/>
      <c r="P296" s="269"/>
    </row>
    <row r="297" spans="1:16" x14ac:dyDescent="0.25">
      <c r="A297" s="37" t="s">
        <v>749</v>
      </c>
      <c r="B297" s="599" t="s">
        <v>750</v>
      </c>
      <c r="C297" s="598"/>
      <c r="D297" s="598"/>
      <c r="E297" s="598"/>
      <c r="G297" s="583"/>
      <c r="H297" s="34">
        <f>SUM(H287:H296)</f>
        <v>0.33</v>
      </c>
      <c r="I297" s="34">
        <f t="shared" ref="I297:P297" si="37">SUM(I287:I296)</f>
        <v>0.33</v>
      </c>
      <c r="J297" s="34">
        <f t="shared" si="37"/>
        <v>2.33</v>
      </c>
      <c r="K297" s="34">
        <f t="shared" si="37"/>
        <v>4.33</v>
      </c>
      <c r="L297" s="34">
        <f t="shared" si="37"/>
        <v>7.33</v>
      </c>
      <c r="M297" s="34">
        <f t="shared" si="37"/>
        <v>10.33</v>
      </c>
      <c r="N297" s="34">
        <f t="shared" si="37"/>
        <v>14.33</v>
      </c>
      <c r="O297" s="34">
        <f t="shared" si="37"/>
        <v>20.329999999999998</v>
      </c>
      <c r="P297" s="34">
        <f t="shared" si="37"/>
        <v>25.33</v>
      </c>
    </row>
    <row r="298" spans="1:16" x14ac:dyDescent="0.25">
      <c r="A298" s="503"/>
      <c r="B298" s="598"/>
      <c r="C298" s="598"/>
      <c r="D298" s="598"/>
      <c r="E298" s="598"/>
      <c r="G298" s="583"/>
      <c r="H298" s="33"/>
      <c r="I298" s="583"/>
      <c r="J298" s="33"/>
      <c r="K298" s="583"/>
      <c r="L298" s="33"/>
      <c r="M298" s="583"/>
      <c r="N298" s="33"/>
      <c r="O298" s="583"/>
      <c r="P298" s="33"/>
    </row>
    <row r="299" spans="1:16" x14ac:dyDescent="0.25">
      <c r="A299" s="37" t="s">
        <v>751</v>
      </c>
      <c r="B299" s="599" t="s">
        <v>752</v>
      </c>
      <c r="C299" s="598"/>
      <c r="D299" s="598"/>
      <c r="E299" s="598"/>
      <c r="G299" s="583"/>
      <c r="H299" s="33">
        <f>'PROJECT RK'!D610</f>
        <v>5.6000000000000008E-2</v>
      </c>
      <c r="I299" s="33">
        <f>'PROJECT RK'!E610</f>
        <v>4.200000000000001E-2</v>
      </c>
      <c r="J299" s="33">
        <f>'PROJECT RK'!F610</f>
        <v>2.8000000000000008E-2</v>
      </c>
      <c r="K299" s="33">
        <f>'PROJECT RK'!G610</f>
        <v>1.4000000000000005E-2</v>
      </c>
      <c r="L299" s="33">
        <f>'PROJECT RK'!H610</f>
        <v>0</v>
      </c>
      <c r="M299" s="33">
        <f>'PROJECT RK'!I610</f>
        <v>0</v>
      </c>
      <c r="N299" s="33">
        <f>'PROJECT RK'!J610</f>
        <v>0</v>
      </c>
      <c r="O299" s="33">
        <f>'PROJECT RK'!K610</f>
        <v>0</v>
      </c>
      <c r="P299" s="33">
        <f>'PROJECT RK'!L610</f>
        <v>0</v>
      </c>
    </row>
    <row r="300" spans="1:16" x14ac:dyDescent="0.25">
      <c r="A300" s="503"/>
      <c r="B300" s="599" t="s">
        <v>753</v>
      </c>
      <c r="C300" s="598"/>
      <c r="D300" s="598"/>
      <c r="E300" s="598"/>
      <c r="G300" s="583"/>
      <c r="H300" s="33"/>
      <c r="I300" s="583"/>
      <c r="J300" s="33"/>
      <c r="K300" s="583"/>
      <c r="L300" s="33"/>
      <c r="M300" s="583"/>
      <c r="N300" s="33"/>
      <c r="O300" s="583"/>
      <c r="P300" s="33"/>
    </row>
    <row r="301" spans="1:16" x14ac:dyDescent="0.25">
      <c r="A301" s="503"/>
      <c r="B301" s="599" t="s">
        <v>754</v>
      </c>
      <c r="C301" s="598"/>
      <c r="D301" s="598"/>
      <c r="E301" s="598"/>
      <c r="G301" s="583"/>
      <c r="H301" s="33"/>
      <c r="I301" s="583"/>
      <c r="J301" s="33"/>
      <c r="K301" s="583"/>
      <c r="L301" s="33"/>
      <c r="M301" s="583"/>
      <c r="N301" s="33"/>
      <c r="O301" s="583"/>
      <c r="P301" s="33"/>
    </row>
    <row r="302" spans="1:16" x14ac:dyDescent="0.25">
      <c r="A302" s="503"/>
      <c r="B302" s="599" t="s">
        <v>755</v>
      </c>
      <c r="C302" s="598"/>
      <c r="D302" s="598"/>
      <c r="E302" s="598"/>
      <c r="G302" s="45"/>
      <c r="H302" s="30">
        <v>0</v>
      </c>
      <c r="I302" s="45">
        <v>0</v>
      </c>
      <c r="J302" s="30">
        <v>0</v>
      </c>
      <c r="K302" s="45">
        <v>0</v>
      </c>
      <c r="L302" s="30">
        <v>0</v>
      </c>
      <c r="M302" s="45">
        <v>0</v>
      </c>
      <c r="N302" s="30">
        <v>0</v>
      </c>
      <c r="O302" s="45">
        <v>0</v>
      </c>
      <c r="P302" s="30">
        <v>0</v>
      </c>
    </row>
    <row r="303" spans="1:16" x14ac:dyDescent="0.25">
      <c r="A303" s="37" t="s">
        <v>756</v>
      </c>
      <c r="B303" s="599" t="s">
        <v>757</v>
      </c>
      <c r="C303" s="598"/>
      <c r="D303" s="598"/>
      <c r="E303" s="598"/>
      <c r="G303" s="583"/>
      <c r="H303" s="256">
        <f ca="1">H299+H297+H284+H264</f>
        <v>30.132275401712967</v>
      </c>
      <c r="I303" s="256">
        <f t="shared" ref="I303:P303" ca="1" si="38">I299+I297+I284+I264</f>
        <v>31.572828240169137</v>
      </c>
      <c r="J303" s="256">
        <f t="shared" ca="1" si="38"/>
        <v>33.423092754794958</v>
      </c>
      <c r="K303" s="256">
        <f t="shared" ca="1" si="38"/>
        <v>35.92992022798866</v>
      </c>
      <c r="L303" s="256">
        <f t="shared" ca="1" si="38"/>
        <v>38.692745430520915</v>
      </c>
      <c r="M303" s="256">
        <f t="shared" ca="1" si="38"/>
        <v>41.727250585846072</v>
      </c>
      <c r="N303" s="256">
        <f t="shared" ca="1" si="38"/>
        <v>45.005268645281674</v>
      </c>
      <c r="O303" s="256">
        <f t="shared" ca="1" si="38"/>
        <v>48.896460591633868</v>
      </c>
      <c r="P303" s="256">
        <f t="shared" ca="1" si="38"/>
        <v>54.305890033221175</v>
      </c>
    </row>
    <row r="304" spans="1:16" x14ac:dyDescent="0.25">
      <c r="A304" s="37" t="s">
        <v>758</v>
      </c>
      <c r="B304" s="599" t="s">
        <v>759</v>
      </c>
      <c r="C304" s="598"/>
      <c r="D304" s="598"/>
      <c r="E304" s="598"/>
      <c r="G304" s="583"/>
      <c r="H304" s="31">
        <f ca="1">H303-H299-H177</f>
        <v>7.6310339171715604</v>
      </c>
      <c r="I304" s="31">
        <f t="shared" ref="I304:P304" ca="1" si="39">I303-I299-I177</f>
        <v>9.2794512246272376</v>
      </c>
      <c r="J304" s="31">
        <f t="shared" ca="1" si="39"/>
        <v>11.567035467418911</v>
      </c>
      <c r="K304" s="31">
        <f t="shared" ca="1" si="39"/>
        <v>14.509540770319369</v>
      </c>
      <c r="L304" s="31">
        <f t="shared" ca="1" si="39"/>
        <v>18.078820642676014</v>
      </c>
      <c r="M304" s="31">
        <f t="shared" ca="1" si="39"/>
        <v>22.265627460821587</v>
      </c>
      <c r="N304" s="31">
        <f t="shared" ca="1" si="39"/>
        <v>27.063443003223025</v>
      </c>
      <c r="O304" s="31">
        <f t="shared" ca="1" si="39"/>
        <v>32.474766566433431</v>
      </c>
      <c r="P304" s="31">
        <f t="shared" ca="1" si="39"/>
        <v>38.458115987989594</v>
      </c>
    </row>
    <row r="305" spans="1:16" x14ac:dyDescent="0.25">
      <c r="A305" s="503"/>
      <c r="B305" s="598"/>
      <c r="C305" s="598"/>
      <c r="D305" s="598"/>
      <c r="E305" s="598"/>
      <c r="G305" s="583"/>
      <c r="H305" s="33"/>
      <c r="I305" s="583"/>
      <c r="J305" s="33"/>
      <c r="K305" s="583"/>
      <c r="L305" s="33"/>
      <c r="M305" s="583"/>
      <c r="N305" s="33"/>
      <c r="O305" s="583"/>
      <c r="P305" s="33"/>
    </row>
    <row r="306" spans="1:16" x14ac:dyDescent="0.25">
      <c r="A306" s="37" t="s">
        <v>760</v>
      </c>
      <c r="B306" s="599" t="s">
        <v>761</v>
      </c>
      <c r="C306" s="598"/>
      <c r="D306" s="598"/>
      <c r="E306" s="598"/>
      <c r="G306" s="583"/>
      <c r="H306" s="33">
        <f ca="1">H264-H168</f>
        <v>4.0110689225126546</v>
      </c>
      <c r="I306" s="33">
        <f t="shared" ref="I306:P306" ca="1" si="40">I264-I168</f>
        <v>6.967773977731639</v>
      </c>
      <c r="J306" s="33">
        <f t="shared" ca="1" si="40"/>
        <v>8.2324424807090537</v>
      </c>
      <c r="K306" s="33">
        <f t="shared" ca="1" si="40"/>
        <v>9.5068705526474204</v>
      </c>
      <c r="L306" s="33">
        <f t="shared" ca="1" si="40"/>
        <v>9.8025398054852744</v>
      </c>
      <c r="M306" s="33">
        <f t="shared" ca="1" si="40"/>
        <v>10.144312090158866</v>
      </c>
      <c r="N306" s="33">
        <f t="shared" ca="1" si="40"/>
        <v>9.9150300754915364</v>
      </c>
      <c r="O306" s="33">
        <f t="shared" ca="1" si="40"/>
        <v>9.1024677415198809</v>
      </c>
      <c r="P306" s="33">
        <f t="shared" ca="1" si="40"/>
        <v>10.926901201116499</v>
      </c>
    </row>
    <row r="307" spans="1:16" x14ac:dyDescent="0.25">
      <c r="A307" s="503"/>
      <c r="B307" s="599" t="s">
        <v>762</v>
      </c>
      <c r="C307" s="598"/>
      <c r="D307" s="598"/>
      <c r="E307" s="598"/>
      <c r="G307" s="583"/>
      <c r="H307" s="33"/>
      <c r="I307" s="33"/>
      <c r="J307" s="33"/>
      <c r="K307" s="33"/>
      <c r="L307" s="33"/>
      <c r="M307" s="33"/>
      <c r="N307" s="33"/>
      <c r="O307" s="33"/>
      <c r="P307" s="33"/>
    </row>
    <row r="308" spans="1:16" x14ac:dyDescent="0.25">
      <c r="A308" s="503"/>
      <c r="B308" s="598"/>
      <c r="C308" s="598"/>
      <c r="D308" s="598"/>
      <c r="E308" s="598"/>
      <c r="G308" s="583"/>
      <c r="H308" s="33"/>
      <c r="I308" s="583"/>
      <c r="J308" s="33"/>
      <c r="K308" s="583"/>
      <c r="L308" s="33"/>
      <c r="M308" s="583"/>
      <c r="N308" s="33"/>
      <c r="O308" s="583"/>
      <c r="P308" s="33"/>
    </row>
    <row r="309" spans="1:16" x14ac:dyDescent="0.25">
      <c r="A309" s="37" t="s">
        <v>763</v>
      </c>
      <c r="B309" s="599" t="s">
        <v>764</v>
      </c>
      <c r="C309" s="598"/>
      <c r="D309" s="598"/>
      <c r="E309" s="598"/>
      <c r="G309" s="583"/>
      <c r="H309" s="33">
        <f ca="1">H264/H168</f>
        <v>1.4740548989982645</v>
      </c>
      <c r="I309" s="33">
        <f t="shared" ref="I309:P309" ca="1" si="41">I264/I168</f>
        <v>1.7454296313590001</v>
      </c>
      <c r="J309" s="33">
        <f t="shared" ca="1" si="41"/>
        <v>1.8229145436853023</v>
      </c>
      <c r="K309" s="33">
        <f t="shared" ca="1" si="41"/>
        <v>1.862510164459658</v>
      </c>
      <c r="L309" s="33">
        <f t="shared" ca="1" si="41"/>
        <v>1.814849745618824</v>
      </c>
      <c r="M309" s="33">
        <f t="shared" ca="1" si="41"/>
        <v>1.7780828970842899</v>
      </c>
      <c r="N309" s="33">
        <f t="shared" ca="1" si="41"/>
        <v>1.72490080795093</v>
      </c>
      <c r="O309" s="33">
        <f t="shared" ca="1" si="41"/>
        <v>1.6814426429150011</v>
      </c>
      <c r="P309" s="33">
        <f t="shared" ca="1" si="41"/>
        <v>1.8547510723250336</v>
      </c>
    </row>
    <row r="310" spans="1:16" x14ac:dyDescent="0.25">
      <c r="A310" s="503"/>
      <c r="B310" s="598"/>
      <c r="C310" s="598"/>
      <c r="D310" s="598"/>
      <c r="E310" s="598"/>
      <c r="G310" s="583"/>
      <c r="H310" s="33"/>
      <c r="I310" s="583"/>
      <c r="J310" s="33"/>
      <c r="K310" s="583"/>
      <c r="L310" s="33"/>
      <c r="M310" s="583"/>
      <c r="N310" s="33"/>
      <c r="O310" s="583"/>
      <c r="P310" s="33"/>
    </row>
    <row r="311" spans="1:16" x14ac:dyDescent="0.25">
      <c r="A311" s="470" t="s">
        <v>765</v>
      </c>
      <c r="B311" s="41" t="s">
        <v>766</v>
      </c>
      <c r="C311" s="42"/>
      <c r="D311" s="42"/>
      <c r="E311" s="42"/>
      <c r="F311" s="19"/>
      <c r="G311" s="43"/>
      <c r="H311" s="40">
        <f ca="1">H177/H200</f>
        <v>2.9198832379810984</v>
      </c>
      <c r="I311" s="40">
        <f t="shared" ref="I311:P311" ca="1" si="42">I177/I200</f>
        <v>2.3871151046474246</v>
      </c>
      <c r="J311" s="40">
        <f t="shared" ca="1" si="42"/>
        <v>1.8825347579756093</v>
      </c>
      <c r="K311" s="40">
        <f t="shared" ca="1" si="42"/>
        <v>1.473909138012395</v>
      </c>
      <c r="L311" s="40">
        <f t="shared" ca="1" si="42"/>
        <v>1.1402250841066843</v>
      </c>
      <c r="M311" s="40">
        <f t="shared" ca="1" si="42"/>
        <v>0.87406578410013391</v>
      </c>
      <c r="N311" s="40">
        <f t="shared" ca="1" si="42"/>
        <v>0.66295429003330941</v>
      </c>
      <c r="O311" s="40">
        <f t="shared" ca="1" si="42"/>
        <v>0.50567550629214497</v>
      </c>
      <c r="P311" s="40">
        <f t="shared" ca="1" si="42"/>
        <v>0.41207879372408196</v>
      </c>
    </row>
    <row r="312" spans="1:16" x14ac:dyDescent="0.25">
      <c r="A312" s="488"/>
      <c r="B312" s="29"/>
      <c r="C312" s="29"/>
      <c r="D312" s="29"/>
      <c r="E312" s="29"/>
      <c r="F312" s="25"/>
      <c r="G312" s="92"/>
      <c r="H312" s="92">
        <v>0</v>
      </c>
      <c r="I312" s="92">
        <v>0</v>
      </c>
      <c r="J312" s="92">
        <v>0</v>
      </c>
      <c r="K312" s="92">
        <v>0</v>
      </c>
      <c r="L312" s="92">
        <v>0</v>
      </c>
      <c r="M312" s="92">
        <v>0</v>
      </c>
      <c r="N312" s="92">
        <v>0</v>
      </c>
      <c r="O312" s="92">
        <v>0</v>
      </c>
      <c r="P312" s="609">
        <v>0</v>
      </c>
    </row>
    <row r="313" spans="1:16" x14ac:dyDescent="0.25">
      <c r="A313" s="503"/>
      <c r="B313" s="598"/>
      <c r="C313" s="598"/>
      <c r="D313" s="598"/>
      <c r="E313" s="598"/>
      <c r="G313" s="56"/>
      <c r="H313" s="56"/>
      <c r="I313" s="56"/>
      <c r="J313" s="56"/>
      <c r="K313" s="56"/>
      <c r="L313" s="56"/>
      <c r="M313" s="56"/>
      <c r="N313" s="56"/>
      <c r="O313" s="56"/>
      <c r="P313" s="57"/>
    </row>
    <row r="314" spans="1:16" x14ac:dyDescent="0.25">
      <c r="A314" s="503"/>
      <c r="B314" s="598"/>
      <c r="C314" s="598"/>
      <c r="D314" s="598"/>
      <c r="E314" s="598"/>
      <c r="G314" s="56"/>
      <c r="H314" s="56"/>
      <c r="I314" s="56"/>
      <c r="J314" s="56"/>
      <c r="K314" s="56"/>
      <c r="L314" s="56"/>
      <c r="M314" s="56"/>
      <c r="N314" s="56"/>
      <c r="O314" s="56"/>
      <c r="P314" s="57"/>
    </row>
    <row r="315" spans="1:16" x14ac:dyDescent="0.25">
      <c r="A315" s="503"/>
      <c r="B315" s="598"/>
      <c r="C315" s="598"/>
      <c r="D315" s="598"/>
      <c r="E315" s="598"/>
      <c r="G315" s="56"/>
      <c r="H315" s="56"/>
      <c r="I315" s="56"/>
      <c r="J315" s="56"/>
      <c r="K315" s="56"/>
      <c r="L315" s="56"/>
      <c r="M315" s="56"/>
      <c r="N315" s="56"/>
      <c r="O315" s="56"/>
      <c r="P315" s="57"/>
    </row>
    <row r="316" spans="1:16" x14ac:dyDescent="0.25">
      <c r="A316" s="503"/>
      <c r="B316" s="598"/>
      <c r="C316" s="598"/>
      <c r="D316" s="598"/>
      <c r="E316" s="598"/>
      <c r="G316" s="56"/>
      <c r="H316" s="56"/>
      <c r="I316" s="56"/>
      <c r="J316" s="56"/>
      <c r="K316" s="56"/>
      <c r="L316" s="56"/>
      <c r="M316" s="56"/>
      <c r="N316" s="56"/>
      <c r="O316" s="56"/>
      <c r="P316" s="57"/>
    </row>
    <row r="317" spans="1:16" x14ac:dyDescent="0.25">
      <c r="A317" s="503"/>
      <c r="B317" s="598"/>
      <c r="C317" s="598"/>
      <c r="D317" s="598"/>
      <c r="E317" s="598"/>
      <c r="G317" s="56"/>
      <c r="H317" s="56"/>
      <c r="I317" s="56"/>
      <c r="J317" s="56"/>
      <c r="K317" s="56"/>
      <c r="L317" s="56"/>
      <c r="M317" s="56"/>
      <c r="N317" s="56"/>
      <c r="O317" s="56"/>
      <c r="P317" s="57"/>
    </row>
    <row r="318" spans="1:16" x14ac:dyDescent="0.25">
      <c r="A318" s="503"/>
      <c r="B318" s="598"/>
      <c r="C318" s="598"/>
      <c r="D318" s="598"/>
      <c r="E318" s="598"/>
      <c r="G318" s="56"/>
      <c r="H318" s="56"/>
      <c r="I318" s="56"/>
      <c r="J318" s="56"/>
      <c r="K318" s="56"/>
      <c r="L318" s="56"/>
      <c r="M318" s="56"/>
      <c r="N318" s="56"/>
      <c r="O318" s="56"/>
      <c r="P318" s="57"/>
    </row>
    <row r="319" spans="1:16" x14ac:dyDescent="0.25">
      <c r="A319" s="503"/>
      <c r="B319" s="598"/>
      <c r="C319" s="598"/>
      <c r="D319" s="598"/>
      <c r="E319" s="598"/>
      <c r="G319" s="56"/>
      <c r="H319" s="56"/>
      <c r="I319" s="56"/>
      <c r="J319" s="56"/>
      <c r="K319" s="56"/>
      <c r="L319" s="56"/>
      <c r="M319" s="56"/>
      <c r="N319" s="56"/>
      <c r="O319" s="56"/>
      <c r="P319" s="57"/>
    </row>
    <row r="320" spans="1:16" x14ac:dyDescent="0.25">
      <c r="A320" s="503"/>
      <c r="B320" s="598"/>
      <c r="C320" s="598"/>
      <c r="D320" s="598"/>
      <c r="E320" s="598"/>
      <c r="G320" s="56"/>
      <c r="H320" s="56"/>
      <c r="I320" s="56"/>
      <c r="J320" s="56"/>
      <c r="K320" s="56"/>
      <c r="L320" s="56"/>
      <c r="M320" s="56"/>
      <c r="N320" s="56"/>
      <c r="O320" s="56"/>
      <c r="P320" s="57"/>
    </row>
    <row r="321" spans="1:16" x14ac:dyDescent="0.25">
      <c r="A321" s="503"/>
      <c r="B321" s="598"/>
      <c r="C321" s="598"/>
      <c r="D321" s="598"/>
      <c r="E321" s="598"/>
      <c r="G321" s="56"/>
      <c r="H321" s="56"/>
      <c r="I321" s="56"/>
      <c r="J321" s="56"/>
      <c r="K321" s="56"/>
      <c r="L321" s="56"/>
      <c r="M321" s="56"/>
      <c r="N321" s="56"/>
      <c r="O321" s="56"/>
      <c r="P321" s="57"/>
    </row>
    <row r="322" spans="1:16" x14ac:dyDescent="0.25">
      <c r="A322" s="502"/>
      <c r="B322" s="42"/>
      <c r="C322" s="42"/>
      <c r="D322" s="42"/>
      <c r="E322" s="42"/>
      <c r="F322" s="19"/>
      <c r="G322" s="508"/>
      <c r="H322" s="508"/>
      <c r="I322" s="508"/>
      <c r="J322" s="508"/>
      <c r="K322" s="508"/>
      <c r="L322" s="508"/>
      <c r="M322" s="508"/>
      <c r="N322" s="508"/>
      <c r="O322" s="508"/>
      <c r="P322" s="257"/>
    </row>
    <row r="323" spans="1:16" x14ac:dyDescent="0.25">
      <c r="A323" s="506"/>
      <c r="B323" s="59"/>
      <c r="C323" s="59"/>
      <c r="D323" s="59"/>
      <c r="E323" s="59"/>
      <c r="F323" s="12"/>
      <c r="G323" s="267"/>
      <c r="H323" s="267"/>
      <c r="I323" s="267"/>
      <c r="J323" s="267"/>
      <c r="K323" s="267"/>
      <c r="L323" s="267"/>
      <c r="M323" s="267"/>
      <c r="N323" s="267"/>
      <c r="O323" s="267"/>
      <c r="P323" s="610"/>
    </row>
    <row r="324" spans="1:16" x14ac:dyDescent="0.25">
      <c r="A324" s="796" t="s">
        <v>843</v>
      </c>
      <c r="B324" s="797"/>
      <c r="C324" s="797"/>
      <c r="D324" s="797"/>
      <c r="E324" s="797"/>
      <c r="F324" s="797"/>
      <c r="G324" s="797"/>
      <c r="H324" s="797"/>
      <c r="I324" s="797"/>
      <c r="J324" s="797"/>
      <c r="K324" s="797"/>
      <c r="L324" s="797"/>
      <c r="M324" s="797"/>
      <c r="N324" s="797"/>
      <c r="O324" s="797"/>
      <c r="P324" s="798"/>
    </row>
    <row r="325" spans="1:16" x14ac:dyDescent="0.25">
      <c r="A325" s="796" t="s">
        <v>1139</v>
      </c>
      <c r="B325" s="797"/>
      <c r="C325" s="797"/>
      <c r="D325" s="797"/>
      <c r="E325" s="797"/>
      <c r="F325" s="797"/>
      <c r="G325" s="797"/>
      <c r="H325" s="797"/>
      <c r="I325" s="797"/>
      <c r="J325" s="797"/>
      <c r="K325" s="797"/>
      <c r="L325" s="797"/>
      <c r="M325" s="797"/>
      <c r="N325" s="797"/>
      <c r="O325" s="797"/>
      <c r="P325" s="798"/>
    </row>
    <row r="326" spans="1:16" x14ac:dyDescent="0.25">
      <c r="A326" s="810" t="s">
        <v>201</v>
      </c>
      <c r="B326" s="811"/>
      <c r="C326" s="811"/>
      <c r="D326" s="811"/>
      <c r="E326" s="811"/>
      <c r="F326" s="811"/>
      <c r="G326" s="811"/>
      <c r="H326" s="811"/>
      <c r="I326" s="811"/>
      <c r="J326" s="811"/>
      <c r="K326" s="811"/>
      <c r="L326" s="811"/>
      <c r="M326" s="811"/>
      <c r="N326" s="811"/>
      <c r="O326" s="811"/>
      <c r="P326" s="812"/>
    </row>
    <row r="327" spans="1:16" x14ac:dyDescent="0.25">
      <c r="A327" s="813" t="s">
        <v>981</v>
      </c>
      <c r="B327" s="814"/>
      <c r="C327" s="814"/>
      <c r="D327" s="814"/>
      <c r="E327" s="814"/>
      <c r="F327" s="814"/>
      <c r="G327" s="814"/>
      <c r="H327" s="814"/>
      <c r="I327" s="814"/>
      <c r="J327" s="814"/>
      <c r="K327" s="814"/>
      <c r="L327" s="814"/>
      <c r="M327" s="814"/>
      <c r="N327" s="814"/>
      <c r="O327" s="814"/>
      <c r="P327" s="815"/>
    </row>
    <row r="328" spans="1:16" x14ac:dyDescent="0.25">
      <c r="A328" s="509"/>
      <c r="B328" s="596"/>
      <c r="C328" s="596"/>
      <c r="D328" s="596"/>
      <c r="E328" s="596"/>
      <c r="F328" s="596"/>
      <c r="G328" s="596"/>
      <c r="H328" s="596"/>
      <c r="I328" s="596"/>
      <c r="J328" s="596"/>
      <c r="K328" s="596"/>
      <c r="L328" s="596"/>
      <c r="M328" s="596"/>
      <c r="N328" s="596"/>
      <c r="O328" s="596"/>
      <c r="P328" s="597"/>
    </row>
    <row r="329" spans="1:16" x14ac:dyDescent="0.25">
      <c r="A329" s="807" t="s">
        <v>443</v>
      </c>
      <c r="B329" s="808"/>
      <c r="C329" s="808"/>
      <c r="D329" s="808"/>
      <c r="E329" s="808"/>
      <c r="F329" s="808"/>
      <c r="G329" s="809"/>
      <c r="H329" s="268">
        <v>1</v>
      </c>
      <c r="I329" s="268">
        <v>2</v>
      </c>
      <c r="J329" s="268">
        <v>3</v>
      </c>
      <c r="K329" s="268">
        <v>4</v>
      </c>
      <c r="L329" s="268">
        <v>5</v>
      </c>
      <c r="M329" s="268">
        <v>6</v>
      </c>
      <c r="N329" s="268">
        <v>7</v>
      </c>
      <c r="O329" s="268">
        <v>8</v>
      </c>
      <c r="P329" s="268">
        <v>9</v>
      </c>
    </row>
    <row r="330" spans="1:16" x14ac:dyDescent="0.25">
      <c r="A330" s="807" t="s">
        <v>582</v>
      </c>
      <c r="B330" s="808"/>
      <c r="C330" s="808"/>
      <c r="D330" s="808"/>
      <c r="E330" s="808"/>
      <c r="F330" s="808"/>
      <c r="G330" s="809"/>
      <c r="H330" s="268">
        <v>2024</v>
      </c>
      <c r="I330" s="268">
        <v>2025</v>
      </c>
      <c r="J330" s="268">
        <v>2026</v>
      </c>
      <c r="K330" s="268">
        <v>2027</v>
      </c>
      <c r="L330" s="268">
        <v>2028</v>
      </c>
      <c r="M330" s="268">
        <v>2029</v>
      </c>
      <c r="N330" s="268">
        <v>2030</v>
      </c>
      <c r="O330" s="268">
        <v>2031</v>
      </c>
      <c r="P330" s="268">
        <v>2032</v>
      </c>
    </row>
    <row r="331" spans="1:16" x14ac:dyDescent="0.25">
      <c r="A331" s="505" t="s">
        <v>767</v>
      </c>
      <c r="B331" s="598"/>
      <c r="C331" s="598"/>
      <c r="D331" s="598"/>
      <c r="E331" s="598"/>
      <c r="G331" s="49"/>
      <c r="H331" s="583"/>
      <c r="I331" s="35"/>
      <c r="J331" s="38"/>
      <c r="K331" s="38"/>
      <c r="L331" s="37"/>
      <c r="M331" s="32"/>
      <c r="N331" s="32"/>
      <c r="O331" s="32"/>
      <c r="P331" s="32"/>
    </row>
    <row r="332" spans="1:16" x14ac:dyDescent="0.25">
      <c r="A332" s="37" t="s">
        <v>584</v>
      </c>
      <c r="B332" s="599" t="s">
        <v>351</v>
      </c>
      <c r="C332" s="598"/>
      <c r="D332" s="598"/>
      <c r="E332" s="598"/>
      <c r="G332" s="49"/>
      <c r="H332" s="583"/>
      <c r="I332" s="35"/>
      <c r="J332" s="38"/>
      <c r="K332" s="38"/>
      <c r="L332" s="37"/>
      <c r="M332" s="38"/>
      <c r="N332" s="38"/>
      <c r="O332" s="38"/>
      <c r="P332" s="38"/>
    </row>
    <row r="333" spans="1:16" x14ac:dyDescent="0.25">
      <c r="A333" s="503"/>
      <c r="B333" s="599" t="s">
        <v>768</v>
      </c>
      <c r="C333" s="598"/>
      <c r="D333" s="598"/>
      <c r="E333" s="598"/>
      <c r="G333" s="49"/>
      <c r="H333" s="33"/>
      <c r="I333" s="33"/>
      <c r="J333" s="33"/>
      <c r="K333" s="33"/>
      <c r="L333" s="35"/>
      <c r="M333" s="33"/>
      <c r="N333" s="33"/>
      <c r="O333" s="33"/>
      <c r="P333" s="33"/>
    </row>
    <row r="334" spans="1:16" x14ac:dyDescent="0.25">
      <c r="A334" s="503"/>
      <c r="B334" s="599" t="s">
        <v>593</v>
      </c>
      <c r="C334" s="598"/>
      <c r="D334" s="598"/>
      <c r="E334" s="598"/>
      <c r="G334" s="54"/>
      <c r="H334" s="583">
        <f>H249</f>
        <v>2.2764347826086953</v>
      </c>
      <c r="I334" s="583">
        <f t="shared" ref="I334:P334" si="43">I249</f>
        <v>2.4661376811594202</v>
      </c>
      <c r="J334" s="583">
        <f t="shared" si="43"/>
        <v>2.6558405797101452</v>
      </c>
      <c r="K334" s="583">
        <f t="shared" si="43"/>
        <v>2.8455434782608702</v>
      </c>
      <c r="L334" s="583">
        <f t="shared" si="43"/>
        <v>3.0352463768115951</v>
      </c>
      <c r="M334" s="583">
        <f t="shared" si="43"/>
        <v>3.2249492753623192</v>
      </c>
      <c r="N334" s="583">
        <f t="shared" si="43"/>
        <v>3.4146521739130447</v>
      </c>
      <c r="O334" s="583">
        <f t="shared" si="43"/>
        <v>3.6043550724637692</v>
      </c>
      <c r="P334" s="583">
        <f t="shared" si="43"/>
        <v>3.7940579710144933</v>
      </c>
    </row>
    <row r="335" spans="1:16" x14ac:dyDescent="0.25">
      <c r="A335" s="503"/>
      <c r="B335" s="599" t="s">
        <v>461</v>
      </c>
      <c r="C335" s="598"/>
      <c r="D335" s="598"/>
      <c r="E335" s="598"/>
      <c r="G335" s="54"/>
      <c r="H335" s="33">
        <f>H251</f>
        <v>0.2392173913043478</v>
      </c>
      <c r="I335" s="33">
        <f t="shared" ref="I335:P335" si="44">I251</f>
        <v>0.25915217391304346</v>
      </c>
      <c r="J335" s="33">
        <f t="shared" si="44"/>
        <v>0.27908695652173915</v>
      </c>
      <c r="K335" s="33">
        <f t="shared" si="44"/>
        <v>0.29902173913043484</v>
      </c>
      <c r="L335" s="33">
        <f t="shared" si="44"/>
        <v>0.31895652173913047</v>
      </c>
      <c r="M335" s="33">
        <f t="shared" si="44"/>
        <v>0.33889130434782616</v>
      </c>
      <c r="N335" s="33">
        <f t="shared" si="44"/>
        <v>0.35882608695652185</v>
      </c>
      <c r="O335" s="33">
        <f t="shared" si="44"/>
        <v>0.37876086956521748</v>
      </c>
      <c r="P335" s="33">
        <f t="shared" si="44"/>
        <v>0.39869565217391312</v>
      </c>
    </row>
    <row r="336" spans="1:16" x14ac:dyDescent="0.25">
      <c r="A336" s="37" t="s">
        <v>586</v>
      </c>
      <c r="B336" s="599" t="s">
        <v>769</v>
      </c>
      <c r="C336" s="598"/>
      <c r="D336" s="598"/>
      <c r="E336" s="598"/>
      <c r="G336" s="54"/>
      <c r="H336" s="583"/>
      <c r="I336" s="583"/>
      <c r="J336" s="583"/>
      <c r="K336" s="583"/>
      <c r="L336" s="583"/>
      <c r="M336" s="583"/>
      <c r="N336" s="583"/>
      <c r="O336" s="583"/>
      <c r="P336" s="583"/>
    </row>
    <row r="337" spans="1:16" x14ac:dyDescent="0.25">
      <c r="A337" s="503"/>
      <c r="B337" s="599" t="s">
        <v>339</v>
      </c>
      <c r="C337" s="598"/>
      <c r="D337" s="598"/>
      <c r="E337" s="598"/>
      <c r="G337" s="54"/>
      <c r="H337" s="45">
        <f>H258</f>
        <v>1.8643636363636366E-2</v>
      </c>
      <c r="I337" s="45">
        <f t="shared" ref="I337:P337" si="45">I258</f>
        <v>2.019727272727273E-2</v>
      </c>
      <c r="J337" s="45">
        <f t="shared" si="45"/>
        <v>2.1750909090909095E-2</v>
      </c>
      <c r="K337" s="45">
        <f t="shared" si="45"/>
        <v>2.330454545454546E-2</v>
      </c>
      <c r="L337" s="45">
        <f t="shared" si="45"/>
        <v>2.4858181818181824E-2</v>
      </c>
      <c r="M337" s="45">
        <f t="shared" si="45"/>
        <v>2.6411818181818193E-2</v>
      </c>
      <c r="N337" s="45">
        <f t="shared" si="45"/>
        <v>2.7965454545454557E-2</v>
      </c>
      <c r="O337" s="45">
        <f t="shared" si="45"/>
        <v>2.9519090909090925E-2</v>
      </c>
      <c r="P337" s="45">
        <f t="shared" si="45"/>
        <v>3.1072727272727287E-2</v>
      </c>
    </row>
    <row r="338" spans="1:16" x14ac:dyDescent="0.25">
      <c r="A338" s="503"/>
      <c r="B338" s="599" t="s">
        <v>340</v>
      </c>
      <c r="C338" s="598"/>
      <c r="D338" s="598"/>
      <c r="E338" s="598"/>
      <c r="G338" s="54"/>
      <c r="H338" s="583">
        <f>H259</f>
        <v>0.216</v>
      </c>
      <c r="I338" s="583">
        <f t="shared" ref="I338:P338" si="46">I259</f>
        <v>0.23399999999999999</v>
      </c>
      <c r="J338" s="583">
        <f t="shared" si="46"/>
        <v>0.25200000000000006</v>
      </c>
      <c r="K338" s="583">
        <f t="shared" si="46"/>
        <v>0.27</v>
      </c>
      <c r="L338" s="583">
        <f t="shared" si="46"/>
        <v>0.28800000000000009</v>
      </c>
      <c r="M338" s="583">
        <f t="shared" si="46"/>
        <v>0.30600000000000005</v>
      </c>
      <c r="N338" s="583">
        <f t="shared" si="46"/>
        <v>0.32400000000000007</v>
      </c>
      <c r="O338" s="583">
        <f t="shared" si="46"/>
        <v>0.34200000000000008</v>
      </c>
      <c r="P338" s="583">
        <f t="shared" si="46"/>
        <v>0.36000000000000004</v>
      </c>
    </row>
    <row r="339" spans="1:16" x14ac:dyDescent="0.25">
      <c r="A339" s="37" t="s">
        <v>587</v>
      </c>
      <c r="B339" s="599" t="s">
        <v>770</v>
      </c>
      <c r="C339" s="598"/>
      <c r="D339" s="598"/>
      <c r="E339" s="598"/>
      <c r="G339" s="49"/>
      <c r="H339" s="583">
        <f ca="1">H253</f>
        <v>0.35</v>
      </c>
      <c r="I339" s="583">
        <f t="shared" ref="I339:P339" ca="1" si="47">I253</f>
        <v>0.38</v>
      </c>
      <c r="J339" s="583">
        <f t="shared" ca="1" si="47"/>
        <v>0.4</v>
      </c>
      <c r="K339" s="583">
        <f t="shared" ca="1" si="47"/>
        <v>0.43</v>
      </c>
      <c r="L339" s="583">
        <f t="shared" ca="1" si="47"/>
        <v>0.46</v>
      </c>
      <c r="M339" s="583">
        <f t="shared" ca="1" si="47"/>
        <v>0.49</v>
      </c>
      <c r="N339" s="583">
        <f t="shared" ca="1" si="47"/>
        <v>0.51</v>
      </c>
      <c r="O339" s="583">
        <f t="shared" ca="1" si="47"/>
        <v>0.54</v>
      </c>
      <c r="P339" s="583">
        <f t="shared" ca="1" si="47"/>
        <v>0.56999999999999995</v>
      </c>
    </row>
    <row r="340" spans="1:16" x14ac:dyDescent="0.25">
      <c r="A340" s="37" t="s">
        <v>589</v>
      </c>
      <c r="B340" s="599" t="s">
        <v>701</v>
      </c>
      <c r="C340" s="598"/>
      <c r="D340" s="598"/>
      <c r="E340" s="598"/>
      <c r="G340" s="49"/>
      <c r="H340" s="583">
        <f ca="1">H255</f>
        <v>1.6015352813613433</v>
      </c>
      <c r="I340" s="583">
        <f t="shared" ref="I340:P340" ca="1" si="48">I255</f>
        <v>1.7615623722935023</v>
      </c>
      <c r="J340" s="583">
        <f t="shared" ca="1" si="48"/>
        <v>1.8864568571806342</v>
      </c>
      <c r="K340" s="583">
        <f t="shared" ca="1" si="48"/>
        <v>2.0112976159860652</v>
      </c>
      <c r="L340" s="583">
        <f t="shared" ca="1" si="48"/>
        <v>2.1373022875822842</v>
      </c>
      <c r="M340" s="583">
        <f t="shared" ca="1" si="48"/>
        <v>2.2641744164532556</v>
      </c>
      <c r="N340" s="583">
        <f t="shared" ca="1" si="48"/>
        <v>2.3920189489286297</v>
      </c>
      <c r="O340" s="583">
        <f t="shared" ca="1" si="48"/>
        <v>2.5201334249629914</v>
      </c>
      <c r="P340" s="583">
        <f t="shared" ca="1" si="48"/>
        <v>2.6490580505301256</v>
      </c>
    </row>
    <row r="341" spans="1:16" x14ac:dyDescent="0.25">
      <c r="A341" s="37" t="s">
        <v>590</v>
      </c>
      <c r="B341" s="599" t="s">
        <v>695</v>
      </c>
      <c r="C341" s="598"/>
      <c r="D341" s="598"/>
      <c r="E341" s="598"/>
      <c r="G341" s="49"/>
      <c r="H341" s="583">
        <f ca="1">H242</f>
        <v>2.4619502465753422</v>
      </c>
      <c r="I341" s="583">
        <f t="shared" ref="I341:P341" si="49">I242</f>
        <v>2.7204677260273975</v>
      </c>
      <c r="J341" s="583">
        <f t="shared" si="49"/>
        <v>2.9300764931506853</v>
      </c>
      <c r="K341" s="583">
        <f t="shared" si="49"/>
        <v>3.1396852602739727</v>
      </c>
      <c r="L341" s="583">
        <f t="shared" si="49"/>
        <v>3.3492940273972609</v>
      </c>
      <c r="M341" s="583">
        <f t="shared" si="49"/>
        <v>3.5589027945205483</v>
      </c>
      <c r="N341" s="583">
        <f t="shared" si="49"/>
        <v>3.7685115616438365</v>
      </c>
      <c r="O341" s="583">
        <f t="shared" si="49"/>
        <v>3.9781203287671247</v>
      </c>
      <c r="P341" s="583">
        <f t="shared" si="49"/>
        <v>4.1877290958904121</v>
      </c>
    </row>
    <row r="342" spans="1:16" x14ac:dyDescent="0.25">
      <c r="A342" s="37" t="s">
        <v>601</v>
      </c>
      <c r="B342" s="599" t="s">
        <v>771</v>
      </c>
      <c r="C342" s="598"/>
      <c r="D342" s="598"/>
      <c r="E342" s="598"/>
      <c r="G342" s="49"/>
      <c r="H342" s="583"/>
      <c r="I342" s="583"/>
      <c r="J342" s="583"/>
      <c r="K342" s="583"/>
      <c r="L342" s="583"/>
      <c r="M342" s="583"/>
      <c r="N342" s="583"/>
      <c r="O342" s="583"/>
      <c r="P342" s="583"/>
    </row>
    <row r="343" spans="1:16" x14ac:dyDescent="0.25">
      <c r="A343" s="37" t="s">
        <v>603</v>
      </c>
      <c r="B343" s="599" t="s">
        <v>772</v>
      </c>
      <c r="C343" s="598"/>
      <c r="D343" s="598"/>
      <c r="E343" s="598"/>
      <c r="G343" s="49"/>
      <c r="H343" s="583">
        <f>H261</f>
        <v>3</v>
      </c>
      <c r="I343" s="583">
        <f t="shared" ref="I343:P343" si="50">I261</f>
        <v>5</v>
      </c>
      <c r="J343" s="583">
        <f t="shared" si="50"/>
        <v>6</v>
      </c>
      <c r="K343" s="583">
        <f t="shared" si="50"/>
        <v>7</v>
      </c>
      <c r="L343" s="583">
        <f t="shared" si="50"/>
        <v>8</v>
      </c>
      <c r="M343" s="583">
        <f t="shared" si="50"/>
        <v>8</v>
      </c>
      <c r="N343" s="583">
        <f t="shared" si="50"/>
        <v>8</v>
      </c>
      <c r="O343" s="583">
        <f t="shared" si="50"/>
        <v>5</v>
      </c>
      <c r="P343" s="583">
        <f t="shared" si="50"/>
        <v>6</v>
      </c>
    </row>
    <row r="344" spans="1:16" x14ac:dyDescent="0.25">
      <c r="A344" s="37" t="s">
        <v>605</v>
      </c>
      <c r="B344" s="599" t="s">
        <v>708</v>
      </c>
      <c r="C344" s="598"/>
      <c r="D344" s="598"/>
      <c r="E344" s="598"/>
      <c r="G344" s="49"/>
      <c r="H344" s="583">
        <f ca="1">SUM(H262:H263)</f>
        <v>1.8889852949688599</v>
      </c>
      <c r="I344" s="583">
        <f t="shared" ref="I344:P344" ca="1" si="51">SUM(I262:I263)</f>
        <v>2.2545330749166612</v>
      </c>
      <c r="J344" s="583">
        <f t="shared" ca="1" si="51"/>
        <v>2.6137299123231519</v>
      </c>
      <c r="K344" s="583">
        <f t="shared" ca="1" si="51"/>
        <v>2.9746193042086269</v>
      </c>
      <c r="L344" s="583">
        <f t="shared" ca="1" si="51"/>
        <v>3.3236344524880153</v>
      </c>
      <c r="M344" s="583">
        <f t="shared" ca="1" si="51"/>
        <v>3.6719847194837478</v>
      </c>
      <c r="N344" s="583">
        <f t="shared" ca="1" si="51"/>
        <v>4.0119223286499137</v>
      </c>
      <c r="O344" s="583">
        <f t="shared" ca="1" si="51"/>
        <v>4.3512712857109399</v>
      </c>
      <c r="P344" s="583">
        <f t="shared" ca="1" si="51"/>
        <v>4.676068024387563</v>
      </c>
    </row>
    <row r="345" spans="1:16" x14ac:dyDescent="0.25">
      <c r="A345" s="503"/>
      <c r="B345" s="598" t="s">
        <v>773</v>
      </c>
      <c r="C345" s="598"/>
      <c r="D345" s="598"/>
      <c r="E345" s="598"/>
      <c r="G345" s="88"/>
      <c r="H345" s="87">
        <f ca="1">H238</f>
        <v>0.41949303113803538</v>
      </c>
      <c r="I345" s="87">
        <f t="shared" ref="I345:P345" ca="1" si="52">I238</f>
        <v>1.2190499495024429</v>
      </c>
      <c r="J345" s="87">
        <f t="shared" ca="1" si="52"/>
        <v>1.1975073173740345</v>
      </c>
      <c r="K345" s="87">
        <f t="shared" ca="1" si="52"/>
        <v>1.5357273242683966</v>
      </c>
      <c r="L345" s="87">
        <f t="shared" ca="1" si="52"/>
        <v>0.89512200275991116</v>
      </c>
      <c r="M345" s="87">
        <f t="shared" ca="1" si="52"/>
        <v>1.3005701441000355</v>
      </c>
      <c r="N345" s="87">
        <f t="shared" ca="1" si="52"/>
        <v>0.78490842017898732</v>
      </c>
      <c r="O345" s="87">
        <f t="shared" ca="1" si="52"/>
        <v>1.7159509516073905</v>
      </c>
      <c r="P345" s="87">
        <f t="shared" ca="1" si="52"/>
        <v>1.0439429823450412</v>
      </c>
    </row>
    <row r="346" spans="1:16" x14ac:dyDescent="0.25">
      <c r="A346" s="37" t="s">
        <v>607</v>
      </c>
      <c r="B346" s="611" t="s">
        <v>266</v>
      </c>
      <c r="C346" s="598"/>
      <c r="D346" s="598"/>
      <c r="E346" s="598"/>
      <c r="G346" s="49"/>
      <c r="H346" s="50">
        <f ca="1">SUM(H334:H345)</f>
        <v>12.47225966432026</v>
      </c>
      <c r="I346" s="50">
        <f t="shared" ref="I346:P346" ca="1" si="53">SUM(I334:I345)</f>
        <v>16.315100250539743</v>
      </c>
      <c r="J346" s="50">
        <f t="shared" ca="1" si="53"/>
        <v>18.236449025351298</v>
      </c>
      <c r="K346" s="50">
        <f t="shared" ca="1" si="53"/>
        <v>20.529199267582911</v>
      </c>
      <c r="L346" s="50">
        <f t="shared" ca="1" si="53"/>
        <v>21.832413850596382</v>
      </c>
      <c r="M346" s="50">
        <f t="shared" ca="1" si="53"/>
        <v>23.18188447244955</v>
      </c>
      <c r="N346" s="50">
        <f t="shared" ca="1" si="53"/>
        <v>23.592804974816385</v>
      </c>
      <c r="O346" s="50">
        <f t="shared" ca="1" si="53"/>
        <v>22.460111023986524</v>
      </c>
      <c r="P346" s="50">
        <f t="shared" ca="1" si="53"/>
        <v>23.710624503614273</v>
      </c>
    </row>
    <row r="347" spans="1:16" x14ac:dyDescent="0.25">
      <c r="A347" s="505" t="s">
        <v>774</v>
      </c>
      <c r="B347" s="598"/>
      <c r="C347" s="598"/>
      <c r="D347" s="598"/>
      <c r="E347" s="598"/>
      <c r="G347" s="49"/>
      <c r="H347" s="583"/>
      <c r="I347" s="35"/>
      <c r="J347" s="38"/>
      <c r="K347" s="38"/>
      <c r="L347" s="37"/>
      <c r="M347" s="38"/>
      <c r="N347" s="38"/>
      <c r="O347" s="38"/>
      <c r="P347" s="38"/>
    </row>
    <row r="348" spans="1:16" x14ac:dyDescent="0.25">
      <c r="A348" s="503"/>
      <c r="B348" s="599" t="s">
        <v>775</v>
      </c>
      <c r="C348" s="598"/>
      <c r="D348" s="598"/>
      <c r="E348" s="598"/>
      <c r="G348" s="49"/>
      <c r="H348" s="583"/>
      <c r="I348" s="35"/>
      <c r="J348" s="38"/>
      <c r="K348" s="38"/>
      <c r="L348" s="37"/>
      <c r="M348" s="38"/>
      <c r="N348" s="38"/>
      <c r="O348" s="38"/>
      <c r="P348" s="38"/>
    </row>
    <row r="349" spans="1:16" x14ac:dyDescent="0.25">
      <c r="A349" s="37" t="s">
        <v>608</v>
      </c>
      <c r="B349" s="599" t="s">
        <v>776</v>
      </c>
      <c r="C349" s="598"/>
      <c r="D349" s="598"/>
      <c r="E349" s="598"/>
      <c r="G349" s="49"/>
      <c r="H349" s="583"/>
      <c r="I349" s="35"/>
      <c r="J349" s="38"/>
      <c r="K349" s="38"/>
      <c r="L349" s="37"/>
      <c r="M349" s="38"/>
      <c r="N349" s="38"/>
      <c r="O349" s="38"/>
      <c r="P349" s="38"/>
    </row>
    <row r="350" spans="1:16" x14ac:dyDescent="0.25">
      <c r="A350" s="503"/>
      <c r="B350" s="599" t="s">
        <v>777</v>
      </c>
      <c r="C350" s="598"/>
      <c r="D350" s="598"/>
      <c r="E350" s="598"/>
      <c r="G350" s="49"/>
      <c r="H350" s="583">
        <f>H155</f>
        <v>3.9468504672694786</v>
      </c>
      <c r="I350" s="583">
        <f t="shared" ref="I350:P350" si="54">I155</f>
        <v>4.1250535325861364</v>
      </c>
      <c r="J350" s="583">
        <f t="shared" si="54"/>
        <v>4.4413993098344982</v>
      </c>
      <c r="K350" s="583">
        <f t="shared" si="54"/>
        <v>4.7577450870828599</v>
      </c>
      <c r="L350" s="583">
        <f t="shared" si="54"/>
        <v>5.0740908643312217</v>
      </c>
      <c r="M350" s="583">
        <f t="shared" si="54"/>
        <v>5.3904366415795844</v>
      </c>
      <c r="N350" s="583">
        <f t="shared" si="54"/>
        <v>5.706782418827947</v>
      </c>
      <c r="O350" s="583">
        <f t="shared" si="54"/>
        <v>6.0231281960763106</v>
      </c>
      <c r="P350" s="583">
        <f t="shared" si="54"/>
        <v>6.3394739733246723</v>
      </c>
    </row>
    <row r="351" spans="1:16" x14ac:dyDescent="0.25">
      <c r="A351" s="37" t="s">
        <v>610</v>
      </c>
      <c r="B351" s="599" t="s">
        <v>778</v>
      </c>
      <c r="C351" s="598"/>
      <c r="D351" s="598"/>
      <c r="E351" s="598"/>
      <c r="G351" s="49"/>
      <c r="H351" s="583">
        <f>H157</f>
        <v>0</v>
      </c>
      <c r="I351" s="583">
        <f t="shared" ref="I351:P351" si="55">I157</f>
        <v>0</v>
      </c>
      <c r="J351" s="583">
        <f t="shared" si="55"/>
        <v>0</v>
      </c>
      <c r="K351" s="583">
        <f t="shared" si="55"/>
        <v>0</v>
      </c>
      <c r="L351" s="583">
        <f t="shared" si="55"/>
        <v>0</v>
      </c>
      <c r="M351" s="583">
        <f t="shared" si="55"/>
        <v>0</v>
      </c>
      <c r="N351" s="583">
        <f t="shared" si="55"/>
        <v>0</v>
      </c>
      <c r="O351" s="583">
        <f t="shared" si="55"/>
        <v>0</v>
      </c>
      <c r="P351" s="583">
        <f t="shared" si="55"/>
        <v>0</v>
      </c>
    </row>
    <row r="352" spans="1:16" x14ac:dyDescent="0.25">
      <c r="A352" s="37" t="s">
        <v>618</v>
      </c>
      <c r="B352" s="599" t="s">
        <v>779</v>
      </c>
      <c r="C352" s="598"/>
      <c r="D352" s="598"/>
      <c r="E352" s="598"/>
      <c r="G352" s="49"/>
      <c r="H352" s="583">
        <f ca="1">H159</f>
        <v>0.28432129496886005</v>
      </c>
      <c r="I352" s="583">
        <f t="shared" ref="I352:P352" ca="1" si="56">I159</f>
        <v>0.48137107491666109</v>
      </c>
      <c r="J352" s="583">
        <f t="shared" ca="1" si="56"/>
        <v>0.70394791232315168</v>
      </c>
      <c r="K352" s="583">
        <f t="shared" ca="1" si="56"/>
        <v>0.9282173042086268</v>
      </c>
      <c r="L352" s="583">
        <f t="shared" ca="1" si="56"/>
        <v>1.1406124524880144</v>
      </c>
      <c r="M352" s="583">
        <f t="shared" ca="1" si="56"/>
        <v>1.3523427194837474</v>
      </c>
      <c r="N352" s="583">
        <f t="shared" ca="1" si="56"/>
        <v>1.5556603286499131</v>
      </c>
      <c r="O352" s="583">
        <f t="shared" ca="1" si="56"/>
        <v>1.7583892857109396</v>
      </c>
      <c r="P352" s="583">
        <f t="shared" ca="1" si="56"/>
        <v>1.9465660243875629</v>
      </c>
    </row>
    <row r="353" spans="1:16" x14ac:dyDescent="0.25">
      <c r="A353" s="37" t="s">
        <v>620</v>
      </c>
      <c r="B353" s="599" t="s">
        <v>780</v>
      </c>
      <c r="C353" s="598"/>
      <c r="D353" s="598"/>
      <c r="E353" s="598"/>
      <c r="G353" s="49"/>
      <c r="H353" s="583">
        <f ca="1">H165</f>
        <v>1.5100189795692667</v>
      </c>
      <c r="I353" s="583">
        <f t="shared" ref="I353:P353" ca="1" si="57">I165</f>
        <v>1.6609016653053021</v>
      </c>
      <c r="J353" s="583">
        <f t="shared" ca="1" si="57"/>
        <v>1.7786593224845979</v>
      </c>
      <c r="K353" s="583">
        <f t="shared" ca="1" si="57"/>
        <v>1.8963663236440045</v>
      </c>
      <c r="L353" s="583">
        <f t="shared" ca="1" si="57"/>
        <v>2.0151707282918681</v>
      </c>
      <c r="M353" s="583">
        <f t="shared" ca="1" si="57"/>
        <v>2.1347930212273556</v>
      </c>
      <c r="N353" s="583">
        <f t="shared" ca="1" si="57"/>
        <v>2.2553321518469938</v>
      </c>
      <c r="O353" s="583">
        <f t="shared" ca="1" si="57"/>
        <v>2.3761258006793922</v>
      </c>
      <c r="P353" s="583">
        <f t="shared" ca="1" si="57"/>
        <v>2.4976833047855469</v>
      </c>
    </row>
    <row r="354" spans="1:16" x14ac:dyDescent="0.25">
      <c r="A354" s="503"/>
      <c r="B354" s="599" t="s">
        <v>781</v>
      </c>
      <c r="C354" s="598"/>
      <c r="D354" s="598"/>
      <c r="E354" s="598"/>
      <c r="G354" s="49"/>
      <c r="H354" s="583"/>
      <c r="I354" s="35"/>
      <c r="J354" s="38"/>
      <c r="K354" s="38"/>
      <c r="L354" s="37"/>
      <c r="M354" s="38"/>
      <c r="N354" s="38"/>
      <c r="O354" s="38"/>
      <c r="P354" s="38"/>
    </row>
    <row r="355" spans="1:16" x14ac:dyDescent="0.25">
      <c r="A355" s="503"/>
      <c r="B355" s="599" t="s">
        <v>782</v>
      </c>
      <c r="C355" s="598"/>
      <c r="D355" s="598"/>
      <c r="E355" s="598"/>
      <c r="G355" s="49"/>
      <c r="H355" s="43">
        <f>H163</f>
        <v>0.72</v>
      </c>
      <c r="I355" s="43">
        <f t="shared" ref="I355:P355" si="58">I163</f>
        <v>1.08</v>
      </c>
      <c r="J355" s="43">
        <f t="shared" si="58"/>
        <v>1.08</v>
      </c>
      <c r="K355" s="43">
        <f t="shared" si="58"/>
        <v>1.44</v>
      </c>
      <c r="L355" s="43">
        <f t="shared" si="58"/>
        <v>1.7999999999999998</v>
      </c>
      <c r="M355" s="43">
        <f t="shared" si="58"/>
        <v>2.16</v>
      </c>
      <c r="N355" s="43">
        <f t="shared" si="58"/>
        <v>2.16</v>
      </c>
      <c r="O355" s="43">
        <f t="shared" si="58"/>
        <v>1.2000000000000002</v>
      </c>
      <c r="P355" s="43">
        <f t="shared" si="58"/>
        <v>0</v>
      </c>
    </row>
    <row r="356" spans="1:16" x14ac:dyDescent="0.25">
      <c r="A356" s="470" t="s">
        <v>622</v>
      </c>
      <c r="B356" s="61" t="s">
        <v>783</v>
      </c>
      <c r="C356" s="42"/>
      <c r="D356" s="42"/>
      <c r="E356" s="42"/>
      <c r="F356" s="19"/>
      <c r="G356" s="63"/>
      <c r="H356" s="50">
        <f ca="1">SUM(H350:H355)</f>
        <v>6.4611907418076049</v>
      </c>
      <c r="I356" s="50">
        <f t="shared" ref="I356:P356" ca="1" si="59">SUM(I350:I355)</f>
        <v>7.3473262728080995</v>
      </c>
      <c r="J356" s="50">
        <f t="shared" ca="1" si="59"/>
        <v>8.0040065446422481</v>
      </c>
      <c r="K356" s="50">
        <f t="shared" ca="1" si="59"/>
        <v>9.0223287149354903</v>
      </c>
      <c r="L356" s="50">
        <f t="shared" ca="1" si="59"/>
        <v>10.029874045111104</v>
      </c>
      <c r="M356" s="50">
        <f t="shared" ca="1" si="59"/>
        <v>11.037572382290687</v>
      </c>
      <c r="N356" s="50">
        <f t="shared" ca="1" si="59"/>
        <v>11.677774899324854</v>
      </c>
      <c r="O356" s="50">
        <f t="shared" ca="1" si="59"/>
        <v>11.357643282466643</v>
      </c>
      <c r="P356" s="50">
        <f t="shared" ca="1" si="59"/>
        <v>10.783723302497782</v>
      </c>
    </row>
    <row r="357" spans="1:16" x14ac:dyDescent="0.25">
      <c r="A357" s="473"/>
      <c r="B357" s="58"/>
      <c r="C357" s="59"/>
      <c r="D357" s="59"/>
      <c r="E357" s="59"/>
      <c r="F357" s="12"/>
      <c r="G357" s="49"/>
      <c r="H357" s="53"/>
      <c r="I357" s="33"/>
      <c r="J357" s="31"/>
      <c r="K357" s="31"/>
      <c r="L357" s="36"/>
      <c r="M357" s="31"/>
      <c r="N357" s="31"/>
      <c r="O357" s="31"/>
      <c r="P357" s="31"/>
    </row>
    <row r="358" spans="1:16" x14ac:dyDescent="0.25">
      <c r="A358" s="505" t="s">
        <v>125</v>
      </c>
      <c r="B358" s="606"/>
      <c r="C358" s="598"/>
      <c r="D358" s="598"/>
      <c r="E358" s="598"/>
      <c r="G358" s="49"/>
      <c r="H358" s="49">
        <f ca="1">H346-H356</f>
        <v>6.0110689225126555</v>
      </c>
      <c r="I358" s="49">
        <f t="shared" ref="I358:P358" ca="1" si="60">I346-I356</f>
        <v>8.9677739777316425</v>
      </c>
      <c r="J358" s="49">
        <f t="shared" ca="1" si="60"/>
        <v>10.23244248070905</v>
      </c>
      <c r="K358" s="49">
        <f t="shared" ca="1" si="60"/>
        <v>11.50687055264742</v>
      </c>
      <c r="L358" s="49">
        <f t="shared" ca="1" si="60"/>
        <v>11.802539805485278</v>
      </c>
      <c r="M358" s="49">
        <f t="shared" ca="1" si="60"/>
        <v>12.144312090158863</v>
      </c>
      <c r="N358" s="49">
        <f t="shared" ca="1" si="60"/>
        <v>11.915030075491531</v>
      </c>
      <c r="O358" s="49">
        <f t="shared" ca="1" si="60"/>
        <v>11.102467741519881</v>
      </c>
      <c r="P358" s="49">
        <f t="shared" ca="1" si="60"/>
        <v>12.926901201116491</v>
      </c>
    </row>
    <row r="359" spans="1:16" x14ac:dyDescent="0.25">
      <c r="A359" s="505" t="s">
        <v>127</v>
      </c>
      <c r="B359" s="606"/>
      <c r="C359" s="598"/>
      <c r="D359" s="598"/>
      <c r="E359" s="598"/>
      <c r="G359" s="49"/>
      <c r="H359" s="49">
        <f>H149</f>
        <v>2</v>
      </c>
      <c r="I359" s="49">
        <f t="shared" ref="I359:P359" si="61">I149</f>
        <v>2</v>
      </c>
      <c r="J359" s="49">
        <f t="shared" si="61"/>
        <v>2</v>
      </c>
      <c r="K359" s="49">
        <f t="shared" si="61"/>
        <v>2</v>
      </c>
      <c r="L359" s="49">
        <f t="shared" si="61"/>
        <v>2</v>
      </c>
      <c r="M359" s="49">
        <f t="shared" si="61"/>
        <v>2</v>
      </c>
      <c r="N359" s="49">
        <f t="shared" si="61"/>
        <v>2</v>
      </c>
      <c r="O359" s="49">
        <f t="shared" si="61"/>
        <v>2</v>
      </c>
      <c r="P359" s="49">
        <f t="shared" si="61"/>
        <v>2</v>
      </c>
    </row>
    <row r="360" spans="1:16" x14ac:dyDescent="0.25">
      <c r="A360" s="505" t="s">
        <v>128</v>
      </c>
      <c r="B360" s="606"/>
      <c r="C360" s="598"/>
      <c r="D360" s="598"/>
      <c r="E360" s="598"/>
      <c r="G360" s="49"/>
      <c r="H360" s="49">
        <f ca="1">H356+H359</f>
        <v>8.4611907418076058</v>
      </c>
      <c r="I360" s="49">
        <f t="shared" ref="I360:P360" ca="1" si="62">I356+I359</f>
        <v>9.3473262728081004</v>
      </c>
      <c r="J360" s="49">
        <f t="shared" ca="1" si="62"/>
        <v>10.004006544642248</v>
      </c>
      <c r="K360" s="49">
        <f t="shared" ca="1" si="62"/>
        <v>11.02232871493549</v>
      </c>
      <c r="L360" s="49">
        <f t="shared" ca="1" si="62"/>
        <v>12.029874045111104</v>
      </c>
      <c r="M360" s="49">
        <f t="shared" ca="1" si="62"/>
        <v>13.037572382290687</v>
      </c>
      <c r="N360" s="49">
        <f t="shared" ca="1" si="62"/>
        <v>13.677774899324854</v>
      </c>
      <c r="O360" s="49">
        <f t="shared" ca="1" si="62"/>
        <v>13.357643282466643</v>
      </c>
      <c r="P360" s="49">
        <f t="shared" ca="1" si="62"/>
        <v>12.783723302497782</v>
      </c>
    </row>
    <row r="361" spans="1:16" x14ac:dyDescent="0.25">
      <c r="A361" s="505" t="s">
        <v>129</v>
      </c>
      <c r="B361" s="606"/>
      <c r="C361" s="598"/>
      <c r="D361" s="598"/>
      <c r="E361" s="598"/>
      <c r="G361" s="49"/>
      <c r="H361" s="49">
        <f ca="1">H346-H360</f>
        <v>4.0110689225126546</v>
      </c>
      <c r="I361" s="49">
        <f t="shared" ref="I361:P361" ca="1" si="63">I346-I360</f>
        <v>6.9677739777316425</v>
      </c>
      <c r="J361" s="49">
        <f t="shared" ca="1" si="63"/>
        <v>8.2324424807090502</v>
      </c>
      <c r="K361" s="49">
        <f t="shared" ca="1" si="63"/>
        <v>9.5068705526474204</v>
      </c>
      <c r="L361" s="49">
        <f t="shared" ca="1" si="63"/>
        <v>9.8025398054852779</v>
      </c>
      <c r="M361" s="49">
        <f t="shared" ca="1" si="63"/>
        <v>10.144312090158863</v>
      </c>
      <c r="N361" s="49">
        <f t="shared" ca="1" si="63"/>
        <v>9.915030075491531</v>
      </c>
      <c r="O361" s="49">
        <f t="shared" ca="1" si="63"/>
        <v>9.1024677415198809</v>
      </c>
      <c r="P361" s="49">
        <f t="shared" ca="1" si="63"/>
        <v>10.926901201116491</v>
      </c>
    </row>
    <row r="362" spans="1:16" x14ac:dyDescent="0.25">
      <c r="A362" s="510"/>
      <c r="B362" s="61"/>
      <c r="C362" s="42"/>
      <c r="D362" s="42"/>
      <c r="E362" s="42"/>
      <c r="F362" s="19"/>
      <c r="G362" s="63"/>
      <c r="H362" s="63"/>
      <c r="I362" s="40"/>
      <c r="J362" s="40"/>
      <c r="K362" s="40"/>
      <c r="L362" s="39"/>
      <c r="M362" s="40"/>
      <c r="N362" s="40"/>
      <c r="O362" s="40"/>
      <c r="P362" s="40"/>
    </row>
    <row r="363" spans="1:16" x14ac:dyDescent="0.25">
      <c r="A363" s="37"/>
      <c r="B363" s="599"/>
      <c r="C363" s="598"/>
      <c r="D363" s="598"/>
      <c r="E363" s="598"/>
      <c r="G363" s="583"/>
      <c r="H363" s="583"/>
      <c r="I363" s="583"/>
      <c r="J363" s="584"/>
      <c r="K363" s="584"/>
      <c r="L363" s="584"/>
      <c r="M363" s="584"/>
      <c r="P363" s="17"/>
    </row>
    <row r="364" spans="1:16" x14ac:dyDescent="0.25">
      <c r="A364" s="37"/>
      <c r="B364" s="599"/>
      <c r="C364" s="598"/>
      <c r="D364" s="598"/>
      <c r="E364" s="598"/>
      <c r="G364" s="583"/>
      <c r="H364" s="583"/>
      <c r="I364" s="583"/>
      <c r="J364" s="584"/>
      <c r="K364" s="584"/>
      <c r="L364" s="584"/>
      <c r="M364" s="584"/>
      <c r="P364" s="17"/>
    </row>
    <row r="365" spans="1:16" x14ac:dyDescent="0.25">
      <c r="A365" s="37"/>
      <c r="B365" s="599"/>
      <c r="C365" s="598"/>
      <c r="D365" s="598"/>
      <c r="E365" s="598"/>
      <c r="G365" s="583"/>
      <c r="H365" s="583"/>
      <c r="I365" s="583"/>
      <c r="J365" s="584"/>
      <c r="K365" s="584"/>
      <c r="L365" s="584"/>
      <c r="M365" s="584"/>
      <c r="P365" s="17"/>
    </row>
    <row r="366" spans="1:16" x14ac:dyDescent="0.25">
      <c r="A366" s="37"/>
      <c r="B366" s="599"/>
      <c r="C366" s="598"/>
      <c r="D366" s="598"/>
      <c r="E366" s="598"/>
      <c r="G366" s="583"/>
      <c r="H366" s="583"/>
      <c r="I366" s="583"/>
      <c r="J366" s="584"/>
      <c r="K366" s="584"/>
      <c r="L366" s="584"/>
      <c r="M366" s="584"/>
      <c r="P366" s="17"/>
    </row>
    <row r="367" spans="1:16" x14ac:dyDescent="0.25">
      <c r="A367" s="37"/>
      <c r="B367" s="599"/>
      <c r="C367" s="598"/>
      <c r="D367" s="598"/>
      <c r="E367" s="598"/>
      <c r="G367" s="583"/>
      <c r="H367" s="583"/>
      <c r="I367" s="583"/>
      <c r="J367" s="584"/>
      <c r="K367" s="584"/>
      <c r="L367" s="584"/>
      <c r="M367" s="584"/>
      <c r="P367" s="17"/>
    </row>
    <row r="368" spans="1:16" x14ac:dyDescent="0.25">
      <c r="A368" s="470"/>
      <c r="B368" s="41"/>
      <c r="C368" s="42"/>
      <c r="D368" s="42"/>
      <c r="E368" s="42"/>
      <c r="F368" s="19"/>
      <c r="G368" s="43"/>
      <c r="H368" s="43"/>
      <c r="I368" s="43"/>
      <c r="J368" s="47"/>
      <c r="K368" s="47"/>
      <c r="L368" s="47"/>
      <c r="M368" s="47"/>
      <c r="N368" s="19"/>
      <c r="O368" s="19"/>
      <c r="P368" s="22"/>
    </row>
    <row r="369" spans="1:16" x14ac:dyDescent="0.25">
      <c r="A369" s="789" t="s">
        <v>843</v>
      </c>
      <c r="B369" s="790"/>
      <c r="C369" s="790"/>
      <c r="D369" s="790"/>
      <c r="E369" s="790"/>
      <c r="F369" s="790"/>
      <c r="G369" s="790"/>
      <c r="H369" s="790"/>
      <c r="I369" s="790"/>
      <c r="J369" s="790"/>
      <c r="K369" s="790"/>
      <c r="L369" s="790"/>
      <c r="M369" s="790"/>
      <c r="N369" s="790"/>
      <c r="O369" s="790"/>
      <c r="P369" s="791"/>
    </row>
    <row r="370" spans="1:16" x14ac:dyDescent="0.25">
      <c r="A370" s="792" t="s">
        <v>1139</v>
      </c>
      <c r="B370" s="793"/>
      <c r="C370" s="793"/>
      <c r="D370" s="793"/>
      <c r="E370" s="793"/>
      <c r="F370" s="793"/>
      <c r="G370" s="793"/>
      <c r="H370" s="793"/>
      <c r="I370" s="793"/>
      <c r="J370" s="793"/>
      <c r="K370" s="793"/>
      <c r="L370" s="793"/>
      <c r="M370" s="793"/>
      <c r="N370" s="793"/>
      <c r="O370" s="793"/>
      <c r="P370" s="794"/>
    </row>
    <row r="371" spans="1:16" x14ac:dyDescent="0.25">
      <c r="A371" s="825" t="s">
        <v>202</v>
      </c>
      <c r="B371" s="826"/>
      <c r="C371" s="826"/>
      <c r="D371" s="826"/>
      <c r="E371" s="826"/>
      <c r="F371" s="826"/>
      <c r="G371" s="826"/>
      <c r="H371" s="826"/>
      <c r="I371" s="826"/>
      <c r="J371" s="826"/>
      <c r="K371" s="826"/>
      <c r="L371" s="826"/>
      <c r="M371" s="826"/>
      <c r="N371" s="826"/>
      <c r="O371" s="826"/>
      <c r="P371" s="827"/>
    </row>
    <row r="372" spans="1:16" x14ac:dyDescent="0.25">
      <c r="A372" s="825" t="s">
        <v>197</v>
      </c>
      <c r="B372" s="826"/>
      <c r="C372" s="826"/>
      <c r="D372" s="826"/>
      <c r="E372" s="826"/>
      <c r="F372" s="826"/>
      <c r="G372" s="826"/>
      <c r="H372" s="826"/>
      <c r="I372" s="826"/>
      <c r="J372" s="826"/>
      <c r="K372" s="826"/>
      <c r="L372" s="826"/>
      <c r="M372" s="826"/>
      <c r="N372" s="826"/>
      <c r="O372" s="826"/>
      <c r="P372" s="827"/>
    </row>
    <row r="373" spans="1:16" x14ac:dyDescent="0.25">
      <c r="A373" s="834" t="s">
        <v>443</v>
      </c>
      <c r="B373" s="835"/>
      <c r="C373" s="835"/>
      <c r="D373" s="835"/>
      <c r="E373" s="835"/>
      <c r="F373" s="835"/>
      <c r="G373" s="836"/>
      <c r="H373" s="136">
        <v>1</v>
      </c>
      <c r="I373" s="136">
        <v>2</v>
      </c>
      <c r="J373" s="136">
        <v>3</v>
      </c>
      <c r="K373" s="136">
        <v>4</v>
      </c>
      <c r="L373" s="136">
        <v>5</v>
      </c>
      <c r="M373" s="136">
        <v>6</v>
      </c>
      <c r="N373" s="136">
        <v>7</v>
      </c>
      <c r="O373" s="136">
        <v>8</v>
      </c>
      <c r="P373" s="136">
        <v>9</v>
      </c>
    </row>
    <row r="374" spans="1:16" x14ac:dyDescent="0.25">
      <c r="A374" s="834" t="s">
        <v>582</v>
      </c>
      <c r="B374" s="835"/>
      <c r="C374" s="835"/>
      <c r="D374" s="835"/>
      <c r="E374" s="835"/>
      <c r="F374" s="835"/>
      <c r="G374" s="836"/>
      <c r="H374" s="136">
        <v>2024</v>
      </c>
      <c r="I374" s="136">
        <v>2025</v>
      </c>
      <c r="J374" s="136">
        <v>2026</v>
      </c>
      <c r="K374" s="136">
        <v>2027</v>
      </c>
      <c r="L374" s="136">
        <v>2028</v>
      </c>
      <c r="M374" s="136">
        <v>2029</v>
      </c>
      <c r="N374" s="136">
        <v>2030</v>
      </c>
      <c r="O374" s="136">
        <v>2031</v>
      </c>
      <c r="P374" s="136">
        <v>2032</v>
      </c>
    </row>
    <row r="375" spans="1:16" x14ac:dyDescent="0.25">
      <c r="A375" s="37"/>
      <c r="B375" s="599"/>
      <c r="C375" s="598"/>
      <c r="D375" s="598"/>
      <c r="E375" s="598"/>
      <c r="G375" s="49"/>
      <c r="H375" s="52"/>
      <c r="I375" s="36"/>
      <c r="J375" s="36"/>
      <c r="K375" s="36"/>
      <c r="L375" s="36"/>
      <c r="M375" s="31"/>
      <c r="N375" s="31"/>
      <c r="O375" s="31"/>
      <c r="P375" s="31"/>
    </row>
    <row r="376" spans="1:16" x14ac:dyDescent="0.25">
      <c r="A376" s="37" t="s">
        <v>584</v>
      </c>
      <c r="B376" s="599" t="s">
        <v>173</v>
      </c>
      <c r="C376" s="598"/>
      <c r="D376" s="598"/>
      <c r="E376" s="598"/>
      <c r="G376" s="49"/>
      <c r="H376" s="583">
        <f ca="1">H358</f>
        <v>6.0110689225126555</v>
      </c>
      <c r="I376" s="583">
        <f t="shared" ref="I376:P376" ca="1" si="64">I358</f>
        <v>8.9677739777316425</v>
      </c>
      <c r="J376" s="583">
        <f t="shared" ca="1" si="64"/>
        <v>10.23244248070905</v>
      </c>
      <c r="K376" s="583">
        <f t="shared" ca="1" si="64"/>
        <v>11.50687055264742</v>
      </c>
      <c r="L376" s="583">
        <f t="shared" ca="1" si="64"/>
        <v>11.802539805485278</v>
      </c>
      <c r="M376" s="583">
        <f t="shared" ca="1" si="64"/>
        <v>12.144312090158863</v>
      </c>
      <c r="N376" s="583">
        <f t="shared" ca="1" si="64"/>
        <v>11.915030075491531</v>
      </c>
      <c r="O376" s="583">
        <f t="shared" ca="1" si="64"/>
        <v>11.102467741519881</v>
      </c>
      <c r="P376" s="583">
        <f t="shared" ca="1" si="64"/>
        <v>12.926901201116491</v>
      </c>
    </row>
    <row r="377" spans="1:16" x14ac:dyDescent="0.25">
      <c r="A377" s="503"/>
      <c r="B377" s="598" t="s">
        <v>174</v>
      </c>
      <c r="C377" s="598"/>
      <c r="D377" s="598"/>
      <c r="E377" s="598"/>
      <c r="G377" s="49"/>
      <c r="H377" s="583"/>
      <c r="I377" s="583"/>
      <c r="J377" s="583"/>
      <c r="K377" s="583"/>
      <c r="L377" s="583"/>
      <c r="M377" s="583"/>
      <c r="N377" s="583"/>
      <c r="O377" s="583"/>
      <c r="P377" s="583"/>
    </row>
    <row r="378" spans="1:16" x14ac:dyDescent="0.25">
      <c r="A378" s="37" t="s">
        <v>586</v>
      </c>
      <c r="B378" s="599" t="s">
        <v>784</v>
      </c>
      <c r="C378" s="598"/>
      <c r="D378" s="598"/>
      <c r="E378" s="598"/>
      <c r="G378" s="49"/>
      <c r="H378" s="583">
        <f ca="1">H376*25%</f>
        <v>1.5027672306281639</v>
      </c>
      <c r="I378" s="583">
        <f t="shared" ref="I378:P378" ca="1" si="65">I376*25%</f>
        <v>2.2419434944329106</v>
      </c>
      <c r="J378" s="583">
        <f t="shared" ca="1" si="65"/>
        <v>2.5581106201772625</v>
      </c>
      <c r="K378" s="583">
        <f t="shared" ca="1" si="65"/>
        <v>2.8767176381618551</v>
      </c>
      <c r="L378" s="583">
        <f t="shared" ca="1" si="65"/>
        <v>2.9506349513713195</v>
      </c>
      <c r="M378" s="583">
        <f t="shared" ca="1" si="65"/>
        <v>3.0360780225397157</v>
      </c>
      <c r="N378" s="583">
        <f t="shared" ca="1" si="65"/>
        <v>2.9787575188728828</v>
      </c>
      <c r="O378" s="583">
        <f t="shared" ca="1" si="65"/>
        <v>2.7756169353799702</v>
      </c>
      <c r="P378" s="583">
        <f t="shared" ca="1" si="65"/>
        <v>3.2317253002791229</v>
      </c>
    </row>
    <row r="379" spans="1:16" x14ac:dyDescent="0.25">
      <c r="A379" s="503"/>
      <c r="B379" s="599" t="s">
        <v>164</v>
      </c>
      <c r="C379" s="598"/>
      <c r="D379" s="598"/>
      <c r="E379" s="598"/>
      <c r="G379" s="17"/>
    </row>
    <row r="380" spans="1:16" x14ac:dyDescent="0.25">
      <c r="A380" s="37" t="s">
        <v>587</v>
      </c>
      <c r="B380" s="599" t="s">
        <v>785</v>
      </c>
      <c r="C380" s="598"/>
      <c r="D380" s="598"/>
      <c r="E380" s="598"/>
      <c r="G380" s="49"/>
      <c r="H380" s="583">
        <f ca="1">H361</f>
        <v>4.0110689225126546</v>
      </c>
      <c r="I380" s="583">
        <f t="shared" ref="I380:P380" ca="1" si="66">I361</f>
        <v>6.9677739777316425</v>
      </c>
      <c r="J380" s="583">
        <f t="shared" ca="1" si="66"/>
        <v>8.2324424807090502</v>
      </c>
      <c r="K380" s="583">
        <f t="shared" ca="1" si="66"/>
        <v>9.5068705526474204</v>
      </c>
      <c r="L380" s="583">
        <f t="shared" ca="1" si="66"/>
        <v>9.8025398054852779</v>
      </c>
      <c r="M380" s="583">
        <f t="shared" ca="1" si="66"/>
        <v>10.144312090158863</v>
      </c>
      <c r="N380" s="583">
        <f t="shared" ca="1" si="66"/>
        <v>9.915030075491531</v>
      </c>
      <c r="O380" s="583">
        <f t="shared" ca="1" si="66"/>
        <v>9.1024677415198809</v>
      </c>
      <c r="P380" s="583">
        <f t="shared" ca="1" si="66"/>
        <v>10.926901201116491</v>
      </c>
    </row>
    <row r="381" spans="1:16" x14ac:dyDescent="0.25">
      <c r="A381" s="503"/>
      <c r="B381" s="599" t="s">
        <v>170</v>
      </c>
      <c r="C381" s="598"/>
      <c r="D381" s="598"/>
      <c r="E381" s="598"/>
      <c r="G381" s="49"/>
      <c r="H381" s="583"/>
      <c r="I381" s="35"/>
      <c r="J381" s="35"/>
      <c r="K381" s="35"/>
      <c r="L381" s="35"/>
      <c r="M381" s="33"/>
      <c r="N381" s="33"/>
      <c r="O381" s="33"/>
      <c r="P381" s="33"/>
    </row>
    <row r="382" spans="1:16" x14ac:dyDescent="0.25">
      <c r="A382" s="37" t="s">
        <v>589</v>
      </c>
      <c r="B382" s="599" t="s">
        <v>165</v>
      </c>
      <c r="C382" s="598"/>
      <c r="D382" s="598"/>
      <c r="E382" s="598"/>
      <c r="G382" s="49"/>
      <c r="H382" s="583">
        <f ca="1">H376-H378</f>
        <v>4.5083016918844914</v>
      </c>
      <c r="I382" s="583">
        <f t="shared" ref="I382:P382" ca="1" si="67">I376-I378</f>
        <v>6.7258304832987319</v>
      </c>
      <c r="J382" s="583">
        <f t="shared" ca="1" si="67"/>
        <v>7.6743318605317876</v>
      </c>
      <c r="K382" s="583">
        <f t="shared" ca="1" si="67"/>
        <v>8.6301529144855653</v>
      </c>
      <c r="L382" s="583">
        <f t="shared" ca="1" si="67"/>
        <v>8.8519048541139576</v>
      </c>
      <c r="M382" s="583">
        <f t="shared" ca="1" si="67"/>
        <v>9.1082340676191471</v>
      </c>
      <c r="N382" s="583">
        <f t="shared" ca="1" si="67"/>
        <v>8.9362725566186487</v>
      </c>
      <c r="O382" s="583">
        <f t="shared" ca="1" si="67"/>
        <v>8.3268508061399107</v>
      </c>
      <c r="P382" s="583">
        <f t="shared" ca="1" si="67"/>
        <v>9.6951759008373681</v>
      </c>
    </row>
    <row r="383" spans="1:16" x14ac:dyDescent="0.25">
      <c r="A383" s="503"/>
      <c r="C383" s="598"/>
      <c r="D383" s="598"/>
      <c r="E383" s="598"/>
      <c r="G383" s="49"/>
      <c r="H383" s="583"/>
      <c r="I383" s="35"/>
      <c r="J383" s="35"/>
      <c r="K383" s="35"/>
      <c r="L383" s="35"/>
      <c r="M383" s="33"/>
      <c r="N383" s="33"/>
      <c r="O383" s="33"/>
      <c r="P383" s="33"/>
    </row>
    <row r="384" spans="1:16" x14ac:dyDescent="0.25">
      <c r="A384" s="37" t="s">
        <v>590</v>
      </c>
      <c r="B384" s="599" t="s">
        <v>166</v>
      </c>
      <c r="C384" s="598"/>
      <c r="D384" s="598"/>
      <c r="E384" s="598"/>
      <c r="G384" s="49"/>
      <c r="H384" s="583">
        <f ca="1">H376-H380</f>
        <v>2.0000000000000009</v>
      </c>
      <c r="I384" s="583">
        <f t="shared" ref="I384:P384" ca="1" si="68">I376-I380</f>
        <v>2</v>
      </c>
      <c r="J384" s="583">
        <f t="shared" ca="1" si="68"/>
        <v>2</v>
      </c>
      <c r="K384" s="583">
        <f t="shared" ca="1" si="68"/>
        <v>2</v>
      </c>
      <c r="L384" s="583">
        <f t="shared" ca="1" si="68"/>
        <v>2</v>
      </c>
      <c r="M384" s="583">
        <f t="shared" ca="1" si="68"/>
        <v>2</v>
      </c>
      <c r="N384" s="583">
        <f t="shared" ca="1" si="68"/>
        <v>2</v>
      </c>
      <c r="O384" s="583">
        <f t="shared" ca="1" si="68"/>
        <v>2</v>
      </c>
      <c r="P384" s="583">
        <f t="shared" ca="1" si="68"/>
        <v>2</v>
      </c>
    </row>
    <row r="385" spans="1:16" x14ac:dyDescent="0.25">
      <c r="A385" s="503"/>
      <c r="B385" s="598"/>
      <c r="C385" s="598"/>
      <c r="D385" s="598"/>
      <c r="E385" s="598"/>
      <c r="G385" s="49"/>
      <c r="H385" s="583"/>
      <c r="I385" s="35"/>
      <c r="J385" s="38"/>
      <c r="K385" s="38"/>
      <c r="L385" s="38"/>
      <c r="M385" s="38"/>
      <c r="N385" s="38"/>
      <c r="O385" s="38"/>
      <c r="P385" s="38"/>
    </row>
    <row r="386" spans="1:16" x14ac:dyDescent="0.25">
      <c r="A386" s="37" t="s">
        <v>601</v>
      </c>
      <c r="B386" s="599" t="s">
        <v>786</v>
      </c>
      <c r="C386" s="598"/>
      <c r="D386" s="598"/>
      <c r="E386" s="598"/>
      <c r="G386" s="49"/>
      <c r="H386" s="583">
        <f ca="1">MIN(H384,H382)</f>
        <v>2.0000000000000009</v>
      </c>
      <c r="I386" s="583">
        <f t="shared" ref="I386:P386" ca="1" si="69">MIN(I384,I382)</f>
        <v>2</v>
      </c>
      <c r="J386" s="583">
        <f t="shared" ca="1" si="69"/>
        <v>2</v>
      </c>
      <c r="K386" s="583">
        <f t="shared" ca="1" si="69"/>
        <v>2</v>
      </c>
      <c r="L386" s="583">
        <f t="shared" ca="1" si="69"/>
        <v>2</v>
      </c>
      <c r="M386" s="583">
        <f t="shared" ca="1" si="69"/>
        <v>2</v>
      </c>
      <c r="N386" s="583">
        <f t="shared" ca="1" si="69"/>
        <v>2</v>
      </c>
      <c r="O386" s="583">
        <f t="shared" ca="1" si="69"/>
        <v>2</v>
      </c>
      <c r="P386" s="583">
        <f t="shared" ca="1" si="69"/>
        <v>2</v>
      </c>
    </row>
    <row r="387" spans="1:16" x14ac:dyDescent="0.25">
      <c r="A387" s="503"/>
      <c r="B387" s="599" t="s">
        <v>167</v>
      </c>
      <c r="C387" s="598"/>
      <c r="D387" s="598"/>
      <c r="E387" s="598"/>
      <c r="G387" s="49"/>
      <c r="H387" s="49"/>
      <c r="I387" s="49"/>
      <c r="J387" s="46"/>
      <c r="K387" s="46"/>
      <c r="L387" s="46"/>
      <c r="M387" s="38"/>
      <c r="N387" s="38"/>
      <c r="O387" s="38"/>
      <c r="P387" s="38"/>
    </row>
    <row r="388" spans="1:16" x14ac:dyDescent="0.25">
      <c r="A388" s="37" t="s">
        <v>603</v>
      </c>
      <c r="B388" s="9" t="s">
        <v>130</v>
      </c>
      <c r="G388" s="49"/>
      <c r="H388" s="49">
        <f ca="1">IF(H380&lt;H378,H380-H378,0)</f>
        <v>0</v>
      </c>
      <c r="I388" s="49">
        <f t="shared" ref="I388:P388" ca="1" si="70">IF(I380&lt;I378,I380-I378,0)</f>
        <v>0</v>
      </c>
      <c r="J388" s="49">
        <f t="shared" ca="1" si="70"/>
        <v>0</v>
      </c>
      <c r="K388" s="49">
        <f t="shared" ca="1" si="70"/>
        <v>0</v>
      </c>
      <c r="L388" s="49">
        <f t="shared" ca="1" si="70"/>
        <v>0</v>
      </c>
      <c r="M388" s="49">
        <f t="shared" ca="1" si="70"/>
        <v>0</v>
      </c>
      <c r="N388" s="49">
        <f t="shared" ca="1" si="70"/>
        <v>0</v>
      </c>
      <c r="O388" s="49">
        <f t="shared" ca="1" si="70"/>
        <v>0</v>
      </c>
      <c r="P388" s="49">
        <f t="shared" ca="1" si="70"/>
        <v>0</v>
      </c>
    </row>
    <row r="389" spans="1:16" x14ac:dyDescent="0.25">
      <c r="A389" s="502"/>
      <c r="B389" s="41" t="s">
        <v>131</v>
      </c>
      <c r="C389" s="19"/>
      <c r="D389" s="19"/>
      <c r="E389" s="19"/>
      <c r="F389" s="19"/>
      <c r="G389" s="63"/>
      <c r="H389" s="63"/>
      <c r="I389" s="63"/>
      <c r="J389" s="48"/>
      <c r="K389" s="48"/>
      <c r="L389" s="48"/>
      <c r="M389" s="44"/>
      <c r="N389" s="44"/>
      <c r="O389" s="44"/>
      <c r="P389" s="44"/>
    </row>
    <row r="390" spans="1:16" x14ac:dyDescent="0.25">
      <c r="A390" s="37"/>
      <c r="B390" s="598"/>
      <c r="G390" s="583"/>
      <c r="H390" s="583"/>
      <c r="I390" s="583"/>
      <c r="J390" s="584"/>
      <c r="K390" s="584"/>
      <c r="L390" s="584"/>
      <c r="M390" s="584"/>
      <c r="P390" s="17"/>
    </row>
    <row r="391" spans="1:16" x14ac:dyDescent="0.25">
      <c r="A391" s="825" t="s">
        <v>198</v>
      </c>
      <c r="B391" s="826"/>
      <c r="C391" s="826"/>
      <c r="D391" s="826"/>
      <c r="E391" s="826"/>
      <c r="F391" s="826"/>
      <c r="G391" s="826"/>
      <c r="H391" s="826"/>
      <c r="I391" s="826"/>
      <c r="J391" s="826"/>
      <c r="K391" s="826"/>
      <c r="L391" s="826"/>
      <c r="M391" s="826"/>
      <c r="N391" s="826"/>
      <c r="O391" s="826"/>
      <c r="P391" s="827"/>
    </row>
    <row r="392" spans="1:16" x14ac:dyDescent="0.25">
      <c r="A392" s="471"/>
      <c r="B392" s="59"/>
      <c r="C392" s="12"/>
      <c r="D392" s="12"/>
      <c r="E392" s="12"/>
      <c r="F392" s="12"/>
      <c r="G392" s="52"/>
      <c r="H392" s="52"/>
      <c r="I392" s="52"/>
      <c r="J392" s="60"/>
      <c r="K392" s="60"/>
      <c r="L392" s="60"/>
      <c r="M392" s="60"/>
      <c r="N392" s="12"/>
      <c r="O392" s="12"/>
      <c r="P392" s="16"/>
    </row>
    <row r="393" spans="1:16" x14ac:dyDescent="0.25">
      <c r="A393" s="37" t="s">
        <v>605</v>
      </c>
      <c r="B393" s="599" t="s">
        <v>173</v>
      </c>
      <c r="G393" s="49"/>
      <c r="H393" s="52">
        <f ca="1">H358</f>
        <v>6.0110689225126555</v>
      </c>
      <c r="I393" s="52">
        <f t="shared" ref="I393:P393" ca="1" si="71">I358</f>
        <v>8.9677739777316425</v>
      </c>
      <c r="J393" s="52">
        <f t="shared" ca="1" si="71"/>
        <v>10.23244248070905</v>
      </c>
      <c r="K393" s="52">
        <f t="shared" ca="1" si="71"/>
        <v>11.50687055264742</v>
      </c>
      <c r="L393" s="52">
        <f t="shared" ca="1" si="71"/>
        <v>11.802539805485278</v>
      </c>
      <c r="M393" s="52">
        <f t="shared" ca="1" si="71"/>
        <v>12.144312090158863</v>
      </c>
      <c r="N393" s="52">
        <f t="shared" ca="1" si="71"/>
        <v>11.915030075491531</v>
      </c>
      <c r="O393" s="52">
        <f t="shared" ca="1" si="71"/>
        <v>11.102467741519881</v>
      </c>
      <c r="P393" s="52">
        <f t="shared" ca="1" si="71"/>
        <v>12.926901201116491</v>
      </c>
    </row>
    <row r="394" spans="1:16" x14ac:dyDescent="0.25">
      <c r="A394" s="28"/>
      <c r="B394" s="598" t="s">
        <v>174</v>
      </c>
      <c r="G394" s="49"/>
      <c r="H394" s="583"/>
      <c r="I394" s="33"/>
      <c r="J394" s="584"/>
      <c r="K394" s="38"/>
      <c r="L394" s="584"/>
      <c r="M394" s="38"/>
      <c r="N394" s="38"/>
      <c r="O394" s="38"/>
      <c r="P394" s="38"/>
    </row>
    <row r="395" spans="1:16" x14ac:dyDescent="0.25">
      <c r="A395" s="37" t="s">
        <v>607</v>
      </c>
      <c r="B395" s="599" t="s">
        <v>784</v>
      </c>
      <c r="G395" s="49"/>
      <c r="H395" s="583">
        <f ca="1">H346*0.25</f>
        <v>3.1180649160800651</v>
      </c>
      <c r="I395" s="583">
        <f t="shared" ref="I395:P395" ca="1" si="72">I346*0.25</f>
        <v>4.0787750626349357</v>
      </c>
      <c r="J395" s="583">
        <f t="shared" ca="1" si="72"/>
        <v>4.5591122563378246</v>
      </c>
      <c r="K395" s="583">
        <f t="shared" ca="1" si="72"/>
        <v>5.1322998168957277</v>
      </c>
      <c r="L395" s="583">
        <f t="shared" ca="1" si="72"/>
        <v>5.4581034626490954</v>
      </c>
      <c r="M395" s="583">
        <f t="shared" ca="1" si="72"/>
        <v>5.7954711181123875</v>
      </c>
      <c r="N395" s="583">
        <f t="shared" ca="1" si="72"/>
        <v>5.8982012437040963</v>
      </c>
      <c r="O395" s="583">
        <f t="shared" ca="1" si="72"/>
        <v>5.6150277559966311</v>
      </c>
      <c r="P395" s="583">
        <f t="shared" ca="1" si="72"/>
        <v>5.9276561259035683</v>
      </c>
    </row>
    <row r="396" spans="1:16" x14ac:dyDescent="0.25">
      <c r="A396" s="489"/>
      <c r="B396" s="599" t="s">
        <v>169</v>
      </c>
      <c r="G396" s="49"/>
      <c r="H396" s="583"/>
      <c r="I396" s="33"/>
      <c r="J396" s="584"/>
      <c r="K396" s="38"/>
      <c r="L396" s="584"/>
      <c r="M396" s="38"/>
      <c r="N396" s="38"/>
      <c r="O396" s="38"/>
      <c r="P396" s="38"/>
    </row>
    <row r="397" spans="1:16" x14ac:dyDescent="0.25">
      <c r="A397" s="37" t="s">
        <v>608</v>
      </c>
      <c r="B397" s="599" t="s">
        <v>785</v>
      </c>
      <c r="G397" s="49"/>
      <c r="H397" s="583">
        <f ca="1">H361</f>
        <v>4.0110689225126546</v>
      </c>
      <c r="I397" s="583">
        <f t="shared" ref="I397:P397" ca="1" si="73">I361</f>
        <v>6.9677739777316425</v>
      </c>
      <c r="J397" s="583">
        <f t="shared" ca="1" si="73"/>
        <v>8.2324424807090502</v>
      </c>
      <c r="K397" s="583">
        <f t="shared" ca="1" si="73"/>
        <v>9.5068705526474204</v>
      </c>
      <c r="L397" s="583">
        <f t="shared" ca="1" si="73"/>
        <v>9.8025398054852779</v>
      </c>
      <c r="M397" s="583">
        <f t="shared" ca="1" si="73"/>
        <v>10.144312090158863</v>
      </c>
      <c r="N397" s="583">
        <f t="shared" ca="1" si="73"/>
        <v>9.915030075491531</v>
      </c>
      <c r="O397" s="583">
        <f t="shared" ca="1" si="73"/>
        <v>9.1024677415198809</v>
      </c>
      <c r="P397" s="583">
        <f t="shared" ca="1" si="73"/>
        <v>10.926901201116491</v>
      </c>
    </row>
    <row r="398" spans="1:16" x14ac:dyDescent="0.25">
      <c r="A398" s="28"/>
      <c r="B398" s="599" t="s">
        <v>170</v>
      </c>
      <c r="G398" s="49"/>
      <c r="H398" s="583"/>
      <c r="I398" s="33"/>
      <c r="J398" s="584"/>
      <c r="K398" s="38"/>
      <c r="L398" s="584"/>
      <c r="M398" s="38"/>
      <c r="N398" s="38"/>
      <c r="O398" s="38"/>
      <c r="P398" s="38"/>
    </row>
    <row r="399" spans="1:16" x14ac:dyDescent="0.25">
      <c r="A399" s="37" t="s">
        <v>610</v>
      </c>
      <c r="B399" s="599" t="s">
        <v>171</v>
      </c>
      <c r="G399" s="49"/>
      <c r="H399" s="583">
        <f ca="1">H393-H395</f>
        <v>2.8930040064325904</v>
      </c>
      <c r="I399" s="583">
        <f t="shared" ref="I399:P399" ca="1" si="74">I393-I395</f>
        <v>4.8889989150967068</v>
      </c>
      <c r="J399" s="583">
        <f t="shared" ca="1" si="74"/>
        <v>5.6733302243712256</v>
      </c>
      <c r="K399" s="583">
        <f t="shared" ca="1" si="74"/>
        <v>6.3745707357516928</v>
      </c>
      <c r="L399" s="583">
        <f t="shared" ca="1" si="74"/>
        <v>6.3444363428361825</v>
      </c>
      <c r="M399" s="583">
        <f t="shared" ca="1" si="74"/>
        <v>6.3488409720464754</v>
      </c>
      <c r="N399" s="583">
        <f t="shared" ca="1" si="74"/>
        <v>6.0168288317874348</v>
      </c>
      <c r="O399" s="583">
        <f t="shared" ca="1" si="74"/>
        <v>5.4874399855232499</v>
      </c>
      <c r="P399" s="583">
        <f t="shared" ca="1" si="74"/>
        <v>6.9992450752129232</v>
      </c>
    </row>
    <row r="400" spans="1:16" x14ac:dyDescent="0.25">
      <c r="A400" s="28"/>
      <c r="B400" s="599"/>
      <c r="G400" s="49"/>
      <c r="H400" s="583"/>
      <c r="I400" s="583"/>
      <c r="J400" s="583"/>
      <c r="K400" s="583"/>
      <c r="L400" s="583"/>
      <c r="M400" s="583"/>
      <c r="N400" s="583"/>
      <c r="O400" s="583"/>
      <c r="P400" s="583"/>
    </row>
    <row r="401" spans="1:16" x14ac:dyDescent="0.25">
      <c r="A401" s="37" t="s">
        <v>618</v>
      </c>
      <c r="B401" s="599" t="s">
        <v>172</v>
      </c>
      <c r="G401" s="49"/>
      <c r="H401" s="583">
        <f ca="1">H393-H397</f>
        <v>2.0000000000000009</v>
      </c>
      <c r="I401" s="583">
        <f t="shared" ref="I401:P401" ca="1" si="75">I393-I397</f>
        <v>2</v>
      </c>
      <c r="J401" s="583">
        <f t="shared" ca="1" si="75"/>
        <v>2</v>
      </c>
      <c r="K401" s="583">
        <f t="shared" ca="1" si="75"/>
        <v>2</v>
      </c>
      <c r="L401" s="583">
        <f t="shared" ca="1" si="75"/>
        <v>2</v>
      </c>
      <c r="M401" s="583">
        <f t="shared" ca="1" si="75"/>
        <v>2</v>
      </c>
      <c r="N401" s="583">
        <f t="shared" ca="1" si="75"/>
        <v>2</v>
      </c>
      <c r="O401" s="583">
        <f t="shared" ca="1" si="75"/>
        <v>2</v>
      </c>
      <c r="P401" s="583">
        <f t="shared" ca="1" si="75"/>
        <v>2</v>
      </c>
    </row>
    <row r="402" spans="1:16" x14ac:dyDescent="0.25">
      <c r="A402" s="28"/>
      <c r="B402" s="598"/>
      <c r="G402" s="49"/>
      <c r="H402" s="583"/>
      <c r="I402" s="33"/>
      <c r="J402" s="584"/>
      <c r="K402" s="38"/>
      <c r="L402" s="584"/>
      <c r="M402" s="38"/>
      <c r="N402" s="38"/>
      <c r="O402" s="38"/>
      <c r="P402" s="38"/>
    </row>
    <row r="403" spans="1:16" x14ac:dyDescent="0.25">
      <c r="A403" s="37" t="s">
        <v>620</v>
      </c>
      <c r="B403" s="599" t="s">
        <v>786</v>
      </c>
      <c r="G403" s="49"/>
      <c r="H403" s="583">
        <f ca="1">MIN(H401,H399)</f>
        <v>2.0000000000000009</v>
      </c>
      <c r="I403" s="583">
        <f t="shared" ref="I403:P403" ca="1" si="76">MIN(I401,I399)</f>
        <v>2</v>
      </c>
      <c r="J403" s="583">
        <f t="shared" ca="1" si="76"/>
        <v>2</v>
      </c>
      <c r="K403" s="583">
        <f t="shared" ca="1" si="76"/>
        <v>2</v>
      </c>
      <c r="L403" s="583">
        <f t="shared" ca="1" si="76"/>
        <v>2</v>
      </c>
      <c r="M403" s="583">
        <f t="shared" ca="1" si="76"/>
        <v>2</v>
      </c>
      <c r="N403" s="583">
        <f t="shared" ca="1" si="76"/>
        <v>2</v>
      </c>
      <c r="O403" s="583">
        <f t="shared" ca="1" si="76"/>
        <v>2</v>
      </c>
      <c r="P403" s="583">
        <f t="shared" ca="1" si="76"/>
        <v>2</v>
      </c>
    </row>
    <row r="404" spans="1:16" x14ac:dyDescent="0.25">
      <c r="A404" s="28"/>
      <c r="B404" s="599" t="s">
        <v>787</v>
      </c>
      <c r="G404" s="49"/>
      <c r="H404" s="583"/>
      <c r="I404" s="33"/>
      <c r="J404" s="584"/>
      <c r="K404" s="38"/>
      <c r="L404" s="584"/>
      <c r="M404" s="38"/>
      <c r="N404" s="38"/>
      <c r="O404" s="38"/>
      <c r="P404" s="38"/>
    </row>
    <row r="405" spans="1:16" x14ac:dyDescent="0.25">
      <c r="A405" s="28"/>
      <c r="B405" s="599"/>
      <c r="G405" s="49"/>
      <c r="H405" s="583"/>
      <c r="I405" s="33"/>
      <c r="J405" s="584"/>
      <c r="K405" s="38"/>
      <c r="L405" s="584"/>
      <c r="M405" s="38"/>
      <c r="N405" s="38"/>
      <c r="O405" s="38"/>
      <c r="P405" s="38"/>
    </row>
    <row r="406" spans="1:16" x14ac:dyDescent="0.25">
      <c r="A406" s="37" t="s">
        <v>622</v>
      </c>
      <c r="B406" s="9" t="s">
        <v>130</v>
      </c>
      <c r="G406" s="49"/>
      <c r="H406" s="49">
        <f ca="1">IF(H397&lt;H395,H397-H395,0)</f>
        <v>0</v>
      </c>
      <c r="I406" s="49">
        <f t="shared" ref="I406:P406" ca="1" si="77">IF(I397&lt;I395,I397-I395,0)</f>
        <v>0</v>
      </c>
      <c r="J406" s="49">
        <f t="shared" ca="1" si="77"/>
        <v>0</v>
      </c>
      <c r="K406" s="49">
        <f t="shared" ca="1" si="77"/>
        <v>0</v>
      </c>
      <c r="L406" s="49">
        <f t="shared" ca="1" si="77"/>
        <v>0</v>
      </c>
      <c r="M406" s="49">
        <f t="shared" ca="1" si="77"/>
        <v>0</v>
      </c>
      <c r="N406" s="49">
        <f t="shared" ca="1" si="77"/>
        <v>0</v>
      </c>
      <c r="O406" s="49">
        <f t="shared" ca="1" si="77"/>
        <v>0</v>
      </c>
      <c r="P406" s="49">
        <f t="shared" ca="1" si="77"/>
        <v>0</v>
      </c>
    </row>
    <row r="407" spans="1:16" x14ac:dyDescent="0.25">
      <c r="A407" s="472"/>
      <c r="B407" s="41" t="s">
        <v>175</v>
      </c>
      <c r="C407" s="19"/>
      <c r="D407" s="19"/>
      <c r="E407" s="19"/>
      <c r="F407" s="19"/>
      <c r="G407" s="63"/>
      <c r="H407" s="43"/>
      <c r="I407" s="40"/>
      <c r="J407" s="47"/>
      <c r="K407" s="44"/>
      <c r="L407" s="47"/>
      <c r="M407" s="44"/>
      <c r="N407" s="44"/>
      <c r="O407" s="44"/>
      <c r="P407" s="44"/>
    </row>
    <row r="408" spans="1:16" x14ac:dyDescent="0.25">
      <c r="A408" s="28"/>
      <c r="G408" s="583"/>
      <c r="H408" s="583"/>
      <c r="I408" s="583"/>
      <c r="J408" s="584"/>
      <c r="K408" s="584"/>
      <c r="L408" s="584"/>
      <c r="M408" s="584"/>
      <c r="P408" s="17"/>
    </row>
    <row r="409" spans="1:16" x14ac:dyDescent="0.25">
      <c r="A409" s="28"/>
      <c r="G409" s="583"/>
      <c r="H409" s="583"/>
      <c r="I409" s="583"/>
      <c r="J409" s="584"/>
      <c r="K409" s="584"/>
      <c r="L409" s="584"/>
      <c r="M409" s="584"/>
      <c r="P409" s="17"/>
    </row>
    <row r="410" spans="1:16" x14ac:dyDescent="0.25">
      <c r="A410" s="28"/>
      <c r="G410" s="583"/>
      <c r="H410" s="583"/>
      <c r="I410" s="583"/>
      <c r="J410" s="584"/>
      <c r="K410" s="584"/>
      <c r="L410" s="584"/>
      <c r="M410" s="584"/>
      <c r="P410" s="17"/>
    </row>
    <row r="411" spans="1:16" x14ac:dyDescent="0.25">
      <c r="A411" s="28"/>
      <c r="G411" s="583"/>
      <c r="H411" s="583"/>
      <c r="I411" s="583"/>
      <c r="J411" s="584"/>
      <c r="K411" s="584"/>
      <c r="L411" s="584"/>
      <c r="M411" s="584"/>
      <c r="P411" s="17"/>
    </row>
    <row r="412" spans="1:16" x14ac:dyDescent="0.25">
      <c r="A412" s="28"/>
      <c r="G412" s="583"/>
      <c r="H412" s="583"/>
      <c r="I412" s="583"/>
      <c r="J412" s="584"/>
      <c r="K412" s="584"/>
      <c r="L412" s="584"/>
      <c r="M412" s="584"/>
      <c r="P412" s="17"/>
    </row>
    <row r="413" spans="1:16" x14ac:dyDescent="0.25">
      <c r="A413" s="28"/>
      <c r="G413" s="583"/>
      <c r="H413" s="583"/>
      <c r="I413" s="583"/>
      <c r="J413" s="584"/>
      <c r="K413" s="584"/>
      <c r="L413" s="584"/>
      <c r="M413" s="584"/>
      <c r="P413" s="17"/>
    </row>
    <row r="414" spans="1:16" x14ac:dyDescent="0.25">
      <c r="A414" s="472"/>
      <c r="B414" s="19"/>
      <c r="C414" s="19"/>
      <c r="D414" s="19"/>
      <c r="E414" s="19"/>
      <c r="F414" s="19"/>
      <c r="G414" s="43"/>
      <c r="H414" s="43"/>
      <c r="I414" s="43"/>
      <c r="J414" s="47"/>
      <c r="K414" s="47"/>
      <c r="L414" s="47"/>
      <c r="M414" s="47"/>
      <c r="N414" s="19"/>
      <c r="O414" s="19"/>
      <c r="P414" s="22"/>
    </row>
    <row r="415" spans="1:16" x14ac:dyDescent="0.25">
      <c r="A415" s="828" t="s">
        <v>843</v>
      </c>
      <c r="B415" s="829"/>
      <c r="C415" s="829"/>
      <c r="D415" s="829"/>
      <c r="E415" s="829"/>
      <c r="F415" s="829"/>
      <c r="G415" s="829"/>
      <c r="H415" s="829"/>
      <c r="I415" s="829"/>
      <c r="J415" s="829"/>
      <c r="K415" s="829"/>
      <c r="L415" s="829"/>
      <c r="M415" s="829"/>
      <c r="N415" s="829"/>
      <c r="O415" s="829"/>
      <c r="P415" s="830"/>
    </row>
    <row r="416" spans="1:16" x14ac:dyDescent="0.25">
      <c r="A416" s="831" t="s">
        <v>1139</v>
      </c>
      <c r="B416" s="832"/>
      <c r="C416" s="832"/>
      <c r="D416" s="832"/>
      <c r="E416" s="832"/>
      <c r="F416" s="832"/>
      <c r="G416" s="832"/>
      <c r="H416" s="832"/>
      <c r="I416" s="832"/>
      <c r="J416" s="832"/>
      <c r="K416" s="832"/>
      <c r="L416" s="832"/>
      <c r="M416" s="832"/>
      <c r="N416" s="832"/>
      <c r="O416" s="832"/>
      <c r="P416" s="833"/>
    </row>
    <row r="417" spans="1:16" x14ac:dyDescent="0.25">
      <c r="A417" s="843" t="s">
        <v>204</v>
      </c>
      <c r="B417" s="844"/>
      <c r="C417" s="844"/>
      <c r="D417" s="844"/>
      <c r="E417" s="844"/>
      <c r="F417" s="844"/>
      <c r="G417" s="844"/>
      <c r="H417" s="844"/>
      <c r="I417" s="844"/>
      <c r="J417" s="844"/>
      <c r="K417" s="844"/>
      <c r="L417" s="844"/>
      <c r="M417" s="844"/>
      <c r="N417" s="844"/>
      <c r="O417" s="844"/>
      <c r="P417" s="845"/>
    </row>
    <row r="418" spans="1:16" x14ac:dyDescent="0.25">
      <c r="A418" s="846" t="s">
        <v>443</v>
      </c>
      <c r="B418" s="847"/>
      <c r="C418" s="847"/>
      <c r="D418" s="847"/>
      <c r="E418" s="847"/>
      <c r="F418" s="847"/>
      <c r="G418" s="848"/>
      <c r="H418" s="796" t="s">
        <v>420</v>
      </c>
      <c r="I418" s="797"/>
      <c r="J418" s="797"/>
      <c r="K418" s="797"/>
      <c r="L418" s="797"/>
      <c r="M418" s="797"/>
      <c r="N418" s="797"/>
      <c r="O418" s="797"/>
      <c r="P418" s="798"/>
    </row>
    <row r="419" spans="1:16" x14ac:dyDescent="0.25">
      <c r="A419" s="849"/>
      <c r="B419" s="850"/>
      <c r="C419" s="850"/>
      <c r="D419" s="850"/>
      <c r="E419" s="850"/>
      <c r="F419" s="850"/>
      <c r="G419" s="851"/>
      <c r="H419" s="288">
        <v>1</v>
      </c>
      <c r="I419" s="136">
        <v>2</v>
      </c>
      <c r="J419" s="136">
        <v>3</v>
      </c>
      <c r="K419" s="136">
        <v>4</v>
      </c>
      <c r="L419" s="136">
        <v>5</v>
      </c>
      <c r="M419" s="136">
        <v>6</v>
      </c>
      <c r="N419" s="136">
        <v>7</v>
      </c>
      <c r="O419" s="136">
        <v>8</v>
      </c>
      <c r="P419" s="136">
        <v>9</v>
      </c>
    </row>
    <row r="420" spans="1:16" x14ac:dyDescent="0.25">
      <c r="A420" s="852" t="s">
        <v>582</v>
      </c>
      <c r="B420" s="853"/>
      <c r="C420" s="853"/>
      <c r="D420" s="853"/>
      <c r="E420" s="853"/>
      <c r="F420" s="853"/>
      <c r="G420" s="854"/>
      <c r="H420" s="288">
        <v>2024</v>
      </c>
      <c r="I420" s="136">
        <v>2025</v>
      </c>
      <c r="J420" s="136">
        <v>2026</v>
      </c>
      <c r="K420" s="136">
        <v>2027</v>
      </c>
      <c r="L420" s="136">
        <v>2028</v>
      </c>
      <c r="M420" s="136">
        <v>2029</v>
      </c>
      <c r="N420" s="136">
        <v>2030</v>
      </c>
      <c r="O420" s="136">
        <v>2031</v>
      </c>
      <c r="P420" s="136">
        <v>2032</v>
      </c>
    </row>
    <row r="421" spans="1:16" x14ac:dyDescent="0.25">
      <c r="A421" s="37" t="s">
        <v>584</v>
      </c>
      <c r="B421" s="606" t="s">
        <v>788</v>
      </c>
      <c r="C421" s="598"/>
      <c r="D421" s="598"/>
      <c r="E421" s="598"/>
      <c r="F421" s="598"/>
      <c r="G421" s="49"/>
      <c r="H421" s="49"/>
      <c r="I421" s="35"/>
      <c r="J421" s="38"/>
      <c r="K421" s="38"/>
      <c r="L421" s="38"/>
      <c r="M421" s="38"/>
      <c r="P421" s="17"/>
    </row>
    <row r="422" spans="1:16" x14ac:dyDescent="0.25">
      <c r="A422" s="503"/>
      <c r="B422" s="599" t="s">
        <v>789</v>
      </c>
      <c r="C422" s="598"/>
      <c r="D422" s="598"/>
      <c r="E422" s="598"/>
      <c r="F422" s="598"/>
      <c r="G422" s="49"/>
      <c r="H422" s="49">
        <f ca="1">H111</f>
        <v>1.087365726567816</v>
      </c>
      <c r="I422" s="49">
        <f t="shared" ref="I422:P422" ca="1" si="78">I111</f>
        <v>1.6347836598182393</v>
      </c>
      <c r="J422" s="49">
        <f t="shared" ca="1" si="78"/>
        <v>2.273978963446972</v>
      </c>
      <c r="K422" s="49">
        <f t="shared" ca="1" si="78"/>
        <v>2.9289282635911671</v>
      </c>
      <c r="L422" s="49">
        <f t="shared" ca="1" si="78"/>
        <v>3.5557310704186254</v>
      </c>
      <c r="M422" s="49">
        <f t="shared" ca="1" si="78"/>
        <v>4.1872862535235003</v>
      </c>
      <c r="N422" s="49">
        <f t="shared" ca="1" si="78"/>
        <v>4.7983232150941753</v>
      </c>
      <c r="O422" s="49">
        <f t="shared" ca="1" si="78"/>
        <v>5.4118594732179348</v>
      </c>
      <c r="P422" s="49">
        <f t="shared" ca="1" si="78"/>
        <v>5.9839135688784797</v>
      </c>
    </row>
    <row r="423" spans="1:16" x14ac:dyDescent="0.25">
      <c r="A423" s="503"/>
      <c r="B423" s="599" t="s">
        <v>790</v>
      </c>
      <c r="C423" s="598"/>
      <c r="D423" s="598"/>
      <c r="E423" s="598"/>
      <c r="F423" s="598"/>
      <c r="G423" s="49"/>
      <c r="H423" s="49">
        <f>H86+H76</f>
        <v>2.7869880429628955</v>
      </c>
      <c r="I423" s="49">
        <f t="shared" ref="I423:P423" si="79">I86+I76</f>
        <v>2.4022877477633076</v>
      </c>
      <c r="J423" s="49">
        <f t="shared" si="79"/>
        <v>2.0710842601857431</v>
      </c>
      <c r="K423" s="49">
        <f t="shared" si="79"/>
        <v>1.7859227690379043</v>
      </c>
      <c r="L423" s="49">
        <f t="shared" si="79"/>
        <v>1.5403893804812168</v>
      </c>
      <c r="M423" s="49">
        <f t="shared" si="79"/>
        <v>1.3149654665280146</v>
      </c>
      <c r="N423" s="49">
        <f t="shared" si="79"/>
        <v>1.1329024429312327</v>
      </c>
      <c r="O423" s="49">
        <f t="shared" si="79"/>
        <v>0.97611410281794175</v>
      </c>
      <c r="P423" s="49">
        <f t="shared" si="79"/>
        <v>0.8410840380404454</v>
      </c>
    </row>
    <row r="424" spans="1:16" x14ac:dyDescent="0.25">
      <c r="A424" s="503"/>
      <c r="B424" s="599" t="s">
        <v>208</v>
      </c>
      <c r="C424" s="598"/>
      <c r="D424" s="598"/>
      <c r="E424" s="598"/>
      <c r="F424" s="598"/>
      <c r="G424" s="49"/>
      <c r="H424" s="49"/>
      <c r="I424" s="35"/>
      <c r="J424" s="38"/>
      <c r="K424" s="38"/>
      <c r="L424" s="38"/>
      <c r="M424" s="38"/>
      <c r="P424" s="17"/>
    </row>
    <row r="425" spans="1:16" x14ac:dyDescent="0.25">
      <c r="A425" s="503"/>
      <c r="B425" s="703" t="s">
        <v>791</v>
      </c>
      <c r="C425" s="704"/>
      <c r="D425" s="704"/>
      <c r="E425" s="704"/>
      <c r="F425" s="704"/>
      <c r="G425" s="705"/>
      <c r="H425" s="705">
        <v>6.6</v>
      </c>
      <c r="I425" s="706">
        <v>0</v>
      </c>
      <c r="J425" s="706">
        <v>0</v>
      </c>
      <c r="K425" s="706">
        <v>0</v>
      </c>
      <c r="L425" s="706">
        <v>0</v>
      </c>
      <c r="M425" s="706">
        <v>0</v>
      </c>
      <c r="N425" s="706">
        <v>0</v>
      </c>
      <c r="O425" s="706">
        <v>0</v>
      </c>
      <c r="P425" s="706">
        <v>0</v>
      </c>
    </row>
    <row r="426" spans="1:16" x14ac:dyDescent="0.25">
      <c r="A426" s="503"/>
      <c r="B426" s="703" t="s">
        <v>205</v>
      </c>
      <c r="C426" s="704"/>
      <c r="D426" s="704"/>
      <c r="E426" s="704"/>
      <c r="F426" s="704"/>
      <c r="G426" s="705"/>
      <c r="H426" s="705">
        <v>13.9840507427338</v>
      </c>
      <c r="I426" s="706">
        <v>0</v>
      </c>
      <c r="J426" s="706">
        <v>0</v>
      </c>
      <c r="K426" s="706">
        <v>0</v>
      </c>
      <c r="L426" s="706">
        <v>0</v>
      </c>
      <c r="M426" s="706">
        <v>0</v>
      </c>
      <c r="N426" s="706">
        <v>0</v>
      </c>
      <c r="O426" s="706">
        <v>0</v>
      </c>
      <c r="P426" s="706">
        <v>0</v>
      </c>
    </row>
    <row r="427" spans="1:16" x14ac:dyDescent="0.25">
      <c r="A427" s="503"/>
      <c r="B427" s="703" t="s">
        <v>792</v>
      </c>
      <c r="C427" s="704"/>
      <c r="D427" s="704"/>
      <c r="E427" s="704"/>
      <c r="F427" s="704"/>
      <c r="G427" s="705"/>
      <c r="H427" s="705"/>
      <c r="I427" s="707"/>
      <c r="J427" s="708"/>
      <c r="K427" s="708"/>
      <c r="L427" s="708"/>
      <c r="M427" s="708"/>
      <c r="N427" s="709"/>
      <c r="O427" s="709"/>
      <c r="P427" s="710"/>
    </row>
    <row r="428" spans="1:16" x14ac:dyDescent="0.25">
      <c r="A428" s="503"/>
      <c r="B428" s="703" t="s">
        <v>793</v>
      </c>
      <c r="C428" s="704"/>
      <c r="D428" s="704"/>
      <c r="E428" s="704"/>
      <c r="F428" s="704"/>
      <c r="G428" s="705"/>
      <c r="H428" s="705">
        <v>0</v>
      </c>
      <c r="I428" s="706">
        <v>0</v>
      </c>
      <c r="J428" s="706">
        <v>0</v>
      </c>
      <c r="K428" s="706">
        <v>0</v>
      </c>
      <c r="L428" s="706">
        <v>0</v>
      </c>
      <c r="M428" s="706">
        <v>0</v>
      </c>
      <c r="N428" s="706">
        <v>0</v>
      </c>
      <c r="O428" s="706">
        <v>0</v>
      </c>
      <c r="P428" s="706">
        <v>0</v>
      </c>
    </row>
    <row r="429" spans="1:16" x14ac:dyDescent="0.25">
      <c r="A429" s="503"/>
      <c r="B429" s="703" t="s">
        <v>794</v>
      </c>
      <c r="C429" s="704"/>
      <c r="D429" s="704"/>
      <c r="E429" s="704"/>
      <c r="F429" s="704"/>
      <c r="G429" s="705"/>
      <c r="H429" s="705">
        <v>0</v>
      </c>
      <c r="I429" s="706">
        <v>0</v>
      </c>
      <c r="J429" s="706">
        <v>0</v>
      </c>
      <c r="K429" s="706">
        <v>0</v>
      </c>
      <c r="L429" s="706">
        <v>0</v>
      </c>
      <c r="M429" s="706">
        <v>0</v>
      </c>
      <c r="N429" s="706">
        <v>0</v>
      </c>
      <c r="O429" s="706">
        <v>0</v>
      </c>
      <c r="P429" s="706">
        <v>0</v>
      </c>
    </row>
    <row r="430" spans="1:16" x14ac:dyDescent="0.25">
      <c r="A430" s="503"/>
      <c r="B430" s="703" t="s">
        <v>261</v>
      </c>
      <c r="C430" s="704"/>
      <c r="D430" s="704"/>
      <c r="E430" s="704"/>
      <c r="F430" s="704"/>
      <c r="G430" s="705"/>
      <c r="H430" s="705">
        <v>0</v>
      </c>
      <c r="I430" s="706">
        <v>0</v>
      </c>
      <c r="J430" s="706">
        <v>0</v>
      </c>
      <c r="K430" s="706">
        <v>0</v>
      </c>
      <c r="L430" s="706">
        <v>0</v>
      </c>
      <c r="M430" s="706">
        <v>0</v>
      </c>
      <c r="N430" s="706">
        <v>0</v>
      </c>
      <c r="O430" s="706">
        <v>0</v>
      </c>
      <c r="P430" s="706">
        <v>0</v>
      </c>
    </row>
    <row r="431" spans="1:16" x14ac:dyDescent="0.25">
      <c r="A431" s="503"/>
      <c r="B431" s="606" t="s">
        <v>795</v>
      </c>
      <c r="C431" s="598"/>
      <c r="D431" s="598"/>
      <c r="E431" s="598"/>
      <c r="F431" s="598"/>
      <c r="G431" s="49"/>
      <c r="H431" s="51">
        <f ca="1">SUM(H422:H430)</f>
        <v>24.458404512264512</v>
      </c>
      <c r="I431" s="51">
        <f t="shared" ref="I431:P431" ca="1" si="80">SUM(I422:I430)</f>
        <v>4.0370714075815464</v>
      </c>
      <c r="J431" s="51">
        <f t="shared" ca="1" si="80"/>
        <v>4.3450632236327156</v>
      </c>
      <c r="K431" s="51">
        <f t="shared" ca="1" si="80"/>
        <v>4.7148510326290713</v>
      </c>
      <c r="L431" s="51">
        <f t="shared" ca="1" si="80"/>
        <v>5.0961204508998419</v>
      </c>
      <c r="M431" s="51">
        <f t="shared" ca="1" si="80"/>
        <v>5.5022517200515146</v>
      </c>
      <c r="N431" s="51">
        <f t="shared" ca="1" si="80"/>
        <v>5.9312256580254079</v>
      </c>
      <c r="O431" s="51">
        <f t="shared" ca="1" si="80"/>
        <v>6.3879735760358765</v>
      </c>
      <c r="P431" s="51">
        <f t="shared" ca="1" si="80"/>
        <v>6.8249976069189255</v>
      </c>
    </row>
    <row r="432" spans="1:16" x14ac:dyDescent="0.25">
      <c r="A432" s="711"/>
      <c r="B432" s="704"/>
      <c r="C432" s="704"/>
      <c r="D432" s="704"/>
      <c r="E432" s="704"/>
      <c r="F432" s="704"/>
      <c r="G432" s="705"/>
      <c r="H432" s="712"/>
      <c r="I432" s="712"/>
      <c r="J432" s="713"/>
      <c r="K432" s="713"/>
      <c r="L432" s="713"/>
      <c r="M432" s="714"/>
      <c r="N432" s="709"/>
      <c r="O432" s="709"/>
      <c r="P432" s="710"/>
    </row>
    <row r="433" spans="1:16" x14ac:dyDescent="0.25">
      <c r="A433" s="715" t="s">
        <v>586</v>
      </c>
      <c r="B433" s="716" t="s">
        <v>796</v>
      </c>
      <c r="C433" s="704"/>
      <c r="D433" s="704"/>
      <c r="E433" s="704"/>
      <c r="F433" s="704"/>
      <c r="G433" s="705"/>
      <c r="H433" s="717"/>
      <c r="I433" s="718"/>
      <c r="J433" s="718"/>
      <c r="K433" s="718"/>
      <c r="L433" s="718"/>
      <c r="M433" s="718"/>
      <c r="N433" s="718"/>
      <c r="O433" s="718"/>
      <c r="P433" s="717"/>
    </row>
    <row r="434" spans="1:16" x14ac:dyDescent="0.25">
      <c r="A434" s="711"/>
      <c r="B434" s="703" t="s">
        <v>797</v>
      </c>
      <c r="C434" s="704"/>
      <c r="D434" s="704"/>
      <c r="E434" s="704"/>
      <c r="F434" s="704"/>
      <c r="G434" s="705"/>
      <c r="H434" s="706">
        <v>0</v>
      </c>
      <c r="I434" s="706">
        <v>0</v>
      </c>
      <c r="J434" s="706">
        <v>0</v>
      </c>
      <c r="K434" s="706">
        <v>0</v>
      </c>
      <c r="L434" s="706">
        <v>0</v>
      </c>
      <c r="M434" s="706">
        <v>0</v>
      </c>
      <c r="N434" s="706">
        <v>0</v>
      </c>
      <c r="O434" s="706">
        <v>0</v>
      </c>
      <c r="P434" s="706">
        <v>0</v>
      </c>
    </row>
    <row r="435" spans="1:16" x14ac:dyDescent="0.25">
      <c r="A435" s="711"/>
      <c r="B435" s="703" t="s">
        <v>206</v>
      </c>
      <c r="C435" s="704"/>
      <c r="D435" s="704"/>
      <c r="E435" s="704"/>
      <c r="F435" s="704"/>
      <c r="G435" s="705"/>
      <c r="H435" s="706">
        <v>0</v>
      </c>
      <c r="I435" s="706">
        <v>1.0800000000000018</v>
      </c>
      <c r="J435" s="706">
        <v>1.0799999999999912</v>
      </c>
      <c r="K435" s="706">
        <v>1.4399999999999942</v>
      </c>
      <c r="L435" s="706">
        <v>1.8000000000000007</v>
      </c>
      <c r="M435" s="706">
        <v>2.1599999999999966</v>
      </c>
      <c r="N435" s="706">
        <v>2.1600000000000019</v>
      </c>
      <c r="O435" s="706">
        <v>1.2000000000000011</v>
      </c>
      <c r="P435" s="706">
        <v>0</v>
      </c>
    </row>
    <row r="436" spans="1:16" x14ac:dyDescent="0.25">
      <c r="A436" s="711"/>
      <c r="B436" s="703" t="s">
        <v>798</v>
      </c>
      <c r="C436" s="704"/>
      <c r="D436" s="704"/>
      <c r="E436" s="704"/>
      <c r="F436" s="704"/>
      <c r="G436" s="705"/>
      <c r="H436" s="706"/>
      <c r="I436" s="707"/>
      <c r="J436" s="707"/>
      <c r="K436" s="707"/>
      <c r="L436" s="707"/>
      <c r="M436" s="707"/>
      <c r="N436" s="707"/>
      <c r="O436" s="707"/>
      <c r="P436" s="706"/>
    </row>
    <row r="437" spans="1:16" x14ac:dyDescent="0.25">
      <c r="A437" s="711"/>
      <c r="B437" s="703" t="s">
        <v>793</v>
      </c>
      <c r="C437" s="704"/>
      <c r="D437" s="704"/>
      <c r="E437" s="704"/>
      <c r="F437" s="704"/>
      <c r="G437" s="705"/>
      <c r="H437" s="706">
        <v>20.047003780355602</v>
      </c>
      <c r="I437" s="706">
        <v>0</v>
      </c>
      <c r="J437" s="706">
        <v>0</v>
      </c>
      <c r="K437" s="706">
        <v>0</v>
      </c>
      <c r="L437" s="706">
        <v>0</v>
      </c>
      <c r="M437" s="706">
        <v>0</v>
      </c>
      <c r="N437" s="706">
        <v>0</v>
      </c>
      <c r="O437" s="706">
        <v>0</v>
      </c>
      <c r="P437" s="706">
        <v>0</v>
      </c>
    </row>
    <row r="438" spans="1:16" x14ac:dyDescent="0.25">
      <c r="A438" s="711"/>
      <c r="B438" s="703" t="s">
        <v>794</v>
      </c>
      <c r="C438" s="704"/>
      <c r="D438" s="704"/>
      <c r="E438" s="704"/>
      <c r="F438" s="704"/>
      <c r="G438" s="705"/>
      <c r="H438" s="706">
        <v>0.33</v>
      </c>
      <c r="I438" s="706">
        <v>0</v>
      </c>
      <c r="J438" s="706">
        <v>2</v>
      </c>
      <c r="K438" s="706">
        <v>2</v>
      </c>
      <c r="L438" s="706">
        <v>3</v>
      </c>
      <c r="M438" s="706">
        <v>3</v>
      </c>
      <c r="N438" s="706">
        <v>4</v>
      </c>
      <c r="O438" s="706">
        <v>5.9999999999999982</v>
      </c>
      <c r="P438" s="706">
        <v>5</v>
      </c>
    </row>
    <row r="439" spans="1:16" x14ac:dyDescent="0.25">
      <c r="A439" s="711"/>
      <c r="B439" s="703" t="s">
        <v>421</v>
      </c>
      <c r="C439" s="704"/>
      <c r="D439" s="704"/>
      <c r="E439" s="704"/>
      <c r="F439" s="704"/>
      <c r="G439" s="705"/>
      <c r="H439" s="706">
        <v>7.0000000000000007E-2</v>
      </c>
      <c r="I439" s="706">
        <v>0</v>
      </c>
      <c r="J439" s="706">
        <v>0</v>
      </c>
      <c r="K439" s="706">
        <v>0</v>
      </c>
      <c r="L439" s="706">
        <v>0</v>
      </c>
      <c r="M439" s="706">
        <v>0</v>
      </c>
      <c r="N439" s="706">
        <v>0</v>
      </c>
      <c r="O439" s="706">
        <v>0</v>
      </c>
      <c r="P439" s="706">
        <v>0</v>
      </c>
    </row>
    <row r="440" spans="1:16" x14ac:dyDescent="0.25">
      <c r="A440" s="711"/>
      <c r="B440" s="703" t="s">
        <v>799</v>
      </c>
      <c r="C440" s="704"/>
      <c r="D440" s="704"/>
      <c r="E440" s="704"/>
      <c r="F440" s="704"/>
      <c r="G440" s="705"/>
      <c r="H440" s="706">
        <v>0</v>
      </c>
      <c r="I440" s="706">
        <v>0</v>
      </c>
      <c r="J440" s="706">
        <v>0</v>
      </c>
      <c r="K440" s="706">
        <v>0</v>
      </c>
      <c r="L440" s="706">
        <v>0</v>
      </c>
      <c r="M440" s="706">
        <v>0</v>
      </c>
      <c r="N440" s="706">
        <v>0</v>
      </c>
      <c r="O440" s="706">
        <v>0</v>
      </c>
      <c r="P440" s="706">
        <v>0</v>
      </c>
    </row>
    <row r="441" spans="1:16" x14ac:dyDescent="0.25">
      <c r="A441" s="711"/>
      <c r="B441" s="703" t="s">
        <v>800</v>
      </c>
      <c r="C441" s="704"/>
      <c r="D441" s="704"/>
      <c r="E441" s="704"/>
      <c r="F441" s="704"/>
      <c r="G441" s="705"/>
      <c r="H441" s="719"/>
      <c r="I441" s="719"/>
      <c r="J441" s="719"/>
      <c r="K441" s="719"/>
      <c r="L441" s="719"/>
      <c r="M441" s="719"/>
      <c r="N441" s="719"/>
      <c r="O441" s="719"/>
      <c r="P441" s="719"/>
    </row>
    <row r="442" spans="1:16" x14ac:dyDescent="0.25">
      <c r="A442" s="711"/>
      <c r="B442" s="606" t="s">
        <v>801</v>
      </c>
      <c r="C442" s="598"/>
      <c r="D442" s="598"/>
      <c r="E442" s="598"/>
      <c r="F442" s="598"/>
      <c r="G442" s="49"/>
      <c r="H442" s="34">
        <f>SUM(H434:H441)</f>
        <v>20.447003780355601</v>
      </c>
      <c r="I442" s="34">
        <f t="shared" ref="I442:P442" si="81">SUM(I434:I441)</f>
        <v>1.0800000000000018</v>
      </c>
      <c r="J442" s="34">
        <f t="shared" si="81"/>
        <v>3.0799999999999912</v>
      </c>
      <c r="K442" s="34">
        <f t="shared" si="81"/>
        <v>3.4399999999999942</v>
      </c>
      <c r="L442" s="34">
        <f t="shared" si="81"/>
        <v>4.8000000000000007</v>
      </c>
      <c r="M442" s="34">
        <f t="shared" si="81"/>
        <v>5.1599999999999966</v>
      </c>
      <c r="N442" s="34">
        <f t="shared" si="81"/>
        <v>6.1600000000000019</v>
      </c>
      <c r="O442" s="34">
        <f t="shared" si="81"/>
        <v>7.1999999999999993</v>
      </c>
      <c r="P442" s="34">
        <f t="shared" si="81"/>
        <v>5</v>
      </c>
    </row>
    <row r="443" spans="1:16" x14ac:dyDescent="0.25">
      <c r="A443" s="711"/>
      <c r="B443" s="598"/>
      <c r="C443" s="598"/>
      <c r="D443" s="598"/>
      <c r="E443" s="598"/>
      <c r="F443" s="598"/>
      <c r="G443" s="49"/>
      <c r="H443" s="31"/>
      <c r="I443" s="36"/>
      <c r="J443" s="32"/>
      <c r="K443" s="32"/>
      <c r="L443" s="32"/>
      <c r="M443" s="32"/>
      <c r="N443" s="12"/>
      <c r="O443" s="259"/>
      <c r="P443" s="16"/>
    </row>
    <row r="444" spans="1:16" x14ac:dyDescent="0.25">
      <c r="A444" s="37" t="s">
        <v>587</v>
      </c>
      <c r="B444" s="599" t="s">
        <v>802</v>
      </c>
      <c r="C444" s="598"/>
      <c r="D444" s="598"/>
      <c r="E444" s="598"/>
      <c r="F444" s="598"/>
      <c r="G444" s="49"/>
      <c r="H444" s="33">
        <f ca="1">H431-H442</f>
        <v>4.0114007319089104</v>
      </c>
      <c r="I444" s="33">
        <f t="shared" ref="I444:P444" ca="1" si="82">I431-I442</f>
        <v>2.9570714075815445</v>
      </c>
      <c r="J444" s="33">
        <f t="shared" ca="1" si="82"/>
        <v>1.2650632236327244</v>
      </c>
      <c r="K444" s="33">
        <f t="shared" ca="1" si="82"/>
        <v>1.2748510326290772</v>
      </c>
      <c r="L444" s="33">
        <f t="shared" ca="1" si="82"/>
        <v>0.29612045089984118</v>
      </c>
      <c r="M444" s="33">
        <f t="shared" ca="1" si="82"/>
        <v>0.34225172005151805</v>
      </c>
      <c r="N444" s="33">
        <f t="shared" ca="1" si="82"/>
        <v>-0.22877434197459401</v>
      </c>
      <c r="O444" s="33">
        <f t="shared" ca="1" si="82"/>
        <v>-0.81202642396412283</v>
      </c>
      <c r="P444" s="33">
        <f t="shared" ca="1" si="82"/>
        <v>1.8249976069189255</v>
      </c>
    </row>
    <row r="445" spans="1:16" x14ac:dyDescent="0.25">
      <c r="A445" s="37" t="s">
        <v>589</v>
      </c>
      <c r="B445" s="599" t="s">
        <v>803</v>
      </c>
      <c r="C445" s="598"/>
      <c r="D445" s="598"/>
      <c r="E445" s="598"/>
      <c r="F445" s="598"/>
      <c r="G445" s="49"/>
      <c r="H445" s="33">
        <f>H478</f>
        <v>12.052807359433787</v>
      </c>
      <c r="I445" s="33">
        <f t="shared" ref="I445:P445" si="83">I478</f>
        <v>3.0432850209896007</v>
      </c>
      <c r="J445" s="33">
        <f t="shared" si="83"/>
        <v>1.9428945883454434</v>
      </c>
      <c r="K445" s="33">
        <f t="shared" si="83"/>
        <v>1.9545334547186768</v>
      </c>
      <c r="L445" s="33">
        <f t="shared" si="83"/>
        <v>1.9438231246922051</v>
      </c>
      <c r="M445" s="33">
        <f t="shared" si="83"/>
        <v>0.94402570069969105</v>
      </c>
      <c r="N445" s="33">
        <f t="shared" si="83"/>
        <v>0.92658544647485575</v>
      </c>
      <c r="O445" s="33">
        <f t="shared" si="83"/>
        <v>-2.0637332620712865</v>
      </c>
      <c r="P445" s="33">
        <f t="shared" si="83"/>
        <v>1.922524669077085</v>
      </c>
    </row>
    <row r="446" spans="1:16" x14ac:dyDescent="0.25">
      <c r="A446" s="711"/>
      <c r="B446" s="599" t="s">
        <v>804</v>
      </c>
      <c r="C446" s="704"/>
      <c r="D446" s="704"/>
      <c r="E446" s="704"/>
      <c r="F446" s="704"/>
      <c r="G446" s="705"/>
      <c r="H446" s="706"/>
      <c r="I446" s="707"/>
      <c r="J446" s="707"/>
      <c r="K446" s="707"/>
      <c r="L446" s="707"/>
      <c r="M446" s="707"/>
      <c r="N446" s="707"/>
      <c r="O446" s="706"/>
      <c r="P446" s="705"/>
    </row>
    <row r="447" spans="1:16" x14ac:dyDescent="0.25">
      <c r="A447" s="715" t="s">
        <v>590</v>
      </c>
      <c r="B447" s="703" t="s">
        <v>805</v>
      </c>
      <c r="C447" s="704"/>
      <c r="D447" s="704"/>
      <c r="E447" s="704"/>
      <c r="F447" s="704"/>
      <c r="G447" s="705"/>
      <c r="H447" s="706">
        <v>6.4611241641361445</v>
      </c>
      <c r="I447" s="706">
        <v>0.88612031615671594</v>
      </c>
      <c r="J447" s="706">
        <v>0.6566738755175292</v>
      </c>
      <c r="K447" s="706">
        <v>1.0183158121584377</v>
      </c>
      <c r="L447" s="706">
        <v>1.0075389728339115</v>
      </c>
      <c r="M447" s="706">
        <v>1.0076919798543535</v>
      </c>
      <c r="N447" s="707">
        <v>0.64019615970927113</v>
      </c>
      <c r="O447" s="706">
        <v>-0.32013797418309942</v>
      </c>
      <c r="P447" s="705">
        <v>-0.57392633729374332</v>
      </c>
    </row>
    <row r="448" spans="1:16" x14ac:dyDescent="0.25">
      <c r="A448" s="715"/>
      <c r="B448" s="703" t="s">
        <v>207</v>
      </c>
      <c r="C448" s="704"/>
      <c r="D448" s="704"/>
      <c r="E448" s="704"/>
      <c r="F448" s="704"/>
      <c r="G448" s="705"/>
      <c r="H448" s="706"/>
      <c r="I448" s="707"/>
      <c r="J448" s="707"/>
      <c r="K448" s="707"/>
      <c r="L448" s="707"/>
      <c r="M448" s="707"/>
      <c r="N448" s="707"/>
      <c r="O448" s="706"/>
      <c r="P448" s="705"/>
    </row>
    <row r="449" spans="1:16" x14ac:dyDescent="0.25">
      <c r="A449" s="37" t="s">
        <v>601</v>
      </c>
      <c r="B449" s="599" t="s">
        <v>806</v>
      </c>
      <c r="C449" s="598"/>
      <c r="D449" s="598"/>
      <c r="E449" s="598"/>
      <c r="F449" s="598"/>
      <c r="G449" s="49"/>
      <c r="H449" s="33">
        <f>H445-H447</f>
        <v>5.5916831952976427</v>
      </c>
      <c r="I449" s="33">
        <f t="shared" ref="I449:P449" si="84">I445-I447</f>
        <v>2.1571647048328848</v>
      </c>
      <c r="J449" s="33">
        <f t="shared" si="84"/>
        <v>1.2862207128279142</v>
      </c>
      <c r="K449" s="33">
        <f t="shared" si="84"/>
        <v>0.93621764256023909</v>
      </c>
      <c r="L449" s="33">
        <f t="shared" si="84"/>
        <v>0.93628415185829361</v>
      </c>
      <c r="M449" s="33">
        <f t="shared" si="84"/>
        <v>-6.3666279154662497E-2</v>
      </c>
      <c r="N449" s="33">
        <f t="shared" si="84"/>
        <v>0.28638928676558462</v>
      </c>
      <c r="O449" s="33">
        <f t="shared" si="84"/>
        <v>-1.7435952878881871</v>
      </c>
      <c r="P449" s="33">
        <f t="shared" si="84"/>
        <v>2.4964510063708283</v>
      </c>
    </row>
    <row r="450" spans="1:16" x14ac:dyDescent="0.25">
      <c r="A450" s="37" t="s">
        <v>603</v>
      </c>
      <c r="B450" s="599" t="s">
        <v>807</v>
      </c>
      <c r="C450" s="598"/>
      <c r="D450" s="598"/>
      <c r="E450" s="598"/>
      <c r="F450" s="598"/>
      <c r="G450" s="49"/>
      <c r="H450" s="33">
        <f ca="1">H444-H449</f>
        <v>-1.5802824633887322</v>
      </c>
      <c r="I450" s="33">
        <f t="shared" ref="I450:P450" ca="1" si="85">I444-I449</f>
        <v>0.79990670274865971</v>
      </c>
      <c r="J450" s="33">
        <f t="shared" ca="1" si="85"/>
        <v>-2.1157489195189783E-2</v>
      </c>
      <c r="K450" s="33">
        <f t="shared" ca="1" si="85"/>
        <v>0.33863339006883808</v>
      </c>
      <c r="L450" s="33">
        <f t="shared" ca="1" si="85"/>
        <v>-0.64016370095845243</v>
      </c>
      <c r="M450" s="33">
        <f t="shared" ca="1" si="85"/>
        <v>0.40591799920618055</v>
      </c>
      <c r="N450" s="33">
        <f t="shared" ca="1" si="85"/>
        <v>-0.51516362874017863</v>
      </c>
      <c r="O450" s="33">
        <f t="shared" ca="1" si="85"/>
        <v>0.93156886392406424</v>
      </c>
      <c r="P450" s="33">
        <f t="shared" ca="1" si="85"/>
        <v>-0.67145339945190274</v>
      </c>
    </row>
    <row r="451" spans="1:16" x14ac:dyDescent="0.25">
      <c r="A451" s="37" t="s">
        <v>605</v>
      </c>
      <c r="B451" s="599" t="s">
        <v>808</v>
      </c>
      <c r="C451" s="598"/>
      <c r="D451" s="598"/>
      <c r="E451" s="598"/>
      <c r="F451" s="598"/>
      <c r="G451" s="49"/>
      <c r="H451" s="40">
        <f>H149-G149</f>
        <v>2</v>
      </c>
      <c r="I451" s="40">
        <f t="shared" ref="I451:P451" si="86">I149-H149</f>
        <v>0</v>
      </c>
      <c r="J451" s="40">
        <f t="shared" si="86"/>
        <v>0</v>
      </c>
      <c r="K451" s="40">
        <f t="shared" si="86"/>
        <v>0</v>
      </c>
      <c r="L451" s="40">
        <f t="shared" si="86"/>
        <v>0</v>
      </c>
      <c r="M451" s="40">
        <f t="shared" si="86"/>
        <v>0</v>
      </c>
      <c r="N451" s="40">
        <f t="shared" si="86"/>
        <v>0</v>
      </c>
      <c r="O451" s="40">
        <f t="shared" si="86"/>
        <v>0</v>
      </c>
      <c r="P451" s="40">
        <f t="shared" si="86"/>
        <v>0</v>
      </c>
    </row>
    <row r="452" spans="1:16" x14ac:dyDescent="0.25">
      <c r="A452" s="720"/>
      <c r="B452" s="61" t="s">
        <v>809</v>
      </c>
      <c r="C452" s="701"/>
      <c r="D452" s="701"/>
      <c r="E452" s="701"/>
      <c r="F452" s="701"/>
      <c r="G452" s="725"/>
      <c r="H452" s="256">
        <f ca="1">H450+H451</f>
        <v>0.41971753661126776</v>
      </c>
      <c r="I452" s="256">
        <f t="shared" ref="I452:P452" ca="1" si="87">I450+I451</f>
        <v>0.79990670274865971</v>
      </c>
      <c r="J452" s="256">
        <f t="shared" ca="1" si="87"/>
        <v>-2.1157489195189783E-2</v>
      </c>
      <c r="K452" s="256">
        <f t="shared" ca="1" si="87"/>
        <v>0.33863339006883808</v>
      </c>
      <c r="L452" s="256">
        <f t="shared" ca="1" si="87"/>
        <v>-0.64016370095845243</v>
      </c>
      <c r="M452" s="256">
        <f t="shared" ca="1" si="87"/>
        <v>0.40591799920618055</v>
      </c>
      <c r="N452" s="256">
        <f t="shared" ca="1" si="87"/>
        <v>-0.51516362874017863</v>
      </c>
      <c r="O452" s="256">
        <f t="shared" ca="1" si="87"/>
        <v>0.93156886392406424</v>
      </c>
      <c r="P452" s="256">
        <f t="shared" ca="1" si="87"/>
        <v>-0.67145339945190274</v>
      </c>
    </row>
    <row r="453" spans="1:16" x14ac:dyDescent="0.25">
      <c r="A453" s="711"/>
      <c r="B453" s="716"/>
      <c r="C453" s="704"/>
      <c r="D453" s="704"/>
      <c r="E453" s="704"/>
      <c r="F453" s="704"/>
      <c r="G453" s="712"/>
      <c r="H453" s="712"/>
      <c r="I453" s="712"/>
      <c r="J453" s="712"/>
      <c r="K453" s="712"/>
      <c r="L453" s="712"/>
      <c r="M453" s="712"/>
      <c r="N453" s="709"/>
      <c r="O453" s="709"/>
      <c r="P453" s="710"/>
    </row>
    <row r="454" spans="1:16" x14ac:dyDescent="0.25">
      <c r="A454" s="711"/>
      <c r="B454" s="716"/>
      <c r="C454" s="704"/>
      <c r="D454" s="704"/>
      <c r="E454" s="704"/>
      <c r="F454" s="704"/>
      <c r="G454" s="712"/>
      <c r="H454" s="712"/>
      <c r="I454" s="712"/>
      <c r="J454" s="712"/>
      <c r="K454" s="712"/>
      <c r="L454" s="712"/>
      <c r="M454" s="712"/>
      <c r="N454" s="712"/>
      <c r="O454" s="712"/>
      <c r="P454" s="705"/>
    </row>
    <row r="455" spans="1:16" x14ac:dyDescent="0.25">
      <c r="A455" s="711"/>
      <c r="B455" s="716"/>
      <c r="C455" s="704"/>
      <c r="D455" s="704"/>
      <c r="E455" s="704"/>
      <c r="F455" s="704"/>
      <c r="G455" s="712"/>
      <c r="H455" s="712"/>
      <c r="I455" s="712"/>
      <c r="J455" s="712"/>
      <c r="K455" s="712"/>
      <c r="L455" s="712"/>
      <c r="M455" s="712"/>
      <c r="N455" s="709"/>
      <c r="O455" s="709"/>
      <c r="P455" s="710"/>
    </row>
    <row r="456" spans="1:16" x14ac:dyDescent="0.25">
      <c r="A456" s="711"/>
      <c r="B456" s="716"/>
      <c r="C456" s="704"/>
      <c r="D456" s="704"/>
      <c r="E456" s="704"/>
      <c r="F456" s="704"/>
      <c r="G456" s="712"/>
      <c r="H456" s="712"/>
      <c r="I456" s="712"/>
      <c r="J456" s="712"/>
      <c r="K456" s="712"/>
      <c r="L456" s="712"/>
      <c r="M456" s="712"/>
      <c r="N456" s="712"/>
      <c r="O456" s="712"/>
      <c r="P456" s="705"/>
    </row>
    <row r="457" spans="1:16" x14ac:dyDescent="0.25">
      <c r="A457" s="711"/>
      <c r="B457" s="716"/>
      <c r="C457" s="704"/>
      <c r="D457" s="704"/>
      <c r="E457" s="704"/>
      <c r="F457" s="704"/>
      <c r="G457" s="712"/>
      <c r="H457" s="712"/>
      <c r="I457" s="712"/>
      <c r="J457" s="712"/>
      <c r="K457" s="712"/>
      <c r="L457" s="712"/>
      <c r="M457" s="712"/>
      <c r="N457" s="712"/>
      <c r="O457" s="712"/>
      <c r="P457" s="705"/>
    </row>
    <row r="458" spans="1:16" x14ac:dyDescent="0.25">
      <c r="A458" s="711"/>
      <c r="B458" s="716"/>
      <c r="C458" s="704"/>
      <c r="D458" s="704"/>
      <c r="E458" s="704"/>
      <c r="F458" s="704"/>
      <c r="G458" s="712"/>
      <c r="H458" s="712"/>
      <c r="I458" s="712"/>
      <c r="J458" s="712"/>
      <c r="K458" s="712"/>
      <c r="L458" s="712"/>
      <c r="M458" s="712"/>
      <c r="N458" s="712"/>
      <c r="O458" s="712"/>
      <c r="P458" s="705"/>
    </row>
    <row r="459" spans="1:16" x14ac:dyDescent="0.25">
      <c r="A459" s="711"/>
      <c r="B459" s="716"/>
      <c r="C459" s="704"/>
      <c r="D459" s="704"/>
      <c r="E459" s="704"/>
      <c r="F459" s="704"/>
      <c r="G459" s="712"/>
      <c r="H459" s="712"/>
      <c r="I459" s="712"/>
      <c r="J459" s="712"/>
      <c r="K459" s="712"/>
      <c r="L459" s="712"/>
      <c r="M459" s="712"/>
      <c r="N459" s="712"/>
      <c r="O459" s="712"/>
      <c r="P459" s="705"/>
    </row>
    <row r="460" spans="1:16" x14ac:dyDescent="0.25">
      <c r="A460" s="720"/>
      <c r="B460" s="721"/>
      <c r="C460" s="722"/>
      <c r="D460" s="722"/>
      <c r="E460" s="722"/>
      <c r="F460" s="722"/>
      <c r="G460" s="724"/>
      <c r="H460" s="724"/>
      <c r="I460" s="724"/>
      <c r="J460" s="724"/>
      <c r="K460" s="724"/>
      <c r="L460" s="724"/>
      <c r="M460" s="724"/>
      <c r="N460" s="724"/>
      <c r="O460" s="724"/>
      <c r="P460" s="723"/>
    </row>
    <row r="461" spans="1:16" x14ac:dyDescent="0.25">
      <c r="A461" s="506"/>
      <c r="B461" s="58"/>
      <c r="C461" s="59"/>
      <c r="D461" s="59"/>
      <c r="E461" s="59"/>
      <c r="F461" s="59"/>
      <c r="G461" s="52"/>
      <c r="H461" s="52"/>
      <c r="I461" s="52"/>
      <c r="J461" s="52"/>
      <c r="K461" s="52"/>
      <c r="L461" s="52"/>
      <c r="M461" s="52"/>
      <c r="N461" s="12"/>
      <c r="O461" s="12"/>
      <c r="P461" s="16"/>
    </row>
    <row r="462" spans="1:16" x14ac:dyDescent="0.25">
      <c r="A462" s="796" t="s">
        <v>843</v>
      </c>
      <c r="B462" s="797"/>
      <c r="C462" s="797"/>
      <c r="D462" s="797"/>
      <c r="E462" s="797"/>
      <c r="F462" s="797"/>
      <c r="G462" s="797"/>
      <c r="H462" s="797"/>
      <c r="I462" s="797"/>
      <c r="J462" s="797"/>
      <c r="K462" s="797"/>
      <c r="L462" s="797"/>
      <c r="M462" s="797"/>
      <c r="N462" s="797"/>
      <c r="O462" s="797"/>
      <c r="P462" s="798"/>
    </row>
    <row r="463" spans="1:16" x14ac:dyDescent="0.25">
      <c r="A463" s="796" t="s">
        <v>1139</v>
      </c>
      <c r="B463" s="797"/>
      <c r="C463" s="797"/>
      <c r="D463" s="797"/>
      <c r="E463" s="797"/>
      <c r="F463" s="797"/>
      <c r="G463" s="797"/>
      <c r="H463" s="797"/>
      <c r="I463" s="797"/>
      <c r="J463" s="797"/>
      <c r="K463" s="797"/>
      <c r="L463" s="797"/>
      <c r="M463" s="797"/>
      <c r="N463" s="797"/>
      <c r="O463" s="797"/>
      <c r="P463" s="798"/>
    </row>
    <row r="464" spans="1:16" x14ac:dyDescent="0.25">
      <c r="A464" s="507"/>
      <c r="B464" s="600"/>
      <c r="C464" s="600"/>
      <c r="D464" s="600"/>
      <c r="E464" s="600"/>
      <c r="F464" s="600"/>
      <c r="G464" s="600"/>
      <c r="H464" s="600"/>
      <c r="I464" s="600"/>
      <c r="J464" s="600"/>
      <c r="K464" s="600"/>
      <c r="L464" s="600"/>
      <c r="M464" s="600"/>
      <c r="N464" s="600"/>
      <c r="O464" s="600"/>
      <c r="P464" s="601"/>
    </row>
    <row r="465" spans="1:16" x14ac:dyDescent="0.25">
      <c r="A465" s="803" t="s">
        <v>443</v>
      </c>
      <c r="B465" s="804"/>
      <c r="C465" s="804"/>
      <c r="D465" s="804"/>
      <c r="E465" s="804"/>
      <c r="F465" s="804"/>
      <c r="G465" s="805"/>
      <c r="H465" s="136">
        <v>1</v>
      </c>
      <c r="I465" s="136">
        <v>2</v>
      </c>
      <c r="J465" s="136">
        <v>3</v>
      </c>
      <c r="K465" s="136">
        <v>4</v>
      </c>
      <c r="L465" s="136">
        <v>5</v>
      </c>
      <c r="M465" s="136">
        <v>6</v>
      </c>
      <c r="N465" s="136">
        <v>7</v>
      </c>
      <c r="O465" s="136">
        <v>8</v>
      </c>
      <c r="P465" s="136">
        <v>9</v>
      </c>
    </row>
    <row r="466" spans="1:16" x14ac:dyDescent="0.25">
      <c r="A466" s="801"/>
      <c r="B466" s="802"/>
      <c r="C466" s="802"/>
      <c r="D466" s="802"/>
      <c r="E466" s="802"/>
      <c r="F466" s="802"/>
      <c r="G466" s="855"/>
      <c r="H466" s="136">
        <v>2024</v>
      </c>
      <c r="I466" s="136">
        <v>2025</v>
      </c>
      <c r="J466" s="136">
        <v>2026</v>
      </c>
      <c r="K466" s="136">
        <v>2027</v>
      </c>
      <c r="L466" s="136">
        <v>2028</v>
      </c>
      <c r="M466" s="136">
        <v>2029</v>
      </c>
      <c r="N466" s="136">
        <v>2030</v>
      </c>
      <c r="O466" s="136">
        <v>2031</v>
      </c>
      <c r="P466" s="136">
        <v>2032</v>
      </c>
    </row>
    <row r="467" spans="1:16" x14ac:dyDescent="0.25">
      <c r="A467" s="500" t="s">
        <v>62</v>
      </c>
      <c r="B467" s="12"/>
      <c r="C467" s="59"/>
      <c r="D467" s="59"/>
      <c r="E467" s="59"/>
      <c r="F467" s="59"/>
      <c r="G467" s="52"/>
      <c r="H467" s="31"/>
      <c r="I467" s="36"/>
      <c r="J467" s="36"/>
      <c r="K467" s="36"/>
      <c r="L467" s="36"/>
      <c r="M467" s="36"/>
      <c r="N467" s="36"/>
      <c r="O467" s="36"/>
      <c r="P467" s="31"/>
    </row>
    <row r="468" spans="1:16" x14ac:dyDescent="0.25">
      <c r="A468" s="715" t="s">
        <v>591</v>
      </c>
      <c r="B468" s="703" t="s">
        <v>63</v>
      </c>
      <c r="C468" s="709"/>
      <c r="D468" s="704"/>
      <c r="E468" s="704"/>
      <c r="F468" s="704"/>
      <c r="G468" s="712"/>
      <c r="H468" s="706">
        <v>2.5158893280632406</v>
      </c>
      <c r="I468" s="706">
        <v>0.20965744400527023</v>
      </c>
      <c r="J468" s="706">
        <v>0.20965744400527059</v>
      </c>
      <c r="K468" s="706">
        <v>0.20965744400527042</v>
      </c>
      <c r="L468" s="706">
        <v>0.20965744400527025</v>
      </c>
      <c r="M468" s="706">
        <v>0.2096574440052697</v>
      </c>
      <c r="N468" s="706">
        <v>0.20965744400527092</v>
      </c>
      <c r="O468" s="706">
        <v>0.20965744400526987</v>
      </c>
      <c r="P468" s="706">
        <v>0.20965744400526976</v>
      </c>
    </row>
    <row r="469" spans="1:16" x14ac:dyDescent="0.25">
      <c r="A469" s="715" t="s">
        <v>569</v>
      </c>
      <c r="B469" s="703" t="s">
        <v>64</v>
      </c>
      <c r="C469" s="709"/>
      <c r="D469" s="704"/>
      <c r="E469" s="704"/>
      <c r="F469" s="704"/>
      <c r="G469" s="712"/>
      <c r="H469" s="706">
        <v>0.35</v>
      </c>
      <c r="I469" s="706">
        <v>3.0000000000000027E-2</v>
      </c>
      <c r="J469" s="706">
        <v>2.0000000000000018E-2</v>
      </c>
      <c r="K469" s="706">
        <v>2.9999999999999971E-2</v>
      </c>
      <c r="L469" s="706">
        <v>3.0000000000000027E-2</v>
      </c>
      <c r="M469" s="706">
        <v>2.9999999999999971E-2</v>
      </c>
      <c r="N469" s="706">
        <v>2.0000000000000018E-2</v>
      </c>
      <c r="O469" s="706">
        <v>3.0000000000000027E-2</v>
      </c>
      <c r="P469" s="706">
        <v>2.9999999999999916E-2</v>
      </c>
    </row>
    <row r="470" spans="1:16" x14ac:dyDescent="0.25">
      <c r="A470" s="715" t="s">
        <v>570</v>
      </c>
      <c r="B470" s="703" t="s">
        <v>65</v>
      </c>
      <c r="C470" s="709"/>
      <c r="D470" s="704"/>
      <c r="E470" s="704"/>
      <c r="F470" s="704"/>
      <c r="G470" s="712"/>
      <c r="H470" s="706">
        <v>1.601544601449074</v>
      </c>
      <c r="I470" s="706">
        <v>0.16002806119846302</v>
      </c>
      <c r="J470" s="706">
        <v>0.12489528171500863</v>
      </c>
      <c r="K470" s="706">
        <v>0.12484155203073044</v>
      </c>
      <c r="L470" s="706">
        <v>0.12600546474668572</v>
      </c>
      <c r="M470" s="706">
        <v>0.12687292201988365</v>
      </c>
      <c r="N470" s="706">
        <v>0.12784532562425532</v>
      </c>
      <c r="O470" s="706">
        <v>0.12811526918324168</v>
      </c>
      <c r="P470" s="706">
        <v>0.12892541871601493</v>
      </c>
    </row>
    <row r="471" spans="1:16" x14ac:dyDescent="0.25">
      <c r="A471" s="715" t="s">
        <v>571</v>
      </c>
      <c r="B471" s="703" t="s">
        <v>66</v>
      </c>
      <c r="C471" s="709"/>
      <c r="D471" s="704"/>
      <c r="E471" s="704"/>
      <c r="F471" s="704"/>
      <c r="G471" s="712"/>
      <c r="H471" s="706"/>
      <c r="I471" s="707"/>
      <c r="J471" s="707"/>
      <c r="K471" s="707"/>
      <c r="L471" s="707"/>
      <c r="M471" s="707"/>
      <c r="N471" s="707"/>
      <c r="O471" s="707"/>
      <c r="P471" s="706"/>
    </row>
    <row r="472" spans="1:16" x14ac:dyDescent="0.25">
      <c r="A472" s="711"/>
      <c r="B472" s="703" t="s">
        <v>67</v>
      </c>
      <c r="C472" s="709"/>
      <c r="D472" s="704"/>
      <c r="E472" s="704"/>
      <c r="F472" s="704"/>
      <c r="G472" s="712"/>
      <c r="H472" s="706">
        <v>2.4619502465753422</v>
      </c>
      <c r="I472" s="706">
        <v>0.25851747945205528</v>
      </c>
      <c r="J472" s="706">
        <v>0.2096087671232878</v>
      </c>
      <c r="K472" s="706">
        <v>0.20960876712328735</v>
      </c>
      <c r="L472" s="706">
        <v>0.20960876712328824</v>
      </c>
      <c r="M472" s="706">
        <v>0.20960876712328735</v>
      </c>
      <c r="N472" s="706">
        <v>0.20960876712328824</v>
      </c>
      <c r="O472" s="706">
        <v>0.20960876712328824</v>
      </c>
      <c r="P472" s="706">
        <v>0.20960876712328735</v>
      </c>
    </row>
    <row r="473" spans="1:16" x14ac:dyDescent="0.25">
      <c r="A473" s="711"/>
      <c r="B473" s="703" t="s">
        <v>68</v>
      </c>
      <c r="C473" s="709"/>
      <c r="D473" s="704"/>
      <c r="E473" s="704"/>
      <c r="F473" s="704"/>
      <c r="G473" s="712"/>
      <c r="H473" s="706"/>
      <c r="I473" s="707"/>
      <c r="J473" s="707"/>
      <c r="K473" s="707"/>
      <c r="L473" s="707"/>
      <c r="M473" s="707"/>
      <c r="N473" s="707"/>
      <c r="O473" s="707"/>
      <c r="P473" s="706"/>
    </row>
    <row r="474" spans="1:16" x14ac:dyDescent="0.25">
      <c r="A474" s="715" t="s">
        <v>572</v>
      </c>
      <c r="B474" s="703" t="s">
        <v>69</v>
      </c>
      <c r="C474" s="709"/>
      <c r="D474" s="704"/>
      <c r="E474" s="704"/>
      <c r="F474" s="704"/>
      <c r="G474" s="712"/>
      <c r="H474" s="706">
        <v>0.23454545454545456</v>
      </c>
      <c r="I474" s="706">
        <v>1.9545454545454546E-2</v>
      </c>
      <c r="J474" s="706">
        <v>1.9545454545454598E-2</v>
      </c>
      <c r="K474" s="706">
        <v>1.9545454545454512E-2</v>
      </c>
      <c r="L474" s="706">
        <v>1.9545454545454592E-2</v>
      </c>
      <c r="M474" s="706">
        <v>1.9545454545454508E-2</v>
      </c>
      <c r="N474" s="706">
        <v>1.9545454545454588E-2</v>
      </c>
      <c r="O474" s="706">
        <v>1.9545454545454557E-2</v>
      </c>
      <c r="P474" s="706">
        <v>1.9545454545454529E-2</v>
      </c>
    </row>
    <row r="475" spans="1:16" x14ac:dyDescent="0.25">
      <c r="A475" s="715" t="s">
        <v>563</v>
      </c>
      <c r="B475" s="703" t="s">
        <v>70</v>
      </c>
      <c r="C475" s="709"/>
      <c r="D475" s="704"/>
      <c r="E475" s="704"/>
      <c r="F475" s="704"/>
      <c r="G475" s="712"/>
      <c r="H475" s="706">
        <v>4.8888777288006757</v>
      </c>
      <c r="I475" s="706">
        <v>2.3655365817883576</v>
      </c>
      <c r="J475" s="706">
        <v>1.3591876409564216</v>
      </c>
      <c r="K475" s="706">
        <v>1.3608802370139341</v>
      </c>
      <c r="L475" s="706">
        <v>1.349005994271506</v>
      </c>
      <c r="M475" s="706">
        <v>0.34834111300579584</v>
      </c>
      <c r="N475" s="706">
        <v>0.33992845517658665</v>
      </c>
      <c r="O475" s="706">
        <v>-2.6606601969285411</v>
      </c>
      <c r="P475" s="706">
        <v>1.3247875846870585</v>
      </c>
    </row>
    <row r="476" spans="1:16" x14ac:dyDescent="0.25">
      <c r="A476" s="711"/>
      <c r="B476" s="703" t="s">
        <v>71</v>
      </c>
      <c r="C476" s="709"/>
      <c r="D476" s="704"/>
      <c r="E476" s="704"/>
      <c r="F476" s="704"/>
      <c r="G476" s="712"/>
      <c r="H476" s="706"/>
      <c r="I476" s="707"/>
      <c r="J476" s="707"/>
      <c r="K476" s="707"/>
      <c r="L476" s="707"/>
      <c r="M476" s="707"/>
      <c r="N476" s="707"/>
      <c r="O476" s="707"/>
      <c r="P476" s="706"/>
    </row>
    <row r="477" spans="1:16" x14ac:dyDescent="0.25">
      <c r="A477" s="37" t="s">
        <v>573</v>
      </c>
      <c r="B477" s="599" t="s">
        <v>72</v>
      </c>
      <c r="D477" s="598"/>
      <c r="E477" s="598"/>
      <c r="F477" s="598"/>
      <c r="G477" s="583"/>
      <c r="H477" s="40"/>
      <c r="I477" s="35"/>
      <c r="J477" s="35"/>
      <c r="K477" s="35"/>
      <c r="L477" s="35"/>
      <c r="M477" s="35"/>
      <c r="N477" s="35"/>
      <c r="O477" s="35"/>
      <c r="P477" s="33"/>
    </row>
    <row r="478" spans="1:16" x14ac:dyDescent="0.25">
      <c r="A478" s="470" t="s">
        <v>574</v>
      </c>
      <c r="B478" s="41" t="s">
        <v>73</v>
      </c>
      <c r="C478" s="19"/>
      <c r="D478" s="42"/>
      <c r="E478" s="42"/>
      <c r="F478" s="42"/>
      <c r="G478" s="43"/>
      <c r="H478" s="34">
        <f>SUM(H468:H477)</f>
        <v>12.052807359433787</v>
      </c>
      <c r="I478" s="34">
        <f t="shared" ref="I478:P478" si="88">SUM(I468:I477)</f>
        <v>3.0432850209896007</v>
      </c>
      <c r="J478" s="34">
        <f t="shared" si="88"/>
        <v>1.9428945883454434</v>
      </c>
      <c r="K478" s="34">
        <f t="shared" si="88"/>
        <v>1.9545334547186768</v>
      </c>
      <c r="L478" s="34">
        <f t="shared" si="88"/>
        <v>1.9438231246922051</v>
      </c>
      <c r="M478" s="34">
        <f t="shared" si="88"/>
        <v>0.94402570069969105</v>
      </c>
      <c r="N478" s="34">
        <f t="shared" si="88"/>
        <v>0.92658544647485575</v>
      </c>
      <c r="O478" s="34">
        <f t="shared" si="88"/>
        <v>-2.0637332620712865</v>
      </c>
      <c r="P478" s="34">
        <f t="shared" si="88"/>
        <v>1.922524669077085</v>
      </c>
    </row>
    <row r="479" spans="1:16" x14ac:dyDescent="0.25">
      <c r="A479" s="711"/>
      <c r="B479" s="704"/>
      <c r="C479" s="704"/>
      <c r="D479" s="704"/>
      <c r="E479" s="704"/>
      <c r="F479" s="704"/>
      <c r="G479" s="712"/>
      <c r="H479" s="712"/>
      <c r="I479" s="712"/>
      <c r="J479" s="713"/>
      <c r="K479" s="713"/>
      <c r="L479" s="713"/>
      <c r="M479" s="713"/>
      <c r="N479" s="709"/>
      <c r="O479" s="709"/>
      <c r="P479" s="710"/>
    </row>
    <row r="480" spans="1:16" x14ac:dyDescent="0.25">
      <c r="A480" s="711"/>
      <c r="B480" s="704"/>
      <c r="C480" s="704"/>
      <c r="D480" s="704"/>
      <c r="E480" s="704"/>
      <c r="F480" s="704"/>
      <c r="G480" s="712"/>
      <c r="H480" s="712"/>
      <c r="I480" s="712"/>
      <c r="J480" s="713"/>
      <c r="K480" s="713"/>
      <c r="L480" s="713"/>
      <c r="M480" s="713"/>
      <c r="N480" s="709"/>
      <c r="O480" s="709"/>
      <c r="P480" s="710"/>
    </row>
    <row r="481" spans="1:16" x14ac:dyDescent="0.25">
      <c r="A481" s="711"/>
      <c r="B481" s="704"/>
      <c r="C481" s="704"/>
      <c r="D481" s="704"/>
      <c r="E481" s="704"/>
      <c r="F481" s="704"/>
      <c r="G481" s="712"/>
      <c r="H481" s="712"/>
      <c r="I481" s="712"/>
      <c r="J481" s="713"/>
      <c r="K481" s="713"/>
      <c r="L481" s="713"/>
      <c r="M481" s="713"/>
      <c r="N481" s="709"/>
      <c r="O481" s="709"/>
      <c r="P481" s="710"/>
    </row>
    <row r="482" spans="1:16" x14ac:dyDescent="0.25">
      <c r="A482" s="503"/>
      <c r="B482" s="598"/>
      <c r="C482" s="598"/>
      <c r="D482" s="598"/>
      <c r="E482" s="598"/>
      <c r="F482" s="598"/>
      <c r="G482" s="583"/>
      <c r="H482" s="583"/>
      <c r="I482" s="583"/>
      <c r="J482" s="584"/>
      <c r="K482" s="584"/>
      <c r="L482" s="584"/>
      <c r="M482" s="584"/>
      <c r="P482" s="17"/>
    </row>
    <row r="483" spans="1:16" x14ac:dyDescent="0.25">
      <c r="A483" s="503"/>
      <c r="B483" s="598"/>
      <c r="C483" s="598"/>
      <c r="D483" s="598"/>
      <c r="E483" s="598"/>
      <c r="F483" s="598"/>
      <c r="G483" s="583"/>
      <c r="H483" s="583"/>
      <c r="I483" s="583"/>
      <c r="J483" s="584"/>
      <c r="K483" s="584"/>
      <c r="L483" s="584"/>
      <c r="M483" s="584"/>
      <c r="P483" s="17"/>
    </row>
    <row r="484" spans="1:16" x14ac:dyDescent="0.25">
      <c r="A484" s="503"/>
      <c r="B484" s="598"/>
      <c r="C484" s="598"/>
      <c r="D484" s="598"/>
      <c r="E484" s="598"/>
      <c r="F484" s="598"/>
      <c r="G484" s="583"/>
      <c r="H484" s="583"/>
      <c r="I484" s="583"/>
      <c r="J484" s="584"/>
      <c r="K484" s="584"/>
      <c r="L484" s="584"/>
      <c r="M484" s="584"/>
      <c r="P484" s="17"/>
    </row>
    <row r="485" spans="1:16" x14ac:dyDescent="0.25">
      <c r="A485" s="503"/>
      <c r="B485" s="598"/>
      <c r="C485" s="598"/>
      <c r="D485" s="598"/>
      <c r="E485" s="598"/>
      <c r="F485" s="598"/>
      <c r="G485" s="583"/>
      <c r="H485" s="583"/>
      <c r="I485" s="583"/>
      <c r="J485" s="584"/>
      <c r="K485" s="584"/>
      <c r="L485" s="584"/>
      <c r="M485" s="584"/>
      <c r="P485" s="17"/>
    </row>
    <row r="486" spans="1:16" x14ac:dyDescent="0.25">
      <c r="A486" s="503"/>
      <c r="B486" s="598"/>
      <c r="C486" s="598"/>
      <c r="D486" s="598"/>
      <c r="E486" s="598"/>
      <c r="F486" s="598"/>
      <c r="G486" s="583"/>
      <c r="H486" s="583"/>
      <c r="I486" s="583"/>
      <c r="J486" s="584"/>
      <c r="K486" s="584"/>
      <c r="L486" s="584"/>
      <c r="M486" s="584"/>
      <c r="P486" s="17"/>
    </row>
    <row r="487" spans="1:16" x14ac:dyDescent="0.25">
      <c r="A487" s="503"/>
      <c r="B487" s="598"/>
      <c r="C487" s="598"/>
      <c r="D487" s="598"/>
      <c r="E487" s="598"/>
      <c r="F487" s="598"/>
      <c r="G487" s="583"/>
      <c r="H487" s="583"/>
      <c r="I487" s="583"/>
      <c r="J487" s="584"/>
      <c r="K487" s="584"/>
      <c r="L487" s="584"/>
      <c r="M487" s="584"/>
      <c r="P487" s="17"/>
    </row>
    <row r="488" spans="1:16" x14ac:dyDescent="0.25">
      <c r="A488" s="503"/>
      <c r="B488" s="598"/>
      <c r="C488" s="598"/>
      <c r="D488" s="598"/>
      <c r="E488" s="598"/>
      <c r="F488" s="598"/>
      <c r="G488" s="583"/>
      <c r="H488" s="583"/>
      <c r="I488" s="583"/>
      <c r="J488" s="584"/>
      <c r="K488" s="584"/>
      <c r="L488" s="584"/>
      <c r="M488" s="584"/>
      <c r="P488" s="17"/>
    </row>
    <row r="489" spans="1:16" x14ac:dyDescent="0.25">
      <c r="A489" s="503"/>
      <c r="B489" s="598"/>
      <c r="C489" s="598"/>
      <c r="D489" s="598"/>
      <c r="E489" s="598"/>
      <c r="F489" s="598"/>
      <c r="G489" s="583"/>
      <c r="H489" s="583"/>
      <c r="I489" s="583"/>
      <c r="J489" s="584"/>
      <c r="K489" s="584"/>
      <c r="L489" s="584"/>
      <c r="M489" s="584"/>
      <c r="P489" s="17"/>
    </row>
    <row r="490" spans="1:16" x14ac:dyDescent="0.25">
      <c r="A490" s="503"/>
      <c r="B490" s="598"/>
      <c r="C490" s="598"/>
      <c r="D490" s="598"/>
      <c r="E490" s="598"/>
      <c r="F490" s="598"/>
      <c r="G490" s="583"/>
      <c r="H490" s="583"/>
      <c r="I490" s="583"/>
      <c r="J490" s="584"/>
      <c r="K490" s="584"/>
      <c r="L490" s="584"/>
      <c r="M490" s="584"/>
      <c r="P490" s="17"/>
    </row>
    <row r="491" spans="1:16" x14ac:dyDescent="0.25">
      <c r="A491" s="503"/>
      <c r="B491" s="598"/>
      <c r="C491" s="598"/>
      <c r="D491" s="598"/>
      <c r="E491" s="598"/>
      <c r="F491" s="598"/>
      <c r="G491" s="583"/>
      <c r="H491" s="583"/>
      <c r="I491" s="583"/>
      <c r="J491" s="584"/>
      <c r="K491" s="584"/>
      <c r="L491" s="584"/>
      <c r="M491" s="584"/>
      <c r="P491" s="17"/>
    </row>
    <row r="492" spans="1:16" x14ac:dyDescent="0.25">
      <c r="A492" s="503"/>
      <c r="B492" s="598"/>
      <c r="C492" s="598"/>
      <c r="D492" s="598"/>
      <c r="E492" s="598"/>
      <c r="F492" s="598"/>
      <c r="G492" s="583"/>
      <c r="H492" s="583"/>
      <c r="I492" s="583"/>
      <c r="J492" s="584"/>
      <c r="K492" s="584"/>
      <c r="L492" s="584"/>
      <c r="M492" s="584"/>
      <c r="P492" s="17"/>
    </row>
    <row r="493" spans="1:16" x14ac:dyDescent="0.25">
      <c r="A493" s="503"/>
      <c r="B493" s="598"/>
      <c r="C493" s="598"/>
      <c r="D493" s="598"/>
      <c r="E493" s="598"/>
      <c r="F493" s="598"/>
      <c r="G493" s="583"/>
      <c r="H493" s="583"/>
      <c r="I493" s="583"/>
      <c r="J493" s="584"/>
      <c r="K493" s="584"/>
      <c r="L493" s="584"/>
      <c r="M493" s="584"/>
      <c r="P493" s="17"/>
    </row>
    <row r="494" spans="1:16" x14ac:dyDescent="0.25">
      <c r="A494" s="503"/>
      <c r="B494" s="598"/>
      <c r="C494" s="598"/>
      <c r="D494" s="598"/>
      <c r="E494" s="598"/>
      <c r="F494" s="598"/>
      <c r="G494" s="583"/>
      <c r="H494" s="583"/>
      <c r="I494" s="583"/>
      <c r="J494" s="584"/>
      <c r="K494" s="584"/>
      <c r="L494" s="584"/>
      <c r="M494" s="584"/>
      <c r="P494" s="17"/>
    </row>
    <row r="495" spans="1:16" x14ac:dyDescent="0.25">
      <c r="A495" s="503"/>
      <c r="B495" s="598"/>
      <c r="C495" s="598"/>
      <c r="D495" s="598"/>
      <c r="E495" s="598"/>
      <c r="F495" s="598"/>
      <c r="G495" s="583"/>
      <c r="H495" s="583"/>
      <c r="I495" s="583"/>
      <c r="J495" s="584"/>
      <c r="K495" s="584"/>
      <c r="L495" s="584"/>
      <c r="M495" s="584"/>
      <c r="P495" s="17"/>
    </row>
    <row r="496" spans="1:16" x14ac:dyDescent="0.25">
      <c r="A496" s="503"/>
      <c r="B496" s="598"/>
      <c r="C496" s="598"/>
      <c r="D496" s="598"/>
      <c r="E496" s="598"/>
      <c r="F496" s="598"/>
      <c r="G496" s="583"/>
      <c r="H496" s="583"/>
      <c r="I496" s="583"/>
      <c r="J496" s="584"/>
      <c r="K496" s="584"/>
      <c r="L496" s="584"/>
      <c r="M496" s="584"/>
      <c r="P496" s="17"/>
    </row>
    <row r="497" spans="1:16" x14ac:dyDescent="0.25">
      <c r="A497" s="503"/>
      <c r="B497" s="598"/>
      <c r="C497" s="598"/>
      <c r="D497" s="598"/>
      <c r="E497" s="598"/>
      <c r="F497" s="598"/>
      <c r="G497" s="583"/>
      <c r="H497" s="583"/>
      <c r="I497" s="583"/>
      <c r="J497" s="584"/>
      <c r="K497" s="584"/>
      <c r="L497" s="584"/>
      <c r="M497" s="584"/>
      <c r="P497" s="17"/>
    </row>
    <row r="498" spans="1:16" x14ac:dyDescent="0.25">
      <c r="A498" s="503"/>
      <c r="B498" s="598"/>
      <c r="C498" s="598"/>
      <c r="D498" s="598"/>
      <c r="E498" s="598"/>
      <c r="F498" s="598"/>
      <c r="G498" s="583"/>
      <c r="H498" s="583"/>
      <c r="I498" s="583"/>
      <c r="J498" s="584"/>
      <c r="K498" s="584"/>
      <c r="L498" s="584"/>
      <c r="M498" s="584"/>
      <c r="P498" s="17"/>
    </row>
    <row r="499" spans="1:16" x14ac:dyDescent="0.25">
      <c r="A499" s="503"/>
      <c r="B499" s="598"/>
      <c r="C499" s="598"/>
      <c r="D499" s="598"/>
      <c r="E499" s="598"/>
      <c r="F499" s="598"/>
      <c r="G499" s="583"/>
      <c r="H499" s="583"/>
      <c r="I499" s="583"/>
      <c r="J499" s="584"/>
      <c r="K499" s="584"/>
      <c r="L499" s="584"/>
      <c r="M499" s="584"/>
      <c r="P499" s="17"/>
    </row>
    <row r="500" spans="1:16" x14ac:dyDescent="0.25">
      <c r="A500" s="503"/>
      <c r="B500" s="598"/>
      <c r="C500" s="598"/>
      <c r="D500" s="598"/>
      <c r="E500" s="598"/>
      <c r="F500" s="598"/>
      <c r="G500" s="583"/>
      <c r="H500" s="583"/>
      <c r="I500" s="583"/>
      <c r="J500" s="584"/>
      <c r="K500" s="584"/>
      <c r="L500" s="584"/>
      <c r="M500" s="584"/>
      <c r="P500" s="17"/>
    </row>
    <row r="501" spans="1:16" x14ac:dyDescent="0.25">
      <c r="A501" s="503"/>
      <c r="B501" s="598"/>
      <c r="C501" s="598"/>
      <c r="D501" s="598"/>
      <c r="E501" s="598"/>
      <c r="F501" s="598"/>
      <c r="G501" s="583"/>
      <c r="H501" s="583"/>
      <c r="I501" s="583"/>
      <c r="J501" s="584"/>
      <c r="K501" s="584"/>
      <c r="L501" s="584"/>
      <c r="M501" s="584"/>
      <c r="P501" s="17"/>
    </row>
    <row r="502" spans="1:16" x14ac:dyDescent="0.25">
      <c r="A502" s="503"/>
      <c r="B502" s="598"/>
      <c r="C502" s="598"/>
      <c r="D502" s="598"/>
      <c r="E502" s="598"/>
      <c r="F502" s="598"/>
      <c r="G502" s="583"/>
      <c r="H502" s="583"/>
      <c r="I502" s="583"/>
      <c r="J502" s="584"/>
      <c r="K502" s="584"/>
      <c r="L502" s="584"/>
      <c r="M502" s="584"/>
      <c r="P502" s="17"/>
    </row>
    <row r="503" spans="1:16" x14ac:dyDescent="0.25">
      <c r="A503" s="503"/>
      <c r="B503" s="598"/>
      <c r="C503" s="598"/>
      <c r="D503" s="598"/>
      <c r="E503" s="598"/>
      <c r="F503" s="598"/>
      <c r="G503" s="583"/>
      <c r="H503" s="583"/>
      <c r="I503" s="583"/>
      <c r="J503" s="584"/>
      <c r="K503" s="584"/>
      <c r="L503" s="584"/>
      <c r="M503" s="584"/>
      <c r="P503" s="17"/>
    </row>
    <row r="504" spans="1:16" x14ac:dyDescent="0.25">
      <c r="A504" s="503"/>
      <c r="B504" s="598"/>
      <c r="C504" s="598"/>
      <c r="D504" s="598"/>
      <c r="E504" s="598"/>
      <c r="F504" s="598"/>
      <c r="G504" s="583"/>
      <c r="H504" s="583"/>
      <c r="I504" s="583"/>
      <c r="J504" s="584"/>
      <c r="K504" s="584"/>
      <c r="L504" s="584"/>
      <c r="M504" s="584"/>
      <c r="P504" s="17"/>
    </row>
    <row r="505" spans="1:16" x14ac:dyDescent="0.25">
      <c r="A505" s="503"/>
      <c r="B505" s="598"/>
      <c r="C505" s="598"/>
      <c r="D505" s="598"/>
      <c r="E505" s="598"/>
      <c r="F505" s="598"/>
      <c r="G505" s="583"/>
      <c r="H505" s="583"/>
      <c r="I505" s="583"/>
      <c r="J505" s="584"/>
      <c r="K505" s="584"/>
      <c r="L505" s="584"/>
      <c r="M505" s="584"/>
      <c r="P505" s="17"/>
    </row>
    <row r="506" spans="1:16" x14ac:dyDescent="0.25">
      <c r="A506" s="502"/>
      <c r="B506" s="42"/>
      <c r="C506" s="42"/>
      <c r="D506" s="42"/>
      <c r="E506" s="42"/>
      <c r="F506" s="42"/>
      <c r="G506" s="43"/>
      <c r="H506" s="43"/>
      <c r="I506" s="43"/>
      <c r="J506" s="47"/>
      <c r="K506" s="47"/>
      <c r="L506" s="47"/>
      <c r="M506" s="47"/>
      <c r="N506" s="19"/>
      <c r="O506" s="19"/>
      <c r="P506" s="22"/>
    </row>
    <row r="507" spans="1:16" x14ac:dyDescent="0.25">
      <c r="A507" s="837" t="s">
        <v>843</v>
      </c>
      <c r="B507" s="838"/>
      <c r="C507" s="838"/>
      <c r="D507" s="838"/>
      <c r="E507" s="838"/>
      <c r="F507" s="838"/>
      <c r="G507" s="838"/>
      <c r="H507" s="838"/>
      <c r="I507" s="838"/>
      <c r="J507" s="838"/>
      <c r="K507" s="838"/>
      <c r="L507" s="838"/>
      <c r="M507" s="838"/>
      <c r="N507" s="838"/>
      <c r="O507" s="838"/>
      <c r="P507" s="839"/>
    </row>
    <row r="508" spans="1:16" x14ac:dyDescent="0.25">
      <c r="A508" s="840" t="s">
        <v>1139</v>
      </c>
      <c r="B508" s="841"/>
      <c r="C508" s="841"/>
      <c r="D508" s="841"/>
      <c r="E508" s="841"/>
      <c r="F508" s="841"/>
      <c r="G508" s="841"/>
      <c r="H508" s="841"/>
      <c r="I508" s="841"/>
      <c r="J508" s="841"/>
      <c r="K508" s="841"/>
      <c r="L508" s="841"/>
      <c r="M508" s="841"/>
      <c r="N508" s="841"/>
      <c r="O508" s="841"/>
      <c r="P508" s="842"/>
    </row>
    <row r="509" spans="1:16" x14ac:dyDescent="0.25">
      <c r="A509" s="796" t="s">
        <v>203</v>
      </c>
      <c r="B509" s="797"/>
      <c r="C509" s="797"/>
      <c r="D509" s="797"/>
      <c r="E509" s="797"/>
      <c r="F509" s="797"/>
      <c r="G509" s="797"/>
      <c r="H509" s="797"/>
      <c r="I509" s="797"/>
      <c r="J509" s="797"/>
      <c r="K509" s="797"/>
      <c r="L509" s="797"/>
      <c r="M509" s="797"/>
      <c r="N509" s="797"/>
      <c r="O509" s="797"/>
      <c r="P509" s="798"/>
    </row>
    <row r="510" spans="1:16" x14ac:dyDescent="0.25">
      <c r="A510" s="503"/>
      <c r="B510" s="598"/>
      <c r="C510" s="598"/>
      <c r="D510" s="598"/>
      <c r="E510" s="598"/>
      <c r="F510" s="598"/>
      <c r="G510" s="598"/>
      <c r="H510" s="797" t="s">
        <v>437</v>
      </c>
      <c r="I510" s="797"/>
      <c r="J510" s="797"/>
      <c r="K510" s="797"/>
      <c r="L510" s="797"/>
      <c r="M510" s="797"/>
      <c r="N510" s="797"/>
      <c r="O510" s="797"/>
      <c r="P510" s="798"/>
    </row>
    <row r="511" spans="1:16" x14ac:dyDescent="0.25">
      <c r="A511" s="488"/>
      <c r="B511" s="95" t="s">
        <v>443</v>
      </c>
      <c r="C511" s="29"/>
      <c r="D511" s="29"/>
      <c r="E511" s="29"/>
      <c r="F511" s="29"/>
      <c r="G511" s="29"/>
      <c r="H511" s="136">
        <v>2024</v>
      </c>
      <c r="I511" s="136">
        <v>2025</v>
      </c>
      <c r="J511" s="136">
        <v>2026</v>
      </c>
      <c r="K511" s="136">
        <v>2027</v>
      </c>
      <c r="L511" s="136">
        <v>2028</v>
      </c>
      <c r="M511" s="136">
        <v>2029</v>
      </c>
      <c r="N511" s="136">
        <v>2030</v>
      </c>
      <c r="O511" s="136">
        <v>2031</v>
      </c>
      <c r="P511" s="136">
        <v>2032</v>
      </c>
    </row>
    <row r="512" spans="1:16" x14ac:dyDescent="0.25">
      <c r="A512" s="503">
        <v>1</v>
      </c>
      <c r="B512" s="598" t="s">
        <v>133</v>
      </c>
      <c r="C512" s="598"/>
      <c r="D512" s="598"/>
      <c r="E512" s="598"/>
      <c r="F512" s="598"/>
      <c r="G512" s="612"/>
      <c r="H512" s="612">
        <f>H60</f>
        <v>80.233199999999997</v>
      </c>
      <c r="I512" s="612">
        <f t="shared" ref="I512:P512" si="89">I60</f>
        <v>88.658100000000005</v>
      </c>
      <c r="J512" s="612">
        <f t="shared" si="89"/>
        <v>95.489100000000008</v>
      </c>
      <c r="K512" s="612">
        <f t="shared" si="89"/>
        <v>102.32010000000001</v>
      </c>
      <c r="L512" s="612">
        <f t="shared" si="89"/>
        <v>109.15110000000003</v>
      </c>
      <c r="M512" s="612">
        <f t="shared" si="89"/>
        <v>115.98210000000002</v>
      </c>
      <c r="N512" s="612">
        <f t="shared" si="89"/>
        <v>122.81310000000002</v>
      </c>
      <c r="O512" s="612">
        <f t="shared" si="89"/>
        <v>129.64410000000004</v>
      </c>
      <c r="P512" s="612">
        <f t="shared" si="89"/>
        <v>136.47510000000003</v>
      </c>
    </row>
    <row r="513" spans="1:16" x14ac:dyDescent="0.25">
      <c r="A513" s="503"/>
      <c r="B513" s="598"/>
      <c r="C513" s="598"/>
      <c r="D513" s="598"/>
      <c r="E513" s="598"/>
      <c r="F513" s="598"/>
      <c r="G513" s="598"/>
      <c r="H513" s="598"/>
      <c r="I513" s="598"/>
      <c r="J513" s="598"/>
      <c r="K513" s="598"/>
      <c r="L513" s="598"/>
      <c r="M513" s="598"/>
      <c r="N513" s="598"/>
      <c r="O513" s="598"/>
      <c r="P513" s="614"/>
    </row>
    <row r="514" spans="1:16" x14ac:dyDescent="0.25">
      <c r="A514" s="503">
        <v>2</v>
      </c>
      <c r="B514" s="598" t="s">
        <v>134</v>
      </c>
      <c r="C514" s="598"/>
      <c r="D514" s="598"/>
      <c r="E514" s="598"/>
      <c r="F514" s="598"/>
      <c r="G514" s="598"/>
      <c r="H514" s="598"/>
      <c r="I514" s="598"/>
      <c r="J514" s="598"/>
      <c r="K514" s="598"/>
      <c r="L514" s="598"/>
      <c r="M514" s="598"/>
      <c r="N514" s="598"/>
      <c r="O514" s="598"/>
      <c r="P514" s="614"/>
    </row>
    <row r="515" spans="1:16" x14ac:dyDescent="0.25">
      <c r="A515" s="503"/>
      <c r="B515" s="598" t="s">
        <v>135</v>
      </c>
      <c r="C515" s="598"/>
      <c r="D515" s="598"/>
      <c r="E515" s="598"/>
      <c r="F515" s="598"/>
      <c r="G515" s="598"/>
      <c r="H515" s="272">
        <v>0</v>
      </c>
      <c r="I515" s="272">
        <f>I512/H512-1</f>
        <v>0.10500515995872051</v>
      </c>
      <c r="J515" s="272">
        <f t="shared" ref="J515:P515" si="90">J512/I512-1</f>
        <v>7.7048797571795502E-2</v>
      </c>
      <c r="K515" s="272">
        <f t="shared" si="90"/>
        <v>7.1536960763060931E-2</v>
      </c>
      <c r="L515" s="272">
        <f t="shared" si="90"/>
        <v>6.6761076269472142E-2</v>
      </c>
      <c r="M515" s="272">
        <f t="shared" si="90"/>
        <v>6.2582969846387115E-2</v>
      </c>
      <c r="N515" s="272">
        <f t="shared" si="90"/>
        <v>5.8897019453864052E-2</v>
      </c>
      <c r="O515" s="272">
        <f t="shared" si="90"/>
        <v>5.5621102309118653E-2</v>
      </c>
      <c r="P515" s="272">
        <f t="shared" si="90"/>
        <v>5.2690403959763543E-2</v>
      </c>
    </row>
    <row r="516" spans="1:16" x14ac:dyDescent="0.25">
      <c r="A516" s="503">
        <v>3</v>
      </c>
      <c r="B516" s="598" t="s">
        <v>136</v>
      </c>
      <c r="C516" s="598"/>
      <c r="D516" s="598"/>
      <c r="E516" s="598"/>
      <c r="F516" s="598"/>
      <c r="G516" s="612"/>
      <c r="H516" s="612">
        <f ca="1">H109</f>
        <v>1.3716870215366761</v>
      </c>
      <c r="I516" s="612">
        <f t="shared" ref="I516:P516" ca="1" si="91">I109</f>
        <v>2.1161547347349003</v>
      </c>
      <c r="J516" s="612">
        <f t="shared" ca="1" si="91"/>
        <v>2.9779268757701236</v>
      </c>
      <c r="K516" s="612">
        <f t="shared" ca="1" si="91"/>
        <v>3.8571455677997939</v>
      </c>
      <c r="L516" s="612">
        <f t="shared" ca="1" si="91"/>
        <v>4.6963435229066395</v>
      </c>
      <c r="M516" s="612">
        <f t="shared" ca="1" si="91"/>
        <v>5.5396289730072477</v>
      </c>
      <c r="N516" s="612">
        <f t="shared" ca="1" si="91"/>
        <v>6.3539835437440884</v>
      </c>
      <c r="O516" s="612">
        <f t="shared" ca="1" si="91"/>
        <v>7.1702487589288744</v>
      </c>
      <c r="P516" s="612">
        <f t="shared" ca="1" si="91"/>
        <v>7.9304795932660426</v>
      </c>
    </row>
    <row r="517" spans="1:16" x14ac:dyDescent="0.25">
      <c r="A517" s="503"/>
      <c r="B517" s="598" t="s">
        <v>142</v>
      </c>
      <c r="C517" s="598"/>
      <c r="D517" s="598"/>
      <c r="E517" s="598"/>
      <c r="F517" s="598"/>
      <c r="G517" s="612"/>
      <c r="H517" s="612"/>
      <c r="I517" s="612"/>
      <c r="J517" s="612"/>
      <c r="K517" s="612"/>
      <c r="L517" s="612"/>
      <c r="M517" s="612"/>
      <c r="N517" s="612"/>
      <c r="O517" s="612"/>
      <c r="P517" s="612"/>
    </row>
    <row r="518" spans="1:16" x14ac:dyDescent="0.25">
      <c r="A518" s="503">
        <v>4</v>
      </c>
      <c r="B518" s="598" t="s">
        <v>141</v>
      </c>
      <c r="C518" s="598"/>
      <c r="D518" s="598"/>
      <c r="E518" s="598"/>
      <c r="F518" s="598"/>
      <c r="G518" s="612"/>
      <c r="H518" s="612">
        <f ca="1">H111</f>
        <v>1.087365726567816</v>
      </c>
      <c r="I518" s="612">
        <f t="shared" ref="I518:P518" ca="1" si="92">I111</f>
        <v>1.6347836598182393</v>
      </c>
      <c r="J518" s="612">
        <f t="shared" ca="1" si="92"/>
        <v>2.273978963446972</v>
      </c>
      <c r="K518" s="612">
        <f t="shared" ca="1" si="92"/>
        <v>2.9289282635911671</v>
      </c>
      <c r="L518" s="612">
        <f t="shared" ca="1" si="92"/>
        <v>3.5557310704186254</v>
      </c>
      <c r="M518" s="612">
        <f t="shared" ca="1" si="92"/>
        <v>4.1872862535235003</v>
      </c>
      <c r="N518" s="612">
        <f t="shared" ca="1" si="92"/>
        <v>4.7983232150941753</v>
      </c>
      <c r="O518" s="612">
        <f t="shared" ca="1" si="92"/>
        <v>5.4118594732179348</v>
      </c>
      <c r="P518" s="612">
        <f t="shared" ca="1" si="92"/>
        <v>5.9839135688784797</v>
      </c>
    </row>
    <row r="519" spans="1:16" x14ac:dyDescent="0.25">
      <c r="A519" s="503"/>
      <c r="B519" s="598" t="s">
        <v>137</v>
      </c>
      <c r="C519" s="598"/>
      <c r="D519" s="598"/>
      <c r="E519" s="598"/>
      <c r="F519" s="598"/>
      <c r="G519" s="612"/>
      <c r="H519" s="612"/>
      <c r="I519" s="612"/>
      <c r="J519" s="612"/>
      <c r="K519" s="612"/>
      <c r="L519" s="612"/>
      <c r="M519" s="612"/>
      <c r="N519" s="612"/>
      <c r="O519" s="612"/>
      <c r="P519" s="613"/>
    </row>
    <row r="520" spans="1:16" x14ac:dyDescent="0.25">
      <c r="A520" s="503"/>
      <c r="B520" s="598"/>
      <c r="C520" s="598"/>
      <c r="D520" s="598"/>
      <c r="E520" s="598"/>
      <c r="F520" s="598"/>
      <c r="G520" s="612"/>
      <c r="H520" s="612"/>
      <c r="I520" s="612"/>
      <c r="J520" s="612"/>
      <c r="K520" s="612"/>
      <c r="L520" s="612"/>
      <c r="M520" s="612"/>
      <c r="N520" s="612"/>
      <c r="O520" s="612"/>
      <c r="P520" s="613"/>
    </row>
    <row r="521" spans="1:16" x14ac:dyDescent="0.25">
      <c r="A521" s="503">
        <v>5</v>
      </c>
      <c r="B521" s="598" t="s">
        <v>625</v>
      </c>
      <c r="C521" s="598"/>
      <c r="D521" s="598"/>
      <c r="E521" s="598"/>
      <c r="F521" s="598"/>
      <c r="G521" s="612"/>
      <c r="H521" s="272">
        <v>0</v>
      </c>
      <c r="I521" s="272">
        <v>0</v>
      </c>
      <c r="J521" s="272">
        <v>0</v>
      </c>
      <c r="K521" s="272">
        <v>0</v>
      </c>
      <c r="L521" s="272">
        <v>0</v>
      </c>
      <c r="M521" s="272">
        <v>0</v>
      </c>
      <c r="N521" s="272">
        <v>0</v>
      </c>
      <c r="O521" s="272">
        <v>0</v>
      </c>
      <c r="P521" s="615">
        <v>0</v>
      </c>
    </row>
    <row r="522" spans="1:16" x14ac:dyDescent="0.25">
      <c r="A522" s="503"/>
      <c r="B522" s="598" t="s">
        <v>138</v>
      </c>
      <c r="C522" s="598"/>
      <c r="D522" s="598"/>
      <c r="E522" s="598"/>
      <c r="F522" s="598"/>
      <c r="G522" s="612"/>
      <c r="H522" s="272">
        <v>0</v>
      </c>
      <c r="I522" s="272">
        <v>0</v>
      </c>
      <c r="J522" s="272">
        <v>0</v>
      </c>
      <c r="K522" s="272">
        <v>0</v>
      </c>
      <c r="L522" s="272">
        <v>0</v>
      </c>
      <c r="M522" s="272">
        <v>0</v>
      </c>
      <c r="N522" s="272">
        <v>0</v>
      </c>
      <c r="O522" s="272">
        <v>0</v>
      </c>
      <c r="P522" s="615">
        <v>0</v>
      </c>
    </row>
    <row r="523" spans="1:16" x14ac:dyDescent="0.25">
      <c r="A523" s="503"/>
      <c r="B523" s="598" t="s">
        <v>139</v>
      </c>
      <c r="C523" s="598"/>
      <c r="D523" s="598"/>
      <c r="E523" s="598"/>
      <c r="F523" s="598"/>
      <c r="G523" s="612"/>
      <c r="H523" s="272">
        <v>0</v>
      </c>
      <c r="I523" s="272">
        <v>0</v>
      </c>
      <c r="J523" s="272">
        <v>0</v>
      </c>
      <c r="K523" s="272">
        <v>0</v>
      </c>
      <c r="L523" s="272">
        <v>0</v>
      </c>
      <c r="M523" s="272">
        <v>0</v>
      </c>
      <c r="N523" s="272">
        <v>0</v>
      </c>
      <c r="O523" s="272">
        <v>0</v>
      </c>
      <c r="P523" s="615">
        <v>0</v>
      </c>
    </row>
    <row r="524" spans="1:16" x14ac:dyDescent="0.25">
      <c r="A524" s="503"/>
      <c r="B524" s="598" t="s">
        <v>140</v>
      </c>
      <c r="C524" s="598"/>
      <c r="D524" s="598"/>
      <c r="E524" s="598"/>
      <c r="F524" s="598"/>
      <c r="G524" s="612"/>
      <c r="H524" s="272">
        <v>0</v>
      </c>
      <c r="I524" s="272">
        <v>0</v>
      </c>
      <c r="J524" s="272">
        <v>0</v>
      </c>
      <c r="K524" s="272">
        <v>0</v>
      </c>
      <c r="L524" s="272">
        <v>0</v>
      </c>
      <c r="M524" s="272">
        <v>0</v>
      </c>
      <c r="N524" s="272">
        <v>0</v>
      </c>
      <c r="O524" s="272">
        <v>0</v>
      </c>
      <c r="P524" s="615">
        <v>0</v>
      </c>
    </row>
    <row r="525" spans="1:16" x14ac:dyDescent="0.25">
      <c r="A525" s="503"/>
      <c r="B525" s="598"/>
      <c r="C525" s="598"/>
      <c r="D525" s="598"/>
      <c r="E525" s="598"/>
      <c r="F525" s="598"/>
      <c r="G525" s="612"/>
      <c r="H525" s="612"/>
      <c r="I525" s="612"/>
      <c r="J525" s="612"/>
      <c r="K525" s="612"/>
      <c r="L525" s="612"/>
      <c r="M525" s="612"/>
      <c r="N525" s="612"/>
      <c r="O525" s="612"/>
      <c r="P525" s="613"/>
    </row>
    <row r="526" spans="1:16" x14ac:dyDescent="0.25">
      <c r="A526" s="503">
        <v>6</v>
      </c>
      <c r="B526" s="598" t="s">
        <v>143</v>
      </c>
      <c r="C526" s="598"/>
      <c r="D526" s="598"/>
      <c r="E526" s="598"/>
      <c r="F526" s="598"/>
      <c r="G526" s="612"/>
      <c r="H526" s="612">
        <f ca="1">H114</f>
        <v>1.087365726567816</v>
      </c>
      <c r="I526" s="612">
        <f t="shared" ref="I526:P526" ca="1" si="93">I114</f>
        <v>1.6347836598182393</v>
      </c>
      <c r="J526" s="612">
        <f t="shared" ca="1" si="93"/>
        <v>2.273978963446972</v>
      </c>
      <c r="K526" s="612">
        <f t="shared" ca="1" si="93"/>
        <v>2.9289282635911671</v>
      </c>
      <c r="L526" s="612">
        <f t="shared" ca="1" si="93"/>
        <v>3.5557310704186254</v>
      </c>
      <c r="M526" s="612">
        <f t="shared" ca="1" si="93"/>
        <v>4.1872862535235003</v>
      </c>
      <c r="N526" s="612">
        <f t="shared" ca="1" si="93"/>
        <v>4.7983232150941753</v>
      </c>
      <c r="O526" s="612">
        <f t="shared" ca="1" si="93"/>
        <v>5.4118594732179348</v>
      </c>
      <c r="P526" s="612">
        <f t="shared" ca="1" si="93"/>
        <v>5.9839135688784797</v>
      </c>
    </row>
    <row r="527" spans="1:16" x14ac:dyDescent="0.25">
      <c r="A527" s="503"/>
      <c r="B527" s="598"/>
      <c r="C527" s="598"/>
      <c r="D527" s="598"/>
      <c r="E527" s="598"/>
      <c r="F527" s="598"/>
      <c r="G527" s="612"/>
      <c r="H527" s="612"/>
      <c r="I527" s="612"/>
      <c r="J527" s="612"/>
      <c r="K527" s="612"/>
      <c r="L527" s="612"/>
      <c r="M527" s="612"/>
      <c r="N527" s="612"/>
      <c r="O527" s="612"/>
      <c r="P527" s="613"/>
    </row>
    <row r="528" spans="1:16" x14ac:dyDescent="0.25">
      <c r="A528" s="503">
        <v>7</v>
      </c>
      <c r="B528" s="598" t="s">
        <v>144</v>
      </c>
      <c r="C528" s="598"/>
      <c r="D528" s="598"/>
      <c r="E528" s="598"/>
      <c r="F528" s="598"/>
      <c r="G528" s="612"/>
      <c r="H528" s="612">
        <f ca="1">H526/H518</f>
        <v>1</v>
      </c>
      <c r="I528" s="612">
        <f t="shared" ref="I528:P528" ca="1" si="94">I526/I518</f>
        <v>1</v>
      </c>
      <c r="J528" s="612">
        <f t="shared" ca="1" si="94"/>
        <v>1</v>
      </c>
      <c r="K528" s="612">
        <f t="shared" ca="1" si="94"/>
        <v>1</v>
      </c>
      <c r="L528" s="612">
        <f t="shared" ca="1" si="94"/>
        <v>1</v>
      </c>
      <c r="M528" s="612">
        <f t="shared" ca="1" si="94"/>
        <v>1</v>
      </c>
      <c r="N528" s="612">
        <f t="shared" ca="1" si="94"/>
        <v>1</v>
      </c>
      <c r="O528" s="612">
        <f t="shared" ca="1" si="94"/>
        <v>1</v>
      </c>
      <c r="P528" s="612">
        <f t="shared" ca="1" si="94"/>
        <v>1</v>
      </c>
    </row>
    <row r="529" spans="1:16" x14ac:dyDescent="0.25">
      <c r="A529" s="503"/>
      <c r="B529" s="598"/>
      <c r="C529" s="598"/>
      <c r="D529" s="598"/>
      <c r="E529" s="598"/>
      <c r="F529" s="598"/>
      <c r="G529" s="612"/>
      <c r="H529" s="612"/>
      <c r="I529" s="612"/>
      <c r="J529" s="612"/>
      <c r="K529" s="612"/>
      <c r="L529" s="612"/>
      <c r="M529" s="612"/>
      <c r="N529" s="612"/>
      <c r="O529" s="612"/>
      <c r="P529" s="613"/>
    </row>
    <row r="530" spans="1:16" x14ac:dyDescent="0.25">
      <c r="A530" s="503">
        <v>8</v>
      </c>
      <c r="B530" s="598" t="s">
        <v>145</v>
      </c>
      <c r="C530" s="598"/>
      <c r="D530" s="598"/>
      <c r="E530" s="598"/>
      <c r="F530" s="598"/>
      <c r="G530" s="612"/>
      <c r="H530" s="612"/>
      <c r="I530" s="612"/>
      <c r="J530" s="612"/>
      <c r="K530" s="612"/>
      <c r="L530" s="612"/>
      <c r="M530" s="612"/>
      <c r="N530" s="612"/>
      <c r="O530" s="612"/>
      <c r="P530" s="613"/>
    </row>
    <row r="531" spans="1:16" x14ac:dyDescent="0.25">
      <c r="A531" s="503"/>
      <c r="B531" s="598" t="s">
        <v>146</v>
      </c>
      <c r="C531" s="598"/>
      <c r="D531" s="598"/>
      <c r="E531" s="598"/>
      <c r="F531" s="598"/>
      <c r="G531" s="612"/>
      <c r="H531" s="612"/>
      <c r="I531" s="612"/>
      <c r="J531" s="612"/>
      <c r="K531" s="612"/>
      <c r="L531" s="612"/>
      <c r="M531" s="612"/>
      <c r="N531" s="612"/>
      <c r="O531" s="612"/>
      <c r="P531" s="613"/>
    </row>
    <row r="532" spans="1:16" x14ac:dyDescent="0.25">
      <c r="A532" s="503"/>
      <c r="B532" s="598"/>
      <c r="C532" s="598"/>
      <c r="D532" s="598"/>
      <c r="E532" s="598"/>
      <c r="F532" s="598"/>
      <c r="G532" s="612"/>
      <c r="H532" s="612"/>
      <c r="I532" s="612"/>
      <c r="J532" s="612"/>
      <c r="K532" s="612"/>
      <c r="L532" s="612"/>
      <c r="M532" s="612"/>
      <c r="N532" s="612"/>
      <c r="O532" s="612"/>
      <c r="P532" s="613"/>
    </row>
    <row r="533" spans="1:16" x14ac:dyDescent="0.25">
      <c r="A533" s="503"/>
      <c r="B533" s="598" t="s">
        <v>147</v>
      </c>
      <c r="C533" s="598"/>
      <c r="D533" s="598"/>
      <c r="E533" s="598"/>
      <c r="F533" s="598"/>
      <c r="G533" s="612"/>
      <c r="H533" s="272">
        <v>0</v>
      </c>
      <c r="I533" s="272">
        <v>0</v>
      </c>
      <c r="J533" s="272">
        <v>0</v>
      </c>
      <c r="K533" s="272">
        <v>0</v>
      </c>
      <c r="L533" s="272">
        <v>0</v>
      </c>
      <c r="M533" s="272">
        <v>0</v>
      </c>
      <c r="N533" s="272">
        <v>0</v>
      </c>
      <c r="O533" s="272">
        <v>0</v>
      </c>
      <c r="P533" s="615">
        <v>0</v>
      </c>
    </row>
    <row r="534" spans="1:16" x14ac:dyDescent="0.25">
      <c r="A534" s="503"/>
      <c r="B534" s="598" t="s">
        <v>148</v>
      </c>
      <c r="C534" s="598"/>
      <c r="D534" s="598"/>
      <c r="E534" s="598"/>
      <c r="F534" s="598"/>
      <c r="G534" s="612"/>
      <c r="H534" s="612"/>
      <c r="I534" s="612"/>
      <c r="J534" s="612"/>
      <c r="K534" s="612"/>
      <c r="L534" s="612"/>
      <c r="M534" s="612"/>
      <c r="N534" s="612"/>
      <c r="O534" s="612"/>
      <c r="P534" s="613"/>
    </row>
    <row r="535" spans="1:16" x14ac:dyDescent="0.25">
      <c r="A535" s="503"/>
      <c r="B535" s="598" t="s">
        <v>149</v>
      </c>
      <c r="C535" s="598"/>
      <c r="D535" s="598"/>
      <c r="E535" s="598"/>
      <c r="F535" s="598"/>
      <c r="G535" s="612"/>
      <c r="H535" s="612"/>
      <c r="I535" s="612"/>
      <c r="J535" s="612"/>
      <c r="K535" s="612"/>
      <c r="L535" s="612"/>
      <c r="M535" s="612"/>
      <c r="N535" s="612"/>
      <c r="O535" s="612"/>
      <c r="P535" s="613"/>
    </row>
    <row r="536" spans="1:16" x14ac:dyDescent="0.25">
      <c r="A536" s="503"/>
      <c r="B536" s="598"/>
      <c r="C536" s="598"/>
      <c r="D536" s="598"/>
      <c r="E536" s="598"/>
      <c r="F536" s="598"/>
      <c r="G536" s="612"/>
      <c r="H536" s="612"/>
      <c r="I536" s="612"/>
      <c r="J536" s="612"/>
      <c r="K536" s="612"/>
      <c r="L536" s="612"/>
      <c r="M536" s="612"/>
      <c r="N536" s="612"/>
      <c r="O536" s="612"/>
      <c r="P536" s="613"/>
    </row>
    <row r="537" spans="1:16" x14ac:dyDescent="0.25">
      <c r="A537" s="503"/>
      <c r="B537" s="598" t="s">
        <v>150</v>
      </c>
      <c r="C537" s="598"/>
      <c r="D537" s="598"/>
      <c r="E537" s="598"/>
      <c r="F537" s="598"/>
      <c r="G537" s="612"/>
      <c r="H537" s="612">
        <f>H66</f>
        <v>65.05017391304348</v>
      </c>
      <c r="I537" s="612">
        <f t="shared" ref="I537:P537" si="95">I66</f>
        <v>70.471021739130435</v>
      </c>
      <c r="J537" s="612">
        <f t="shared" si="95"/>
        <v>75.891869565217405</v>
      </c>
      <c r="K537" s="612">
        <f t="shared" si="95"/>
        <v>81.312717391304361</v>
      </c>
      <c r="L537" s="612">
        <f t="shared" si="95"/>
        <v>86.73356521739133</v>
      </c>
      <c r="M537" s="612">
        <f t="shared" si="95"/>
        <v>92.154413043478272</v>
      </c>
      <c r="N537" s="612">
        <f t="shared" si="95"/>
        <v>97.575260869565241</v>
      </c>
      <c r="O537" s="612">
        <f t="shared" si="95"/>
        <v>102.9961086956522</v>
      </c>
      <c r="P537" s="612">
        <f t="shared" si="95"/>
        <v>108.41695652173915</v>
      </c>
    </row>
    <row r="538" spans="1:16" x14ac:dyDescent="0.25">
      <c r="A538" s="503"/>
      <c r="B538" s="598" t="s">
        <v>148</v>
      </c>
      <c r="C538" s="598"/>
      <c r="D538" s="598"/>
      <c r="E538" s="598"/>
      <c r="F538" s="598"/>
      <c r="G538" s="612"/>
      <c r="H538" s="612"/>
      <c r="I538" s="612"/>
      <c r="J538" s="612"/>
      <c r="K538" s="612"/>
      <c r="L538" s="612"/>
      <c r="M538" s="612"/>
      <c r="N538" s="612"/>
      <c r="O538" s="612"/>
      <c r="P538" s="612"/>
    </row>
    <row r="539" spans="1:16" x14ac:dyDescent="0.25">
      <c r="A539" s="503"/>
      <c r="B539" s="598" t="s">
        <v>149</v>
      </c>
      <c r="C539" s="598"/>
      <c r="D539" s="598"/>
      <c r="E539" s="598"/>
      <c r="F539" s="598"/>
      <c r="G539" s="612"/>
      <c r="H539" s="612"/>
      <c r="I539" s="612"/>
      <c r="J539" s="612"/>
      <c r="K539" s="612"/>
      <c r="L539" s="612"/>
      <c r="M539" s="612"/>
      <c r="N539" s="612"/>
      <c r="O539" s="612"/>
      <c r="P539" s="612"/>
    </row>
    <row r="540" spans="1:16" x14ac:dyDescent="0.25">
      <c r="A540" s="503"/>
      <c r="B540" s="598"/>
      <c r="C540" s="598"/>
      <c r="D540" s="598"/>
      <c r="E540" s="598"/>
      <c r="F540" s="598"/>
      <c r="G540" s="612"/>
      <c r="H540" s="612"/>
      <c r="I540" s="612"/>
      <c r="J540" s="612"/>
      <c r="K540" s="612"/>
      <c r="L540" s="612"/>
      <c r="M540" s="612"/>
      <c r="N540" s="612"/>
      <c r="O540" s="612"/>
      <c r="P540" s="612"/>
    </row>
    <row r="541" spans="1:16" x14ac:dyDescent="0.25">
      <c r="A541" s="503">
        <v>9</v>
      </c>
      <c r="B541" s="598" t="s">
        <v>151</v>
      </c>
      <c r="C541" s="598"/>
      <c r="D541" s="598"/>
      <c r="E541" s="598"/>
      <c r="F541" s="598"/>
      <c r="G541" s="612"/>
      <c r="H541" s="612">
        <f ca="1">H253</f>
        <v>0.35</v>
      </c>
      <c r="I541" s="612">
        <f t="shared" ref="I541:P541" ca="1" si="96">I253</f>
        <v>0.38</v>
      </c>
      <c r="J541" s="612">
        <f t="shared" ca="1" si="96"/>
        <v>0.4</v>
      </c>
      <c r="K541" s="612">
        <f t="shared" ca="1" si="96"/>
        <v>0.43</v>
      </c>
      <c r="L541" s="612">
        <f t="shared" ca="1" si="96"/>
        <v>0.46</v>
      </c>
      <c r="M541" s="612">
        <f t="shared" ca="1" si="96"/>
        <v>0.49</v>
      </c>
      <c r="N541" s="612">
        <f t="shared" ca="1" si="96"/>
        <v>0.51</v>
      </c>
      <c r="O541" s="612">
        <f t="shared" ca="1" si="96"/>
        <v>0.54</v>
      </c>
      <c r="P541" s="612">
        <f t="shared" ca="1" si="96"/>
        <v>0.56999999999999995</v>
      </c>
    </row>
    <row r="542" spans="1:16" x14ac:dyDescent="0.25">
      <c r="A542" s="503"/>
      <c r="B542" s="598" t="s">
        <v>152</v>
      </c>
      <c r="C542" s="598"/>
      <c r="D542" s="598"/>
      <c r="E542" s="598"/>
      <c r="F542" s="598"/>
      <c r="G542" s="612"/>
      <c r="H542" s="612"/>
      <c r="I542" s="612"/>
      <c r="J542" s="612"/>
      <c r="K542" s="612"/>
      <c r="L542" s="612"/>
      <c r="M542" s="612"/>
      <c r="N542" s="612"/>
      <c r="O542" s="612"/>
      <c r="P542" s="612"/>
    </row>
    <row r="543" spans="1:16" x14ac:dyDescent="0.25">
      <c r="A543" s="503">
        <v>10</v>
      </c>
      <c r="B543" s="598" t="s">
        <v>153</v>
      </c>
      <c r="C543" s="598"/>
      <c r="D543" s="598"/>
      <c r="E543" s="598"/>
      <c r="F543" s="598"/>
      <c r="G543" s="612"/>
      <c r="H543" s="612"/>
      <c r="I543" s="612"/>
      <c r="J543" s="612"/>
      <c r="K543" s="612"/>
      <c r="L543" s="612"/>
      <c r="M543" s="612"/>
      <c r="N543" s="612"/>
      <c r="O543" s="612"/>
      <c r="P543" s="612"/>
    </row>
    <row r="544" spans="1:16" x14ac:dyDescent="0.25">
      <c r="A544" s="503"/>
      <c r="B544" s="598"/>
      <c r="C544" s="598"/>
      <c r="D544" s="598"/>
      <c r="E544" s="598"/>
      <c r="F544" s="598"/>
      <c r="G544" s="612"/>
      <c r="H544" s="612"/>
      <c r="I544" s="612"/>
      <c r="J544" s="612"/>
      <c r="K544" s="612"/>
      <c r="L544" s="612"/>
      <c r="M544" s="612"/>
      <c r="N544" s="612"/>
      <c r="O544" s="612"/>
      <c r="P544" s="612"/>
    </row>
    <row r="545" spans="1:16" x14ac:dyDescent="0.25">
      <c r="A545" s="503"/>
      <c r="B545" s="598" t="s">
        <v>154</v>
      </c>
      <c r="C545" s="598"/>
      <c r="D545" s="598"/>
      <c r="E545" s="598"/>
      <c r="F545" s="598"/>
      <c r="G545" s="612"/>
      <c r="H545" s="612">
        <f ca="1">H340</f>
        <v>1.6015352813613433</v>
      </c>
      <c r="I545" s="612">
        <f t="shared" ref="I545:P545" ca="1" si="97">I340</f>
        <v>1.7615623722935023</v>
      </c>
      <c r="J545" s="612">
        <f t="shared" ca="1" si="97"/>
        <v>1.8864568571806342</v>
      </c>
      <c r="K545" s="612">
        <f t="shared" ca="1" si="97"/>
        <v>2.0112976159860652</v>
      </c>
      <c r="L545" s="612">
        <f t="shared" ca="1" si="97"/>
        <v>2.1373022875822842</v>
      </c>
      <c r="M545" s="612">
        <f t="shared" ca="1" si="97"/>
        <v>2.2641744164532556</v>
      </c>
      <c r="N545" s="612">
        <f t="shared" ca="1" si="97"/>
        <v>2.3920189489286297</v>
      </c>
      <c r="O545" s="612">
        <f t="shared" ca="1" si="97"/>
        <v>2.5201334249629914</v>
      </c>
      <c r="P545" s="612">
        <f t="shared" ca="1" si="97"/>
        <v>2.6490580505301256</v>
      </c>
    </row>
    <row r="546" spans="1:16" x14ac:dyDescent="0.25">
      <c r="A546" s="503"/>
      <c r="B546" s="598" t="s">
        <v>155</v>
      </c>
      <c r="C546" s="598"/>
      <c r="D546" s="598"/>
      <c r="E546" s="598"/>
      <c r="F546" s="598"/>
      <c r="G546" s="598"/>
      <c r="H546" s="598"/>
      <c r="I546" s="598"/>
      <c r="J546" s="598"/>
      <c r="K546" s="598"/>
      <c r="L546" s="598"/>
      <c r="M546" s="598"/>
      <c r="N546" s="598"/>
      <c r="O546" s="598"/>
      <c r="P546" s="614"/>
    </row>
    <row r="547" spans="1:16" x14ac:dyDescent="0.25">
      <c r="A547" s="503"/>
      <c r="B547" s="598" t="s">
        <v>153</v>
      </c>
      <c r="C547" s="598"/>
      <c r="D547" s="598"/>
      <c r="E547" s="598"/>
      <c r="F547" s="598"/>
      <c r="G547" s="598"/>
      <c r="H547" s="598"/>
      <c r="I547" s="598"/>
      <c r="J547" s="598"/>
      <c r="K547" s="598"/>
      <c r="L547" s="598"/>
      <c r="M547" s="598"/>
      <c r="P547" s="17"/>
    </row>
    <row r="548" spans="1:16" x14ac:dyDescent="0.25">
      <c r="A548" s="503"/>
      <c r="B548" s="598"/>
      <c r="C548" s="598"/>
      <c r="D548" s="598"/>
      <c r="E548" s="598"/>
      <c r="F548" s="598"/>
      <c r="G548" s="598"/>
      <c r="H548" s="598"/>
      <c r="I548" s="598"/>
      <c r="J548" s="598"/>
      <c r="K548" s="598"/>
      <c r="L548" s="598"/>
      <c r="M548" s="598"/>
      <c r="P548" s="17"/>
    </row>
    <row r="549" spans="1:16" x14ac:dyDescent="0.25">
      <c r="A549" s="503"/>
      <c r="B549" s="598"/>
      <c r="C549" s="598"/>
      <c r="D549" s="598"/>
      <c r="E549" s="598"/>
      <c r="F549" s="598"/>
      <c r="G549" s="598"/>
      <c r="H549" s="598"/>
      <c r="I549" s="598"/>
      <c r="J549" s="598"/>
      <c r="K549" s="598"/>
      <c r="L549" s="598"/>
      <c r="M549" s="598"/>
      <c r="P549" s="17"/>
    </row>
    <row r="550" spans="1:16" x14ac:dyDescent="0.25">
      <c r="A550" s="503"/>
      <c r="B550" s="598"/>
      <c r="C550" s="598"/>
      <c r="D550" s="598"/>
      <c r="E550" s="598"/>
      <c r="F550" s="598"/>
      <c r="G550" s="598"/>
      <c r="H550" s="598"/>
      <c r="I550" s="598"/>
      <c r="J550" s="598"/>
      <c r="K550" s="598"/>
      <c r="L550" s="598"/>
      <c r="M550" s="598"/>
      <c r="P550" s="17"/>
    </row>
    <row r="551" spans="1:16" x14ac:dyDescent="0.25">
      <c r="A551" s="503"/>
      <c r="B551" s="598"/>
      <c r="C551" s="598"/>
      <c r="D551" s="598"/>
      <c r="E551" s="598"/>
      <c r="F551" s="598"/>
      <c r="G551" s="598"/>
      <c r="H551" s="598"/>
      <c r="I551" s="598"/>
      <c r="J551" s="598"/>
      <c r="K551" s="598"/>
      <c r="L551" s="598"/>
      <c r="M551" s="598"/>
      <c r="P551" s="17"/>
    </row>
    <row r="552" spans="1:16" x14ac:dyDescent="0.25">
      <c r="A552" s="50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19"/>
      <c r="O552" s="19"/>
      <c r="P552" s="22"/>
    </row>
    <row r="553" spans="1:16" x14ac:dyDescent="0.25">
      <c r="A553" s="511" t="s">
        <v>493</v>
      </c>
      <c r="B553" s="512" t="s">
        <v>156</v>
      </c>
      <c r="C553" s="513"/>
      <c r="D553" s="59"/>
      <c r="E553" s="59"/>
      <c r="F553" s="59"/>
      <c r="G553" s="513"/>
      <c r="H553" s="513">
        <f>H259</f>
        <v>0.216</v>
      </c>
      <c r="I553" s="513">
        <f t="shared" ref="I553:P553" si="98">I259</f>
        <v>0.23399999999999999</v>
      </c>
      <c r="J553" s="513">
        <f t="shared" si="98"/>
        <v>0.25200000000000006</v>
      </c>
      <c r="K553" s="513">
        <f t="shared" si="98"/>
        <v>0.27</v>
      </c>
      <c r="L553" s="513">
        <f t="shared" si="98"/>
        <v>0.28800000000000009</v>
      </c>
      <c r="M553" s="513">
        <f t="shared" si="98"/>
        <v>0.30600000000000005</v>
      </c>
      <c r="N553" s="513">
        <f t="shared" si="98"/>
        <v>0.32400000000000007</v>
      </c>
      <c r="O553" s="513">
        <f t="shared" si="98"/>
        <v>0.34200000000000008</v>
      </c>
      <c r="P553" s="513">
        <f t="shared" si="98"/>
        <v>0.36000000000000004</v>
      </c>
    </row>
    <row r="554" spans="1:16" x14ac:dyDescent="0.25">
      <c r="A554" s="514"/>
      <c r="B554" s="616" t="s">
        <v>157</v>
      </c>
      <c r="C554" s="617"/>
      <c r="D554" s="598"/>
      <c r="E554" s="598"/>
      <c r="F554" s="598"/>
      <c r="G554" s="618"/>
      <c r="H554" s="618"/>
      <c r="I554" s="618"/>
      <c r="J554" s="618"/>
      <c r="K554" s="618"/>
      <c r="L554" s="618"/>
      <c r="M554" s="618"/>
      <c r="N554" s="618"/>
      <c r="O554" s="618"/>
      <c r="P554" s="619"/>
    </row>
    <row r="555" spans="1:16" x14ac:dyDescent="0.25">
      <c r="A555" s="514"/>
      <c r="B555" s="616" t="s">
        <v>158</v>
      </c>
      <c r="C555" s="617"/>
      <c r="D555" s="598"/>
      <c r="E555" s="598"/>
      <c r="F555" s="598"/>
      <c r="G555" s="620"/>
      <c r="H555" s="620"/>
      <c r="I555" s="620"/>
      <c r="J555" s="620"/>
      <c r="K555" s="620"/>
      <c r="L555" s="620"/>
      <c r="M555" s="620"/>
      <c r="N555" s="620"/>
      <c r="O555" s="620"/>
      <c r="P555" s="621"/>
    </row>
    <row r="556" spans="1:16" x14ac:dyDescent="0.25">
      <c r="A556" s="514"/>
      <c r="B556" s="617"/>
      <c r="C556" s="617"/>
      <c r="D556" s="598"/>
      <c r="E556" s="598"/>
      <c r="F556" s="598"/>
      <c r="G556" s="622"/>
      <c r="H556" s="622"/>
      <c r="I556" s="622"/>
      <c r="J556" s="622"/>
      <c r="K556" s="622"/>
      <c r="L556" s="622"/>
      <c r="M556" s="622"/>
      <c r="N556" s="622"/>
      <c r="O556" s="622"/>
      <c r="P556" s="623"/>
    </row>
    <row r="557" spans="1:16" x14ac:dyDescent="0.25">
      <c r="A557" s="515" t="s">
        <v>495</v>
      </c>
      <c r="B557" s="616" t="s">
        <v>176</v>
      </c>
      <c r="C557" s="616"/>
      <c r="D557" s="598"/>
      <c r="E557" s="598"/>
      <c r="F557" s="598"/>
      <c r="G557" s="617"/>
      <c r="H557" s="617">
        <f ca="1">H341</f>
        <v>2.4619502465753422</v>
      </c>
      <c r="I557" s="617">
        <f t="shared" ref="I557:P557" si="99">I341</f>
        <v>2.7204677260273975</v>
      </c>
      <c r="J557" s="617">
        <f t="shared" si="99"/>
        <v>2.9300764931506853</v>
      </c>
      <c r="K557" s="617">
        <f t="shared" si="99"/>
        <v>3.1396852602739727</v>
      </c>
      <c r="L557" s="617">
        <f t="shared" si="99"/>
        <v>3.3492940273972609</v>
      </c>
      <c r="M557" s="617">
        <f t="shared" si="99"/>
        <v>3.5589027945205483</v>
      </c>
      <c r="N557" s="617">
        <f t="shared" si="99"/>
        <v>3.7685115616438365</v>
      </c>
      <c r="O557" s="617">
        <f t="shared" si="99"/>
        <v>3.9781203287671247</v>
      </c>
      <c r="P557" s="617">
        <f t="shared" si="99"/>
        <v>4.1877290958904121</v>
      </c>
    </row>
    <row r="558" spans="1:16" x14ac:dyDescent="0.25">
      <c r="A558" s="514"/>
      <c r="B558" s="617" t="s">
        <v>177</v>
      </c>
      <c r="C558" s="616"/>
      <c r="D558" s="598"/>
      <c r="E558" s="598"/>
      <c r="F558" s="598"/>
      <c r="G558" s="618"/>
      <c r="H558" s="618"/>
      <c r="I558" s="618"/>
      <c r="J558" s="618"/>
      <c r="K558" s="618"/>
      <c r="L558" s="618"/>
      <c r="M558" s="618"/>
      <c r="N558" s="618"/>
      <c r="O558" s="618"/>
      <c r="P558" s="619"/>
    </row>
    <row r="559" spans="1:16" x14ac:dyDescent="0.25">
      <c r="A559" s="514"/>
      <c r="B559" s="617" t="s">
        <v>178</v>
      </c>
      <c r="C559" s="616"/>
      <c r="D559" s="598"/>
      <c r="E559" s="598"/>
      <c r="F559" s="598"/>
      <c r="G559" s="620"/>
      <c r="H559" s="620"/>
      <c r="I559" s="620"/>
      <c r="J559" s="620"/>
      <c r="K559" s="620"/>
      <c r="L559" s="620"/>
      <c r="M559" s="620"/>
      <c r="N559" s="620"/>
      <c r="O559" s="620"/>
      <c r="P559" s="621"/>
    </row>
    <row r="560" spans="1:16" x14ac:dyDescent="0.25">
      <c r="A560" s="514"/>
      <c r="B560" s="617" t="s">
        <v>179</v>
      </c>
      <c r="C560" s="616"/>
      <c r="D560" s="598"/>
      <c r="E560" s="598"/>
      <c r="F560" s="598"/>
      <c r="G560" s="622"/>
      <c r="H560" s="622"/>
      <c r="I560" s="622"/>
      <c r="J560" s="622"/>
      <c r="K560" s="622"/>
      <c r="L560" s="622"/>
      <c r="M560" s="622"/>
      <c r="N560" s="622"/>
      <c r="O560" s="622"/>
      <c r="P560" s="623"/>
    </row>
    <row r="561" spans="1:16" x14ac:dyDescent="0.25">
      <c r="A561" s="514"/>
      <c r="B561" s="617" t="s">
        <v>180</v>
      </c>
      <c r="C561" s="616"/>
      <c r="D561" s="598"/>
      <c r="E561" s="598"/>
      <c r="F561" s="598"/>
      <c r="G561" s="622"/>
      <c r="H561" s="622"/>
      <c r="I561" s="622"/>
      <c r="J561" s="622"/>
      <c r="K561" s="622"/>
      <c r="L561" s="622"/>
      <c r="M561" s="622"/>
      <c r="N561" s="622"/>
      <c r="O561" s="622"/>
      <c r="P561" s="623"/>
    </row>
    <row r="562" spans="1:16" x14ac:dyDescent="0.25">
      <c r="A562" s="514"/>
      <c r="B562" s="617" t="s">
        <v>181</v>
      </c>
      <c r="C562" s="616"/>
      <c r="D562" s="598"/>
      <c r="E562" s="598"/>
      <c r="F562" s="598"/>
      <c r="G562" s="622"/>
      <c r="H562" s="622"/>
      <c r="I562" s="622"/>
      <c r="J562" s="622"/>
      <c r="K562" s="622"/>
      <c r="L562" s="622"/>
      <c r="M562" s="622"/>
      <c r="N562" s="622"/>
      <c r="O562" s="622"/>
      <c r="P562" s="623"/>
    </row>
    <row r="563" spans="1:16" x14ac:dyDescent="0.25">
      <c r="A563" s="514"/>
      <c r="B563" s="617" t="s">
        <v>182</v>
      </c>
      <c r="C563" s="616"/>
      <c r="D563" s="598"/>
      <c r="E563" s="598"/>
      <c r="F563" s="598"/>
      <c r="G563" s="622"/>
      <c r="H563" s="622"/>
      <c r="I563" s="622"/>
      <c r="J563" s="622"/>
      <c r="K563" s="622"/>
      <c r="L563" s="622"/>
      <c r="M563" s="622"/>
      <c r="N563" s="622"/>
      <c r="O563" s="622"/>
      <c r="P563" s="623"/>
    </row>
    <row r="564" spans="1:16" x14ac:dyDescent="0.25">
      <c r="A564" s="514"/>
      <c r="B564" s="617"/>
      <c r="C564" s="617"/>
      <c r="D564" s="598"/>
      <c r="E564" s="598"/>
      <c r="F564" s="598"/>
      <c r="G564" s="622"/>
      <c r="H564" s="622"/>
      <c r="I564" s="622"/>
      <c r="J564" s="622"/>
      <c r="K564" s="622"/>
      <c r="L564" s="622"/>
      <c r="M564" s="622"/>
      <c r="N564" s="622"/>
      <c r="O564" s="622"/>
      <c r="P564" s="623"/>
    </row>
    <row r="565" spans="1:16" x14ac:dyDescent="0.25">
      <c r="A565" s="514"/>
      <c r="B565" s="616" t="s">
        <v>183</v>
      </c>
      <c r="C565" s="616"/>
      <c r="D565" s="598"/>
      <c r="E565" s="598"/>
      <c r="F565" s="598"/>
      <c r="G565" s="617"/>
      <c r="H565" s="617">
        <v>0</v>
      </c>
      <c r="I565" s="617">
        <v>0</v>
      </c>
      <c r="J565" s="617">
        <v>0</v>
      </c>
      <c r="K565" s="617">
        <v>0</v>
      </c>
      <c r="L565" s="617">
        <v>0</v>
      </c>
      <c r="M565" s="617">
        <v>0</v>
      </c>
      <c r="N565" s="617">
        <v>0</v>
      </c>
      <c r="O565" s="617">
        <v>0</v>
      </c>
      <c r="P565" s="624">
        <v>0</v>
      </c>
    </row>
    <row r="566" spans="1:16" x14ac:dyDescent="0.25">
      <c r="A566" s="514"/>
      <c r="B566" s="617" t="s">
        <v>185</v>
      </c>
      <c r="C566" s="616"/>
      <c r="D566" s="598"/>
      <c r="E566" s="598"/>
      <c r="F566" s="598"/>
      <c r="G566" s="618"/>
      <c r="H566" s="618"/>
      <c r="I566" s="618"/>
      <c r="J566" s="618"/>
      <c r="K566" s="618"/>
      <c r="L566" s="618"/>
      <c r="M566" s="618"/>
      <c r="N566" s="618"/>
      <c r="O566" s="618"/>
      <c r="P566" s="619"/>
    </row>
    <row r="567" spans="1:16" x14ac:dyDescent="0.25">
      <c r="A567" s="514"/>
      <c r="B567" s="617" t="s">
        <v>184</v>
      </c>
      <c r="C567" s="616"/>
      <c r="D567" s="598"/>
      <c r="E567" s="598"/>
      <c r="F567" s="598"/>
      <c r="G567" s="620"/>
      <c r="H567" s="620"/>
      <c r="I567" s="620"/>
      <c r="J567" s="620"/>
      <c r="K567" s="620"/>
      <c r="L567" s="620"/>
      <c r="M567" s="620"/>
      <c r="N567" s="620"/>
      <c r="O567" s="620"/>
      <c r="P567" s="621"/>
    </row>
    <row r="568" spans="1:16" x14ac:dyDescent="0.25">
      <c r="A568" s="514"/>
      <c r="B568" s="617"/>
      <c r="C568" s="617"/>
      <c r="D568" s="598"/>
      <c r="E568" s="598"/>
      <c r="F568" s="598"/>
      <c r="G568" s="622"/>
      <c r="H568" s="622"/>
      <c r="I568" s="622"/>
      <c r="J568" s="622"/>
      <c r="K568" s="622"/>
      <c r="L568" s="622"/>
      <c r="M568" s="622"/>
      <c r="N568" s="622"/>
      <c r="O568" s="622"/>
      <c r="P568" s="623"/>
    </row>
    <row r="569" spans="1:16" x14ac:dyDescent="0.25">
      <c r="A569" s="515" t="s">
        <v>497</v>
      </c>
      <c r="B569" s="616" t="s">
        <v>160</v>
      </c>
      <c r="C569" s="617"/>
      <c r="D569" s="598"/>
      <c r="E569" s="598"/>
      <c r="F569" s="598"/>
      <c r="G569" s="617"/>
      <c r="H569" s="617">
        <f>H350</f>
        <v>3.9468504672694786</v>
      </c>
      <c r="I569" s="617">
        <f t="shared" ref="I569:P569" si="100">I350</f>
        <v>4.1250535325861364</v>
      </c>
      <c r="J569" s="617">
        <f t="shared" si="100"/>
        <v>4.4413993098344982</v>
      </c>
      <c r="K569" s="617">
        <f t="shared" si="100"/>
        <v>4.7577450870828599</v>
      </c>
      <c r="L569" s="617">
        <f t="shared" si="100"/>
        <v>5.0740908643312217</v>
      </c>
      <c r="M569" s="617">
        <f t="shared" si="100"/>
        <v>5.3904366415795844</v>
      </c>
      <c r="N569" s="617">
        <f t="shared" si="100"/>
        <v>5.706782418827947</v>
      </c>
      <c r="O569" s="617">
        <f t="shared" si="100"/>
        <v>6.0231281960763106</v>
      </c>
      <c r="P569" s="617">
        <f t="shared" si="100"/>
        <v>6.3394739733246723</v>
      </c>
    </row>
    <row r="570" spans="1:16" x14ac:dyDescent="0.25">
      <c r="A570" s="514"/>
      <c r="B570" s="616" t="s">
        <v>159</v>
      </c>
      <c r="C570" s="617"/>
      <c r="D570" s="598"/>
      <c r="E570" s="598"/>
      <c r="F570" s="598"/>
      <c r="G570" s="618"/>
      <c r="H570" s="618"/>
      <c r="I570" s="618"/>
      <c r="J570" s="618"/>
      <c r="K570" s="618"/>
      <c r="L570" s="618"/>
      <c r="M570" s="618"/>
      <c r="N570" s="618"/>
      <c r="O570" s="618"/>
      <c r="P570" s="619"/>
    </row>
    <row r="571" spans="1:16" x14ac:dyDescent="0.25">
      <c r="A571" s="514"/>
      <c r="B571" s="616" t="s">
        <v>161</v>
      </c>
      <c r="C571" s="617"/>
      <c r="D571" s="598"/>
      <c r="E571" s="598"/>
      <c r="F571" s="598"/>
      <c r="G571" s="620"/>
      <c r="H571" s="620"/>
      <c r="I571" s="620"/>
      <c r="J571" s="620"/>
      <c r="K571" s="620"/>
      <c r="L571" s="620"/>
      <c r="M571" s="620"/>
      <c r="N571" s="620"/>
      <c r="O571" s="620"/>
      <c r="P571" s="621"/>
    </row>
    <row r="572" spans="1:16" x14ac:dyDescent="0.25">
      <c r="A572" s="514"/>
      <c r="B572" s="617"/>
      <c r="C572" s="617"/>
      <c r="D572" s="598"/>
      <c r="E572" s="598"/>
      <c r="F572" s="598"/>
      <c r="G572" s="622"/>
      <c r="H572" s="622"/>
      <c r="I572" s="622"/>
      <c r="J572" s="622"/>
      <c r="K572" s="622"/>
      <c r="L572" s="622"/>
      <c r="M572" s="622"/>
      <c r="N572" s="622"/>
      <c r="O572" s="622"/>
      <c r="P572" s="623"/>
    </row>
    <row r="573" spans="1:16" x14ac:dyDescent="0.25">
      <c r="A573" s="515" t="s">
        <v>499</v>
      </c>
      <c r="B573" s="616" t="s">
        <v>186</v>
      </c>
      <c r="C573" s="617"/>
      <c r="D573" s="598"/>
      <c r="E573" s="598"/>
      <c r="F573" s="598"/>
      <c r="G573" s="617"/>
      <c r="H573" s="617">
        <f ca="1">H361</f>
        <v>4.0110689225126546</v>
      </c>
      <c r="I573" s="617">
        <f t="shared" ref="I573:P573" ca="1" si="101">I361</f>
        <v>6.9677739777316425</v>
      </c>
      <c r="J573" s="617">
        <f t="shared" ca="1" si="101"/>
        <v>8.2324424807090502</v>
      </c>
      <c r="K573" s="617">
        <f t="shared" ca="1" si="101"/>
        <v>9.5068705526474204</v>
      </c>
      <c r="L573" s="617">
        <f t="shared" ca="1" si="101"/>
        <v>9.8025398054852779</v>
      </c>
      <c r="M573" s="617">
        <f t="shared" ca="1" si="101"/>
        <v>10.144312090158863</v>
      </c>
      <c r="N573" s="617">
        <f t="shared" ca="1" si="101"/>
        <v>9.915030075491531</v>
      </c>
      <c r="O573" s="617">
        <f t="shared" ca="1" si="101"/>
        <v>9.1024677415198809</v>
      </c>
      <c r="P573" s="617">
        <f t="shared" ca="1" si="101"/>
        <v>10.926901201116491</v>
      </c>
    </row>
    <row r="574" spans="1:16" x14ac:dyDescent="0.25">
      <c r="A574" s="514"/>
      <c r="B574" s="616"/>
      <c r="C574" s="617"/>
      <c r="D574" s="598"/>
      <c r="E574" s="598"/>
      <c r="F574" s="598"/>
      <c r="G574" s="622"/>
      <c r="H574" s="622"/>
      <c r="I574" s="622"/>
      <c r="J574" s="622"/>
      <c r="K574" s="622"/>
      <c r="L574" s="622"/>
      <c r="M574" s="622"/>
      <c r="N574" s="622"/>
      <c r="O574" s="622"/>
      <c r="P574" s="623"/>
    </row>
    <row r="575" spans="1:16" x14ac:dyDescent="0.25">
      <c r="A575" s="515" t="s">
        <v>501</v>
      </c>
      <c r="B575" s="616" t="s">
        <v>187</v>
      </c>
      <c r="C575" s="617"/>
      <c r="D575" s="598"/>
      <c r="E575" s="598"/>
      <c r="F575" s="598"/>
      <c r="G575" s="617"/>
      <c r="H575" s="617">
        <f ca="1">H264/H168</f>
        <v>1.4740548989982645</v>
      </c>
      <c r="I575" s="617">
        <f t="shared" ref="I575:P575" ca="1" si="102">I264/I168</f>
        <v>1.7454296313590001</v>
      </c>
      <c r="J575" s="617">
        <f t="shared" ca="1" si="102"/>
        <v>1.8229145436853023</v>
      </c>
      <c r="K575" s="617">
        <f t="shared" ca="1" si="102"/>
        <v>1.862510164459658</v>
      </c>
      <c r="L575" s="617">
        <f t="shared" ca="1" si="102"/>
        <v>1.814849745618824</v>
      </c>
      <c r="M575" s="617">
        <f t="shared" ca="1" si="102"/>
        <v>1.7780828970842899</v>
      </c>
      <c r="N575" s="617">
        <f t="shared" ca="1" si="102"/>
        <v>1.72490080795093</v>
      </c>
      <c r="O575" s="617">
        <f t="shared" ca="1" si="102"/>
        <v>1.6814426429150011</v>
      </c>
      <c r="P575" s="617">
        <f t="shared" ca="1" si="102"/>
        <v>1.8547510723250336</v>
      </c>
    </row>
    <row r="576" spans="1:16" x14ac:dyDescent="0.25">
      <c r="A576" s="514"/>
      <c r="B576" s="616"/>
      <c r="C576" s="617"/>
      <c r="D576" s="598"/>
      <c r="E576" s="598"/>
      <c r="F576" s="598"/>
      <c r="G576" s="622"/>
      <c r="H576" s="622"/>
      <c r="I576" s="622"/>
      <c r="J576" s="622"/>
      <c r="K576" s="622"/>
      <c r="L576" s="622"/>
      <c r="M576" s="622"/>
      <c r="N576" s="622"/>
      <c r="O576" s="622"/>
      <c r="P576" s="623"/>
    </row>
    <row r="577" spans="1:16" x14ac:dyDescent="0.25">
      <c r="A577" s="515" t="s">
        <v>503</v>
      </c>
      <c r="B577" s="616" t="s">
        <v>188</v>
      </c>
      <c r="C577" s="617"/>
      <c r="D577" s="598"/>
      <c r="E577" s="598"/>
      <c r="F577" s="598"/>
      <c r="G577" s="617"/>
      <c r="H577" s="617">
        <f ca="1">H304</f>
        <v>7.6310339171715604</v>
      </c>
      <c r="I577" s="617">
        <f t="shared" ref="I577:P577" ca="1" si="103">I304</f>
        <v>9.2794512246272376</v>
      </c>
      <c r="J577" s="617">
        <f t="shared" ca="1" si="103"/>
        <v>11.567035467418911</v>
      </c>
      <c r="K577" s="617">
        <f t="shared" ca="1" si="103"/>
        <v>14.509540770319369</v>
      </c>
      <c r="L577" s="617">
        <f t="shared" ca="1" si="103"/>
        <v>18.078820642676014</v>
      </c>
      <c r="M577" s="617">
        <f t="shared" ca="1" si="103"/>
        <v>22.265627460821587</v>
      </c>
      <c r="N577" s="617">
        <f t="shared" ca="1" si="103"/>
        <v>27.063443003223025</v>
      </c>
      <c r="O577" s="617">
        <f t="shared" ca="1" si="103"/>
        <v>32.474766566433431</v>
      </c>
      <c r="P577" s="617">
        <f t="shared" ca="1" si="103"/>
        <v>38.458115987989594</v>
      </c>
    </row>
    <row r="578" spans="1:16" x14ac:dyDescent="0.25">
      <c r="A578" s="514"/>
      <c r="B578" s="616"/>
      <c r="C578" s="617"/>
      <c r="D578" s="598"/>
      <c r="E578" s="598"/>
      <c r="F578" s="598"/>
      <c r="G578" s="622"/>
      <c r="H578" s="622"/>
      <c r="I578" s="622"/>
      <c r="J578" s="622"/>
      <c r="K578" s="622"/>
      <c r="L578" s="622"/>
      <c r="M578" s="622"/>
      <c r="N578" s="622"/>
      <c r="O578" s="622"/>
      <c r="P578" s="623"/>
    </row>
    <row r="579" spans="1:16" x14ac:dyDescent="0.25">
      <c r="A579" s="515" t="s">
        <v>162</v>
      </c>
      <c r="B579" s="616" t="s">
        <v>189</v>
      </c>
      <c r="C579" s="616"/>
      <c r="D579" s="598"/>
      <c r="E579" s="598"/>
      <c r="F579" s="598"/>
      <c r="G579" s="617"/>
      <c r="H579" s="617">
        <f ca="1">H177/H577</f>
        <v>2.9413106701091332</v>
      </c>
      <c r="I579" s="617">
        <f t="shared" ref="I579:P579" ca="1" si="104">I177/I577</f>
        <v>2.3979194972745548</v>
      </c>
      <c r="J579" s="617">
        <f t="shared" ca="1" si="104"/>
        <v>1.8870917573357107</v>
      </c>
      <c r="K579" s="617">
        <f t="shared" ca="1" si="104"/>
        <v>1.4753312869459005</v>
      </c>
      <c r="L579" s="617">
        <f t="shared" ca="1" si="104"/>
        <v>1.1402250841066834</v>
      </c>
      <c r="M579" s="617">
        <f t="shared" ca="1" si="104"/>
        <v>0.87406578410013347</v>
      </c>
      <c r="N579" s="617">
        <f t="shared" ca="1" si="104"/>
        <v>0.66295429003330919</v>
      </c>
      <c r="O579" s="617">
        <f t="shared" ca="1" si="104"/>
        <v>0.50567550629214475</v>
      </c>
      <c r="P579" s="617">
        <f t="shared" ca="1" si="104"/>
        <v>0.4120787937240819</v>
      </c>
    </row>
    <row r="580" spans="1:16" x14ac:dyDescent="0.25">
      <c r="A580" s="514"/>
      <c r="B580" s="617" t="s">
        <v>190</v>
      </c>
      <c r="C580" s="616"/>
      <c r="D580" s="598"/>
      <c r="E580" s="598"/>
      <c r="F580" s="598"/>
      <c r="G580" s="622"/>
      <c r="H580" s="622"/>
      <c r="I580" s="622"/>
      <c r="J580" s="622"/>
      <c r="K580" s="622"/>
      <c r="L580" s="622"/>
      <c r="M580" s="622"/>
      <c r="N580" s="622"/>
      <c r="O580" s="622"/>
      <c r="P580" s="623"/>
    </row>
    <row r="581" spans="1:16" x14ac:dyDescent="0.25">
      <c r="A581" s="514"/>
      <c r="B581" s="617"/>
      <c r="C581" s="616"/>
      <c r="D581" s="598"/>
      <c r="E581" s="598"/>
      <c r="F581" s="598"/>
      <c r="G581" s="622"/>
      <c r="H581" s="622"/>
      <c r="I581" s="622"/>
      <c r="J581" s="622"/>
      <c r="K581" s="622"/>
      <c r="L581" s="622"/>
      <c r="M581" s="622"/>
      <c r="N581" s="622"/>
      <c r="O581" s="622"/>
      <c r="P581" s="623"/>
    </row>
    <row r="582" spans="1:16" x14ac:dyDescent="0.25">
      <c r="A582" s="514"/>
      <c r="B582" s="616" t="s">
        <v>191</v>
      </c>
      <c r="C582" s="616"/>
      <c r="D582" s="598"/>
      <c r="E582" s="598"/>
      <c r="F582" s="598"/>
      <c r="G582" s="617"/>
      <c r="H582" s="617">
        <f ca="1">H176/H577</f>
        <v>1.8325237306659725</v>
      </c>
      <c r="I582" s="617">
        <f t="shared" ref="I582:P582" ca="1" si="105">I176/I577</f>
        <v>1.3906049431551555</v>
      </c>
      <c r="J582" s="617">
        <f t="shared" ca="1" si="105"/>
        <v>1.0222196323369825</v>
      </c>
      <c r="K582" s="617">
        <f t="shared" ca="1" si="105"/>
        <v>0.71567053066044317</v>
      </c>
      <c r="L582" s="617">
        <f t="shared" ca="1" si="105"/>
        <v>0.4748125396227833</v>
      </c>
      <c r="M582" s="617">
        <f t="shared" ca="1" si="105"/>
        <v>0.28851873831256292</v>
      </c>
      <c r="N582" s="617">
        <f t="shared" ca="1" si="105"/>
        <v>0.15755758578928727</v>
      </c>
      <c r="O582" s="617">
        <f t="shared" ca="1" si="105"/>
        <v>9.4351740341710788E-2</v>
      </c>
      <c r="P582" s="617">
        <f t="shared" ca="1" si="105"/>
        <v>7.9672408905592157E-2</v>
      </c>
    </row>
    <row r="583" spans="1:16" x14ac:dyDescent="0.25">
      <c r="A583" s="514"/>
      <c r="B583" s="617" t="s">
        <v>192</v>
      </c>
      <c r="C583" s="616"/>
      <c r="D583" s="598"/>
      <c r="E583" s="598"/>
      <c r="F583" s="598"/>
      <c r="G583" s="622"/>
      <c r="H583" s="622"/>
      <c r="I583" s="622"/>
      <c r="J583" s="622"/>
      <c r="K583" s="622"/>
      <c r="L583" s="622"/>
      <c r="M583" s="622"/>
      <c r="N583" s="622"/>
      <c r="O583" s="622"/>
      <c r="P583" s="623"/>
    </row>
    <row r="584" spans="1:16" x14ac:dyDescent="0.25">
      <c r="A584" s="514"/>
      <c r="B584" s="617"/>
      <c r="C584" s="616"/>
      <c r="D584" s="598"/>
      <c r="E584" s="598"/>
      <c r="F584" s="598"/>
      <c r="G584" s="622"/>
      <c r="H584" s="622"/>
      <c r="I584" s="622"/>
      <c r="J584" s="622"/>
      <c r="K584" s="622"/>
      <c r="L584" s="622"/>
      <c r="M584" s="622"/>
      <c r="N584" s="622"/>
      <c r="O584" s="622"/>
      <c r="P584" s="623"/>
    </row>
    <row r="585" spans="1:16" x14ac:dyDescent="0.25">
      <c r="A585" s="515" t="s">
        <v>163</v>
      </c>
      <c r="B585" s="616" t="s">
        <v>193</v>
      </c>
      <c r="C585" s="616"/>
      <c r="D585" s="598"/>
      <c r="E585" s="598"/>
      <c r="F585" s="598"/>
      <c r="G585" s="617"/>
      <c r="H585" s="617">
        <f ca="1">H149/H177</f>
        <v>8.9105746595662588E-2</v>
      </c>
      <c r="I585" s="617">
        <f t="shared" ref="I585:P585" ca="1" si="106">I149/I177</f>
        <v>8.9882077796940921E-2</v>
      </c>
      <c r="J585" s="617">
        <f t="shared" ca="1" si="106"/>
        <v>9.1625194751374969E-2</v>
      </c>
      <c r="K585" s="617">
        <f t="shared" ca="1" si="106"/>
        <v>9.3430091901106502E-2</v>
      </c>
      <c r="L585" s="617">
        <f t="shared" ca="1" si="106"/>
        <v>9.7021795731946664E-2</v>
      </c>
      <c r="M585" s="617">
        <f t="shared" ca="1" si="106"/>
        <v>0.10276635135475032</v>
      </c>
      <c r="N585" s="617">
        <f t="shared" ca="1" si="106"/>
        <v>0.11147137643070527</v>
      </c>
      <c r="O585" s="617">
        <f t="shared" ca="1" si="106"/>
        <v>0.12179011476713884</v>
      </c>
      <c r="P585" s="617">
        <f t="shared" ca="1" si="106"/>
        <v>0.12620068877129012</v>
      </c>
    </row>
    <row r="586" spans="1:16" x14ac:dyDescent="0.25">
      <c r="A586" s="514"/>
      <c r="B586" s="617" t="s">
        <v>194</v>
      </c>
      <c r="C586" s="616"/>
      <c r="D586" s="598"/>
      <c r="E586" s="598"/>
      <c r="F586" s="598"/>
      <c r="G586" s="622"/>
      <c r="H586" s="622"/>
      <c r="I586" s="622"/>
      <c r="J586" s="622"/>
      <c r="K586" s="622"/>
      <c r="L586" s="622"/>
      <c r="M586" s="622"/>
      <c r="N586" s="622"/>
      <c r="O586" s="622"/>
      <c r="P586" s="623"/>
    </row>
    <row r="587" spans="1:16" x14ac:dyDescent="0.25">
      <c r="A587" s="514"/>
      <c r="B587" s="617"/>
      <c r="C587" s="616"/>
      <c r="D587" s="598"/>
      <c r="E587" s="598"/>
      <c r="F587" s="598"/>
      <c r="G587" s="622"/>
      <c r="H587" s="622"/>
      <c r="I587" s="622"/>
      <c r="J587" s="622"/>
      <c r="K587" s="622"/>
      <c r="L587" s="622"/>
      <c r="M587" s="622"/>
      <c r="N587" s="622"/>
      <c r="O587" s="622"/>
      <c r="P587" s="623"/>
    </row>
    <row r="588" spans="1:16" x14ac:dyDescent="0.25">
      <c r="A588" s="514"/>
      <c r="B588" s="616" t="s">
        <v>195</v>
      </c>
      <c r="C588" s="616"/>
      <c r="D588" s="598"/>
      <c r="E588" s="598"/>
      <c r="F588" s="598"/>
      <c r="G588" s="617"/>
      <c r="H588" s="617">
        <f ca="1">H60/(H303-H299)</f>
        <v>2.6676574452244308</v>
      </c>
      <c r="I588" s="617">
        <f t="shared" ref="I588:P588" ca="1" si="107">I60/(I303-I299)</f>
        <v>2.8117910295503368</v>
      </c>
      <c r="J588" s="617">
        <f t="shared" ca="1" si="107"/>
        <v>2.8593751992585625</v>
      </c>
      <c r="K588" s="617">
        <f t="shared" ca="1" si="107"/>
        <v>2.8488786964245376</v>
      </c>
      <c r="L588" s="617">
        <f t="shared" ca="1" si="107"/>
        <v>2.8209706699670223</v>
      </c>
      <c r="M588" s="617">
        <f t="shared" ca="1" si="107"/>
        <v>2.7795289258607725</v>
      </c>
      <c r="N588" s="617">
        <f t="shared" ca="1" si="107"/>
        <v>2.7288605022664534</v>
      </c>
      <c r="O588" s="617">
        <f t="shared" ca="1" si="107"/>
        <v>2.6514004987547506</v>
      </c>
      <c r="P588" s="617">
        <f t="shared" ca="1" si="107"/>
        <v>2.5130809920712562</v>
      </c>
    </row>
    <row r="589" spans="1:16" x14ac:dyDescent="0.25">
      <c r="A589" s="514"/>
      <c r="B589" s="617" t="s">
        <v>196</v>
      </c>
      <c r="C589" s="616"/>
      <c r="D589" s="598"/>
      <c r="E589" s="598"/>
      <c r="F589" s="598"/>
      <c r="G589" s="622"/>
      <c r="H589" s="622"/>
      <c r="I589" s="622"/>
      <c r="J589" s="622"/>
      <c r="K589" s="622"/>
      <c r="L589" s="622"/>
      <c r="M589" s="622"/>
      <c r="N589" s="622"/>
      <c r="O589" s="622"/>
      <c r="P589" s="623"/>
    </row>
    <row r="590" spans="1:16" x14ac:dyDescent="0.25">
      <c r="A590" s="514"/>
      <c r="B590" s="617"/>
      <c r="C590" s="616"/>
      <c r="D590" s="598"/>
      <c r="E590" s="598"/>
      <c r="F590" s="598"/>
      <c r="G590" s="622"/>
      <c r="H590" s="622"/>
      <c r="I590" s="622"/>
      <c r="J590" s="622"/>
      <c r="K590" s="622"/>
      <c r="L590" s="622"/>
      <c r="M590" s="622"/>
      <c r="N590" s="622"/>
      <c r="O590" s="622"/>
      <c r="P590" s="623"/>
    </row>
    <row r="591" spans="1:16" x14ac:dyDescent="0.25">
      <c r="A591" s="514"/>
      <c r="B591" s="617"/>
      <c r="C591" s="616"/>
      <c r="D591" s="598"/>
      <c r="E591" s="598"/>
      <c r="F591" s="598"/>
      <c r="G591" s="622"/>
      <c r="H591" s="622"/>
      <c r="I591" s="622"/>
      <c r="J591" s="622"/>
      <c r="K591" s="622"/>
      <c r="L591" s="622"/>
      <c r="M591" s="622"/>
      <c r="N591" s="622"/>
      <c r="O591" s="622"/>
      <c r="P591" s="623"/>
    </row>
    <row r="592" spans="1:16" x14ac:dyDescent="0.25">
      <c r="A592" s="514"/>
      <c r="B592" s="617"/>
      <c r="C592" s="616"/>
      <c r="D592" s="598"/>
      <c r="E592" s="598"/>
      <c r="F592" s="598"/>
      <c r="G592" s="622"/>
      <c r="H592" s="622"/>
      <c r="I592" s="622"/>
      <c r="J592" s="622"/>
      <c r="K592" s="622"/>
      <c r="L592" s="622"/>
      <c r="M592" s="622"/>
      <c r="N592" s="622"/>
      <c r="O592" s="622"/>
      <c r="P592" s="623"/>
    </row>
    <row r="593" spans="1:16" x14ac:dyDescent="0.25">
      <c r="A593" s="514"/>
      <c r="B593" s="617"/>
      <c r="C593" s="616"/>
      <c r="D593" s="598"/>
      <c r="E593" s="598"/>
      <c r="F593" s="598"/>
      <c r="G593" s="622"/>
      <c r="H593" s="622"/>
      <c r="I593" s="622"/>
      <c r="J593" s="598"/>
      <c r="K593" s="598"/>
      <c r="L593" s="598"/>
      <c r="M593" s="598"/>
      <c r="P593" s="17"/>
    </row>
    <row r="594" spans="1:16" x14ac:dyDescent="0.25">
      <c r="A594" s="516"/>
      <c r="B594" s="517"/>
      <c r="C594" s="518"/>
      <c r="D594" s="42"/>
      <c r="E594" s="42"/>
      <c r="F594" s="42"/>
      <c r="G594" s="519"/>
      <c r="H594" s="519"/>
      <c r="I594" s="519"/>
      <c r="J594" s="42"/>
      <c r="K594" s="42"/>
      <c r="L594" s="42"/>
      <c r="M594" s="42"/>
      <c r="N594" s="19"/>
      <c r="O594" s="19"/>
      <c r="P594" s="22"/>
    </row>
    <row r="595" spans="1:16" x14ac:dyDescent="0.25">
      <c r="G595" s="64"/>
      <c r="H595" s="64"/>
      <c r="I595" s="64"/>
    </row>
    <row r="596" spans="1:16" x14ac:dyDescent="0.25">
      <c r="G596" s="64"/>
      <c r="H596" s="64"/>
      <c r="I596" s="64"/>
    </row>
    <row r="597" spans="1:16" x14ac:dyDescent="0.25">
      <c r="G597" s="64"/>
      <c r="H597" s="64"/>
      <c r="I597" s="64"/>
    </row>
    <row r="598" spans="1:16" x14ac:dyDescent="0.25">
      <c r="G598" s="64"/>
      <c r="H598" s="64"/>
      <c r="I598" s="64"/>
    </row>
    <row r="599" spans="1:16" x14ac:dyDescent="0.25">
      <c r="G599" s="64"/>
      <c r="H599" s="64"/>
      <c r="I599" s="64"/>
    </row>
    <row r="600" spans="1:16" x14ac:dyDescent="0.25">
      <c r="G600" s="64"/>
      <c r="H600" s="64"/>
      <c r="I600" s="64"/>
    </row>
    <row r="601" spans="1:16" x14ac:dyDescent="0.25">
      <c r="G601" s="64"/>
      <c r="H601" s="64"/>
      <c r="I601" s="64"/>
    </row>
    <row r="602" spans="1:16" x14ac:dyDescent="0.25">
      <c r="G602" s="64"/>
      <c r="H602" s="64"/>
      <c r="I602" s="64"/>
    </row>
    <row r="603" spans="1:16" x14ac:dyDescent="0.25">
      <c r="G603" s="64"/>
      <c r="H603" s="64"/>
      <c r="I603" s="64"/>
    </row>
    <row r="604" spans="1:16" x14ac:dyDescent="0.25">
      <c r="G604" s="64"/>
      <c r="H604" s="64"/>
      <c r="I604" s="64"/>
    </row>
    <row r="605" spans="1:16" x14ac:dyDescent="0.25">
      <c r="G605" s="64"/>
      <c r="H605" s="64"/>
      <c r="I605" s="64"/>
    </row>
    <row r="606" spans="1:16" x14ac:dyDescent="0.25">
      <c r="G606" s="64"/>
      <c r="H606" s="64"/>
      <c r="I606" s="64"/>
    </row>
    <row r="607" spans="1:16" x14ac:dyDescent="0.25">
      <c r="G607" s="64"/>
      <c r="H607" s="64"/>
      <c r="I607" s="64"/>
    </row>
    <row r="608" spans="1:16" x14ac:dyDescent="0.25">
      <c r="G608" s="64"/>
      <c r="H608" s="64"/>
      <c r="I608" s="64"/>
    </row>
    <row r="609" spans="7:9" x14ac:dyDescent="0.25">
      <c r="G609" s="64"/>
      <c r="H609" s="64"/>
      <c r="I609" s="64"/>
    </row>
    <row r="610" spans="7:9" x14ac:dyDescent="0.25">
      <c r="G610" s="64"/>
      <c r="H610" s="64"/>
      <c r="I610" s="64"/>
    </row>
    <row r="611" spans="7:9" x14ac:dyDescent="0.25">
      <c r="G611" s="64"/>
      <c r="H611" s="64"/>
      <c r="I611" s="64"/>
    </row>
    <row r="612" spans="7:9" x14ac:dyDescent="0.25">
      <c r="G612" s="64"/>
      <c r="H612" s="64"/>
      <c r="I612" s="64"/>
    </row>
    <row r="613" spans="7:9" x14ac:dyDescent="0.25">
      <c r="G613" s="64"/>
      <c r="H613" s="64"/>
      <c r="I613" s="64"/>
    </row>
    <row r="614" spans="7:9" x14ac:dyDescent="0.25">
      <c r="G614" s="64"/>
      <c r="H614" s="64"/>
      <c r="I614" s="64"/>
    </row>
    <row r="615" spans="7:9" x14ac:dyDescent="0.25">
      <c r="G615" s="64"/>
      <c r="H615" s="64"/>
      <c r="I615" s="64"/>
    </row>
    <row r="616" spans="7:9" x14ac:dyDescent="0.25">
      <c r="G616" s="64"/>
      <c r="H616" s="64"/>
      <c r="I616" s="64"/>
    </row>
    <row r="617" spans="7:9" x14ac:dyDescent="0.25">
      <c r="G617" s="64"/>
      <c r="H617" s="64"/>
      <c r="I617" s="64"/>
    </row>
    <row r="618" spans="7:9" x14ac:dyDescent="0.25">
      <c r="G618" s="64"/>
      <c r="H618" s="64"/>
      <c r="I618" s="64"/>
    </row>
    <row r="619" spans="7:9" x14ac:dyDescent="0.25">
      <c r="G619" s="64"/>
      <c r="H619" s="64"/>
      <c r="I619" s="64"/>
    </row>
    <row r="620" spans="7:9" x14ac:dyDescent="0.25">
      <c r="G620" s="64"/>
      <c r="H620" s="64"/>
      <c r="I620" s="64"/>
    </row>
    <row r="621" spans="7:9" x14ac:dyDescent="0.25">
      <c r="G621" s="64"/>
      <c r="H621" s="64"/>
      <c r="I621" s="64"/>
    </row>
    <row r="622" spans="7:9" x14ac:dyDescent="0.25">
      <c r="G622" s="64"/>
      <c r="H622" s="64"/>
      <c r="I622" s="64"/>
    </row>
    <row r="623" spans="7:9" x14ac:dyDescent="0.25">
      <c r="G623" s="64"/>
      <c r="H623" s="64"/>
      <c r="I623" s="64"/>
    </row>
    <row r="624" spans="7:9" x14ac:dyDescent="0.25">
      <c r="G624" s="64"/>
      <c r="H624" s="64"/>
      <c r="I624" s="64"/>
    </row>
    <row r="625" spans="7:9" x14ac:dyDescent="0.25">
      <c r="G625" s="64"/>
      <c r="H625" s="64"/>
      <c r="I625" s="64"/>
    </row>
    <row r="626" spans="7:9" x14ac:dyDescent="0.25">
      <c r="G626" s="64"/>
      <c r="H626" s="64"/>
      <c r="I626" s="64"/>
    </row>
    <row r="627" spans="7:9" x14ac:dyDescent="0.25">
      <c r="G627" s="64"/>
      <c r="H627" s="64"/>
      <c r="I627" s="64"/>
    </row>
    <row r="628" spans="7:9" x14ac:dyDescent="0.25">
      <c r="G628" s="64"/>
      <c r="H628" s="64"/>
      <c r="I628" s="64"/>
    </row>
    <row r="629" spans="7:9" x14ac:dyDescent="0.25">
      <c r="G629" s="64"/>
      <c r="H629" s="64"/>
      <c r="I629" s="64"/>
    </row>
    <row r="630" spans="7:9" x14ac:dyDescent="0.25">
      <c r="G630" s="64"/>
      <c r="H630" s="64"/>
      <c r="I630" s="64"/>
    </row>
    <row r="631" spans="7:9" x14ac:dyDescent="0.25">
      <c r="G631" s="64"/>
      <c r="H631" s="64"/>
      <c r="I631" s="64"/>
    </row>
    <row r="632" spans="7:9" x14ac:dyDescent="0.25">
      <c r="G632" s="64"/>
      <c r="H632" s="64"/>
      <c r="I632" s="64"/>
    </row>
    <row r="633" spans="7:9" x14ac:dyDescent="0.25">
      <c r="G633" s="64"/>
      <c r="H633" s="64"/>
      <c r="I633" s="64"/>
    </row>
    <row r="634" spans="7:9" x14ac:dyDescent="0.25">
      <c r="G634" s="64"/>
      <c r="H634" s="64"/>
      <c r="I634" s="64"/>
    </row>
    <row r="635" spans="7:9" x14ac:dyDescent="0.25">
      <c r="G635" s="64"/>
      <c r="H635" s="64"/>
      <c r="I635" s="64"/>
    </row>
    <row r="636" spans="7:9" x14ac:dyDescent="0.25">
      <c r="G636" s="64"/>
      <c r="H636" s="64"/>
      <c r="I636" s="64"/>
    </row>
    <row r="637" spans="7:9" x14ac:dyDescent="0.25">
      <c r="G637" s="64"/>
      <c r="H637" s="64"/>
      <c r="I637" s="64"/>
    </row>
    <row r="638" spans="7:9" x14ac:dyDescent="0.25">
      <c r="G638" s="64"/>
      <c r="H638" s="64"/>
      <c r="I638" s="64"/>
    </row>
    <row r="639" spans="7:9" x14ac:dyDescent="0.25">
      <c r="G639" s="64"/>
      <c r="H639" s="64"/>
      <c r="I639" s="64"/>
    </row>
    <row r="640" spans="7:9" x14ac:dyDescent="0.25">
      <c r="G640" s="64"/>
      <c r="H640" s="64"/>
      <c r="I640" s="64"/>
    </row>
    <row r="641" spans="7:9" x14ac:dyDescent="0.25">
      <c r="G641" s="64"/>
      <c r="H641" s="64"/>
      <c r="I641" s="64"/>
    </row>
    <row r="642" spans="7:9" x14ac:dyDescent="0.25">
      <c r="G642" s="64"/>
      <c r="H642" s="64"/>
      <c r="I642" s="64"/>
    </row>
    <row r="643" spans="7:9" x14ac:dyDescent="0.25">
      <c r="G643" s="64"/>
      <c r="H643" s="64"/>
      <c r="I643" s="64"/>
    </row>
    <row r="644" spans="7:9" x14ac:dyDescent="0.25">
      <c r="G644" s="64"/>
      <c r="H644" s="64"/>
      <c r="I644" s="64"/>
    </row>
    <row r="645" spans="7:9" x14ac:dyDescent="0.25">
      <c r="G645" s="64"/>
      <c r="H645" s="64"/>
      <c r="I645" s="64"/>
    </row>
    <row r="646" spans="7:9" x14ac:dyDescent="0.25">
      <c r="G646" s="64"/>
      <c r="H646" s="64"/>
      <c r="I646" s="64"/>
    </row>
    <row r="647" spans="7:9" x14ac:dyDescent="0.25">
      <c r="G647" s="64"/>
      <c r="H647" s="64"/>
      <c r="I647" s="64"/>
    </row>
    <row r="648" spans="7:9" x14ac:dyDescent="0.25">
      <c r="G648" s="64"/>
      <c r="H648" s="64"/>
      <c r="I648" s="64"/>
    </row>
    <row r="649" spans="7:9" x14ac:dyDescent="0.25">
      <c r="G649" s="64"/>
      <c r="H649" s="64"/>
      <c r="I649" s="64"/>
    </row>
    <row r="650" spans="7:9" x14ac:dyDescent="0.25">
      <c r="G650" s="64"/>
      <c r="H650" s="64"/>
      <c r="I650" s="64"/>
    </row>
    <row r="651" spans="7:9" x14ac:dyDescent="0.25">
      <c r="G651" s="64"/>
      <c r="H651" s="64"/>
      <c r="I651" s="64"/>
    </row>
    <row r="652" spans="7:9" x14ac:dyDescent="0.25">
      <c r="G652" s="64"/>
      <c r="H652" s="64"/>
      <c r="I652" s="64"/>
    </row>
    <row r="653" spans="7:9" x14ac:dyDescent="0.25">
      <c r="G653" s="64"/>
      <c r="H653" s="64"/>
      <c r="I653" s="64"/>
    </row>
    <row r="654" spans="7:9" x14ac:dyDescent="0.25">
      <c r="G654" s="64"/>
      <c r="H654" s="64"/>
      <c r="I654" s="64"/>
    </row>
    <row r="655" spans="7:9" x14ac:dyDescent="0.25">
      <c r="G655" s="64"/>
      <c r="H655" s="64"/>
      <c r="I655" s="64"/>
    </row>
    <row r="656" spans="7:9" x14ac:dyDescent="0.25">
      <c r="G656" s="64"/>
      <c r="H656" s="64"/>
      <c r="I656" s="64"/>
    </row>
    <row r="657" spans="7:9" x14ac:dyDescent="0.25">
      <c r="G657" s="64"/>
      <c r="H657" s="64"/>
      <c r="I657" s="64"/>
    </row>
    <row r="658" spans="7:9" x14ac:dyDescent="0.25">
      <c r="G658" s="64"/>
      <c r="H658" s="64"/>
      <c r="I658" s="64"/>
    </row>
    <row r="659" spans="7:9" x14ac:dyDescent="0.25">
      <c r="G659" s="64"/>
      <c r="H659" s="64"/>
      <c r="I659" s="64"/>
    </row>
    <row r="660" spans="7:9" x14ac:dyDescent="0.25">
      <c r="G660" s="64"/>
      <c r="H660" s="64"/>
      <c r="I660" s="64"/>
    </row>
    <row r="661" spans="7:9" x14ac:dyDescent="0.25">
      <c r="G661" s="64"/>
      <c r="H661" s="64"/>
      <c r="I661" s="64"/>
    </row>
    <row r="662" spans="7:9" x14ac:dyDescent="0.25">
      <c r="G662" s="64"/>
      <c r="H662" s="64"/>
      <c r="I662" s="64"/>
    </row>
    <row r="663" spans="7:9" x14ac:dyDescent="0.25">
      <c r="G663" s="64"/>
      <c r="H663" s="64"/>
      <c r="I663" s="64"/>
    </row>
    <row r="664" spans="7:9" x14ac:dyDescent="0.25">
      <c r="G664" s="64"/>
      <c r="H664" s="64"/>
      <c r="I664" s="64"/>
    </row>
    <row r="665" spans="7:9" x14ac:dyDescent="0.25">
      <c r="G665" s="64"/>
      <c r="H665" s="64"/>
      <c r="I665" s="64"/>
    </row>
    <row r="666" spans="7:9" x14ac:dyDescent="0.25">
      <c r="G666" s="64"/>
      <c r="H666" s="64"/>
      <c r="I666" s="64"/>
    </row>
    <row r="667" spans="7:9" x14ac:dyDescent="0.25">
      <c r="G667" s="64"/>
      <c r="H667" s="64"/>
      <c r="I667" s="64"/>
    </row>
    <row r="668" spans="7:9" x14ac:dyDescent="0.25">
      <c r="G668" s="64"/>
      <c r="H668" s="64"/>
      <c r="I668" s="64"/>
    </row>
    <row r="669" spans="7:9" x14ac:dyDescent="0.25">
      <c r="G669" s="64"/>
      <c r="H669" s="64"/>
      <c r="I669" s="64"/>
    </row>
    <row r="670" spans="7:9" x14ac:dyDescent="0.25">
      <c r="G670" s="64"/>
      <c r="H670" s="64"/>
      <c r="I670" s="64"/>
    </row>
    <row r="671" spans="7:9" x14ac:dyDescent="0.25">
      <c r="G671" s="64"/>
      <c r="H671" s="64"/>
      <c r="I671" s="64"/>
    </row>
    <row r="672" spans="7:9" x14ac:dyDescent="0.25">
      <c r="G672" s="64"/>
      <c r="H672" s="64"/>
      <c r="I672" s="64"/>
    </row>
    <row r="673" spans="7:9" x14ac:dyDescent="0.25">
      <c r="G673" s="64"/>
      <c r="H673" s="64"/>
      <c r="I673" s="64"/>
    </row>
    <row r="674" spans="7:9" x14ac:dyDescent="0.25">
      <c r="G674" s="64"/>
      <c r="H674" s="64"/>
      <c r="I674" s="64"/>
    </row>
    <row r="675" spans="7:9" x14ac:dyDescent="0.25">
      <c r="G675" s="64"/>
      <c r="H675" s="64"/>
      <c r="I675" s="64"/>
    </row>
    <row r="676" spans="7:9" x14ac:dyDescent="0.25">
      <c r="G676" s="64"/>
      <c r="H676" s="64"/>
      <c r="I676" s="64"/>
    </row>
    <row r="677" spans="7:9" x14ac:dyDescent="0.25">
      <c r="G677" s="64"/>
      <c r="H677" s="64"/>
      <c r="I677" s="64"/>
    </row>
    <row r="678" spans="7:9" x14ac:dyDescent="0.25">
      <c r="G678" s="64"/>
      <c r="H678" s="64"/>
      <c r="I678" s="64"/>
    </row>
    <row r="679" spans="7:9" x14ac:dyDescent="0.25">
      <c r="G679" s="64"/>
      <c r="H679" s="64"/>
      <c r="I679" s="64"/>
    </row>
    <row r="680" spans="7:9" x14ac:dyDescent="0.25">
      <c r="G680" s="64"/>
      <c r="H680" s="64"/>
      <c r="I680" s="64"/>
    </row>
    <row r="681" spans="7:9" x14ac:dyDescent="0.25">
      <c r="G681" s="64"/>
      <c r="H681" s="64"/>
      <c r="I681" s="64"/>
    </row>
    <row r="682" spans="7:9" x14ac:dyDescent="0.25">
      <c r="G682" s="64"/>
      <c r="H682" s="64"/>
      <c r="I682" s="64"/>
    </row>
    <row r="683" spans="7:9" x14ac:dyDescent="0.25">
      <c r="G683" s="64"/>
      <c r="H683" s="64"/>
      <c r="I683" s="64"/>
    </row>
    <row r="684" spans="7:9" x14ac:dyDescent="0.25">
      <c r="G684" s="64"/>
      <c r="H684" s="64"/>
      <c r="I684" s="64"/>
    </row>
    <row r="685" spans="7:9" x14ac:dyDescent="0.25">
      <c r="G685" s="64"/>
      <c r="H685" s="64"/>
      <c r="I685" s="64"/>
    </row>
    <row r="686" spans="7:9" x14ac:dyDescent="0.25">
      <c r="G686" s="64"/>
      <c r="H686" s="64"/>
      <c r="I686" s="64"/>
    </row>
    <row r="687" spans="7:9" x14ac:dyDescent="0.25">
      <c r="G687" s="64"/>
      <c r="H687" s="64"/>
      <c r="I687" s="64"/>
    </row>
    <row r="688" spans="7:9" x14ac:dyDescent="0.25">
      <c r="G688" s="64"/>
      <c r="H688" s="64"/>
      <c r="I688" s="64"/>
    </row>
    <row r="689" spans="7:9" x14ac:dyDescent="0.25">
      <c r="G689" s="64"/>
      <c r="H689" s="64"/>
      <c r="I689" s="64"/>
    </row>
    <row r="690" spans="7:9" x14ac:dyDescent="0.25">
      <c r="G690" s="64"/>
      <c r="H690" s="64"/>
      <c r="I690" s="64"/>
    </row>
    <row r="691" spans="7:9" x14ac:dyDescent="0.25">
      <c r="G691" s="64"/>
      <c r="H691" s="64"/>
      <c r="I691" s="64"/>
    </row>
    <row r="692" spans="7:9" x14ac:dyDescent="0.25">
      <c r="G692" s="64"/>
      <c r="H692" s="64"/>
      <c r="I692" s="64"/>
    </row>
    <row r="693" spans="7:9" x14ac:dyDescent="0.25">
      <c r="G693" s="64"/>
      <c r="H693" s="64"/>
      <c r="I693" s="64"/>
    </row>
    <row r="694" spans="7:9" x14ac:dyDescent="0.25">
      <c r="G694" s="64"/>
      <c r="H694" s="64"/>
      <c r="I694" s="64"/>
    </row>
    <row r="695" spans="7:9" x14ac:dyDescent="0.25">
      <c r="G695" s="64"/>
      <c r="H695" s="64"/>
      <c r="I695" s="64"/>
    </row>
    <row r="696" spans="7:9" x14ac:dyDescent="0.25">
      <c r="G696" s="64"/>
      <c r="H696" s="64"/>
      <c r="I696" s="64"/>
    </row>
    <row r="697" spans="7:9" x14ac:dyDescent="0.25">
      <c r="G697" s="64"/>
      <c r="H697" s="64"/>
      <c r="I697" s="64"/>
    </row>
    <row r="698" spans="7:9" x14ac:dyDescent="0.25">
      <c r="G698" s="64"/>
      <c r="H698" s="64"/>
      <c r="I698" s="64"/>
    </row>
    <row r="699" spans="7:9" x14ac:dyDescent="0.25">
      <c r="G699" s="64"/>
      <c r="H699" s="64"/>
      <c r="I699" s="64"/>
    </row>
    <row r="700" spans="7:9" x14ac:dyDescent="0.25">
      <c r="G700" s="64"/>
      <c r="H700" s="64"/>
      <c r="I700" s="64"/>
    </row>
    <row r="701" spans="7:9" x14ac:dyDescent="0.25">
      <c r="G701" s="64"/>
      <c r="H701" s="64"/>
      <c r="I701" s="64"/>
    </row>
    <row r="702" spans="7:9" x14ac:dyDescent="0.25">
      <c r="G702" s="64"/>
      <c r="H702" s="64"/>
      <c r="I702" s="64"/>
    </row>
    <row r="703" spans="7:9" x14ac:dyDescent="0.25">
      <c r="G703" s="64"/>
      <c r="H703" s="64"/>
      <c r="I703" s="64"/>
    </row>
    <row r="704" spans="7:9" x14ac:dyDescent="0.25">
      <c r="G704" s="64"/>
      <c r="H704" s="64"/>
      <c r="I704" s="64"/>
    </row>
    <row r="705" spans="7:9" x14ac:dyDescent="0.25">
      <c r="G705" s="64"/>
      <c r="H705" s="64"/>
      <c r="I705" s="64"/>
    </row>
    <row r="706" spans="7:9" x14ac:dyDescent="0.25">
      <c r="G706" s="64"/>
      <c r="H706" s="64"/>
      <c r="I706" s="64"/>
    </row>
    <row r="707" spans="7:9" x14ac:dyDescent="0.25">
      <c r="G707" s="64"/>
      <c r="H707" s="64"/>
      <c r="I707" s="64"/>
    </row>
    <row r="708" spans="7:9" x14ac:dyDescent="0.25">
      <c r="G708" s="64"/>
      <c r="H708" s="64"/>
      <c r="I708" s="64"/>
    </row>
    <row r="709" spans="7:9" x14ac:dyDescent="0.25">
      <c r="G709" s="64"/>
      <c r="H709" s="64"/>
      <c r="I709" s="64"/>
    </row>
    <row r="710" spans="7:9" x14ac:dyDescent="0.25">
      <c r="G710" s="64"/>
      <c r="H710" s="64"/>
      <c r="I710" s="64"/>
    </row>
    <row r="711" spans="7:9" x14ac:dyDescent="0.25">
      <c r="G711" s="64"/>
      <c r="H711" s="64"/>
      <c r="I711" s="64"/>
    </row>
    <row r="712" spans="7:9" x14ac:dyDescent="0.25">
      <c r="G712" s="64"/>
      <c r="H712" s="64"/>
      <c r="I712" s="64"/>
    </row>
    <row r="713" spans="7:9" x14ac:dyDescent="0.25">
      <c r="G713" s="64"/>
      <c r="H713" s="64"/>
      <c r="I713" s="64"/>
    </row>
    <row r="714" spans="7:9" x14ac:dyDescent="0.25">
      <c r="G714" s="64"/>
      <c r="H714" s="64"/>
      <c r="I714" s="64"/>
    </row>
    <row r="715" spans="7:9" x14ac:dyDescent="0.25">
      <c r="G715" s="64"/>
      <c r="H715" s="64"/>
      <c r="I715" s="64"/>
    </row>
    <row r="716" spans="7:9" x14ac:dyDescent="0.25">
      <c r="G716" s="64"/>
      <c r="H716" s="64"/>
      <c r="I716" s="64"/>
    </row>
    <row r="717" spans="7:9" x14ac:dyDescent="0.25">
      <c r="G717" s="64"/>
      <c r="H717" s="64"/>
      <c r="I717" s="64"/>
    </row>
    <row r="718" spans="7:9" x14ac:dyDescent="0.25">
      <c r="G718" s="64"/>
      <c r="H718" s="64"/>
      <c r="I718" s="64"/>
    </row>
    <row r="719" spans="7:9" x14ac:dyDescent="0.25">
      <c r="G719" s="64"/>
      <c r="H719" s="64"/>
      <c r="I719" s="64"/>
    </row>
    <row r="720" spans="7:9" x14ac:dyDescent="0.25">
      <c r="G720" s="64"/>
      <c r="H720" s="64"/>
      <c r="I720" s="64"/>
    </row>
    <row r="721" spans="7:9" x14ac:dyDescent="0.25">
      <c r="G721" s="64"/>
      <c r="H721" s="64"/>
      <c r="I721" s="64"/>
    </row>
    <row r="722" spans="7:9" x14ac:dyDescent="0.25">
      <c r="G722" s="64"/>
      <c r="H722" s="64"/>
      <c r="I722" s="64"/>
    </row>
    <row r="723" spans="7:9" x14ac:dyDescent="0.25">
      <c r="G723" s="64"/>
      <c r="H723" s="64"/>
      <c r="I723" s="64"/>
    </row>
    <row r="724" spans="7:9" x14ac:dyDescent="0.25">
      <c r="G724" s="64"/>
      <c r="H724" s="64"/>
      <c r="I724" s="64"/>
    </row>
    <row r="725" spans="7:9" x14ac:dyDescent="0.25">
      <c r="G725" s="64"/>
      <c r="H725" s="64"/>
      <c r="I725" s="64"/>
    </row>
    <row r="726" spans="7:9" x14ac:dyDescent="0.25">
      <c r="G726" s="64"/>
      <c r="H726" s="64"/>
      <c r="I726" s="64"/>
    </row>
    <row r="727" spans="7:9" x14ac:dyDescent="0.25">
      <c r="G727" s="64"/>
      <c r="H727" s="64"/>
      <c r="I727" s="64"/>
    </row>
    <row r="728" spans="7:9" x14ac:dyDescent="0.25">
      <c r="G728" s="64"/>
      <c r="H728" s="64"/>
      <c r="I728" s="64"/>
    </row>
    <row r="729" spans="7:9" x14ac:dyDescent="0.25">
      <c r="G729" s="64"/>
      <c r="H729" s="64"/>
      <c r="I729" s="64"/>
    </row>
    <row r="730" spans="7:9" x14ac:dyDescent="0.25">
      <c r="G730" s="64"/>
      <c r="H730" s="64"/>
      <c r="I730" s="64"/>
    </row>
    <row r="731" spans="7:9" x14ac:dyDescent="0.25">
      <c r="G731" s="64"/>
      <c r="H731" s="64"/>
      <c r="I731" s="64"/>
    </row>
    <row r="732" spans="7:9" x14ac:dyDescent="0.25">
      <c r="G732" s="64"/>
      <c r="H732" s="64"/>
      <c r="I732" s="64"/>
    </row>
    <row r="733" spans="7:9" x14ac:dyDescent="0.25">
      <c r="G733" s="64"/>
      <c r="H733" s="64"/>
      <c r="I733" s="64"/>
    </row>
    <row r="734" spans="7:9" x14ac:dyDescent="0.25">
      <c r="G734" s="64"/>
      <c r="H734" s="64"/>
      <c r="I734" s="64"/>
    </row>
    <row r="735" spans="7:9" x14ac:dyDescent="0.25">
      <c r="G735" s="64"/>
      <c r="H735" s="64"/>
      <c r="I735" s="64"/>
    </row>
    <row r="736" spans="7:9" x14ac:dyDescent="0.25">
      <c r="G736" s="64"/>
      <c r="H736" s="64"/>
      <c r="I736" s="64"/>
    </row>
    <row r="737" spans="7:9" x14ac:dyDescent="0.25">
      <c r="G737" s="64"/>
      <c r="H737" s="64"/>
      <c r="I737" s="64"/>
    </row>
    <row r="738" spans="7:9" x14ac:dyDescent="0.25">
      <c r="G738" s="64"/>
      <c r="H738" s="64"/>
      <c r="I738" s="64"/>
    </row>
    <row r="739" spans="7:9" x14ac:dyDescent="0.25">
      <c r="G739" s="64"/>
      <c r="H739" s="64"/>
      <c r="I739" s="64"/>
    </row>
    <row r="740" spans="7:9" x14ac:dyDescent="0.25">
      <c r="G740" s="64"/>
      <c r="H740" s="64"/>
      <c r="I740" s="64"/>
    </row>
    <row r="741" spans="7:9" x14ac:dyDescent="0.25">
      <c r="G741" s="64"/>
      <c r="H741" s="64"/>
      <c r="I741" s="64"/>
    </row>
    <row r="742" spans="7:9" x14ac:dyDescent="0.25">
      <c r="G742" s="64"/>
      <c r="H742" s="64"/>
      <c r="I742" s="64"/>
    </row>
    <row r="743" spans="7:9" x14ac:dyDescent="0.25">
      <c r="G743" s="64"/>
      <c r="H743" s="64"/>
      <c r="I743" s="64"/>
    </row>
    <row r="744" spans="7:9" x14ac:dyDescent="0.25">
      <c r="G744" s="64"/>
      <c r="H744" s="64"/>
      <c r="I744" s="64"/>
    </row>
    <row r="745" spans="7:9" x14ac:dyDescent="0.25">
      <c r="G745" s="64"/>
      <c r="H745" s="64"/>
      <c r="I745" s="64"/>
    </row>
    <row r="746" spans="7:9" x14ac:dyDescent="0.25">
      <c r="G746" s="64"/>
      <c r="H746" s="64"/>
      <c r="I746" s="64"/>
    </row>
    <row r="747" spans="7:9" x14ac:dyDescent="0.25">
      <c r="G747" s="64"/>
      <c r="H747" s="64"/>
      <c r="I747" s="64"/>
    </row>
    <row r="748" spans="7:9" x14ac:dyDescent="0.25">
      <c r="G748" s="64"/>
      <c r="H748" s="64"/>
      <c r="I748" s="64"/>
    </row>
    <row r="749" spans="7:9" x14ac:dyDescent="0.25">
      <c r="G749" s="64"/>
      <c r="H749" s="64"/>
      <c r="I749" s="64"/>
    </row>
    <row r="750" spans="7:9" x14ac:dyDescent="0.25">
      <c r="G750" s="64"/>
      <c r="H750" s="64"/>
      <c r="I750" s="64"/>
    </row>
    <row r="751" spans="7:9" x14ac:dyDescent="0.25">
      <c r="G751" s="64"/>
      <c r="H751" s="64"/>
      <c r="I751" s="64"/>
    </row>
    <row r="752" spans="7:9" x14ac:dyDescent="0.25">
      <c r="G752" s="64"/>
      <c r="H752" s="64"/>
      <c r="I752" s="64"/>
    </row>
    <row r="753" spans="7:9" x14ac:dyDescent="0.25">
      <c r="G753" s="64"/>
      <c r="H753" s="64"/>
      <c r="I753" s="64"/>
    </row>
    <row r="754" spans="7:9" x14ac:dyDescent="0.25">
      <c r="G754" s="64"/>
      <c r="H754" s="64"/>
      <c r="I754" s="64"/>
    </row>
    <row r="755" spans="7:9" x14ac:dyDescent="0.25">
      <c r="G755" s="64"/>
      <c r="H755" s="64"/>
      <c r="I755" s="64"/>
    </row>
    <row r="756" spans="7:9" x14ac:dyDescent="0.25">
      <c r="G756" s="64"/>
      <c r="H756" s="64"/>
      <c r="I756" s="64"/>
    </row>
    <row r="757" spans="7:9" x14ac:dyDescent="0.25">
      <c r="G757" s="64"/>
      <c r="H757" s="64"/>
      <c r="I757" s="64"/>
    </row>
    <row r="758" spans="7:9" x14ac:dyDescent="0.25">
      <c r="G758" s="64"/>
      <c r="H758" s="64"/>
      <c r="I758" s="64"/>
    </row>
    <row r="759" spans="7:9" x14ac:dyDescent="0.25">
      <c r="G759" s="64"/>
      <c r="H759" s="64"/>
      <c r="I759" s="64"/>
    </row>
    <row r="760" spans="7:9" x14ac:dyDescent="0.25">
      <c r="G760" s="64"/>
      <c r="H760" s="64"/>
      <c r="I760" s="64"/>
    </row>
    <row r="761" spans="7:9" x14ac:dyDescent="0.25">
      <c r="G761" s="64"/>
      <c r="H761" s="64"/>
      <c r="I761" s="64"/>
    </row>
    <row r="762" spans="7:9" x14ac:dyDescent="0.25">
      <c r="G762" s="64"/>
      <c r="H762" s="64"/>
      <c r="I762" s="64"/>
    </row>
    <row r="763" spans="7:9" x14ac:dyDescent="0.25">
      <c r="G763" s="64"/>
      <c r="H763" s="64"/>
      <c r="I763" s="64"/>
    </row>
    <row r="764" spans="7:9" x14ac:dyDescent="0.25">
      <c r="G764" s="64"/>
      <c r="H764" s="64"/>
      <c r="I764" s="64"/>
    </row>
    <row r="765" spans="7:9" x14ac:dyDescent="0.25">
      <c r="G765" s="64"/>
      <c r="H765" s="64"/>
      <c r="I765" s="64"/>
    </row>
    <row r="766" spans="7:9" x14ac:dyDescent="0.25">
      <c r="G766" s="64"/>
      <c r="H766" s="64"/>
      <c r="I766" s="64"/>
    </row>
    <row r="767" spans="7:9" x14ac:dyDescent="0.25">
      <c r="G767" s="64"/>
      <c r="H767" s="64"/>
      <c r="I767" s="64"/>
    </row>
    <row r="768" spans="7:9" x14ac:dyDescent="0.25">
      <c r="G768" s="64"/>
      <c r="H768" s="64"/>
      <c r="I768" s="64"/>
    </row>
    <row r="769" spans="7:9" x14ac:dyDescent="0.25">
      <c r="G769" s="64"/>
      <c r="H769" s="64"/>
      <c r="I769" s="64"/>
    </row>
    <row r="770" spans="7:9" x14ac:dyDescent="0.25">
      <c r="G770" s="64"/>
      <c r="H770" s="64"/>
      <c r="I770" s="64"/>
    </row>
    <row r="771" spans="7:9" x14ac:dyDescent="0.25">
      <c r="G771" s="64"/>
      <c r="H771" s="64"/>
      <c r="I771" s="64"/>
    </row>
    <row r="772" spans="7:9" x14ac:dyDescent="0.25">
      <c r="G772" s="64"/>
      <c r="H772" s="64"/>
      <c r="I772" s="64"/>
    </row>
    <row r="773" spans="7:9" x14ac:dyDescent="0.25">
      <c r="G773" s="64"/>
      <c r="H773" s="64"/>
      <c r="I773" s="64"/>
    </row>
    <row r="774" spans="7:9" x14ac:dyDescent="0.25">
      <c r="G774" s="64"/>
      <c r="H774" s="64"/>
      <c r="I774" s="64"/>
    </row>
    <row r="775" spans="7:9" x14ac:dyDescent="0.25">
      <c r="G775" s="64"/>
      <c r="H775" s="64"/>
      <c r="I775" s="64"/>
    </row>
    <row r="776" spans="7:9" x14ac:dyDescent="0.25">
      <c r="G776" s="64"/>
      <c r="H776" s="64"/>
      <c r="I776" s="64"/>
    </row>
    <row r="777" spans="7:9" x14ac:dyDescent="0.25">
      <c r="G777" s="64"/>
      <c r="H777" s="64"/>
      <c r="I777" s="64"/>
    </row>
    <row r="778" spans="7:9" x14ac:dyDescent="0.25">
      <c r="G778" s="64"/>
      <c r="H778" s="64"/>
      <c r="I778" s="64"/>
    </row>
    <row r="779" spans="7:9" x14ac:dyDescent="0.25">
      <c r="G779" s="64"/>
      <c r="H779" s="64"/>
      <c r="I779" s="64"/>
    </row>
    <row r="780" spans="7:9" x14ac:dyDescent="0.25">
      <c r="G780" s="64"/>
      <c r="H780" s="64"/>
      <c r="I780" s="64"/>
    </row>
    <row r="781" spans="7:9" x14ac:dyDescent="0.25">
      <c r="G781" s="64"/>
      <c r="H781" s="64"/>
      <c r="I781" s="64"/>
    </row>
    <row r="782" spans="7:9" x14ac:dyDescent="0.25">
      <c r="G782" s="64"/>
      <c r="H782" s="64"/>
      <c r="I782" s="64"/>
    </row>
    <row r="783" spans="7:9" x14ac:dyDescent="0.25">
      <c r="G783" s="64"/>
      <c r="H783" s="64"/>
      <c r="I783" s="64"/>
    </row>
    <row r="784" spans="7:9" x14ac:dyDescent="0.25">
      <c r="G784" s="64"/>
      <c r="H784" s="64"/>
      <c r="I784" s="64"/>
    </row>
    <row r="785" spans="7:9" x14ac:dyDescent="0.25">
      <c r="G785" s="64"/>
      <c r="H785" s="64"/>
      <c r="I785" s="64"/>
    </row>
    <row r="786" spans="7:9" x14ac:dyDescent="0.25">
      <c r="G786" s="64"/>
      <c r="H786" s="64"/>
      <c r="I786" s="64"/>
    </row>
    <row r="787" spans="7:9" x14ac:dyDescent="0.25">
      <c r="G787" s="64"/>
      <c r="H787" s="64"/>
      <c r="I787" s="64"/>
    </row>
    <row r="788" spans="7:9" x14ac:dyDescent="0.25">
      <c r="G788" s="64"/>
      <c r="H788" s="64"/>
      <c r="I788" s="64"/>
    </row>
    <row r="789" spans="7:9" x14ac:dyDescent="0.25">
      <c r="G789" s="64"/>
      <c r="H789" s="64"/>
      <c r="I789" s="64"/>
    </row>
    <row r="790" spans="7:9" x14ac:dyDescent="0.25">
      <c r="G790" s="64"/>
      <c r="H790" s="64"/>
      <c r="I790" s="64"/>
    </row>
    <row r="791" spans="7:9" x14ac:dyDescent="0.25">
      <c r="G791" s="64"/>
      <c r="H791" s="64"/>
      <c r="I791" s="64"/>
    </row>
    <row r="792" spans="7:9" x14ac:dyDescent="0.25">
      <c r="G792" s="64"/>
      <c r="H792" s="64"/>
      <c r="I792" s="64"/>
    </row>
    <row r="793" spans="7:9" x14ac:dyDescent="0.25">
      <c r="G793" s="64"/>
      <c r="H793" s="64"/>
      <c r="I793" s="64"/>
    </row>
    <row r="794" spans="7:9" x14ac:dyDescent="0.25">
      <c r="G794" s="64"/>
      <c r="H794" s="64"/>
      <c r="I794" s="64"/>
    </row>
    <row r="795" spans="7:9" x14ac:dyDescent="0.25">
      <c r="G795" s="64"/>
      <c r="H795" s="64"/>
      <c r="I795" s="64"/>
    </row>
    <row r="796" spans="7:9" x14ac:dyDescent="0.25">
      <c r="G796" s="64"/>
      <c r="H796" s="64"/>
      <c r="I796" s="64"/>
    </row>
    <row r="797" spans="7:9" x14ac:dyDescent="0.25">
      <c r="G797" s="64"/>
      <c r="H797" s="64"/>
      <c r="I797" s="64"/>
    </row>
    <row r="798" spans="7:9" x14ac:dyDescent="0.25">
      <c r="G798" s="64"/>
      <c r="H798" s="64"/>
      <c r="I798" s="64"/>
    </row>
    <row r="799" spans="7:9" x14ac:dyDescent="0.25">
      <c r="G799" s="64"/>
      <c r="H799" s="64"/>
      <c r="I799" s="64"/>
    </row>
    <row r="800" spans="7:9" x14ac:dyDescent="0.25">
      <c r="G800" s="64"/>
      <c r="H800" s="64"/>
      <c r="I800" s="64"/>
    </row>
    <row r="801" spans="7:9" x14ac:dyDescent="0.25">
      <c r="G801" s="64"/>
      <c r="H801" s="64"/>
      <c r="I801" s="64"/>
    </row>
    <row r="802" spans="7:9" x14ac:dyDescent="0.25">
      <c r="G802" s="64"/>
      <c r="H802" s="64"/>
      <c r="I802" s="64"/>
    </row>
    <row r="803" spans="7:9" x14ac:dyDescent="0.25">
      <c r="G803" s="64"/>
      <c r="H803" s="64"/>
      <c r="I803" s="64"/>
    </row>
    <row r="804" spans="7:9" x14ac:dyDescent="0.25">
      <c r="G804" s="64"/>
      <c r="H804" s="64"/>
      <c r="I804" s="64"/>
    </row>
    <row r="805" spans="7:9" x14ac:dyDescent="0.25">
      <c r="G805" s="64"/>
      <c r="H805" s="64"/>
      <c r="I805" s="64"/>
    </row>
    <row r="806" spans="7:9" x14ac:dyDescent="0.25">
      <c r="G806" s="64"/>
      <c r="H806" s="64"/>
      <c r="I806" s="64"/>
    </row>
    <row r="807" spans="7:9" x14ac:dyDescent="0.25">
      <c r="G807" s="64"/>
      <c r="H807" s="64"/>
      <c r="I807" s="64"/>
    </row>
    <row r="808" spans="7:9" x14ac:dyDescent="0.25">
      <c r="G808" s="64"/>
      <c r="H808" s="64"/>
      <c r="I808" s="64"/>
    </row>
    <row r="809" spans="7:9" x14ac:dyDescent="0.25">
      <c r="G809" s="64"/>
      <c r="H809" s="64"/>
      <c r="I809" s="64"/>
    </row>
    <row r="810" spans="7:9" x14ac:dyDescent="0.25">
      <c r="G810" s="64"/>
      <c r="H810" s="64"/>
      <c r="I810" s="64"/>
    </row>
    <row r="811" spans="7:9" x14ac:dyDescent="0.25">
      <c r="G811" s="64"/>
      <c r="H811" s="64"/>
      <c r="I811" s="64"/>
    </row>
    <row r="812" spans="7:9" x14ac:dyDescent="0.25">
      <c r="G812" s="64"/>
      <c r="H812" s="64"/>
      <c r="I812" s="64"/>
    </row>
    <row r="813" spans="7:9" x14ac:dyDescent="0.25">
      <c r="G813" s="64"/>
      <c r="H813" s="64"/>
      <c r="I813" s="64"/>
    </row>
    <row r="814" spans="7:9" x14ac:dyDescent="0.25">
      <c r="G814" s="64"/>
      <c r="H814" s="64"/>
      <c r="I814" s="64"/>
    </row>
    <row r="815" spans="7:9" x14ac:dyDescent="0.25">
      <c r="G815" s="64"/>
      <c r="H815" s="64"/>
      <c r="I815" s="64"/>
    </row>
    <row r="816" spans="7:9" x14ac:dyDescent="0.25">
      <c r="G816" s="64"/>
      <c r="H816" s="64"/>
      <c r="I816" s="64"/>
    </row>
    <row r="817" spans="7:9" x14ac:dyDescent="0.25">
      <c r="G817" s="64"/>
      <c r="H817" s="64"/>
      <c r="I817" s="64"/>
    </row>
    <row r="818" spans="7:9" x14ac:dyDescent="0.25">
      <c r="G818" s="64"/>
      <c r="H818" s="64"/>
      <c r="I818" s="64"/>
    </row>
    <row r="819" spans="7:9" x14ac:dyDescent="0.25">
      <c r="G819" s="64"/>
      <c r="H819" s="64"/>
      <c r="I819" s="64"/>
    </row>
    <row r="820" spans="7:9" x14ac:dyDescent="0.25">
      <c r="G820" s="64"/>
      <c r="H820" s="64"/>
      <c r="I820" s="64"/>
    </row>
    <row r="821" spans="7:9" x14ac:dyDescent="0.25">
      <c r="G821" s="64"/>
      <c r="H821" s="64"/>
      <c r="I821" s="64"/>
    </row>
    <row r="822" spans="7:9" x14ac:dyDescent="0.25">
      <c r="G822" s="64"/>
      <c r="H822" s="64"/>
      <c r="I822" s="64"/>
    </row>
    <row r="823" spans="7:9" x14ac:dyDescent="0.25">
      <c r="G823" s="64"/>
      <c r="H823" s="64"/>
      <c r="I823" s="64"/>
    </row>
    <row r="824" spans="7:9" x14ac:dyDescent="0.25">
      <c r="G824" s="64"/>
      <c r="H824" s="64"/>
      <c r="I824" s="64"/>
    </row>
    <row r="825" spans="7:9" x14ac:dyDescent="0.25">
      <c r="G825" s="64"/>
      <c r="H825" s="64"/>
      <c r="I825" s="64"/>
    </row>
    <row r="826" spans="7:9" x14ac:dyDescent="0.25">
      <c r="G826" s="64"/>
      <c r="H826" s="64"/>
      <c r="I826" s="64"/>
    </row>
    <row r="827" spans="7:9" x14ac:dyDescent="0.25">
      <c r="G827" s="64"/>
      <c r="H827" s="64"/>
      <c r="I827" s="64"/>
    </row>
    <row r="828" spans="7:9" x14ac:dyDescent="0.25">
      <c r="G828" s="64"/>
      <c r="H828" s="64"/>
      <c r="I828" s="64"/>
    </row>
    <row r="829" spans="7:9" x14ac:dyDescent="0.25">
      <c r="G829" s="64"/>
      <c r="H829" s="64"/>
      <c r="I829" s="64"/>
    </row>
    <row r="830" spans="7:9" x14ac:dyDescent="0.25">
      <c r="G830" s="64"/>
      <c r="H830" s="64"/>
      <c r="I830" s="64"/>
    </row>
    <row r="831" spans="7:9" x14ac:dyDescent="0.25">
      <c r="G831" s="64"/>
      <c r="H831" s="64"/>
      <c r="I831" s="64"/>
    </row>
    <row r="832" spans="7:9" x14ac:dyDescent="0.25">
      <c r="G832" s="64"/>
      <c r="H832" s="64"/>
      <c r="I832" s="64"/>
    </row>
    <row r="833" spans="7:9" x14ac:dyDescent="0.25">
      <c r="G833" s="64"/>
      <c r="H833" s="64"/>
      <c r="I833" s="64"/>
    </row>
    <row r="834" spans="7:9" x14ac:dyDescent="0.25">
      <c r="G834" s="64"/>
      <c r="H834" s="64"/>
      <c r="I834" s="64"/>
    </row>
    <row r="835" spans="7:9" x14ac:dyDescent="0.25">
      <c r="G835" s="64"/>
      <c r="H835" s="64"/>
      <c r="I835" s="64"/>
    </row>
    <row r="836" spans="7:9" x14ac:dyDescent="0.25">
      <c r="G836" s="64"/>
      <c r="H836" s="64"/>
      <c r="I836" s="64"/>
    </row>
    <row r="837" spans="7:9" x14ac:dyDescent="0.25">
      <c r="G837" s="64"/>
      <c r="H837" s="64"/>
      <c r="I837" s="64"/>
    </row>
    <row r="838" spans="7:9" x14ac:dyDescent="0.25">
      <c r="G838" s="64"/>
      <c r="H838" s="64"/>
      <c r="I838" s="64"/>
    </row>
    <row r="839" spans="7:9" x14ac:dyDescent="0.25">
      <c r="G839" s="64"/>
      <c r="H839" s="64"/>
      <c r="I839" s="64"/>
    </row>
    <row r="840" spans="7:9" x14ac:dyDescent="0.25">
      <c r="G840" s="64"/>
      <c r="H840" s="64"/>
      <c r="I840" s="64"/>
    </row>
    <row r="841" spans="7:9" x14ac:dyDescent="0.25">
      <c r="G841" s="64"/>
      <c r="H841" s="64"/>
      <c r="I841" s="64"/>
    </row>
    <row r="842" spans="7:9" x14ac:dyDescent="0.25">
      <c r="G842" s="64"/>
      <c r="H842" s="64"/>
      <c r="I842" s="64"/>
    </row>
    <row r="843" spans="7:9" x14ac:dyDescent="0.25">
      <c r="G843" s="64"/>
      <c r="H843" s="64"/>
      <c r="I843" s="64"/>
    </row>
    <row r="844" spans="7:9" x14ac:dyDescent="0.25">
      <c r="G844" s="64"/>
      <c r="H844" s="64"/>
      <c r="I844" s="64"/>
    </row>
    <row r="845" spans="7:9" x14ac:dyDescent="0.25">
      <c r="G845" s="64"/>
      <c r="H845" s="64"/>
      <c r="I845" s="64"/>
    </row>
    <row r="846" spans="7:9" x14ac:dyDescent="0.25">
      <c r="G846" s="64"/>
      <c r="H846" s="64"/>
      <c r="I846" s="64"/>
    </row>
    <row r="847" spans="7:9" x14ac:dyDescent="0.25">
      <c r="G847" s="64"/>
      <c r="H847" s="64"/>
      <c r="I847" s="64"/>
    </row>
    <row r="848" spans="7:9" x14ac:dyDescent="0.25">
      <c r="G848" s="64"/>
      <c r="H848" s="64"/>
      <c r="I848" s="64"/>
    </row>
    <row r="849" spans="7:9" x14ac:dyDescent="0.25">
      <c r="G849" s="64"/>
      <c r="H849" s="64"/>
      <c r="I849" s="64"/>
    </row>
    <row r="850" spans="7:9" x14ac:dyDescent="0.25">
      <c r="G850" s="64"/>
      <c r="H850" s="64"/>
      <c r="I850" s="64"/>
    </row>
    <row r="851" spans="7:9" x14ac:dyDescent="0.25">
      <c r="G851" s="64"/>
      <c r="H851" s="64"/>
      <c r="I851" s="64"/>
    </row>
    <row r="852" spans="7:9" x14ac:dyDescent="0.25">
      <c r="G852" s="64"/>
      <c r="H852" s="64"/>
      <c r="I852" s="64"/>
    </row>
    <row r="853" spans="7:9" x14ac:dyDescent="0.25">
      <c r="G853" s="64"/>
      <c r="H853" s="64"/>
      <c r="I853" s="64"/>
    </row>
    <row r="854" spans="7:9" x14ac:dyDescent="0.25">
      <c r="G854" s="64"/>
      <c r="H854" s="64"/>
      <c r="I854" s="64"/>
    </row>
    <row r="855" spans="7:9" x14ac:dyDescent="0.25">
      <c r="G855" s="64"/>
      <c r="H855" s="64"/>
      <c r="I855" s="64"/>
    </row>
    <row r="856" spans="7:9" x14ac:dyDescent="0.25">
      <c r="G856" s="64"/>
      <c r="H856" s="64"/>
      <c r="I856" s="64"/>
    </row>
    <row r="857" spans="7:9" x14ac:dyDescent="0.25">
      <c r="G857" s="64"/>
      <c r="H857" s="64"/>
      <c r="I857" s="64"/>
    </row>
    <row r="858" spans="7:9" x14ac:dyDescent="0.25">
      <c r="G858" s="64"/>
      <c r="H858" s="64"/>
      <c r="I858" s="64"/>
    </row>
    <row r="859" spans="7:9" x14ac:dyDescent="0.25">
      <c r="G859" s="64"/>
      <c r="H859" s="64"/>
      <c r="I859" s="64"/>
    </row>
    <row r="860" spans="7:9" x14ac:dyDescent="0.25">
      <c r="G860" s="64"/>
      <c r="H860" s="64"/>
      <c r="I860" s="64"/>
    </row>
    <row r="861" spans="7:9" x14ac:dyDescent="0.25">
      <c r="G861" s="64"/>
      <c r="H861" s="64"/>
      <c r="I861" s="64"/>
    </row>
    <row r="862" spans="7:9" x14ac:dyDescent="0.25">
      <c r="G862" s="64"/>
      <c r="H862" s="64"/>
      <c r="I862" s="64"/>
    </row>
    <row r="863" spans="7:9" x14ac:dyDescent="0.25">
      <c r="G863" s="64"/>
      <c r="H863" s="64"/>
      <c r="I863" s="64"/>
    </row>
    <row r="864" spans="7:9" x14ac:dyDescent="0.25">
      <c r="G864" s="64"/>
      <c r="H864" s="64"/>
      <c r="I864" s="64"/>
    </row>
    <row r="865" spans="7:9" x14ac:dyDescent="0.25">
      <c r="G865" s="64"/>
      <c r="H865" s="64"/>
      <c r="I865" s="64"/>
    </row>
    <row r="866" spans="7:9" x14ac:dyDescent="0.25">
      <c r="G866" s="64"/>
      <c r="H866" s="64"/>
      <c r="I866" s="64"/>
    </row>
    <row r="867" spans="7:9" x14ac:dyDescent="0.25">
      <c r="G867" s="64"/>
      <c r="H867" s="64"/>
      <c r="I867" s="64"/>
    </row>
    <row r="868" spans="7:9" x14ac:dyDescent="0.25">
      <c r="G868" s="64"/>
      <c r="H868" s="64"/>
      <c r="I868" s="64"/>
    </row>
    <row r="869" spans="7:9" x14ac:dyDescent="0.25">
      <c r="G869" s="64"/>
      <c r="H869" s="64"/>
      <c r="I869" s="64"/>
    </row>
    <row r="870" spans="7:9" x14ac:dyDescent="0.25">
      <c r="G870" s="64"/>
      <c r="H870" s="64"/>
      <c r="I870" s="64"/>
    </row>
    <row r="871" spans="7:9" x14ac:dyDescent="0.25">
      <c r="G871" s="64"/>
      <c r="H871" s="64"/>
      <c r="I871" s="64"/>
    </row>
    <row r="872" spans="7:9" x14ac:dyDescent="0.25">
      <c r="G872" s="64"/>
      <c r="H872" s="64"/>
      <c r="I872" s="64"/>
    </row>
    <row r="873" spans="7:9" x14ac:dyDescent="0.25">
      <c r="G873" s="64"/>
      <c r="H873" s="64"/>
      <c r="I873" s="64"/>
    </row>
    <row r="874" spans="7:9" x14ac:dyDescent="0.25">
      <c r="G874" s="64"/>
      <c r="H874" s="64"/>
      <c r="I874" s="64"/>
    </row>
    <row r="875" spans="7:9" x14ac:dyDescent="0.25">
      <c r="G875" s="64"/>
      <c r="H875" s="64"/>
      <c r="I875" s="64"/>
    </row>
    <row r="876" spans="7:9" x14ac:dyDescent="0.25">
      <c r="G876" s="64"/>
      <c r="H876" s="64"/>
      <c r="I876" s="64"/>
    </row>
    <row r="877" spans="7:9" x14ac:dyDescent="0.25">
      <c r="G877" s="64"/>
      <c r="H877" s="64"/>
      <c r="I877" s="64"/>
    </row>
    <row r="878" spans="7:9" x14ac:dyDescent="0.25">
      <c r="G878" s="64"/>
      <c r="H878" s="64"/>
      <c r="I878" s="64"/>
    </row>
    <row r="879" spans="7:9" x14ac:dyDescent="0.25">
      <c r="G879" s="64"/>
      <c r="H879" s="64"/>
      <c r="I879" s="64"/>
    </row>
    <row r="880" spans="7:9" x14ac:dyDescent="0.25">
      <c r="G880" s="64"/>
      <c r="H880" s="64"/>
      <c r="I880" s="64"/>
    </row>
    <row r="881" spans="7:9" x14ac:dyDescent="0.25">
      <c r="G881" s="64"/>
      <c r="H881" s="64"/>
      <c r="I881" s="64"/>
    </row>
    <row r="882" spans="7:9" x14ac:dyDescent="0.25">
      <c r="G882" s="64"/>
      <c r="H882" s="64"/>
      <c r="I882" s="64"/>
    </row>
    <row r="883" spans="7:9" x14ac:dyDescent="0.25">
      <c r="G883" s="64"/>
      <c r="H883" s="64"/>
      <c r="I883" s="64"/>
    </row>
    <row r="884" spans="7:9" x14ac:dyDescent="0.25">
      <c r="G884" s="64"/>
      <c r="H884" s="64"/>
      <c r="I884" s="64"/>
    </row>
    <row r="885" spans="7:9" x14ac:dyDescent="0.25">
      <c r="G885" s="64"/>
      <c r="H885" s="64"/>
      <c r="I885" s="64"/>
    </row>
    <row r="886" spans="7:9" x14ac:dyDescent="0.25">
      <c r="G886" s="64"/>
      <c r="H886" s="64"/>
      <c r="I886" s="64"/>
    </row>
    <row r="887" spans="7:9" x14ac:dyDescent="0.25">
      <c r="G887" s="64"/>
      <c r="H887" s="64"/>
      <c r="I887" s="64"/>
    </row>
    <row r="888" spans="7:9" x14ac:dyDescent="0.25">
      <c r="G888" s="64"/>
      <c r="H888" s="64"/>
      <c r="I888" s="64"/>
    </row>
    <row r="889" spans="7:9" x14ac:dyDescent="0.25">
      <c r="G889" s="64"/>
      <c r="H889" s="64"/>
      <c r="I889" s="64"/>
    </row>
    <row r="890" spans="7:9" x14ac:dyDescent="0.25">
      <c r="G890" s="64"/>
      <c r="H890" s="64"/>
      <c r="I890" s="64"/>
    </row>
    <row r="891" spans="7:9" x14ac:dyDescent="0.25">
      <c r="G891" s="64"/>
      <c r="H891" s="64"/>
      <c r="I891" s="64"/>
    </row>
  </sheetData>
  <mergeCells count="57">
    <mergeCell ref="A507:P507"/>
    <mergeCell ref="A508:P508"/>
    <mergeCell ref="A509:P509"/>
    <mergeCell ref="H510:P510"/>
    <mergeCell ref="A417:P417"/>
    <mergeCell ref="H418:P418"/>
    <mergeCell ref="A462:P462"/>
    <mergeCell ref="A463:P463"/>
    <mergeCell ref="A418:G419"/>
    <mergeCell ref="A420:G420"/>
    <mergeCell ref="A465:G466"/>
    <mergeCell ref="A371:P371"/>
    <mergeCell ref="A372:P372"/>
    <mergeCell ref="A391:P391"/>
    <mergeCell ref="A415:P415"/>
    <mergeCell ref="A416:P416"/>
    <mergeCell ref="A373:G373"/>
    <mergeCell ref="A374:G374"/>
    <mergeCell ref="A49:P49"/>
    <mergeCell ref="A50:P50"/>
    <mergeCell ref="A93:P93"/>
    <mergeCell ref="A94:P94"/>
    <mergeCell ref="A139:P139"/>
    <mergeCell ref="A52:G52"/>
    <mergeCell ref="A97:G97"/>
    <mergeCell ref="A1:P1"/>
    <mergeCell ref="A2:P2"/>
    <mergeCell ref="A3:P3"/>
    <mergeCell ref="A47:P47"/>
    <mergeCell ref="A48:P48"/>
    <mergeCell ref="A235:G235"/>
    <mergeCell ref="A280:G280"/>
    <mergeCell ref="A281:G281"/>
    <mergeCell ref="A329:G329"/>
    <mergeCell ref="A330:G330"/>
    <mergeCell ref="A277:P277"/>
    <mergeCell ref="A278:P278"/>
    <mergeCell ref="A324:P324"/>
    <mergeCell ref="A325:P325"/>
    <mergeCell ref="A326:P326"/>
    <mergeCell ref="A327:P327"/>
    <mergeCell ref="A369:P369"/>
    <mergeCell ref="A370:P370"/>
    <mergeCell ref="A51:G51"/>
    <mergeCell ref="A95:P95"/>
    <mergeCell ref="A143:F143"/>
    <mergeCell ref="A144:F144"/>
    <mergeCell ref="A96:G96"/>
    <mergeCell ref="A190:G190"/>
    <mergeCell ref="A191:G191"/>
    <mergeCell ref="A234:G234"/>
    <mergeCell ref="A140:P140"/>
    <mergeCell ref="A141:P141"/>
    <mergeCell ref="A185:P185"/>
    <mergeCell ref="A186:P186"/>
    <mergeCell ref="A231:P231"/>
    <mergeCell ref="A232:P232"/>
  </mergeCells>
  <phoneticPr fontId="0" type="noConversion"/>
  <pageMargins left="0.35433070866141736" right="3.937007874015748E-2" top="0.98425196850393704" bottom="0.98425196850393704" header="0.51181102362204722" footer="0.51181102362204722"/>
  <pageSetup scale="10" orientation="portrait" r:id="rId1"/>
  <headerFooter alignWithMargins="0"/>
  <rowBreaks count="2" manualBreakCount="2">
    <brk id="414" max="20" man="1"/>
    <brk id="460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9"/>
  <sheetViews>
    <sheetView showGridLines="0" topLeftCell="A35" workbookViewId="0">
      <selection activeCell="B122" sqref="B122"/>
    </sheetView>
  </sheetViews>
  <sheetFormatPr defaultRowHeight="15" x14ac:dyDescent="0.25"/>
  <cols>
    <col min="1" max="1" width="4.875" style="646" customWidth="1"/>
    <col min="2" max="2" width="19.75" style="646" bestFit="1" customWidth="1"/>
    <col min="3" max="3" width="3.25" style="646" customWidth="1"/>
    <col min="4" max="12" width="12.625" style="653" customWidth="1"/>
    <col min="13" max="16384" width="9" style="646"/>
  </cols>
  <sheetData>
    <row r="2" spans="2:13" ht="18" customHeight="1" x14ac:dyDescent="0.25">
      <c r="B2" s="649" t="s">
        <v>1195</v>
      </c>
      <c r="C2" s="648"/>
      <c r="D2" s="652"/>
      <c r="E2" s="652"/>
      <c r="F2" s="652"/>
      <c r="G2" s="652"/>
      <c r="H2" s="652"/>
      <c r="I2" s="652"/>
      <c r="J2" s="652"/>
      <c r="K2" s="652"/>
      <c r="L2" s="652"/>
    </row>
    <row r="3" spans="2:13" ht="11.25" customHeight="1" x14ac:dyDescent="0.25"/>
    <row r="4" spans="2:13" x14ac:dyDescent="0.25">
      <c r="B4" s="650" t="s">
        <v>1196</v>
      </c>
      <c r="C4" s="650"/>
      <c r="D4" s="669">
        <f>CMA!H52</f>
        <v>2024</v>
      </c>
      <c r="E4" s="669">
        <f>D4+1</f>
        <v>2025</v>
      </c>
      <c r="F4" s="669">
        <f t="shared" ref="F4:L4" si="0">E4+1</f>
        <v>2026</v>
      </c>
      <c r="G4" s="669">
        <f t="shared" si="0"/>
        <v>2027</v>
      </c>
      <c r="H4" s="669">
        <f t="shared" si="0"/>
        <v>2028</v>
      </c>
      <c r="I4" s="669">
        <f t="shared" si="0"/>
        <v>2029</v>
      </c>
      <c r="J4" s="669">
        <f t="shared" si="0"/>
        <v>2030</v>
      </c>
      <c r="K4" s="669">
        <f t="shared" si="0"/>
        <v>2031</v>
      </c>
      <c r="L4" s="669">
        <f t="shared" si="0"/>
        <v>2032</v>
      </c>
      <c r="M4" s="647"/>
    </row>
    <row r="5" spans="2:13" ht="9.75" customHeight="1" x14ac:dyDescent="0.25"/>
    <row r="6" spans="2:13" x14ac:dyDescent="0.25">
      <c r="B6" s="646" t="s">
        <v>1201</v>
      </c>
      <c r="D6" s="653">
        <f>CMA!H60</f>
        <v>80.233199999999997</v>
      </c>
      <c r="E6" s="653">
        <f>CMA!I60</f>
        <v>88.658100000000005</v>
      </c>
      <c r="F6" s="653">
        <f>CMA!J60</f>
        <v>95.489100000000008</v>
      </c>
      <c r="G6" s="653">
        <f>CMA!K60</f>
        <v>102.32010000000001</v>
      </c>
      <c r="H6" s="653">
        <f>CMA!L60</f>
        <v>109.15110000000003</v>
      </c>
      <c r="I6" s="653">
        <f>CMA!M60</f>
        <v>115.98210000000002</v>
      </c>
      <c r="J6" s="653">
        <f>CMA!N60</f>
        <v>122.81310000000002</v>
      </c>
      <c r="K6" s="653">
        <f>CMA!O60</f>
        <v>129.64410000000004</v>
      </c>
      <c r="L6" s="653">
        <f>CMA!P60</f>
        <v>136.47510000000003</v>
      </c>
    </row>
    <row r="7" spans="2:13" x14ac:dyDescent="0.25">
      <c r="B7" s="646" t="s">
        <v>1202</v>
      </c>
      <c r="D7" s="653">
        <f ca="1">CMA!H98+CMA!H76</f>
        <v>5.4465750644995712</v>
      </c>
      <c r="E7" s="653">
        <f ca="1">CMA!I98+CMA!I76</f>
        <v>5.7521424824982077</v>
      </c>
      <c r="F7" s="653">
        <f ca="1">CMA!J98+CMA!J76</f>
        <v>6.2043361359558666</v>
      </c>
      <c r="G7" s="653">
        <f ca="1">CMA!K98+CMA!K76</f>
        <v>6.703949586837699</v>
      </c>
      <c r="H7" s="653">
        <f ca="1">CMA!L98+CMA!L76</f>
        <v>7.1871082158878572</v>
      </c>
      <c r="I7" s="653">
        <f ca="1">CMA!M98+CMA!M76</f>
        <v>7.676208517660263</v>
      </c>
      <c r="J7" s="653">
        <f ca="1">CMA!N98+CMA!N76</f>
        <v>8.1334907687065723</v>
      </c>
      <c r="K7" s="653">
        <f ca="1">CMA!O98+CMA!O76</f>
        <v>8.6019178828796292</v>
      </c>
      <c r="L7" s="653">
        <f ca="1">CMA!P98+CMA!P76</f>
        <v>9.0524364034959426</v>
      </c>
    </row>
    <row r="8" spans="2:13" ht="20.25" customHeight="1" x14ac:dyDescent="0.25">
      <c r="B8" s="657" t="s">
        <v>1197</v>
      </c>
      <c r="C8" s="655"/>
      <c r="D8" s="656">
        <f ca="1">D7/D6</f>
        <v>6.7884305555550209E-2</v>
      </c>
      <c r="E8" s="656">
        <f t="shared" ref="E8:L8" ca="1" si="1">E7/E6</f>
        <v>6.4880055883198576E-2</v>
      </c>
      <c r="F8" s="656">
        <f t="shared" ca="1" si="1"/>
        <v>6.4974286446891488E-2</v>
      </c>
      <c r="G8" s="656">
        <f t="shared" ca="1" si="1"/>
        <v>6.5519380716376335E-2</v>
      </c>
      <c r="H8" s="656">
        <f t="shared" ca="1" si="1"/>
        <v>6.5845495060405768E-2</v>
      </c>
      <c r="I8" s="656">
        <f t="shared" ca="1" si="1"/>
        <v>6.6184424300476205E-2</v>
      </c>
      <c r="J8" s="656">
        <f t="shared" ca="1" si="1"/>
        <v>6.6226573294759034E-2</v>
      </c>
      <c r="K8" s="656">
        <f t="shared" ca="1" si="1"/>
        <v>6.635024565622058E-2</v>
      </c>
      <c r="L8" s="656">
        <f t="shared" ca="1" si="1"/>
        <v>6.6330315225971187E-2</v>
      </c>
    </row>
    <row r="9" spans="2:13" x14ac:dyDescent="0.25">
      <c r="B9" s="654" t="s">
        <v>1203</v>
      </c>
      <c r="D9" s="653">
        <f ca="1">CMA!H98</f>
        <v>2.6735870215366759</v>
      </c>
      <c r="E9" s="653">
        <f ca="1">CMA!I98</f>
        <v>3.3638547347349004</v>
      </c>
      <c r="F9" s="653">
        <f ca="1">CMA!J98</f>
        <v>4.1472518757701238</v>
      </c>
      <c r="G9" s="653">
        <f ca="1">CMA!K98</f>
        <v>4.9320268177997946</v>
      </c>
      <c r="H9" s="653">
        <f ca="1">CMA!L98</f>
        <v>5.6607188354066409</v>
      </c>
      <c r="I9" s="653">
        <f ca="1">CMA!M98</f>
        <v>6.3612430511322486</v>
      </c>
      <c r="J9" s="653">
        <f ca="1">CMA!N98</f>
        <v>7.0005883257753396</v>
      </c>
      <c r="K9" s="653">
        <f ca="1">CMA!O98</f>
        <v>7.6258037800616876</v>
      </c>
      <c r="L9" s="653">
        <f ca="1">CMA!P98</f>
        <v>8.2113523654554967</v>
      </c>
    </row>
    <row r="10" spans="2:13" ht="18" customHeight="1" x14ac:dyDescent="0.25">
      <c r="B10" s="658" t="s">
        <v>1198</v>
      </c>
      <c r="C10" s="656"/>
      <c r="D10" s="656">
        <f ca="1">D9/D6</f>
        <v>3.33227020926085E-2</v>
      </c>
      <c r="E10" s="656">
        <f t="shared" ref="E10:L10" ca="1" si="2">E9/E6</f>
        <v>3.7941877106941163E-2</v>
      </c>
      <c r="F10" s="656">
        <f t="shared" ca="1" si="2"/>
        <v>4.3431678335748514E-2</v>
      </c>
      <c r="G10" s="656">
        <f t="shared" ca="1" si="2"/>
        <v>4.8201935082156817E-2</v>
      </c>
      <c r="H10" s="656">
        <f t="shared" ca="1" si="2"/>
        <v>5.1861308181105271E-2</v>
      </c>
      <c r="I10" s="656">
        <f t="shared" ca="1" si="2"/>
        <v>5.4846765588243772E-2</v>
      </c>
      <c r="J10" s="656">
        <f t="shared" ca="1" si="2"/>
        <v>5.700196742672678E-2</v>
      </c>
      <c r="K10" s="656">
        <f t="shared" ca="1" si="2"/>
        <v>5.882106304923776E-2</v>
      </c>
      <c r="L10" s="656">
        <f t="shared" ca="1" si="2"/>
        <v>6.0167403177982616E-2</v>
      </c>
    </row>
    <row r="11" spans="2:13" ht="18" customHeight="1" x14ac:dyDescent="0.25">
      <c r="B11" s="651" t="s">
        <v>1204</v>
      </c>
      <c r="D11" s="653">
        <f ca="1">CMA!H111</f>
        <v>1.087365726567816</v>
      </c>
      <c r="E11" s="653">
        <f ca="1">CMA!I111</f>
        <v>1.6347836598182393</v>
      </c>
      <c r="F11" s="653">
        <f ca="1">CMA!J111</f>
        <v>2.273978963446972</v>
      </c>
      <c r="G11" s="653">
        <f ca="1">CMA!K111</f>
        <v>2.9289282635911671</v>
      </c>
      <c r="H11" s="653">
        <f ca="1">CMA!L111</f>
        <v>3.5557310704186254</v>
      </c>
      <c r="I11" s="653">
        <f ca="1">CMA!M111</f>
        <v>4.1872862535235003</v>
      </c>
      <c r="J11" s="653">
        <f ca="1">CMA!N111</f>
        <v>4.7983232150941753</v>
      </c>
      <c r="K11" s="653">
        <f ca="1">CMA!O111</f>
        <v>5.4118594732179348</v>
      </c>
      <c r="L11" s="653">
        <f ca="1">CMA!P111</f>
        <v>5.9839135688784797</v>
      </c>
    </row>
    <row r="12" spans="2:13" ht="18" customHeight="1" x14ac:dyDescent="0.25">
      <c r="B12" s="658" t="s">
        <v>1199</v>
      </c>
      <c r="C12" s="656"/>
      <c r="D12" s="656">
        <f ca="1">D11/D6</f>
        <v>1.3552565852637264E-2</v>
      </c>
      <c r="E12" s="656">
        <f t="shared" ref="E12:L12" ca="1" si="3">E11/E6</f>
        <v>1.8439191228079996E-2</v>
      </c>
      <c r="F12" s="656">
        <f t="shared" ca="1" si="3"/>
        <v>2.3814016086097491E-2</v>
      </c>
      <c r="G12" s="656">
        <f t="shared" ca="1" si="3"/>
        <v>2.8625150518726689E-2</v>
      </c>
      <c r="H12" s="656">
        <f t="shared" ca="1" si="3"/>
        <v>3.2576227545289278E-2</v>
      </c>
      <c r="I12" s="656">
        <f t="shared" ca="1" si="3"/>
        <v>3.6102866334749066E-2</v>
      </c>
      <c r="J12" s="656">
        <f t="shared" ca="1" si="3"/>
        <v>3.9070125378271328E-2</v>
      </c>
      <c r="K12" s="656">
        <f t="shared" ca="1" si="3"/>
        <v>4.1743970402185158E-2</v>
      </c>
      <c r="L12" s="656">
        <f t="shared" ca="1" si="3"/>
        <v>4.3846192960316416E-2</v>
      </c>
    </row>
    <row r="13" spans="2:13" x14ac:dyDescent="0.25">
      <c r="B13" s="646" t="str">
        <f>B6</f>
        <v xml:space="preserve">Revenue </v>
      </c>
      <c r="D13" s="653">
        <f t="shared" ref="D13:L13" si="4">D6</f>
        <v>80.233199999999997</v>
      </c>
      <c r="E13" s="653">
        <f t="shared" si="4"/>
        <v>88.658100000000005</v>
      </c>
      <c r="F13" s="653">
        <f t="shared" si="4"/>
        <v>95.489100000000008</v>
      </c>
      <c r="G13" s="653">
        <f t="shared" si="4"/>
        <v>102.32010000000001</v>
      </c>
      <c r="H13" s="653">
        <f t="shared" si="4"/>
        <v>109.15110000000003</v>
      </c>
      <c r="I13" s="653">
        <f t="shared" si="4"/>
        <v>115.98210000000002</v>
      </c>
      <c r="J13" s="653">
        <f t="shared" si="4"/>
        <v>122.81310000000002</v>
      </c>
      <c r="K13" s="653">
        <f t="shared" si="4"/>
        <v>129.64410000000004</v>
      </c>
      <c r="L13" s="653">
        <f t="shared" si="4"/>
        <v>136.47510000000003</v>
      </c>
    </row>
    <row r="14" spans="2:13" ht="18" customHeight="1" x14ac:dyDescent="0.25">
      <c r="B14" s="658" t="s">
        <v>1200</v>
      </c>
      <c r="C14" s="656"/>
      <c r="D14" s="656"/>
      <c r="E14" s="656">
        <f>E13/D13-1</f>
        <v>0.10500515995872051</v>
      </c>
      <c r="F14" s="656">
        <f t="shared" ref="F14:L14" si="5">F13/E13-1</f>
        <v>7.7048797571795502E-2</v>
      </c>
      <c r="G14" s="656">
        <f t="shared" si="5"/>
        <v>7.1536960763060931E-2</v>
      </c>
      <c r="H14" s="656">
        <f t="shared" si="5"/>
        <v>6.6761076269472142E-2</v>
      </c>
      <c r="I14" s="656">
        <f t="shared" si="5"/>
        <v>6.2582969846387115E-2</v>
      </c>
      <c r="J14" s="656">
        <f t="shared" si="5"/>
        <v>5.8897019453864052E-2</v>
      </c>
      <c r="K14" s="656">
        <f t="shared" si="5"/>
        <v>5.5621102309118653E-2</v>
      </c>
      <c r="L14" s="656">
        <f t="shared" si="5"/>
        <v>5.2690403959763543E-2</v>
      </c>
    </row>
    <row r="15" spans="2:13" ht="15.75" thickBot="1" x14ac:dyDescent="0.3"/>
    <row r="16" spans="2:13" x14ac:dyDescent="0.25">
      <c r="B16" s="659" t="s">
        <v>1205</v>
      </c>
      <c r="C16" s="660"/>
      <c r="D16" s="661"/>
      <c r="E16" s="666">
        <f ca="1">AVERAGE(D8:L8)</f>
        <v>6.6021675793316609E-2</v>
      </c>
    </row>
    <row r="17" spans="2:5" x14ac:dyDescent="0.25">
      <c r="B17" s="662" t="s">
        <v>1206</v>
      </c>
      <c r="E17" s="667">
        <f ca="1">AVERAGE(D10:L10)</f>
        <v>4.9510744448972348E-2</v>
      </c>
    </row>
    <row r="18" spans="2:5" x14ac:dyDescent="0.25">
      <c r="B18" s="662" t="s">
        <v>1207</v>
      </c>
      <c r="E18" s="667">
        <f ca="1">AVERAGE(D12:L12)</f>
        <v>3.086336736737252E-2</v>
      </c>
    </row>
    <row r="19" spans="2:5" ht="15.75" thickBot="1" x14ac:dyDescent="0.3">
      <c r="B19" s="663" t="s">
        <v>1208</v>
      </c>
      <c r="C19" s="664"/>
      <c r="D19" s="665"/>
      <c r="E19" s="668">
        <f>AVERAGE(E14:L14)</f>
        <v>6.8767936266522806E-2</v>
      </c>
    </row>
    <row r="89" spans="2:12" x14ac:dyDescent="0.25">
      <c r="B89" s="654" t="s">
        <v>329</v>
      </c>
    </row>
    <row r="90" spans="2:12" x14ac:dyDescent="0.25">
      <c r="B90" s="650" t="s">
        <v>1196</v>
      </c>
      <c r="C90" s="650"/>
      <c r="D90" s="669">
        <f>D4</f>
        <v>2024</v>
      </c>
      <c r="E90" s="669">
        <f t="shared" ref="E90:L90" si="6">E4</f>
        <v>2025</v>
      </c>
      <c r="F90" s="669">
        <f t="shared" si="6"/>
        <v>2026</v>
      </c>
      <c r="G90" s="669">
        <f t="shared" si="6"/>
        <v>2027</v>
      </c>
      <c r="H90" s="669">
        <f t="shared" si="6"/>
        <v>2028</v>
      </c>
      <c r="I90" s="669">
        <f t="shared" si="6"/>
        <v>2029</v>
      </c>
      <c r="J90" s="669">
        <f t="shared" si="6"/>
        <v>2030</v>
      </c>
      <c r="K90" s="669">
        <f t="shared" si="6"/>
        <v>2031</v>
      </c>
      <c r="L90" s="669">
        <f t="shared" si="6"/>
        <v>2032</v>
      </c>
    </row>
    <row r="91" spans="2:12" x14ac:dyDescent="0.25">
      <c r="B91" s="646" t="str">
        <f>'PROJECT RK'!B696</f>
        <v>Cash Accruals</v>
      </c>
      <c r="D91" s="653">
        <f>'PROJECT RK'!D696</f>
        <v>3.8740219601344514</v>
      </c>
      <c r="E91" s="653">
        <f>'PROJECT RK'!E696</f>
        <v>4.0367050552189854</v>
      </c>
      <c r="F91" s="653">
        <f>'PROJECT RK'!F696</f>
        <v>4.3446685029774113</v>
      </c>
      <c r="G91" s="653">
        <f>'PROJECT RK'!G696</f>
        <v>4.7144280719383689</v>
      </c>
      <c r="H91" s="653">
        <f>'PROJECT RK'!H696</f>
        <v>5.0956692528378538</v>
      </c>
      <c r="I91" s="653">
        <f>'PROJECT RK'!I696</f>
        <v>5.5017722846735877</v>
      </c>
      <c r="J91" s="653">
        <f>'PROJECT RK'!J696</f>
        <v>5.930717985332671</v>
      </c>
      <c r="K91" s="653">
        <f>'PROJECT RK'!K696</f>
        <v>6.3874376660283474</v>
      </c>
      <c r="L91" s="653">
        <f>'PROJECT RK'!L696</f>
        <v>6.8244334595966141</v>
      </c>
    </row>
    <row r="92" spans="2:12" x14ac:dyDescent="0.25">
      <c r="B92" s="646" t="str">
        <f>'PROJECT RK'!B698</f>
        <v>Intt. on Term Loan</v>
      </c>
      <c r="D92" s="653">
        <f>'PROJECT RK'!D698</f>
        <v>1.0718999999999999</v>
      </c>
      <c r="E92" s="653">
        <f>'PROJECT RK'!E698</f>
        <v>1.0152000000000001</v>
      </c>
      <c r="F92" s="653">
        <f>'PROJECT RK'!F698</f>
        <v>0.93420000000000014</v>
      </c>
      <c r="G92" s="653">
        <f>'PROJECT RK'!G698</f>
        <v>0.83700000000000085</v>
      </c>
      <c r="H92" s="653">
        <f>'PROJECT RK'!H698</f>
        <v>0.72360000000000113</v>
      </c>
      <c r="I92" s="653">
        <f>'PROJECT RK'!I698</f>
        <v>0.5778000000000012</v>
      </c>
      <c r="J92" s="653">
        <f>'PROJECT RK'!J698</f>
        <v>0.39960000000000129</v>
      </c>
      <c r="K92" s="653">
        <f>'PROJECT RK'!K698</f>
        <v>0.20520000000000113</v>
      </c>
      <c r="L92" s="653">
        <f>'PROJECT RK'!L698</f>
        <v>2.7000000000001106E-2</v>
      </c>
    </row>
    <row r="93" spans="2:12" x14ac:dyDescent="0.25">
      <c r="B93" s="727" t="str">
        <f>'PROJECT RK'!B700</f>
        <v>Total "A"</v>
      </c>
      <c r="C93" s="727"/>
      <c r="D93" s="728">
        <f>SUM(D91:D92)</f>
        <v>4.9459219601344513</v>
      </c>
      <c r="E93" s="728">
        <f t="shared" ref="E93:L93" si="7">SUM(E91:E92)</f>
        <v>5.0519050552189855</v>
      </c>
      <c r="F93" s="728">
        <f t="shared" si="7"/>
        <v>5.2788685029774118</v>
      </c>
      <c r="G93" s="728">
        <f t="shared" si="7"/>
        <v>5.5514280719383695</v>
      </c>
      <c r="H93" s="728">
        <f t="shared" si="7"/>
        <v>5.8192692528378549</v>
      </c>
      <c r="I93" s="728">
        <f t="shared" si="7"/>
        <v>6.0795722846735885</v>
      </c>
      <c r="J93" s="728">
        <f t="shared" si="7"/>
        <v>6.3303179853326723</v>
      </c>
      <c r="K93" s="728">
        <f t="shared" si="7"/>
        <v>6.5926376660283488</v>
      </c>
      <c r="L93" s="728">
        <f t="shared" si="7"/>
        <v>6.8514334595966151</v>
      </c>
    </row>
    <row r="94" spans="2:12" x14ac:dyDescent="0.25">
      <c r="B94" s="646" t="str">
        <f>'PROJECT RK'!B702</f>
        <v>Instalment of T/L</v>
      </c>
      <c r="D94" s="653">
        <f>'PROJECT RK'!D702</f>
        <v>0.36</v>
      </c>
      <c r="E94" s="653">
        <f>'PROJECT RK'!E702</f>
        <v>0.72</v>
      </c>
      <c r="F94" s="653">
        <f>'PROJECT RK'!F702</f>
        <v>1.08</v>
      </c>
      <c r="G94" s="653">
        <f>'PROJECT RK'!G702</f>
        <v>1.08</v>
      </c>
      <c r="H94" s="653">
        <f>'PROJECT RK'!H702</f>
        <v>1.44</v>
      </c>
      <c r="I94" s="653">
        <f>'PROJECT RK'!I702</f>
        <v>1.7999999999999998</v>
      </c>
      <c r="J94" s="653">
        <f>'PROJECT RK'!J702</f>
        <v>2.16</v>
      </c>
      <c r="K94" s="653">
        <f>'PROJECT RK'!K702</f>
        <v>2.16</v>
      </c>
      <c r="L94" s="653">
        <f>'PROJECT RK'!L702</f>
        <v>1.2000000000000002</v>
      </c>
    </row>
    <row r="95" spans="2:12" x14ac:dyDescent="0.25">
      <c r="B95" s="646" t="str">
        <f>'PROJECT RK'!B704</f>
        <v>Intt. on Term Loan</v>
      </c>
      <c r="D95" s="653">
        <f>'PROJECT RK'!D704</f>
        <v>1.0718999999999999</v>
      </c>
      <c r="E95" s="653">
        <f>'PROJECT RK'!E704</f>
        <v>1.0152000000000001</v>
      </c>
      <c r="F95" s="653">
        <f>'PROJECT RK'!F704</f>
        <v>0.93420000000000014</v>
      </c>
      <c r="G95" s="653">
        <f>'PROJECT RK'!G704</f>
        <v>0.83700000000000085</v>
      </c>
      <c r="H95" s="653">
        <f>'PROJECT RK'!H704</f>
        <v>0.72360000000000113</v>
      </c>
      <c r="I95" s="653">
        <f>'PROJECT RK'!I704</f>
        <v>0.5778000000000012</v>
      </c>
      <c r="J95" s="653">
        <f>'PROJECT RK'!J704</f>
        <v>0.39960000000000129</v>
      </c>
      <c r="K95" s="653">
        <f>'PROJECT RK'!K704</f>
        <v>0.20520000000000113</v>
      </c>
      <c r="L95" s="653">
        <f>'PROJECT RK'!L704</f>
        <v>2.7000000000001106E-2</v>
      </c>
    </row>
    <row r="96" spans="2:12" x14ac:dyDescent="0.25">
      <c r="B96" s="727" t="str">
        <f>'PROJECT RK'!B706</f>
        <v>Total "B"</v>
      </c>
      <c r="C96" s="727"/>
      <c r="D96" s="728">
        <f>SUM(D94:D95)</f>
        <v>1.4318999999999997</v>
      </c>
      <c r="E96" s="728">
        <f t="shared" ref="E96" si="8">SUM(E94:E95)</f>
        <v>1.7352000000000001</v>
      </c>
      <c r="F96" s="728">
        <f t="shared" ref="F96" si="9">SUM(F94:F95)</f>
        <v>2.0142000000000002</v>
      </c>
      <c r="G96" s="728">
        <f t="shared" ref="G96" si="10">SUM(G94:G95)</f>
        <v>1.9170000000000009</v>
      </c>
      <c r="H96" s="728">
        <f t="shared" ref="H96" si="11">SUM(H94:H95)</f>
        <v>2.1636000000000011</v>
      </c>
      <c r="I96" s="728">
        <f t="shared" ref="I96" si="12">SUM(I94:I95)</f>
        <v>2.377800000000001</v>
      </c>
      <c r="J96" s="728">
        <f t="shared" ref="J96" si="13">SUM(J94:J95)</f>
        <v>2.5596000000000014</v>
      </c>
      <c r="K96" s="728">
        <f t="shared" ref="K96" si="14">SUM(K94:K95)</f>
        <v>2.3652000000000011</v>
      </c>
      <c r="L96" s="728">
        <f t="shared" ref="L96" si="15">SUM(L94:L95)</f>
        <v>1.2270000000000012</v>
      </c>
    </row>
    <row r="97" spans="2:12" x14ac:dyDescent="0.25">
      <c r="B97" s="650" t="str">
        <f>'PROJECT RK'!B708</f>
        <v xml:space="preserve">D.S.C.R. </v>
      </c>
      <c r="C97" s="650"/>
      <c r="D97" s="729">
        <f>D93/D96</f>
        <v>3.4540973253261069</v>
      </c>
      <c r="E97" s="729">
        <f t="shared" ref="E97:L97" si="16">E93/E96</f>
        <v>2.9114252277656671</v>
      </c>
      <c r="F97" s="729">
        <f t="shared" si="16"/>
        <v>2.6208263841611612</v>
      </c>
      <c r="G97" s="729">
        <f t="shared" si="16"/>
        <v>2.8958936212511044</v>
      </c>
      <c r="H97" s="729">
        <f t="shared" si="16"/>
        <v>2.6896234298566517</v>
      </c>
      <c r="I97" s="729">
        <f t="shared" si="16"/>
        <v>2.5568055701377683</v>
      </c>
      <c r="J97" s="729">
        <f t="shared" si="16"/>
        <v>2.4731668953479717</v>
      </c>
      <c r="K97" s="729">
        <f t="shared" si="16"/>
        <v>2.7873489201878683</v>
      </c>
      <c r="L97" s="729">
        <f t="shared" si="16"/>
        <v>5.5838903501194856</v>
      </c>
    </row>
    <row r="98" spans="2:12" x14ac:dyDescent="0.25">
      <c r="B98" s="654" t="str">
        <f>'PROJECT RK'!B710</f>
        <v>Average D.S.C.R.</v>
      </c>
      <c r="C98" s="654"/>
      <c r="D98" s="726">
        <f>'PROJECT RK'!F710</f>
        <v>2.9509234319050264</v>
      </c>
      <c r="E98" s="726"/>
      <c r="F98" s="726"/>
      <c r="G98" s="726"/>
      <c r="H98" s="726"/>
      <c r="I98" s="726"/>
      <c r="J98" s="726"/>
      <c r="K98" s="726"/>
      <c r="L98" s="726"/>
    </row>
    <row r="99" spans="2:12" x14ac:dyDescent="0.25">
      <c r="B99" s="654" t="s">
        <v>1213</v>
      </c>
      <c r="C99" s="654"/>
      <c r="D99" s="726">
        <f>MAX(D97:L97)</f>
        <v>5.5838903501194856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8"/>
  <sheetViews>
    <sheetView showGridLines="0" tabSelected="1" workbookViewId="0">
      <selection activeCell="D18" sqref="D18"/>
    </sheetView>
  </sheetViews>
  <sheetFormatPr defaultRowHeight="12" x14ac:dyDescent="0.15"/>
  <cols>
    <col min="2" max="2" width="26" bestFit="1" customWidth="1"/>
  </cols>
  <sheetData>
    <row r="3" spans="2:14" ht="15.75" x14ac:dyDescent="0.25">
      <c r="B3" s="649" t="s">
        <v>1215</v>
      </c>
      <c r="C3" s="648"/>
      <c r="D3" s="652"/>
      <c r="E3" s="652"/>
      <c r="F3" s="652"/>
      <c r="G3" s="652"/>
      <c r="H3" s="652"/>
      <c r="I3" s="652"/>
      <c r="J3" s="652"/>
      <c r="K3" s="652"/>
      <c r="L3" s="652"/>
    </row>
    <row r="4" spans="2:14" ht="15" x14ac:dyDescent="0.25">
      <c r="B4" s="646"/>
      <c r="C4" s="646"/>
      <c r="D4" s="653"/>
      <c r="E4" s="653"/>
      <c r="F4" s="653"/>
      <c r="G4" s="653"/>
      <c r="H4" s="653"/>
      <c r="I4" s="653"/>
      <c r="J4" s="653"/>
      <c r="K4" s="653"/>
      <c r="L4" s="653"/>
    </row>
    <row r="5" spans="2:14" ht="15" x14ac:dyDescent="0.25">
      <c r="B5" s="650" t="s">
        <v>1196</v>
      </c>
      <c r="C5" s="650"/>
      <c r="D5" s="669">
        <f>'[1]Ratio Analysis'!D4</f>
        <v>2024</v>
      </c>
      <c r="E5" s="669">
        <f>D5+1</f>
        <v>2025</v>
      </c>
      <c r="F5" s="669">
        <f t="shared" ref="F5:L5" si="0">E5+1</f>
        <v>2026</v>
      </c>
      <c r="G5" s="669">
        <f t="shared" si="0"/>
        <v>2027</v>
      </c>
      <c r="H5" s="669">
        <f t="shared" si="0"/>
        <v>2028</v>
      </c>
      <c r="I5" s="669">
        <f t="shared" si="0"/>
        <v>2029</v>
      </c>
      <c r="J5" s="669">
        <f t="shared" si="0"/>
        <v>2030</v>
      </c>
      <c r="K5" s="669">
        <f t="shared" si="0"/>
        <v>2031</v>
      </c>
      <c r="L5" s="669">
        <f t="shared" si="0"/>
        <v>2032</v>
      </c>
    </row>
    <row r="6" spans="2:14" ht="15" x14ac:dyDescent="0.25">
      <c r="B6" s="646" t="s">
        <v>1203</v>
      </c>
      <c r="C6" s="646"/>
      <c r="D6" s="646">
        <f>'[1]PROJECT RK'!D557</f>
        <v>2.6875870215366717</v>
      </c>
      <c r="E6" s="646">
        <f>'[1]PROJECT RK'!E557</f>
        <v>3.3778547347349104</v>
      </c>
      <c r="F6" s="646">
        <f>'[1]PROJECT RK'!F557</f>
        <v>4.1612518757701054</v>
      </c>
      <c r="G6" s="646">
        <f>'[1]PROJECT RK'!G557</f>
        <v>4.9460268177997904</v>
      </c>
      <c r="H6" s="646">
        <f>'[1]PROJECT RK'!H557</f>
        <v>5.6747188354066367</v>
      </c>
      <c r="I6" s="646">
        <f>'[1]PROJECT RK'!I557</f>
        <v>6.3612430511322344</v>
      </c>
      <c r="J6" s="646">
        <f>'[1]PROJECT RK'!J557</f>
        <v>7.0005883257753396</v>
      </c>
      <c r="K6" s="646">
        <f>'[1]PROJECT RK'!K557</f>
        <v>7.6258037800616876</v>
      </c>
      <c r="L6" s="646">
        <f>'[1]PROJECT RK'!L557</f>
        <v>8.2113523654554967</v>
      </c>
    </row>
    <row r="7" spans="2:14" ht="15" x14ac:dyDescent="0.25">
      <c r="B7" s="646" t="s">
        <v>1216</v>
      </c>
      <c r="C7" s="646"/>
      <c r="D7" s="646">
        <f>D6*(1-[1]BASICS!$E$234)</f>
        <v>2.0296227172721499</v>
      </c>
      <c r="E7" s="646">
        <f>E6*(1-[1]BASICS!$E$234)</f>
        <v>2.5509018499960483</v>
      </c>
      <c r="F7" s="646">
        <f>F6*(1-[1]BASICS!$E$234)</f>
        <v>3.1425108365515713</v>
      </c>
      <c r="G7" s="646">
        <f>G6*(1-[1]BASICS!$E$234)</f>
        <v>3.7351603163733169</v>
      </c>
      <c r="H7" s="646">
        <f>H6*(1-[1]BASICS!$E$234)</f>
        <v>4.2854568689977253</v>
      </c>
      <c r="I7" s="646">
        <f>I6*(1-[1]BASICS!$E$234)</f>
        <v>4.8039089723262451</v>
      </c>
      <c r="J7" s="646">
        <f>J6*(1-[1]BASICS!$E$234)</f>
        <v>5.2867322942123236</v>
      </c>
      <c r="K7" s="646">
        <f>K6*(1-[1]BASICS!$E$234)</f>
        <v>5.7588850018421054</v>
      </c>
      <c r="L7" s="646">
        <f>L6*(1-[1]BASICS!$E$234)</f>
        <v>6.2010819247541438</v>
      </c>
    </row>
    <row r="8" spans="2:14" ht="15" x14ac:dyDescent="0.25">
      <c r="B8" s="646" t="s">
        <v>528</v>
      </c>
      <c r="C8" s="646"/>
      <c r="D8" s="646">
        <f>'[1]PROJECT RK'!D542</f>
        <v>2.7729880429628957</v>
      </c>
      <c r="E8" s="646">
        <f>'[1]PROJECT RK'!E542</f>
        <v>2.3882877477633078</v>
      </c>
      <c r="F8" s="646">
        <f>'[1]PROJECT RK'!F542</f>
        <v>2.0570842601857433</v>
      </c>
      <c r="G8" s="646">
        <f>'[1]PROJECT RK'!G542</f>
        <v>1.7719227690379042</v>
      </c>
      <c r="H8" s="646">
        <f>'[1]PROJECT RK'!H542</f>
        <v>1.5263893804812168</v>
      </c>
      <c r="I8" s="646">
        <f>'[1]PROJECT RK'!I542</f>
        <v>1.3149654665280146</v>
      </c>
      <c r="J8" s="646">
        <f>'[1]PROJECT RK'!J542</f>
        <v>1.1329024429312327</v>
      </c>
      <c r="K8" s="646">
        <f>'[1]PROJECT RK'!K542</f>
        <v>0.97611410281794175</v>
      </c>
      <c r="L8" s="646">
        <f>'[1]PROJECT RK'!L542</f>
        <v>0.8410840380404454</v>
      </c>
    </row>
    <row r="9" spans="2:14" ht="15" x14ac:dyDescent="0.25">
      <c r="B9" s="646" t="s">
        <v>1217</v>
      </c>
      <c r="C9" s="646">
        <f>'[1]PROJECT RK'!L31</f>
        <v>21.664050742733799</v>
      </c>
      <c r="D9" s="646">
        <v>0</v>
      </c>
      <c r="E9" s="646">
        <v>0</v>
      </c>
      <c r="F9" s="646">
        <v>0</v>
      </c>
      <c r="G9" s="646">
        <v>0</v>
      </c>
      <c r="H9" s="646">
        <v>0</v>
      </c>
      <c r="I9" s="646">
        <v>0</v>
      </c>
      <c r="J9" s="646">
        <v>0</v>
      </c>
      <c r="K9" s="646">
        <v>0</v>
      </c>
      <c r="L9" s="646">
        <v>0</v>
      </c>
    </row>
    <row r="10" spans="2:14" ht="15" x14ac:dyDescent="0.25">
      <c r="B10" s="646" t="s">
        <v>1218</v>
      </c>
      <c r="C10" s="646"/>
      <c r="D10" s="646">
        <f>'[1]PROJECT RK'!D616</f>
        <v>4.0110689225126546</v>
      </c>
      <c r="E10" s="646">
        <f>'[1]PROJECT RK'!E616</f>
        <v>2.9567050552189862</v>
      </c>
      <c r="F10" s="646">
        <f>'[1]PROJECT RK'!F616</f>
        <v>1.264668502977413</v>
      </c>
      <c r="G10" s="646">
        <f>'[1]PROJECT RK'!G616</f>
        <v>1.2744280719383703</v>
      </c>
      <c r="H10" s="646">
        <f>'[1]PROJECT RK'!H616</f>
        <v>0.29566925283785395</v>
      </c>
      <c r="I10" s="646">
        <f>'[1]PROJECT RK'!I616</f>
        <v>0.34177228467358844</v>
      </c>
      <c r="J10" s="646">
        <f>'[1]PROJECT RK'!J616</f>
        <v>-0.22928201466733178</v>
      </c>
      <c r="K10" s="646">
        <f>'[1]PROJECT RK'!K616</f>
        <v>-0.81256233397165367</v>
      </c>
      <c r="L10" s="646">
        <f>'[1]PROJECT RK'!L616</f>
        <v>1.8244334595966176</v>
      </c>
    </row>
    <row r="11" spans="2:14" ht="15.75" thickBot="1" x14ac:dyDescent="0.3">
      <c r="B11" s="730" t="s">
        <v>1219</v>
      </c>
      <c r="C11" s="730">
        <f>C7+C8-C9-C10</f>
        <v>-21.664050742733799</v>
      </c>
      <c r="D11" s="730">
        <f t="shared" ref="D11:L11" si="1">D7+D8-D9-D10</f>
        <v>0.79154183772239151</v>
      </c>
      <c r="E11" s="730">
        <f t="shared" si="1"/>
        <v>1.9824845425403694</v>
      </c>
      <c r="F11" s="730">
        <f t="shared" si="1"/>
        <v>3.9349265937599016</v>
      </c>
      <c r="G11" s="730">
        <f t="shared" si="1"/>
        <v>4.2326550134728507</v>
      </c>
      <c r="H11" s="730">
        <f t="shared" si="1"/>
        <v>5.5161769966410876</v>
      </c>
      <c r="I11" s="730">
        <f t="shared" si="1"/>
        <v>5.7771021541806711</v>
      </c>
      <c r="J11" s="730">
        <f t="shared" si="1"/>
        <v>6.648916751810888</v>
      </c>
      <c r="K11" s="730">
        <f t="shared" si="1"/>
        <v>7.5475614386317007</v>
      </c>
      <c r="L11" s="730">
        <f t="shared" si="1"/>
        <v>5.217732503197972</v>
      </c>
    </row>
    <row r="12" spans="2:14" ht="15.75" thickBot="1" x14ac:dyDescent="0.3">
      <c r="B12" s="731" t="s">
        <v>1220</v>
      </c>
      <c r="C12" s="856">
        <f>IRR(C11:L11)</f>
        <v>0.12102565363519258</v>
      </c>
      <c r="D12" s="856"/>
      <c r="E12" s="856"/>
      <c r="F12" s="856"/>
      <c r="G12" s="856"/>
      <c r="H12" s="856"/>
      <c r="I12" s="856"/>
      <c r="J12" s="856"/>
      <c r="K12" s="856"/>
      <c r="L12" s="856"/>
    </row>
    <row r="13" spans="2:14" ht="15.75" thickTop="1" x14ac:dyDescent="0.25">
      <c r="B13" s="646" t="s">
        <v>1221</v>
      </c>
      <c r="C13" s="732"/>
      <c r="D13" s="733">
        <v>0.13</v>
      </c>
      <c r="E13" s="646" t="s">
        <v>1222</v>
      </c>
      <c r="F13" s="646"/>
      <c r="G13" s="646"/>
      <c r="H13" s="646"/>
      <c r="I13" s="646"/>
      <c r="J13" s="646"/>
      <c r="K13" s="646"/>
      <c r="L13" s="646"/>
      <c r="M13" s="646"/>
      <c r="N13" s="646"/>
    </row>
    <row r="14" spans="2:14" ht="15" x14ac:dyDescent="0.25">
      <c r="B14" s="646" t="s">
        <v>1223</v>
      </c>
      <c r="C14" s="732"/>
      <c r="D14" s="734">
        <v>0.01</v>
      </c>
      <c r="E14" s="646"/>
      <c r="F14" s="646"/>
      <c r="G14" s="646"/>
      <c r="H14" s="646"/>
      <c r="I14" s="646"/>
      <c r="J14" s="646"/>
      <c r="K14" s="646"/>
      <c r="L14" s="646"/>
      <c r="M14" s="646"/>
      <c r="N14" s="646"/>
    </row>
    <row r="15" spans="2:14" ht="15" x14ac:dyDescent="0.25">
      <c r="B15" s="646" t="s">
        <v>1224</v>
      </c>
      <c r="C15" s="646">
        <v>0</v>
      </c>
      <c r="D15" s="646">
        <f>1</f>
        <v>1</v>
      </c>
      <c r="E15" s="646">
        <f>D15+1</f>
        <v>2</v>
      </c>
      <c r="F15" s="646">
        <f t="shared" ref="F15:L15" si="2">E15+1</f>
        <v>3</v>
      </c>
      <c r="G15" s="646">
        <f t="shared" si="2"/>
        <v>4</v>
      </c>
      <c r="H15" s="646">
        <f t="shared" si="2"/>
        <v>5</v>
      </c>
      <c r="I15" s="646">
        <f t="shared" si="2"/>
        <v>6</v>
      </c>
      <c r="J15" s="646">
        <f t="shared" si="2"/>
        <v>7</v>
      </c>
      <c r="K15" s="646">
        <f t="shared" si="2"/>
        <v>8</v>
      </c>
      <c r="L15" s="646">
        <f t="shared" si="2"/>
        <v>9</v>
      </c>
      <c r="M15" s="646"/>
      <c r="N15" s="646"/>
    </row>
    <row r="16" spans="2:14" ht="15" x14ac:dyDescent="0.25">
      <c r="B16" s="646" t="s">
        <v>1225</v>
      </c>
      <c r="C16" s="646">
        <f>1/(1+$D$13)^C15</f>
        <v>1</v>
      </c>
      <c r="D16" s="646">
        <f>1/(1+$D$13)^D15</f>
        <v>0.88495575221238942</v>
      </c>
      <c r="E16" s="646">
        <f t="shared" ref="E16:L16" si="3">1/(1+$D$13)^E15</f>
        <v>0.78314668337379612</v>
      </c>
      <c r="F16" s="646">
        <f t="shared" si="3"/>
        <v>0.69305016227769578</v>
      </c>
      <c r="G16" s="646">
        <f t="shared" si="3"/>
        <v>0.61331872767937679</v>
      </c>
      <c r="H16" s="646">
        <f t="shared" si="3"/>
        <v>0.54275993599944861</v>
      </c>
      <c r="I16" s="646">
        <f t="shared" si="3"/>
        <v>0.48031852743314046</v>
      </c>
      <c r="J16" s="646">
        <f t="shared" si="3"/>
        <v>0.425060643746142</v>
      </c>
      <c r="K16" s="646">
        <f t="shared" si="3"/>
        <v>0.37615986172224958</v>
      </c>
      <c r="L16" s="646">
        <f t="shared" si="3"/>
        <v>0.33288483338252178</v>
      </c>
      <c r="M16" s="646"/>
      <c r="N16" s="646"/>
    </row>
    <row r="17" spans="2:14" ht="15" x14ac:dyDescent="0.25">
      <c r="B17" s="646" t="s">
        <v>1226</v>
      </c>
      <c r="C17" s="646">
        <f>C11*C16</f>
        <v>-21.664050742733799</v>
      </c>
      <c r="D17" s="646">
        <f>D11*D16</f>
        <v>0.7004795024091961</v>
      </c>
      <c r="E17" s="646">
        <f t="shared" ref="E17:L17" si="4">E11*E16</f>
        <v>1.5525761943303078</v>
      </c>
      <c r="F17" s="646">
        <f t="shared" si="4"/>
        <v>2.7271015143561206</v>
      </c>
      <c r="G17" s="646">
        <f t="shared" si="4"/>
        <v>2.595966587568904</v>
      </c>
      <c r="H17" s="646">
        <f t="shared" si="4"/>
        <v>2.9939598736585475</v>
      </c>
      <c r="I17" s="646">
        <f t="shared" si="4"/>
        <v>2.7748491995268836</v>
      </c>
      <c r="J17" s="646">
        <f t="shared" si="4"/>
        <v>2.8261928347392433</v>
      </c>
      <c r="K17" s="646">
        <f t="shared" si="4"/>
        <v>2.8390896670958838</v>
      </c>
      <c r="L17" s="646">
        <f t="shared" si="4"/>
        <v>1.7369040149616253</v>
      </c>
      <c r="M17" s="646"/>
      <c r="N17" s="646"/>
    </row>
    <row r="18" spans="2:14" ht="15" x14ac:dyDescent="0.25">
      <c r="B18" s="646" t="s">
        <v>1227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>
        <f>L11*(1+D14)/(D13-D14)</f>
        <v>43.915915235249592</v>
      </c>
      <c r="M18" s="646"/>
      <c r="N18" s="646"/>
    </row>
    <row r="19" spans="2:14" ht="15" x14ac:dyDescent="0.25">
      <c r="B19" s="646" t="s">
        <v>1228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6">
        <f>L18*L16</f>
        <v>14.61894212592701</v>
      </c>
      <c r="M19" s="646"/>
      <c r="N19" s="646"/>
    </row>
    <row r="20" spans="2:14" ht="15" x14ac:dyDescent="0.25">
      <c r="B20" s="646" t="s">
        <v>1229</v>
      </c>
      <c r="C20" s="646">
        <f t="shared" ref="C20:K20" si="5">C19+C17</f>
        <v>-21.664050742733799</v>
      </c>
      <c r="D20" s="646">
        <f t="shared" si="5"/>
        <v>0.7004795024091961</v>
      </c>
      <c r="E20" s="646">
        <f t="shared" si="5"/>
        <v>1.5525761943303078</v>
      </c>
      <c r="F20" s="646">
        <f t="shared" si="5"/>
        <v>2.7271015143561206</v>
      </c>
      <c r="G20" s="646">
        <f t="shared" si="5"/>
        <v>2.595966587568904</v>
      </c>
      <c r="H20" s="646">
        <f t="shared" si="5"/>
        <v>2.9939598736585475</v>
      </c>
      <c r="I20" s="646">
        <f t="shared" si="5"/>
        <v>2.7748491995268836</v>
      </c>
      <c r="J20" s="646">
        <f t="shared" si="5"/>
        <v>2.8261928347392433</v>
      </c>
      <c r="K20" s="646">
        <f t="shared" si="5"/>
        <v>2.8390896670958838</v>
      </c>
      <c r="L20" s="646">
        <f>L19+L17</f>
        <v>16.355846140888634</v>
      </c>
      <c r="M20" s="646"/>
      <c r="N20" s="646"/>
    </row>
    <row r="21" spans="2:14" ht="15.75" thickBot="1" x14ac:dyDescent="0.3">
      <c r="B21" s="735" t="s">
        <v>1230</v>
      </c>
      <c r="C21" s="857">
        <f>SUM(C20:L20)</f>
        <v>13.702010771839921</v>
      </c>
      <c r="D21" s="857"/>
      <c r="E21" s="857"/>
      <c r="F21" s="857"/>
      <c r="G21" s="857"/>
      <c r="H21" s="857"/>
      <c r="I21" s="857"/>
      <c r="J21" s="857"/>
      <c r="K21" s="857"/>
      <c r="L21" s="857"/>
      <c r="M21" s="646"/>
      <c r="N21" s="646"/>
    </row>
    <row r="22" spans="2:14" ht="15" x14ac:dyDescent="0.25"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</row>
    <row r="23" spans="2:14" ht="15" x14ac:dyDescent="0.25">
      <c r="B23" s="646"/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6"/>
    </row>
    <row r="24" spans="2:14" ht="15" x14ac:dyDescent="0.25">
      <c r="B24" s="646"/>
    </row>
    <row r="25" spans="2:14" ht="15" x14ac:dyDescent="0.25">
      <c r="B25" s="646"/>
    </row>
    <row r="26" spans="2:14" ht="15" x14ac:dyDescent="0.25">
      <c r="B26" s="646"/>
    </row>
    <row r="27" spans="2:14" ht="15" x14ac:dyDescent="0.25">
      <c r="B27" s="646"/>
    </row>
    <row r="28" spans="2:14" ht="15" x14ac:dyDescent="0.25">
      <c r="B28" s="646"/>
    </row>
  </sheetData>
  <mergeCells count="2">
    <mergeCell ref="C12:L12"/>
    <mergeCell ref="C21:L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06"/>
  <sheetViews>
    <sheetView zoomScaleNormal="100" workbookViewId="0">
      <selection activeCell="B292" sqref="B292"/>
    </sheetView>
  </sheetViews>
  <sheetFormatPr defaultColWidth="9" defaultRowHeight="12" x14ac:dyDescent="0.15"/>
  <sheetData>
    <row r="1" spans="1:9" ht="12.75" x14ac:dyDescent="0.2">
      <c r="A1" s="1"/>
      <c r="B1" s="1"/>
      <c r="C1" s="1"/>
      <c r="D1" s="5" t="s">
        <v>223</v>
      </c>
      <c r="E1" s="1"/>
      <c r="F1" s="1"/>
      <c r="G1" s="1"/>
      <c r="H1" s="132"/>
      <c r="I1" s="1"/>
    </row>
    <row r="2" spans="1:9" ht="12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2.75" x14ac:dyDescent="0.2">
      <c r="A3" s="4" t="s">
        <v>115</v>
      </c>
      <c r="B3" s="1"/>
      <c r="C3" s="1"/>
      <c r="D3" s="1"/>
      <c r="E3" s="1"/>
      <c r="F3" s="1"/>
      <c r="G3" s="1"/>
      <c r="H3" s="1"/>
      <c r="I3" s="1"/>
    </row>
    <row r="4" spans="1:9" ht="12.75" x14ac:dyDescent="0.2">
      <c r="A4" s="1" t="s">
        <v>224</v>
      </c>
      <c r="B4" s="1"/>
      <c r="D4" s="4" t="s">
        <v>230</v>
      </c>
      <c r="E4" s="1"/>
      <c r="F4" s="1"/>
      <c r="G4" s="1"/>
      <c r="H4" s="1"/>
      <c r="I4" s="1"/>
    </row>
    <row r="5" spans="1:9" ht="12.75" x14ac:dyDescent="0.2">
      <c r="A5" s="1"/>
      <c r="B5" s="1"/>
      <c r="D5" s="1"/>
      <c r="E5" s="1"/>
      <c r="F5" s="1"/>
      <c r="G5" s="1"/>
      <c r="H5" s="1"/>
      <c r="I5" s="1"/>
    </row>
    <row r="6" spans="1:9" ht="12.75" x14ac:dyDescent="0.2">
      <c r="A6" s="1" t="s">
        <v>225</v>
      </c>
      <c r="B6" s="1"/>
      <c r="D6" s="1" t="s">
        <v>231</v>
      </c>
      <c r="E6" s="1"/>
      <c r="F6" s="1"/>
      <c r="G6" s="1"/>
      <c r="H6" s="1"/>
      <c r="I6" s="1"/>
    </row>
    <row r="7" spans="1:9" ht="12.75" x14ac:dyDescent="0.2">
      <c r="A7" s="1"/>
      <c r="B7" s="1"/>
      <c r="D7" s="1"/>
      <c r="E7" s="1"/>
      <c r="F7" s="1"/>
      <c r="G7" s="1"/>
      <c r="H7" s="1"/>
      <c r="I7" s="1"/>
    </row>
    <row r="8" spans="1:9" ht="12.75" x14ac:dyDescent="0.2">
      <c r="A8" s="1" t="s">
        <v>226</v>
      </c>
      <c r="B8" s="1"/>
      <c r="D8" s="1" t="s">
        <v>232</v>
      </c>
      <c r="E8" s="1"/>
      <c r="F8" s="1"/>
      <c r="G8" s="1"/>
      <c r="H8" s="1"/>
      <c r="I8" s="1"/>
    </row>
    <row r="9" spans="1:9" ht="12.75" x14ac:dyDescent="0.2">
      <c r="A9" s="1"/>
      <c r="B9" s="1"/>
      <c r="D9" s="1"/>
      <c r="E9" s="1"/>
      <c r="F9" s="1"/>
      <c r="G9" s="1"/>
      <c r="H9" s="1"/>
      <c r="I9" s="1"/>
    </row>
    <row r="10" spans="1:9" ht="12.75" x14ac:dyDescent="0.2">
      <c r="A10" s="1" t="s">
        <v>227</v>
      </c>
      <c r="B10" s="1"/>
      <c r="D10" s="1" t="s">
        <v>233</v>
      </c>
      <c r="E10" s="1"/>
      <c r="F10" s="1"/>
      <c r="G10" s="1"/>
      <c r="H10" s="1"/>
      <c r="I10" s="1"/>
    </row>
    <row r="11" spans="1:9" ht="12.75" x14ac:dyDescent="0.2">
      <c r="A11" s="1"/>
      <c r="B11" s="1"/>
      <c r="D11" s="1"/>
      <c r="E11" s="1"/>
      <c r="F11" s="1"/>
      <c r="G11" s="1"/>
      <c r="H11" s="1"/>
      <c r="I11" s="1"/>
    </row>
    <row r="12" spans="1:9" ht="12.75" x14ac:dyDescent="0.2">
      <c r="A12" s="1" t="s">
        <v>228</v>
      </c>
      <c r="B12" s="1"/>
      <c r="D12" s="70">
        <v>1992</v>
      </c>
      <c r="E12" s="1"/>
      <c r="F12" s="1"/>
      <c r="G12" s="1"/>
      <c r="H12" s="1"/>
      <c r="I12" s="1"/>
    </row>
    <row r="13" spans="1:9" ht="12.75" x14ac:dyDescent="0.2">
      <c r="A13" s="1"/>
      <c r="B13" s="1"/>
      <c r="D13" s="70"/>
      <c r="E13" s="1"/>
      <c r="F13" s="1"/>
      <c r="G13" s="1"/>
      <c r="H13" s="1"/>
      <c r="I13" s="1"/>
    </row>
    <row r="14" spans="1:9" ht="12.75" x14ac:dyDescent="0.2">
      <c r="A14" s="1" t="s">
        <v>229</v>
      </c>
      <c r="B14" s="1"/>
      <c r="D14" s="1" t="s">
        <v>234</v>
      </c>
      <c r="E14" s="1"/>
      <c r="F14" s="1"/>
      <c r="G14" s="1"/>
      <c r="H14" s="1"/>
      <c r="I14" s="1"/>
    </row>
    <row r="15" spans="1:9" ht="12.75" x14ac:dyDescent="0.2">
      <c r="A15" s="1"/>
      <c r="B15" s="1"/>
      <c r="D15" s="1" t="s">
        <v>235</v>
      </c>
      <c r="E15" s="1"/>
      <c r="F15" s="1"/>
      <c r="G15" s="1"/>
      <c r="H15" s="1"/>
      <c r="I15" s="1"/>
    </row>
    <row r="16" spans="1:9" ht="12.75" x14ac:dyDescent="0.2">
      <c r="A16" s="1"/>
      <c r="B16" s="1"/>
      <c r="D16" s="1" t="s">
        <v>236</v>
      </c>
      <c r="E16" s="1"/>
      <c r="F16" s="1"/>
      <c r="G16" s="1"/>
      <c r="H16" s="1"/>
      <c r="I16" s="1"/>
    </row>
    <row r="17" spans="1:9" ht="12.75" x14ac:dyDescent="0.2">
      <c r="A17" s="1"/>
      <c r="B17" s="1"/>
      <c r="D17" s="1" t="s">
        <v>237</v>
      </c>
      <c r="E17" s="1"/>
      <c r="F17" s="1"/>
      <c r="G17" s="1"/>
      <c r="H17" s="1"/>
      <c r="I17" s="1"/>
    </row>
    <row r="18" spans="1:9" ht="12.75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ht="12.75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9" ht="12.75" x14ac:dyDescent="0.2">
      <c r="A20" s="1" t="s">
        <v>238</v>
      </c>
      <c r="B20" s="1"/>
      <c r="C20" s="1"/>
      <c r="D20" s="1"/>
      <c r="E20" s="1"/>
      <c r="F20" s="1"/>
      <c r="G20" s="1"/>
      <c r="H20" s="1" t="s">
        <v>216</v>
      </c>
      <c r="I20" s="1"/>
    </row>
    <row r="21" spans="1:9" ht="12.75" x14ac:dyDescent="0.2">
      <c r="A21" s="69"/>
      <c r="B21" s="2"/>
      <c r="C21" s="2"/>
      <c r="D21" s="71">
        <v>2002</v>
      </c>
      <c r="E21" s="2"/>
      <c r="F21" s="71">
        <v>2001</v>
      </c>
      <c r="G21" s="2"/>
      <c r="H21" s="71">
        <v>2000</v>
      </c>
      <c r="I21" s="72"/>
    </row>
    <row r="22" spans="1:9" ht="12.75" x14ac:dyDescent="0.2">
      <c r="A22" s="73" t="s">
        <v>239</v>
      </c>
      <c r="B22" s="1"/>
      <c r="C22" s="1"/>
      <c r="D22" s="1">
        <v>3080.59</v>
      </c>
      <c r="E22" s="1"/>
      <c r="F22" s="1">
        <v>2366.15</v>
      </c>
      <c r="G22" s="1"/>
      <c r="H22" s="1">
        <v>2201.14</v>
      </c>
      <c r="I22" s="74"/>
    </row>
    <row r="23" spans="1:9" ht="12.75" x14ac:dyDescent="0.2">
      <c r="A23" s="73"/>
      <c r="B23" s="1"/>
      <c r="C23" s="1"/>
      <c r="D23" s="1"/>
      <c r="E23" s="1"/>
      <c r="F23" s="1"/>
      <c r="G23" s="1"/>
      <c r="H23" s="1"/>
      <c r="I23" s="74"/>
    </row>
    <row r="24" spans="1:9" ht="12.75" x14ac:dyDescent="0.2">
      <c r="A24" s="73" t="s">
        <v>240</v>
      </c>
      <c r="B24" s="1"/>
      <c r="C24" s="1"/>
      <c r="D24" s="1">
        <v>59.91</v>
      </c>
      <c r="E24" s="1"/>
      <c r="F24" s="1">
        <v>54.18</v>
      </c>
      <c r="G24" s="1"/>
      <c r="H24" s="1">
        <v>32.479999999999997</v>
      </c>
      <c r="I24" s="74"/>
    </row>
    <row r="25" spans="1:9" ht="12.75" x14ac:dyDescent="0.2">
      <c r="A25" s="73"/>
      <c r="B25" s="1"/>
      <c r="C25" s="1"/>
      <c r="D25" s="1"/>
      <c r="E25" s="1"/>
      <c r="F25" s="1"/>
      <c r="G25" s="1"/>
      <c r="H25" s="1"/>
      <c r="I25" s="74"/>
    </row>
    <row r="26" spans="1:9" ht="12.75" x14ac:dyDescent="0.2">
      <c r="A26" s="73" t="s">
        <v>241</v>
      </c>
      <c r="B26" s="1"/>
      <c r="C26" s="1"/>
      <c r="D26" s="1">
        <v>36.26</v>
      </c>
      <c r="E26" s="1"/>
      <c r="F26" s="1">
        <v>31.13</v>
      </c>
      <c r="G26" s="1"/>
      <c r="H26" s="1">
        <v>19.96</v>
      </c>
      <c r="I26" s="74"/>
    </row>
    <row r="27" spans="1:9" ht="12.75" x14ac:dyDescent="0.2">
      <c r="A27" s="73"/>
      <c r="B27" s="1"/>
      <c r="C27" s="1"/>
      <c r="D27" s="1"/>
      <c r="E27" s="1"/>
      <c r="F27" s="1"/>
      <c r="G27" s="1"/>
      <c r="H27" s="1"/>
      <c r="I27" s="74"/>
    </row>
    <row r="28" spans="1:9" ht="12.75" x14ac:dyDescent="0.2">
      <c r="A28" s="73" t="s">
        <v>242</v>
      </c>
      <c r="B28" s="1"/>
      <c r="C28" s="1"/>
      <c r="D28" s="1">
        <v>10.6</v>
      </c>
      <c r="E28" s="1"/>
      <c r="F28" s="1">
        <v>8.9</v>
      </c>
      <c r="G28" s="1"/>
      <c r="H28" s="1">
        <v>6.45</v>
      </c>
      <c r="I28" s="74"/>
    </row>
    <row r="29" spans="1:9" ht="12.75" x14ac:dyDescent="0.2">
      <c r="A29" s="73"/>
      <c r="B29" s="1"/>
      <c r="C29" s="1"/>
      <c r="D29" s="1"/>
      <c r="E29" s="1"/>
      <c r="F29" s="1"/>
      <c r="G29" s="1"/>
      <c r="H29" s="1"/>
      <c r="I29" s="74"/>
    </row>
    <row r="30" spans="1:9" ht="12.75" x14ac:dyDescent="0.2">
      <c r="A30" s="73" t="s">
        <v>243</v>
      </c>
      <c r="B30" s="1"/>
      <c r="C30" s="1"/>
      <c r="D30" s="1">
        <v>13.05</v>
      </c>
      <c r="E30" s="1"/>
      <c r="F30" s="1">
        <v>14.15</v>
      </c>
      <c r="G30" s="1"/>
      <c r="H30" s="1">
        <v>6.07</v>
      </c>
      <c r="I30" s="74"/>
    </row>
    <row r="31" spans="1:9" ht="12.75" x14ac:dyDescent="0.2">
      <c r="A31" s="73"/>
      <c r="B31" s="1"/>
      <c r="C31" s="1"/>
      <c r="D31" s="1"/>
      <c r="E31" s="1"/>
      <c r="F31" s="1"/>
      <c r="G31" s="1"/>
      <c r="H31" s="1"/>
      <c r="I31" s="74"/>
    </row>
    <row r="32" spans="1:9" ht="12.75" x14ac:dyDescent="0.2">
      <c r="A32" s="73" t="s">
        <v>246</v>
      </c>
      <c r="B32" s="1"/>
      <c r="C32" s="1"/>
      <c r="D32" s="1">
        <v>23.65</v>
      </c>
      <c r="E32" s="1"/>
      <c r="F32" s="1">
        <v>23.05</v>
      </c>
      <c r="G32" s="1"/>
      <c r="H32" s="1">
        <v>12.52</v>
      </c>
      <c r="I32" s="74"/>
    </row>
    <row r="33" spans="1:9" ht="12.75" x14ac:dyDescent="0.2">
      <c r="A33" s="73"/>
      <c r="B33" s="1"/>
      <c r="C33" s="1"/>
      <c r="D33" s="1"/>
      <c r="E33" s="1"/>
      <c r="F33" s="1"/>
      <c r="G33" s="1"/>
      <c r="H33" s="1"/>
      <c r="I33" s="74"/>
    </row>
    <row r="34" spans="1:9" ht="12.75" x14ac:dyDescent="0.2">
      <c r="A34" s="73" t="s">
        <v>479</v>
      </c>
      <c r="B34" s="1"/>
      <c r="C34" s="1"/>
      <c r="D34" s="1">
        <v>145</v>
      </c>
      <c r="E34" s="1"/>
      <c r="F34" s="1">
        <v>76.599999999999994</v>
      </c>
      <c r="G34" s="1"/>
      <c r="H34" s="1">
        <v>76.599999999999994</v>
      </c>
      <c r="I34" s="74"/>
    </row>
    <row r="35" spans="1:9" ht="12.75" x14ac:dyDescent="0.2">
      <c r="A35" s="73"/>
      <c r="B35" s="1"/>
      <c r="C35" s="1"/>
      <c r="D35" s="1"/>
      <c r="E35" s="1"/>
      <c r="F35" s="1"/>
      <c r="G35" s="1"/>
      <c r="H35" s="1"/>
      <c r="I35" s="74"/>
    </row>
    <row r="36" spans="1:9" ht="12.75" x14ac:dyDescent="0.2">
      <c r="A36" s="73" t="s">
        <v>247</v>
      </c>
      <c r="B36" s="1"/>
      <c r="C36" s="1"/>
      <c r="D36" s="1">
        <v>94.21</v>
      </c>
      <c r="E36" s="1"/>
      <c r="F36" s="1">
        <v>81.150000000000006</v>
      </c>
      <c r="G36" s="1"/>
      <c r="H36" s="1">
        <v>67</v>
      </c>
      <c r="I36" s="74"/>
    </row>
    <row r="37" spans="1:9" ht="12.75" x14ac:dyDescent="0.2">
      <c r="A37" s="73"/>
      <c r="B37" s="1"/>
      <c r="C37" s="1"/>
      <c r="D37" s="1"/>
      <c r="E37" s="1"/>
      <c r="F37" s="1"/>
      <c r="G37" s="1"/>
      <c r="H37" s="1"/>
      <c r="I37" s="74"/>
    </row>
    <row r="38" spans="1:9" ht="12.75" x14ac:dyDescent="0.2">
      <c r="A38" s="67" t="s">
        <v>251</v>
      </c>
      <c r="B38" s="68"/>
      <c r="C38" s="68"/>
      <c r="D38" s="68">
        <v>272.94</v>
      </c>
      <c r="E38" s="68"/>
      <c r="F38" s="68">
        <v>228.6</v>
      </c>
      <c r="G38" s="68"/>
      <c r="H38" s="68">
        <v>82.11</v>
      </c>
      <c r="I38" s="75"/>
    </row>
    <row r="39" spans="1:9" ht="12.75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ht="12.75" x14ac:dyDescent="0.2">
      <c r="A40" s="6" t="s">
        <v>252</v>
      </c>
      <c r="B40" s="1"/>
      <c r="C40" s="1"/>
      <c r="D40" s="1"/>
      <c r="E40" s="1"/>
      <c r="F40" s="1"/>
      <c r="G40" s="1"/>
      <c r="H40" s="1"/>
      <c r="I40" s="1"/>
    </row>
    <row r="41" spans="1:9" ht="12.75" x14ac:dyDescent="0.2">
      <c r="A41" s="1" t="s">
        <v>337</v>
      </c>
      <c r="B41" s="1"/>
      <c r="C41" s="3" t="s">
        <v>256</v>
      </c>
      <c r="D41" s="3"/>
      <c r="E41" s="3" t="s">
        <v>257</v>
      </c>
      <c r="F41" s="3"/>
      <c r="G41" s="3" t="s">
        <v>258</v>
      </c>
      <c r="H41" s="3"/>
      <c r="I41" s="3" t="s">
        <v>259</v>
      </c>
    </row>
    <row r="42" spans="1:9" ht="12.75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1" t="s">
        <v>255</v>
      </c>
      <c r="B43" s="1"/>
      <c r="C43" s="1">
        <v>114.9</v>
      </c>
      <c r="D43" s="1"/>
      <c r="E43" s="1">
        <v>110.4</v>
      </c>
      <c r="F43" s="1"/>
      <c r="G43" s="8" t="s">
        <v>260</v>
      </c>
      <c r="H43" s="8"/>
      <c r="I43" s="8" t="s">
        <v>260</v>
      </c>
    </row>
    <row r="44" spans="1:9" ht="12.75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ht="12.75" x14ac:dyDescent="0.2">
      <c r="A45" s="76" t="s">
        <v>253</v>
      </c>
      <c r="B45" s="1"/>
      <c r="C45" s="1"/>
      <c r="D45" s="1"/>
      <c r="E45" s="1"/>
      <c r="F45" s="1"/>
      <c r="G45" s="1"/>
      <c r="H45" s="1"/>
      <c r="I45" s="1"/>
    </row>
    <row r="46" spans="1:9" ht="12.75" x14ac:dyDescent="0.2">
      <c r="A46" s="1" t="s">
        <v>254</v>
      </c>
      <c r="B46" s="1"/>
      <c r="C46" s="1"/>
      <c r="D46" s="1"/>
      <c r="E46" s="1"/>
      <c r="F46" s="1"/>
      <c r="G46" s="1"/>
      <c r="H46" s="1"/>
      <c r="I46" s="1"/>
    </row>
    <row r="47" spans="1:9" ht="12.75" x14ac:dyDescent="0.2">
      <c r="B47" s="1" t="s">
        <v>424</v>
      </c>
      <c r="C47" s="1"/>
      <c r="D47" s="1"/>
      <c r="E47" s="1">
        <v>165</v>
      </c>
      <c r="F47" s="1"/>
      <c r="G47" s="8"/>
      <c r="H47" s="1"/>
      <c r="I47" s="1"/>
    </row>
    <row r="48" spans="1:9" ht="12.75" x14ac:dyDescent="0.2">
      <c r="B48" s="1" t="s">
        <v>425</v>
      </c>
      <c r="C48" s="1"/>
      <c r="D48" s="1"/>
      <c r="E48" s="1">
        <v>25</v>
      </c>
      <c r="F48" s="1"/>
      <c r="G48" s="8"/>
      <c r="H48" s="1"/>
      <c r="I48" s="1"/>
    </row>
    <row r="49" spans="1:9" ht="12.75" x14ac:dyDescent="0.2">
      <c r="A49" s="1"/>
      <c r="B49" s="1" t="s">
        <v>426</v>
      </c>
      <c r="C49" s="1"/>
      <c r="D49" s="1"/>
      <c r="E49" s="1">
        <v>10</v>
      </c>
      <c r="F49" s="1"/>
      <c r="G49" s="1"/>
      <c r="H49" s="1"/>
      <c r="I49" s="1"/>
    </row>
    <row r="50" spans="1:9" ht="12.75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E51" s="133"/>
    </row>
    <row r="52" spans="1:9" ht="12.75" x14ac:dyDescent="0.2">
      <c r="A52" s="4" t="s">
        <v>123</v>
      </c>
      <c r="B52" s="1"/>
      <c r="C52" s="1"/>
      <c r="D52" s="1"/>
      <c r="E52" s="1"/>
      <c r="F52" s="1"/>
      <c r="G52" s="1"/>
    </row>
    <row r="53" spans="1:9" ht="12.75" x14ac:dyDescent="0.2">
      <c r="A53" s="1" t="s">
        <v>408</v>
      </c>
      <c r="B53" s="1"/>
      <c r="D53" s="4" t="s">
        <v>409</v>
      </c>
      <c r="E53" s="1"/>
      <c r="F53" s="1"/>
      <c r="G53" s="1"/>
    </row>
    <row r="54" spans="1:9" ht="12.75" x14ac:dyDescent="0.2">
      <c r="A54" s="1"/>
      <c r="B54" s="1"/>
      <c r="D54" s="1"/>
      <c r="E54" s="1"/>
      <c r="F54" s="1"/>
      <c r="G54" s="1"/>
    </row>
    <row r="55" spans="1:9" ht="12.75" x14ac:dyDescent="0.2">
      <c r="A55" s="1" t="s">
        <v>225</v>
      </c>
      <c r="B55" s="1"/>
      <c r="D55" s="1" t="s">
        <v>387</v>
      </c>
      <c r="E55" s="1"/>
      <c r="F55" s="1"/>
      <c r="G55" s="1"/>
    </row>
    <row r="56" spans="1:9" ht="12.75" x14ac:dyDescent="0.2">
      <c r="A56" s="1"/>
      <c r="B56" s="1"/>
      <c r="D56" s="1"/>
      <c r="E56" s="1"/>
      <c r="F56" s="1"/>
      <c r="G56" s="1"/>
    </row>
    <row r="57" spans="1:9" ht="12.75" x14ac:dyDescent="0.2">
      <c r="A57" s="1" t="s">
        <v>226</v>
      </c>
      <c r="B57" s="1"/>
      <c r="D57" s="1" t="s">
        <v>232</v>
      </c>
      <c r="E57" s="1"/>
      <c r="F57" s="1"/>
      <c r="G57" s="1"/>
    </row>
    <row r="58" spans="1:9" ht="12.75" x14ac:dyDescent="0.2">
      <c r="A58" s="1"/>
      <c r="B58" s="1"/>
      <c r="D58" s="1"/>
      <c r="E58" s="1"/>
      <c r="F58" s="1"/>
      <c r="G58" s="1"/>
    </row>
    <row r="59" spans="1:9" ht="12.75" x14ac:dyDescent="0.2">
      <c r="A59" s="1" t="s">
        <v>227</v>
      </c>
      <c r="B59" s="1"/>
      <c r="D59" s="1" t="s">
        <v>388</v>
      </c>
      <c r="E59" s="1"/>
      <c r="F59" s="1"/>
      <c r="G59" s="1"/>
    </row>
    <row r="60" spans="1:9" ht="12.75" x14ac:dyDescent="0.2">
      <c r="A60" s="1"/>
      <c r="B60" s="1"/>
      <c r="D60" s="1"/>
      <c r="E60" s="1"/>
      <c r="F60" s="1"/>
      <c r="G60" s="1"/>
    </row>
    <row r="61" spans="1:9" ht="12.75" x14ac:dyDescent="0.2">
      <c r="A61" s="1" t="s">
        <v>228</v>
      </c>
      <c r="B61" s="1"/>
      <c r="D61" s="70">
        <v>1997</v>
      </c>
      <c r="E61" s="1"/>
      <c r="F61" s="1"/>
      <c r="G61" s="1"/>
    </row>
    <row r="62" spans="1:9" ht="12.75" x14ac:dyDescent="0.2">
      <c r="A62" s="1"/>
      <c r="B62" s="1"/>
      <c r="D62" s="70"/>
      <c r="E62" s="1"/>
      <c r="F62" s="1"/>
      <c r="G62" s="1"/>
    </row>
    <row r="63" spans="1:9" ht="12.75" x14ac:dyDescent="0.2">
      <c r="A63" s="1" t="s">
        <v>229</v>
      </c>
      <c r="B63" s="1"/>
      <c r="D63" s="1" t="s">
        <v>234</v>
      </c>
      <c r="E63" s="1"/>
      <c r="F63" s="1"/>
      <c r="G63" s="1"/>
    </row>
    <row r="64" spans="1:9" ht="12.75" x14ac:dyDescent="0.2">
      <c r="A64" s="1"/>
      <c r="B64" s="1"/>
      <c r="D64" s="1" t="s">
        <v>235</v>
      </c>
      <c r="E64" s="1"/>
      <c r="F64" s="1"/>
      <c r="G64" s="1"/>
    </row>
    <row r="65" spans="1:9" ht="12.75" x14ac:dyDescent="0.2">
      <c r="A65" s="1"/>
      <c r="B65" s="1"/>
      <c r="D65" s="1" t="s">
        <v>236</v>
      </c>
      <c r="E65" s="1"/>
      <c r="F65" s="1"/>
      <c r="G65" s="1"/>
    </row>
    <row r="66" spans="1:9" ht="12.75" x14ac:dyDescent="0.2">
      <c r="A66" s="1"/>
      <c r="B66" s="1"/>
      <c r="D66" s="1" t="s">
        <v>237</v>
      </c>
      <c r="E66" s="1"/>
      <c r="F66" s="1"/>
      <c r="G66" s="1"/>
    </row>
    <row r="67" spans="1:9" ht="12.75" x14ac:dyDescent="0.2">
      <c r="A67" s="1"/>
      <c r="B67" s="1"/>
      <c r="D67" s="1" t="s">
        <v>389</v>
      </c>
      <c r="E67" s="1"/>
      <c r="F67" s="1"/>
      <c r="G67" s="1"/>
    </row>
    <row r="68" spans="1:9" ht="12.75" x14ac:dyDescent="0.2">
      <c r="A68" s="1"/>
      <c r="B68" s="1"/>
      <c r="D68" s="1" t="s">
        <v>390</v>
      </c>
      <c r="E68" s="1"/>
      <c r="F68" s="1"/>
      <c r="G68" s="1"/>
    </row>
    <row r="69" spans="1:9" ht="12.75" x14ac:dyDescent="0.2">
      <c r="A69" s="1"/>
      <c r="B69" s="1"/>
      <c r="D69" s="1" t="s">
        <v>391</v>
      </c>
      <c r="E69" s="1"/>
      <c r="F69" s="1"/>
      <c r="G69" s="1"/>
    </row>
    <row r="71" spans="1:9" ht="12.75" x14ac:dyDescent="0.2">
      <c r="A71" s="1" t="s">
        <v>238</v>
      </c>
      <c r="B71" s="1"/>
      <c r="C71" s="1"/>
      <c r="D71" s="1"/>
      <c r="E71" s="1"/>
      <c r="F71" s="1"/>
      <c r="G71" s="1"/>
      <c r="H71" s="1" t="s">
        <v>216</v>
      </c>
      <c r="I71" s="1"/>
    </row>
    <row r="72" spans="1:9" ht="12.75" x14ac:dyDescent="0.2">
      <c r="A72" s="69"/>
      <c r="B72" s="2"/>
      <c r="C72" s="2"/>
      <c r="D72" s="71">
        <v>2002</v>
      </c>
      <c r="E72" s="2"/>
      <c r="F72" s="71">
        <v>2001</v>
      </c>
      <c r="G72" s="2"/>
      <c r="H72" s="71">
        <v>2000</v>
      </c>
      <c r="I72" s="72"/>
    </row>
    <row r="73" spans="1:9" ht="12.75" x14ac:dyDescent="0.2">
      <c r="A73" s="73" t="s">
        <v>239</v>
      </c>
      <c r="B73" s="1"/>
      <c r="C73" s="1"/>
      <c r="D73" s="1">
        <v>2016.79</v>
      </c>
      <c r="E73" s="1"/>
      <c r="F73" s="1">
        <v>2321.5700000000002</v>
      </c>
      <c r="G73" s="1"/>
      <c r="H73" s="1">
        <v>1904.57</v>
      </c>
      <c r="I73" s="74"/>
    </row>
    <row r="74" spans="1:9" ht="12.75" x14ac:dyDescent="0.2">
      <c r="A74" s="73"/>
      <c r="B74" s="1"/>
      <c r="C74" s="1"/>
      <c r="D74" s="1"/>
      <c r="E74" s="1"/>
      <c r="F74" s="1"/>
      <c r="G74" s="1"/>
      <c r="H74" s="1"/>
      <c r="I74" s="74"/>
    </row>
    <row r="75" spans="1:9" ht="12.75" x14ac:dyDescent="0.2">
      <c r="A75" s="73" t="s">
        <v>240</v>
      </c>
      <c r="B75" s="1"/>
      <c r="C75" s="1"/>
      <c r="D75" s="1">
        <v>160.87</v>
      </c>
      <c r="E75" s="1"/>
      <c r="F75" s="1">
        <v>260.14999999999998</v>
      </c>
      <c r="G75" s="1"/>
      <c r="H75" s="1">
        <v>153.88</v>
      </c>
      <c r="I75" s="74"/>
    </row>
    <row r="76" spans="1:9" ht="12.75" x14ac:dyDescent="0.2">
      <c r="A76" s="73"/>
      <c r="B76" s="1"/>
      <c r="C76" s="1"/>
      <c r="D76" s="1"/>
      <c r="E76" s="1"/>
      <c r="F76" s="1"/>
      <c r="G76" s="1"/>
      <c r="H76" s="1"/>
      <c r="I76" s="74"/>
    </row>
    <row r="77" spans="1:9" ht="12.75" x14ac:dyDescent="0.2">
      <c r="A77" s="73" t="s">
        <v>241</v>
      </c>
      <c r="B77" s="1"/>
      <c r="C77" s="1"/>
      <c r="D77" s="1">
        <v>83.66</v>
      </c>
      <c r="E77" s="1"/>
      <c r="F77" s="1">
        <v>181.52</v>
      </c>
      <c r="G77" s="1"/>
      <c r="H77" s="1">
        <v>84.93</v>
      </c>
      <c r="I77" s="74"/>
    </row>
    <row r="78" spans="1:9" ht="12.75" x14ac:dyDescent="0.2">
      <c r="A78" s="73"/>
      <c r="B78" s="1"/>
      <c r="C78" s="1"/>
      <c r="D78" s="1"/>
      <c r="E78" s="1"/>
      <c r="F78" s="1"/>
      <c r="G78" s="1"/>
      <c r="H78" s="1"/>
      <c r="I78" s="74"/>
    </row>
    <row r="79" spans="1:9" ht="12.75" x14ac:dyDescent="0.2">
      <c r="A79" s="73" t="s">
        <v>242</v>
      </c>
      <c r="B79" s="1"/>
      <c r="C79" s="1"/>
      <c r="D79" s="1">
        <v>32.54</v>
      </c>
      <c r="E79" s="1"/>
      <c r="F79" s="1">
        <v>28.32</v>
      </c>
      <c r="G79" s="1"/>
      <c r="H79" s="1">
        <v>62.76</v>
      </c>
      <c r="I79" s="74"/>
    </row>
    <row r="80" spans="1:9" ht="12.75" x14ac:dyDescent="0.2">
      <c r="A80" s="73"/>
      <c r="B80" s="1"/>
      <c r="C80" s="1"/>
      <c r="D80" s="1"/>
      <c r="E80" s="1"/>
      <c r="F80" s="1"/>
      <c r="G80" s="1"/>
      <c r="H80" s="1"/>
      <c r="I80" s="74"/>
    </row>
    <row r="81" spans="1:9" ht="12.75" x14ac:dyDescent="0.2">
      <c r="A81" s="73" t="s">
        <v>243</v>
      </c>
      <c r="B81" s="1"/>
      <c r="C81" s="1"/>
      <c r="D81" s="1">
        <v>45.67</v>
      </c>
      <c r="E81" s="1"/>
      <c r="F81" s="1">
        <v>50.31</v>
      </c>
      <c r="G81" s="1"/>
      <c r="H81" s="1">
        <v>6.19</v>
      </c>
      <c r="I81" s="74"/>
    </row>
    <row r="82" spans="1:9" ht="12.75" x14ac:dyDescent="0.2">
      <c r="A82" s="73"/>
      <c r="B82" s="1"/>
      <c r="C82" s="1"/>
      <c r="D82" s="1"/>
      <c r="E82" s="1"/>
      <c r="F82" s="1"/>
      <c r="G82" s="1"/>
      <c r="H82" s="1"/>
      <c r="I82" s="74"/>
    </row>
    <row r="83" spans="1:9" ht="12.75" x14ac:dyDescent="0.2">
      <c r="A83" s="73" t="s">
        <v>246</v>
      </c>
      <c r="B83" s="1"/>
      <c r="C83" s="1"/>
      <c r="D83" s="1">
        <v>78.209999999999994</v>
      </c>
      <c r="E83" s="1"/>
      <c r="F83" s="1">
        <v>78.63</v>
      </c>
      <c r="G83" s="1"/>
      <c r="H83" s="1">
        <v>68.95</v>
      </c>
      <c r="I83" s="74"/>
    </row>
    <row r="84" spans="1:9" ht="12.75" x14ac:dyDescent="0.2">
      <c r="A84" s="73"/>
      <c r="B84" s="1"/>
      <c r="C84" s="1"/>
      <c r="D84" s="1"/>
      <c r="E84" s="1"/>
      <c r="F84" s="1"/>
      <c r="G84" s="1"/>
      <c r="H84" s="1"/>
      <c r="I84" s="74"/>
    </row>
    <row r="85" spans="1:9" ht="12.75" x14ac:dyDescent="0.2">
      <c r="A85" s="73" t="s">
        <v>479</v>
      </c>
      <c r="B85" s="1"/>
      <c r="C85" s="1"/>
      <c r="D85" s="1">
        <v>837.48</v>
      </c>
      <c r="E85" s="1"/>
      <c r="F85" s="1">
        <v>408.98</v>
      </c>
      <c r="G85" s="1"/>
      <c r="H85" s="1">
        <v>408.98</v>
      </c>
      <c r="I85" s="74"/>
    </row>
    <row r="86" spans="1:9" ht="12.75" x14ac:dyDescent="0.2">
      <c r="A86" s="73"/>
      <c r="B86" s="1"/>
      <c r="C86" s="1"/>
      <c r="D86" s="1"/>
      <c r="E86" s="1"/>
      <c r="F86" s="1"/>
      <c r="G86" s="1"/>
      <c r="H86" s="1"/>
      <c r="I86" s="74"/>
    </row>
    <row r="87" spans="1:9" ht="12.75" x14ac:dyDescent="0.2">
      <c r="A87" s="73" t="s">
        <v>247</v>
      </c>
      <c r="B87" s="1"/>
      <c r="C87" s="1"/>
      <c r="D87" s="91" t="s">
        <v>293</v>
      </c>
      <c r="E87" s="1"/>
      <c r="F87" s="1">
        <v>60</v>
      </c>
      <c r="G87" s="1"/>
      <c r="H87" s="1">
        <v>13.95</v>
      </c>
      <c r="I87" s="74"/>
    </row>
    <row r="88" spans="1:9" ht="12.75" x14ac:dyDescent="0.2">
      <c r="A88" s="73"/>
      <c r="B88" s="1"/>
      <c r="C88" s="1"/>
      <c r="D88" s="1"/>
      <c r="E88" s="1"/>
      <c r="F88" s="1"/>
      <c r="G88" s="1"/>
      <c r="H88" s="1"/>
      <c r="I88" s="74"/>
    </row>
    <row r="89" spans="1:9" ht="12.75" x14ac:dyDescent="0.2">
      <c r="A89" s="67" t="s">
        <v>251</v>
      </c>
      <c r="B89" s="68"/>
      <c r="C89" s="68"/>
      <c r="D89" s="68">
        <v>989.25</v>
      </c>
      <c r="E89" s="68"/>
      <c r="F89" s="68">
        <v>705.8</v>
      </c>
      <c r="G89" s="68"/>
      <c r="H89" s="68">
        <v>619.79</v>
      </c>
      <c r="I89" s="75"/>
    </row>
    <row r="90" spans="1:9" ht="12.75" x14ac:dyDescent="0.2">
      <c r="A90" s="6" t="s">
        <v>252</v>
      </c>
      <c r="B90" s="1"/>
      <c r="C90" s="1"/>
      <c r="D90" s="1"/>
      <c r="E90" s="1"/>
      <c r="F90" s="1"/>
      <c r="G90" s="1"/>
      <c r="H90" s="1"/>
      <c r="I90" s="1"/>
    </row>
    <row r="91" spans="1:9" ht="12.75" x14ac:dyDescent="0.2">
      <c r="A91" s="1" t="s">
        <v>337</v>
      </c>
      <c r="B91" s="1"/>
      <c r="C91" s="3" t="s">
        <v>256</v>
      </c>
      <c r="D91" s="3"/>
      <c r="E91" s="3" t="s">
        <v>257</v>
      </c>
      <c r="F91" s="3"/>
      <c r="G91" s="3" t="s">
        <v>258</v>
      </c>
      <c r="H91" s="3"/>
      <c r="I91" s="8" t="s">
        <v>259</v>
      </c>
    </row>
    <row r="92" spans="1:9" ht="12.75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ht="12.75" x14ac:dyDescent="0.2">
      <c r="A93" s="1" t="s">
        <v>392</v>
      </c>
      <c r="B93" s="1"/>
      <c r="C93" s="1">
        <v>210</v>
      </c>
      <c r="D93" s="1"/>
      <c r="E93" s="1">
        <v>202.29</v>
      </c>
      <c r="F93" s="1"/>
      <c r="G93" s="8">
        <v>74</v>
      </c>
      <c r="H93" s="8"/>
      <c r="I93" s="8" t="s">
        <v>260</v>
      </c>
    </row>
    <row r="94" spans="1:9" ht="12.75" x14ac:dyDescent="0.2">
      <c r="A94" s="1" t="s">
        <v>254</v>
      </c>
      <c r="B94" s="1"/>
      <c r="C94" s="1">
        <v>775</v>
      </c>
      <c r="D94" s="1"/>
      <c r="E94" s="1">
        <v>775</v>
      </c>
      <c r="F94" s="1"/>
      <c r="G94" s="1">
        <v>775</v>
      </c>
      <c r="H94" s="1"/>
      <c r="I94" s="8" t="s">
        <v>260</v>
      </c>
    </row>
    <row r="95" spans="1:9" ht="12.75" x14ac:dyDescent="0.2">
      <c r="A95" s="76" t="s">
        <v>253</v>
      </c>
      <c r="B95" s="1"/>
      <c r="C95" s="1"/>
      <c r="D95" s="1"/>
      <c r="E95" s="1"/>
      <c r="F95" s="1"/>
      <c r="G95" s="1"/>
      <c r="H95" s="1"/>
      <c r="I95" s="1"/>
    </row>
    <row r="96" spans="1:9" ht="12.75" x14ac:dyDescent="0.2">
      <c r="A96" s="1" t="s">
        <v>254</v>
      </c>
      <c r="B96" s="1"/>
      <c r="C96" s="1"/>
      <c r="D96" s="1"/>
      <c r="E96" s="1"/>
      <c r="F96" s="1"/>
      <c r="G96" s="1"/>
      <c r="H96" s="1"/>
      <c r="I96" s="1"/>
    </row>
    <row r="97" spans="1:9" ht="12.75" x14ac:dyDescent="0.2">
      <c r="A97" s="1"/>
      <c r="B97" s="1" t="s">
        <v>427</v>
      </c>
      <c r="C97" s="1"/>
      <c r="D97" s="1"/>
      <c r="E97" s="1">
        <v>247</v>
      </c>
      <c r="F97" s="1"/>
      <c r="G97" s="8"/>
      <c r="H97" s="1"/>
      <c r="I97" s="1" t="s">
        <v>260</v>
      </c>
    </row>
    <row r="98" spans="1:9" ht="12.75" x14ac:dyDescent="0.2">
      <c r="A98" s="1"/>
      <c r="B98" s="1" t="s">
        <v>429</v>
      </c>
      <c r="E98" s="1">
        <v>60</v>
      </c>
      <c r="F98" s="1"/>
      <c r="G98" s="8"/>
      <c r="H98" s="1"/>
      <c r="I98" s="1" t="s">
        <v>260</v>
      </c>
    </row>
    <row r="99" spans="1:9" ht="12.75" x14ac:dyDescent="0.2">
      <c r="A99" s="1"/>
      <c r="B99" s="1" t="s">
        <v>430</v>
      </c>
      <c r="C99" s="1"/>
      <c r="D99" s="1"/>
      <c r="E99" s="1">
        <v>80</v>
      </c>
      <c r="I99" s="1" t="s">
        <v>260</v>
      </c>
    </row>
    <row r="100" spans="1:9" ht="12.75" x14ac:dyDescent="0.2">
      <c r="A100" s="1"/>
      <c r="B100" s="1" t="s">
        <v>432</v>
      </c>
      <c r="C100" s="1"/>
      <c r="D100" s="1"/>
      <c r="E100" s="1">
        <v>15</v>
      </c>
      <c r="I100" s="1" t="s">
        <v>260</v>
      </c>
    </row>
    <row r="101" spans="1:9" ht="12.75" x14ac:dyDescent="0.2">
      <c r="B101" s="1" t="s">
        <v>426</v>
      </c>
      <c r="E101" s="1">
        <v>15</v>
      </c>
      <c r="I101" s="1" t="s">
        <v>260</v>
      </c>
    </row>
    <row r="102" spans="1:9" ht="12.75" x14ac:dyDescent="0.2">
      <c r="B102" s="1"/>
      <c r="E102" s="133"/>
      <c r="I102" s="1"/>
    </row>
    <row r="103" spans="1:9" ht="12.75" x14ac:dyDescent="0.2">
      <c r="A103" s="4" t="s">
        <v>433</v>
      </c>
    </row>
    <row r="104" spans="1:9" ht="12.75" x14ac:dyDescent="0.2">
      <c r="A104" s="1" t="s">
        <v>393</v>
      </c>
      <c r="B104" s="1"/>
      <c r="D104" s="4" t="s">
        <v>394</v>
      </c>
      <c r="E104" s="1"/>
      <c r="F104" s="1"/>
      <c r="G104" s="1"/>
    </row>
    <row r="105" spans="1:9" ht="12.75" x14ac:dyDescent="0.2">
      <c r="A105" s="1"/>
      <c r="B105" s="1"/>
      <c r="D105" s="1"/>
      <c r="E105" s="1"/>
      <c r="F105" s="1"/>
      <c r="G105" s="1"/>
    </row>
    <row r="106" spans="1:9" ht="12.75" x14ac:dyDescent="0.2">
      <c r="A106" s="1" t="s">
        <v>225</v>
      </c>
      <c r="B106" s="1"/>
      <c r="D106" s="1" t="s">
        <v>395</v>
      </c>
      <c r="E106" s="1"/>
      <c r="F106" s="1"/>
      <c r="G106" s="1"/>
    </row>
    <row r="107" spans="1:9" ht="12.75" x14ac:dyDescent="0.2">
      <c r="A107" s="1"/>
      <c r="B107" s="1"/>
      <c r="D107" s="1"/>
      <c r="E107" s="1"/>
      <c r="F107" s="1"/>
      <c r="G107" s="1"/>
    </row>
    <row r="108" spans="1:9" ht="12.75" x14ac:dyDescent="0.2">
      <c r="A108" s="1" t="s">
        <v>226</v>
      </c>
      <c r="B108" s="1"/>
      <c r="D108" s="1" t="s">
        <v>396</v>
      </c>
      <c r="E108" s="1"/>
      <c r="F108" s="1"/>
      <c r="G108" s="1"/>
    </row>
    <row r="109" spans="1:9" ht="12.75" x14ac:dyDescent="0.2">
      <c r="A109" s="1"/>
      <c r="B109" s="1"/>
      <c r="D109" s="1"/>
      <c r="E109" s="1"/>
      <c r="F109" s="1"/>
      <c r="G109" s="1"/>
    </row>
    <row r="110" spans="1:9" ht="12.75" x14ac:dyDescent="0.2">
      <c r="A110" s="1" t="s">
        <v>227</v>
      </c>
      <c r="B110" s="1"/>
      <c r="D110" s="1" t="s">
        <v>397</v>
      </c>
      <c r="E110" s="1"/>
      <c r="F110" s="1"/>
      <c r="G110" s="1"/>
    </row>
    <row r="111" spans="1:9" ht="12.75" x14ac:dyDescent="0.2">
      <c r="A111" s="1"/>
      <c r="B111" s="1"/>
      <c r="D111" s="1"/>
      <c r="E111" s="1"/>
      <c r="F111" s="1"/>
      <c r="G111" s="1"/>
    </row>
    <row r="112" spans="1:9" ht="12.75" x14ac:dyDescent="0.2">
      <c r="A112" s="1" t="s">
        <v>228</v>
      </c>
      <c r="B112" s="1"/>
      <c r="D112" s="70">
        <v>1985</v>
      </c>
      <c r="E112" s="1"/>
      <c r="F112" s="1"/>
      <c r="G112" s="1"/>
    </row>
    <row r="113" spans="1:9" ht="12.75" x14ac:dyDescent="0.2">
      <c r="A113" s="1"/>
      <c r="B113" s="1"/>
      <c r="D113" s="70"/>
      <c r="E113" s="1"/>
      <c r="F113" s="1"/>
      <c r="G113" s="1"/>
    </row>
    <row r="114" spans="1:9" ht="12.75" x14ac:dyDescent="0.2">
      <c r="A114" s="1" t="s">
        <v>229</v>
      </c>
      <c r="B114" s="1"/>
      <c r="D114" s="1" t="s">
        <v>234</v>
      </c>
      <c r="E114" s="1"/>
      <c r="F114" s="1"/>
      <c r="G114" s="1"/>
    </row>
    <row r="115" spans="1:9" ht="12.75" x14ac:dyDescent="0.2">
      <c r="A115" s="1"/>
      <c r="B115" s="1"/>
      <c r="D115" s="1" t="s">
        <v>398</v>
      </c>
      <c r="E115" s="1"/>
      <c r="F115" s="1"/>
      <c r="G115" s="1"/>
    </row>
    <row r="116" spans="1:9" ht="12.75" x14ac:dyDescent="0.2">
      <c r="A116" s="1"/>
      <c r="B116" s="1"/>
      <c r="D116" s="1" t="s">
        <v>399</v>
      </c>
      <c r="E116" s="1"/>
      <c r="F116" s="1"/>
      <c r="G116" s="1"/>
    </row>
    <row r="117" spans="1:9" ht="12.75" x14ac:dyDescent="0.2">
      <c r="A117" s="1"/>
      <c r="B117" s="1"/>
      <c r="D117" s="1" t="s">
        <v>400</v>
      </c>
      <c r="E117" s="1"/>
      <c r="F117" s="1"/>
      <c r="G117" s="1"/>
    </row>
    <row r="118" spans="1:9" ht="12.75" x14ac:dyDescent="0.2">
      <c r="A118" s="1"/>
      <c r="B118" s="1"/>
      <c r="D118" s="1" t="s">
        <v>401</v>
      </c>
      <c r="E118" s="1"/>
      <c r="F118" s="1"/>
      <c r="G118" s="1"/>
    </row>
    <row r="120" spans="1:9" ht="12.75" x14ac:dyDescent="0.2">
      <c r="A120" s="1" t="s">
        <v>238</v>
      </c>
      <c r="B120" s="1"/>
      <c r="C120" s="1"/>
      <c r="D120" s="1"/>
      <c r="E120" s="1"/>
      <c r="F120" s="1"/>
      <c r="G120" s="1"/>
      <c r="H120" s="1" t="s">
        <v>216</v>
      </c>
      <c r="I120" s="1"/>
    </row>
    <row r="121" spans="1:9" ht="12.75" x14ac:dyDescent="0.2">
      <c r="A121" s="69"/>
      <c r="B121" s="2"/>
      <c r="C121" s="2"/>
      <c r="D121" s="71">
        <v>2002</v>
      </c>
      <c r="E121" s="2"/>
      <c r="F121" s="71">
        <v>2001</v>
      </c>
      <c r="G121" s="2"/>
      <c r="H121" s="71">
        <v>2000</v>
      </c>
      <c r="I121" s="72"/>
    </row>
    <row r="122" spans="1:9" ht="12.75" x14ac:dyDescent="0.2">
      <c r="A122" s="73" t="s">
        <v>239</v>
      </c>
      <c r="B122" s="1"/>
      <c r="C122" s="1"/>
      <c r="D122" s="1">
        <v>700.12</v>
      </c>
      <c r="E122" s="1"/>
      <c r="F122" s="1">
        <v>567.9</v>
      </c>
      <c r="G122" s="1"/>
      <c r="H122" s="1">
        <v>920.98</v>
      </c>
      <c r="I122" s="74"/>
    </row>
    <row r="123" spans="1:9" ht="12.75" x14ac:dyDescent="0.2">
      <c r="A123" s="73"/>
      <c r="B123" s="1"/>
      <c r="C123" s="1"/>
      <c r="D123" s="1"/>
      <c r="E123" s="1"/>
      <c r="F123" s="1"/>
      <c r="G123" s="1"/>
      <c r="H123" s="1"/>
      <c r="I123" s="74"/>
    </row>
    <row r="124" spans="1:9" ht="12.75" x14ac:dyDescent="0.2">
      <c r="A124" s="73" t="s">
        <v>240</v>
      </c>
      <c r="B124" s="1"/>
      <c r="C124" s="1"/>
      <c r="D124" s="1">
        <v>14.27</v>
      </c>
      <c r="E124" s="1"/>
      <c r="F124" s="1">
        <v>11.36</v>
      </c>
      <c r="G124" s="1"/>
      <c r="H124" s="1">
        <v>15.49</v>
      </c>
      <c r="I124" s="74"/>
    </row>
    <row r="125" spans="1:9" ht="12.75" x14ac:dyDescent="0.2">
      <c r="A125" s="73"/>
      <c r="B125" s="1"/>
      <c r="C125" s="1"/>
      <c r="D125" s="1"/>
      <c r="E125" s="1"/>
      <c r="F125" s="1"/>
      <c r="G125" s="1"/>
      <c r="H125" s="1"/>
      <c r="I125" s="74"/>
    </row>
    <row r="126" spans="1:9" ht="12.75" x14ac:dyDescent="0.2">
      <c r="A126" s="73" t="s">
        <v>241</v>
      </c>
      <c r="B126" s="1"/>
      <c r="C126" s="1"/>
      <c r="D126" s="91" t="s">
        <v>293</v>
      </c>
      <c r="E126" s="1"/>
      <c r="F126" s="91" t="s">
        <v>293</v>
      </c>
      <c r="G126" s="1"/>
      <c r="H126" s="1">
        <v>0.78</v>
      </c>
      <c r="I126" s="74"/>
    </row>
    <row r="127" spans="1:9" ht="12.75" x14ac:dyDescent="0.2">
      <c r="A127" s="73"/>
      <c r="B127" s="1"/>
      <c r="C127" s="1"/>
      <c r="D127" s="1"/>
      <c r="E127" s="1"/>
      <c r="F127" s="3"/>
      <c r="G127" s="1"/>
      <c r="H127" s="1"/>
      <c r="I127" s="74"/>
    </row>
    <row r="128" spans="1:9" ht="12.75" x14ac:dyDescent="0.2">
      <c r="A128" s="73" t="s">
        <v>242</v>
      </c>
      <c r="B128" s="1"/>
      <c r="C128" s="1"/>
      <c r="D128" s="1">
        <v>10.37</v>
      </c>
      <c r="E128" s="1"/>
      <c r="F128" s="1">
        <v>8</v>
      </c>
      <c r="G128" s="1"/>
      <c r="H128" s="1">
        <v>10.77</v>
      </c>
      <c r="I128" s="74"/>
    </row>
    <row r="129" spans="1:9" ht="12.75" x14ac:dyDescent="0.2">
      <c r="A129" s="73"/>
      <c r="B129" s="1"/>
      <c r="C129" s="1"/>
      <c r="D129" s="1"/>
      <c r="E129" s="1"/>
      <c r="F129" s="1"/>
      <c r="G129" s="1"/>
      <c r="H129" s="1"/>
      <c r="I129" s="74"/>
    </row>
    <row r="130" spans="1:9" ht="12.75" x14ac:dyDescent="0.2">
      <c r="A130" s="73" t="s">
        <v>243</v>
      </c>
      <c r="B130" s="1"/>
      <c r="C130" s="1"/>
      <c r="D130" s="1">
        <v>3.9</v>
      </c>
      <c r="E130" s="1"/>
      <c r="F130" s="1">
        <v>3.36</v>
      </c>
      <c r="G130" s="1"/>
      <c r="H130" s="1">
        <v>3.94</v>
      </c>
      <c r="I130" s="74"/>
    </row>
    <row r="131" spans="1:9" ht="12.75" x14ac:dyDescent="0.2">
      <c r="A131" s="73"/>
      <c r="B131" s="1"/>
      <c r="C131" s="1"/>
      <c r="D131" s="1"/>
      <c r="E131" s="1"/>
      <c r="F131" s="1"/>
      <c r="G131" s="1"/>
      <c r="H131" s="1"/>
      <c r="I131" s="74"/>
    </row>
    <row r="132" spans="1:9" ht="12.75" x14ac:dyDescent="0.2">
      <c r="A132" s="73" t="s">
        <v>246</v>
      </c>
      <c r="B132" s="1"/>
      <c r="C132" s="1"/>
      <c r="D132" s="1">
        <v>14.27</v>
      </c>
      <c r="E132" s="1"/>
      <c r="F132" s="1">
        <v>11.36</v>
      </c>
      <c r="G132" s="1"/>
      <c r="H132" s="1">
        <v>14.71</v>
      </c>
      <c r="I132" s="74"/>
    </row>
    <row r="133" spans="1:9" ht="12.75" x14ac:dyDescent="0.2">
      <c r="A133" s="73"/>
      <c r="B133" s="1"/>
      <c r="C133" s="1"/>
      <c r="D133" s="1"/>
      <c r="E133" s="1"/>
      <c r="F133" s="1"/>
      <c r="G133" s="1"/>
      <c r="H133" s="1"/>
      <c r="I133" s="74"/>
    </row>
    <row r="134" spans="1:9" ht="12.75" x14ac:dyDescent="0.2">
      <c r="A134" s="73" t="s">
        <v>479</v>
      </c>
      <c r="B134" s="1"/>
      <c r="C134" s="1"/>
      <c r="D134" s="1">
        <v>9.8800000000000008</v>
      </c>
      <c r="E134" s="1"/>
      <c r="F134" s="1">
        <v>9.8800000000000008</v>
      </c>
      <c r="G134" s="1"/>
      <c r="H134" s="1">
        <v>9.8800000000000008</v>
      </c>
      <c r="I134" s="74"/>
    </row>
    <row r="135" spans="1:9" ht="12.75" x14ac:dyDescent="0.2">
      <c r="A135" s="73"/>
      <c r="B135" s="1"/>
      <c r="C135" s="1"/>
      <c r="D135" s="1"/>
      <c r="E135" s="1"/>
      <c r="F135" s="1"/>
      <c r="G135" s="1"/>
      <c r="H135" s="1"/>
      <c r="I135" s="74"/>
    </row>
    <row r="136" spans="1:9" ht="12.75" x14ac:dyDescent="0.2">
      <c r="A136" s="73" t="s">
        <v>247</v>
      </c>
      <c r="B136" s="1"/>
      <c r="C136" s="1"/>
      <c r="D136" s="90">
        <v>0</v>
      </c>
      <c r="E136" s="1"/>
      <c r="F136" s="1">
        <v>0</v>
      </c>
      <c r="G136" s="1"/>
      <c r="H136" s="1">
        <v>0</v>
      </c>
      <c r="I136" s="74"/>
    </row>
    <row r="137" spans="1:9" ht="12.75" x14ac:dyDescent="0.2">
      <c r="A137" s="73"/>
      <c r="B137" s="1"/>
      <c r="C137" s="1"/>
      <c r="D137" s="8"/>
      <c r="E137" s="1"/>
      <c r="F137" s="1"/>
      <c r="G137" s="1"/>
      <c r="H137" s="1"/>
      <c r="I137" s="74"/>
    </row>
    <row r="138" spans="1:9" ht="12.75" x14ac:dyDescent="0.2">
      <c r="A138" s="67" t="s">
        <v>251</v>
      </c>
      <c r="B138" s="68"/>
      <c r="C138" s="68"/>
      <c r="D138" s="68">
        <v>200.76</v>
      </c>
      <c r="E138" s="68"/>
      <c r="F138" s="68">
        <v>137.15</v>
      </c>
      <c r="G138" s="68"/>
      <c r="H138" s="68">
        <v>131.38</v>
      </c>
      <c r="I138" s="75"/>
    </row>
    <row r="139" spans="1:9" ht="12.75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2.75" x14ac:dyDescent="0.2">
      <c r="A140" s="6" t="s">
        <v>252</v>
      </c>
      <c r="B140" s="1"/>
      <c r="C140" s="1"/>
      <c r="D140" s="1"/>
      <c r="E140" s="1"/>
      <c r="F140" s="1"/>
      <c r="G140" s="1"/>
      <c r="H140" s="1"/>
      <c r="I140" s="1"/>
    </row>
    <row r="141" spans="1:9" ht="12.75" x14ac:dyDescent="0.2">
      <c r="A141" s="1" t="s">
        <v>337</v>
      </c>
      <c r="B141" s="1"/>
      <c r="C141" s="3" t="s">
        <v>256</v>
      </c>
      <c r="D141" s="3"/>
      <c r="E141" s="3" t="s">
        <v>257</v>
      </c>
      <c r="F141" s="3"/>
      <c r="G141" s="3" t="s">
        <v>258</v>
      </c>
      <c r="H141" s="3"/>
      <c r="I141" s="3" t="s">
        <v>259</v>
      </c>
    </row>
    <row r="142" spans="1:9" ht="12.75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2.75" x14ac:dyDescent="0.2">
      <c r="A143" s="1"/>
      <c r="B143" s="1"/>
      <c r="C143" s="8" t="s">
        <v>260</v>
      </c>
      <c r="D143" s="1"/>
      <c r="E143" s="8" t="s">
        <v>260</v>
      </c>
      <c r="F143" s="1"/>
      <c r="G143" s="8" t="s">
        <v>260</v>
      </c>
      <c r="H143" s="8"/>
      <c r="I143" s="8" t="s">
        <v>260</v>
      </c>
    </row>
    <row r="145" spans="1:9" ht="12.75" x14ac:dyDescent="0.2">
      <c r="A145" s="76" t="s">
        <v>253</v>
      </c>
      <c r="B145" s="1"/>
      <c r="C145" s="8" t="s">
        <v>260</v>
      </c>
      <c r="D145" s="1"/>
      <c r="E145" s="8" t="s">
        <v>260</v>
      </c>
      <c r="F145" s="1"/>
      <c r="G145" s="8" t="s">
        <v>260</v>
      </c>
      <c r="H145" s="1"/>
      <c r="I145" s="8" t="s">
        <v>260</v>
      </c>
    </row>
    <row r="146" spans="1:9" ht="12.75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2.75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2.75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2.75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2.75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2.75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2.75" x14ac:dyDescent="0.2">
      <c r="A152" s="1"/>
      <c r="B152" s="1"/>
      <c r="C152" s="1"/>
      <c r="D152" s="1"/>
      <c r="E152" s="133"/>
      <c r="F152" s="1"/>
      <c r="G152" s="1"/>
      <c r="H152" s="1"/>
      <c r="I152" s="1"/>
    </row>
    <row r="153" spans="1:9" ht="12.75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2.75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2.75" x14ac:dyDescent="0.2">
      <c r="A155" s="4" t="s">
        <v>434</v>
      </c>
      <c r="B155" s="1"/>
      <c r="C155" s="1"/>
      <c r="D155" s="1"/>
      <c r="E155" s="1"/>
      <c r="F155" s="1"/>
      <c r="G155" s="1"/>
      <c r="H155" s="1"/>
      <c r="I155" s="1"/>
    </row>
    <row r="156" spans="1:9" ht="12.75" x14ac:dyDescent="0.2">
      <c r="A156" s="1" t="s">
        <v>408</v>
      </c>
      <c r="B156" s="1"/>
      <c r="D156" s="4" t="s">
        <v>410</v>
      </c>
      <c r="E156" s="1"/>
      <c r="F156" s="1"/>
      <c r="G156" s="1"/>
    </row>
    <row r="157" spans="1:9" ht="12.75" x14ac:dyDescent="0.2">
      <c r="A157" s="1"/>
      <c r="B157" s="1"/>
      <c r="D157" s="1"/>
      <c r="E157" s="1"/>
      <c r="F157" s="1"/>
      <c r="G157" s="1"/>
    </row>
    <row r="158" spans="1:9" ht="12.75" x14ac:dyDescent="0.2">
      <c r="A158" s="1" t="s">
        <v>225</v>
      </c>
      <c r="B158" s="1"/>
      <c r="D158" s="1" t="s">
        <v>411</v>
      </c>
      <c r="E158" s="1"/>
      <c r="F158" s="1"/>
      <c r="G158" s="1"/>
    </row>
    <row r="159" spans="1:9" ht="12.75" x14ac:dyDescent="0.2">
      <c r="A159" s="1"/>
      <c r="B159" s="1"/>
      <c r="D159" s="1"/>
      <c r="E159" s="1"/>
      <c r="F159" s="1"/>
      <c r="G159" s="1"/>
    </row>
    <row r="160" spans="1:9" ht="12.75" x14ac:dyDescent="0.2">
      <c r="A160" s="1" t="s">
        <v>226</v>
      </c>
      <c r="B160" s="1"/>
      <c r="D160" s="1" t="s">
        <v>412</v>
      </c>
      <c r="E160" s="1"/>
      <c r="F160" s="1"/>
      <c r="G160" s="1"/>
    </row>
    <row r="161" spans="1:9" ht="12.75" x14ac:dyDescent="0.2">
      <c r="A161" s="1"/>
      <c r="B161" s="1"/>
      <c r="D161" s="1"/>
      <c r="E161" s="1"/>
      <c r="F161" s="1"/>
      <c r="G161" s="1"/>
    </row>
    <row r="162" spans="1:9" ht="12.75" x14ac:dyDescent="0.2">
      <c r="A162" s="1" t="s">
        <v>227</v>
      </c>
      <c r="B162" s="1"/>
      <c r="D162" s="1" t="s">
        <v>413</v>
      </c>
      <c r="E162" s="1"/>
      <c r="F162" s="1"/>
      <c r="G162" s="1"/>
    </row>
    <row r="163" spans="1:9" ht="12.75" x14ac:dyDescent="0.2">
      <c r="A163" s="1"/>
      <c r="B163" s="1"/>
      <c r="D163" s="1"/>
      <c r="E163" s="1"/>
      <c r="F163" s="1"/>
      <c r="G163" s="1"/>
    </row>
    <row r="164" spans="1:9" ht="12.75" x14ac:dyDescent="0.2">
      <c r="A164" s="1" t="s">
        <v>228</v>
      </c>
      <c r="B164" s="1"/>
      <c r="D164" s="70">
        <v>1997</v>
      </c>
      <c r="E164" s="1"/>
      <c r="F164" s="1"/>
      <c r="G164" s="1"/>
    </row>
    <row r="165" spans="1:9" ht="12.75" x14ac:dyDescent="0.2">
      <c r="A165" s="1"/>
      <c r="B165" s="1"/>
      <c r="D165" s="70"/>
      <c r="E165" s="1"/>
      <c r="F165" s="1"/>
      <c r="G165" s="1"/>
    </row>
    <row r="166" spans="1:9" ht="12.75" x14ac:dyDescent="0.2">
      <c r="A166" s="1" t="s">
        <v>229</v>
      </c>
      <c r="B166" s="1"/>
      <c r="D166" s="1" t="s">
        <v>234</v>
      </c>
      <c r="E166" s="1"/>
      <c r="F166" s="1"/>
      <c r="G166" s="1"/>
    </row>
    <row r="167" spans="1:9" ht="12.75" x14ac:dyDescent="0.2">
      <c r="A167" s="1"/>
      <c r="B167" s="1"/>
      <c r="D167" s="1" t="s">
        <v>235</v>
      </c>
      <c r="E167" s="1"/>
      <c r="F167" s="1"/>
      <c r="G167" s="1"/>
    </row>
    <row r="168" spans="1:9" ht="12.75" x14ac:dyDescent="0.2">
      <c r="A168" s="1"/>
      <c r="B168" s="1"/>
      <c r="D168" s="1" t="s">
        <v>236</v>
      </c>
      <c r="E168" s="1"/>
      <c r="F168" s="1"/>
      <c r="G168" s="1"/>
    </row>
    <row r="169" spans="1:9" ht="12.75" x14ac:dyDescent="0.2">
      <c r="A169" s="1"/>
      <c r="B169" s="1"/>
      <c r="D169" s="1" t="s">
        <v>237</v>
      </c>
      <c r="E169" s="1"/>
      <c r="F169" s="1"/>
      <c r="G169" s="1"/>
    </row>
    <row r="170" spans="1:9" ht="12.75" x14ac:dyDescent="0.2">
      <c r="A170" s="1"/>
      <c r="B170" s="1"/>
      <c r="C170" s="1"/>
      <c r="D170" s="1"/>
      <c r="E170" s="1"/>
      <c r="F170" s="1"/>
      <c r="G170" s="1"/>
    </row>
    <row r="172" spans="1:9" ht="12.75" x14ac:dyDescent="0.2">
      <c r="A172" s="1" t="s">
        <v>238</v>
      </c>
      <c r="B172" s="1"/>
      <c r="C172" s="1"/>
      <c r="D172" s="1"/>
      <c r="E172" s="1"/>
      <c r="F172" s="1"/>
      <c r="G172" s="1"/>
      <c r="H172" s="1" t="s">
        <v>216</v>
      </c>
      <c r="I172" s="1"/>
    </row>
    <row r="173" spans="1:9" ht="12.75" x14ac:dyDescent="0.2">
      <c r="A173" s="69"/>
      <c r="B173" s="2"/>
      <c r="C173" s="2"/>
      <c r="D173" s="71">
        <v>2002</v>
      </c>
      <c r="E173" s="2"/>
      <c r="F173" s="71">
        <v>2001</v>
      </c>
      <c r="G173" s="2"/>
      <c r="H173" s="71">
        <v>2000</v>
      </c>
      <c r="I173" s="72"/>
    </row>
    <row r="174" spans="1:9" ht="12.75" x14ac:dyDescent="0.2">
      <c r="A174" s="73" t="s">
        <v>239</v>
      </c>
      <c r="B174" s="1"/>
      <c r="C174" s="1"/>
      <c r="D174" s="1">
        <v>1221.93</v>
      </c>
      <c r="E174" s="1"/>
      <c r="F174" s="1">
        <v>1225.67</v>
      </c>
      <c r="G174" s="1"/>
      <c r="H174" s="1">
        <v>1114.72</v>
      </c>
      <c r="I174" s="74"/>
    </row>
    <row r="175" spans="1:9" ht="12.75" x14ac:dyDescent="0.2">
      <c r="A175" s="73"/>
      <c r="B175" s="1"/>
      <c r="C175" s="1"/>
      <c r="D175" s="1"/>
      <c r="E175" s="1"/>
      <c r="F175" s="1"/>
      <c r="G175" s="1"/>
      <c r="H175" s="1"/>
      <c r="I175" s="74"/>
    </row>
    <row r="176" spans="1:9" ht="12.75" x14ac:dyDescent="0.2">
      <c r="A176" s="73" t="s">
        <v>240</v>
      </c>
      <c r="B176" s="1"/>
      <c r="C176" s="1"/>
      <c r="D176" s="1">
        <v>39.44</v>
      </c>
      <c r="E176" s="1"/>
      <c r="F176" s="1">
        <v>46.32</v>
      </c>
      <c r="G176" s="1"/>
      <c r="H176" s="1">
        <v>49.81</v>
      </c>
      <c r="I176" s="74"/>
    </row>
    <row r="177" spans="1:9" ht="12.75" x14ac:dyDescent="0.2">
      <c r="A177" s="73"/>
      <c r="B177" s="1"/>
      <c r="C177" s="1"/>
      <c r="D177" s="1"/>
      <c r="E177" s="1"/>
      <c r="F177" s="1"/>
      <c r="G177" s="1"/>
      <c r="H177" s="1"/>
      <c r="I177" s="74"/>
    </row>
    <row r="178" spans="1:9" ht="12.75" x14ac:dyDescent="0.2">
      <c r="A178" s="73" t="s">
        <v>241</v>
      </c>
      <c r="B178" s="1"/>
      <c r="C178" s="1"/>
      <c r="D178" s="1">
        <v>15.82</v>
      </c>
      <c r="E178" s="1"/>
      <c r="F178" s="1">
        <v>25.88</v>
      </c>
      <c r="G178" s="1"/>
      <c r="H178" s="1">
        <v>32.32</v>
      </c>
      <c r="I178" s="74"/>
    </row>
    <row r="179" spans="1:9" ht="12.75" x14ac:dyDescent="0.2">
      <c r="A179" s="73"/>
      <c r="B179" s="1"/>
      <c r="C179" s="1"/>
      <c r="D179" s="1"/>
      <c r="E179" s="1"/>
      <c r="F179" s="1"/>
      <c r="G179" s="1"/>
      <c r="H179" s="1"/>
      <c r="I179" s="74"/>
    </row>
    <row r="180" spans="1:9" ht="12.75" x14ac:dyDescent="0.2">
      <c r="A180" s="73" t="s">
        <v>242</v>
      </c>
      <c r="B180" s="1"/>
      <c r="C180" s="1"/>
      <c r="D180" s="1">
        <v>12.11</v>
      </c>
      <c r="E180" s="1"/>
      <c r="F180" s="1">
        <v>12.64</v>
      </c>
      <c r="G180" s="1"/>
      <c r="H180" s="1">
        <v>12.35</v>
      </c>
      <c r="I180" s="74"/>
    </row>
    <row r="181" spans="1:9" ht="12.75" x14ac:dyDescent="0.2">
      <c r="A181" s="73"/>
      <c r="B181" s="1"/>
      <c r="C181" s="1"/>
      <c r="D181" s="1"/>
      <c r="E181" s="1"/>
      <c r="F181" s="1"/>
      <c r="G181" s="1"/>
      <c r="H181" s="1"/>
      <c r="I181" s="74"/>
    </row>
    <row r="182" spans="1:9" ht="12.75" x14ac:dyDescent="0.2">
      <c r="A182" s="73" t="s">
        <v>243</v>
      </c>
      <c r="B182" s="1"/>
      <c r="C182" s="1"/>
      <c r="D182" s="1">
        <v>11.51</v>
      </c>
      <c r="E182" s="1"/>
      <c r="F182" s="1">
        <v>7.8</v>
      </c>
      <c r="G182" s="1"/>
      <c r="H182" s="1">
        <v>5.14</v>
      </c>
      <c r="I182" s="74"/>
    </row>
    <row r="183" spans="1:9" ht="12.75" x14ac:dyDescent="0.2">
      <c r="A183" s="73"/>
      <c r="B183" s="1"/>
      <c r="C183" s="1"/>
      <c r="D183" s="1"/>
      <c r="E183" s="1"/>
      <c r="F183" s="1"/>
      <c r="G183" s="1"/>
      <c r="H183" s="1"/>
      <c r="I183" s="74"/>
    </row>
    <row r="184" spans="1:9" ht="12.75" x14ac:dyDescent="0.2">
      <c r="A184" s="73" t="s">
        <v>246</v>
      </c>
      <c r="B184" s="1"/>
      <c r="C184" s="1"/>
      <c r="D184" s="1">
        <v>23.62</v>
      </c>
      <c r="E184" s="1"/>
      <c r="F184" s="1">
        <v>20.440000000000001</v>
      </c>
      <c r="G184" s="1"/>
      <c r="H184" s="1">
        <v>17.489999999999998</v>
      </c>
      <c r="I184" s="74"/>
    </row>
    <row r="185" spans="1:9" ht="12.75" x14ac:dyDescent="0.2">
      <c r="A185" s="73"/>
      <c r="B185" s="1"/>
      <c r="C185" s="1"/>
      <c r="D185" s="1"/>
      <c r="E185" s="1"/>
      <c r="F185" s="1"/>
      <c r="G185" s="1"/>
      <c r="H185" s="1"/>
      <c r="I185" s="74"/>
    </row>
    <row r="186" spans="1:9" ht="12.75" x14ac:dyDescent="0.2">
      <c r="A186" s="73" t="s">
        <v>479</v>
      </c>
      <c r="B186" s="1"/>
      <c r="C186" s="1"/>
      <c r="D186" s="1">
        <v>118</v>
      </c>
      <c r="E186" s="1"/>
      <c r="F186" s="1">
        <v>118</v>
      </c>
      <c r="G186" s="1"/>
      <c r="H186" s="1">
        <v>118</v>
      </c>
      <c r="I186" s="74"/>
    </row>
    <row r="187" spans="1:9" ht="12.75" x14ac:dyDescent="0.2">
      <c r="A187" s="73"/>
      <c r="B187" s="1"/>
      <c r="C187" s="1"/>
      <c r="D187" s="1"/>
      <c r="E187" s="1"/>
      <c r="F187" s="1"/>
      <c r="G187" s="1"/>
      <c r="H187" s="1"/>
      <c r="I187" s="74"/>
    </row>
    <row r="188" spans="1:9" ht="12.75" x14ac:dyDescent="0.2">
      <c r="A188" s="73" t="s">
        <v>247</v>
      </c>
      <c r="B188" s="1"/>
      <c r="C188" s="1"/>
      <c r="D188" s="90">
        <v>21.42</v>
      </c>
      <c r="E188" s="1"/>
      <c r="F188" s="1">
        <v>9.91</v>
      </c>
      <c r="G188" s="1"/>
      <c r="H188" s="1">
        <v>2.12</v>
      </c>
      <c r="I188" s="74"/>
    </row>
    <row r="189" spans="1:9" ht="12.75" x14ac:dyDescent="0.2">
      <c r="A189" s="73"/>
      <c r="B189" s="1"/>
      <c r="C189" s="1"/>
      <c r="D189" s="1"/>
      <c r="E189" s="1"/>
      <c r="F189" s="1"/>
      <c r="G189" s="1"/>
      <c r="H189" s="1"/>
      <c r="I189" s="74"/>
    </row>
    <row r="190" spans="1:9" ht="12.75" x14ac:dyDescent="0.2">
      <c r="A190" s="67" t="s">
        <v>251</v>
      </c>
      <c r="B190" s="68"/>
      <c r="C190" s="68"/>
      <c r="D190" s="68">
        <v>277.10000000000002</v>
      </c>
      <c r="E190" s="68"/>
      <c r="F190" s="68">
        <v>227.1</v>
      </c>
      <c r="G190" s="68"/>
      <c r="H190" s="68">
        <v>284.66000000000003</v>
      </c>
      <c r="I190" s="75"/>
    </row>
    <row r="191" spans="1:9" ht="12.75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2.75" x14ac:dyDescent="0.2">
      <c r="A192" s="6" t="s">
        <v>252</v>
      </c>
      <c r="B192" s="1"/>
      <c r="C192" s="1"/>
      <c r="D192" s="1"/>
      <c r="E192" s="1"/>
      <c r="F192" s="1"/>
      <c r="G192" s="1"/>
      <c r="H192" s="1"/>
      <c r="I192" s="1"/>
    </row>
    <row r="193" spans="1:9" ht="12.75" x14ac:dyDescent="0.2">
      <c r="A193" s="1" t="s">
        <v>337</v>
      </c>
      <c r="B193" s="1"/>
      <c r="C193" s="3" t="s">
        <v>256</v>
      </c>
      <c r="D193" s="3"/>
      <c r="E193" s="3" t="s">
        <v>257</v>
      </c>
      <c r="F193" s="3"/>
      <c r="G193" s="3" t="s">
        <v>258</v>
      </c>
      <c r="H193" s="3"/>
      <c r="I193" s="3" t="s">
        <v>259</v>
      </c>
    </row>
    <row r="194" spans="1:9" ht="12.75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2.75" x14ac:dyDescent="0.2">
      <c r="A195" s="1" t="s">
        <v>392</v>
      </c>
      <c r="B195" s="1"/>
      <c r="C195" s="1">
        <v>158</v>
      </c>
      <c r="D195" s="1"/>
      <c r="E195" s="1">
        <v>123.89</v>
      </c>
      <c r="F195" s="1"/>
      <c r="G195" s="8">
        <v>0</v>
      </c>
      <c r="H195" s="8"/>
      <c r="I195" s="8" t="s">
        <v>260</v>
      </c>
    </row>
    <row r="196" spans="1:9" ht="12.75" x14ac:dyDescent="0.2">
      <c r="A196" s="1"/>
      <c r="B196" s="1"/>
      <c r="C196" s="1"/>
      <c r="D196" s="1"/>
      <c r="E196" s="1"/>
      <c r="F196" s="1"/>
      <c r="G196" s="8"/>
      <c r="H196" s="8"/>
      <c r="I196" s="8"/>
    </row>
    <row r="197" spans="1:9" ht="12.75" x14ac:dyDescent="0.2">
      <c r="A197" s="76" t="s">
        <v>253</v>
      </c>
      <c r="B197" s="1"/>
      <c r="C197" s="1"/>
      <c r="D197" s="1"/>
      <c r="E197" s="1"/>
      <c r="F197" s="1"/>
      <c r="G197" s="1"/>
      <c r="H197" s="1"/>
      <c r="I197" s="1"/>
    </row>
    <row r="198" spans="1:9" ht="12.75" x14ac:dyDescent="0.2">
      <c r="A198" s="1" t="s">
        <v>440</v>
      </c>
      <c r="B198" s="1"/>
      <c r="C198" s="1"/>
      <c r="D198" s="1"/>
      <c r="E198" s="1"/>
      <c r="F198" s="1"/>
      <c r="G198" s="1"/>
      <c r="H198" s="1"/>
      <c r="I198" s="1"/>
    </row>
    <row r="199" spans="1:9" ht="12.75" x14ac:dyDescent="0.2">
      <c r="A199" s="1"/>
      <c r="B199" s="1" t="s">
        <v>424</v>
      </c>
      <c r="C199" s="1"/>
      <c r="D199" s="1"/>
      <c r="E199" s="1">
        <v>50</v>
      </c>
      <c r="F199" s="1"/>
      <c r="G199" s="8">
        <v>50</v>
      </c>
      <c r="H199" s="1"/>
      <c r="I199" s="8" t="s">
        <v>260</v>
      </c>
    </row>
    <row r="200" spans="1:9" ht="12.75" x14ac:dyDescent="0.2">
      <c r="A200" s="1"/>
      <c r="B200" s="1"/>
      <c r="C200" s="1"/>
      <c r="D200" s="1"/>
      <c r="E200" s="1"/>
      <c r="F200" s="1"/>
      <c r="G200" s="8"/>
      <c r="H200" s="8"/>
      <c r="I200" s="8"/>
    </row>
    <row r="201" spans="1:9" ht="12.75" x14ac:dyDescent="0.2">
      <c r="A201" s="1"/>
      <c r="B201" s="1"/>
      <c r="C201" s="1"/>
      <c r="D201" s="1"/>
      <c r="E201" s="1"/>
      <c r="F201" s="1"/>
      <c r="G201" s="8"/>
      <c r="H201" s="8"/>
      <c r="I201" s="8"/>
    </row>
    <row r="202" spans="1:9" ht="12.75" x14ac:dyDescent="0.2">
      <c r="A202" s="1"/>
      <c r="B202" s="1"/>
      <c r="C202" s="1"/>
      <c r="D202" s="1"/>
      <c r="E202" s="1"/>
      <c r="F202" s="1"/>
      <c r="G202" s="8"/>
      <c r="H202" s="8"/>
      <c r="I202" s="8"/>
    </row>
    <row r="203" spans="1:9" ht="12.75" x14ac:dyDescent="0.2">
      <c r="A203" s="1"/>
      <c r="B203" s="1"/>
      <c r="C203" s="1"/>
      <c r="D203" s="1"/>
      <c r="E203" s="133"/>
      <c r="F203" s="1"/>
      <c r="G203" s="8"/>
      <c r="H203" s="8"/>
      <c r="I203" s="8"/>
    </row>
    <row r="204" spans="1:9" ht="12.75" x14ac:dyDescent="0.2">
      <c r="A204" s="1"/>
      <c r="B204" s="1"/>
      <c r="C204" s="1"/>
      <c r="D204" s="1"/>
      <c r="E204" s="1"/>
      <c r="F204" s="1"/>
      <c r="G204" s="8"/>
      <c r="H204" s="8"/>
      <c r="I204" s="8"/>
    </row>
    <row r="205" spans="1:9" ht="12.75" x14ac:dyDescent="0.2">
      <c r="A205" s="1"/>
      <c r="B205" s="1"/>
      <c r="C205" s="1"/>
      <c r="D205" s="1"/>
      <c r="E205" s="1"/>
      <c r="F205" s="1"/>
      <c r="G205" s="8"/>
      <c r="H205" s="8"/>
      <c r="I205" s="8"/>
    </row>
    <row r="206" spans="1:9" ht="12.75" x14ac:dyDescent="0.2">
      <c r="A206" s="1"/>
      <c r="B206" s="1"/>
      <c r="C206" s="1"/>
      <c r="D206" s="1"/>
      <c r="E206" s="1"/>
      <c r="F206" s="1"/>
      <c r="G206" s="8"/>
      <c r="H206" s="8"/>
      <c r="I206" s="8"/>
    </row>
    <row r="207" spans="1:9" ht="12.75" x14ac:dyDescent="0.2">
      <c r="A207" s="4" t="s">
        <v>714</v>
      </c>
      <c r="B207" s="1"/>
      <c r="C207" s="1"/>
      <c r="D207" s="1"/>
      <c r="E207" s="1"/>
      <c r="F207" s="1"/>
      <c r="G207" s="8"/>
      <c r="H207" s="8"/>
      <c r="I207" s="8"/>
    </row>
    <row r="208" spans="1:9" ht="12.75" x14ac:dyDescent="0.2">
      <c r="A208" s="1" t="s">
        <v>408</v>
      </c>
      <c r="B208" s="1"/>
      <c r="C208" s="4" t="s">
        <v>724</v>
      </c>
      <c r="D208" s="1"/>
      <c r="E208" s="1"/>
      <c r="F208" s="1"/>
      <c r="G208" s="1"/>
    </row>
    <row r="209" spans="1:7" ht="12.75" x14ac:dyDescent="0.2">
      <c r="A209" s="1"/>
      <c r="B209" s="1"/>
      <c r="C209" s="1"/>
      <c r="D209" s="1"/>
      <c r="E209" s="1"/>
      <c r="F209" s="1"/>
      <c r="G209" s="1"/>
    </row>
    <row r="210" spans="1:7" ht="12.75" x14ac:dyDescent="0.2">
      <c r="A210" s="1" t="s">
        <v>225</v>
      </c>
      <c r="B210" s="1"/>
      <c r="D210" s="1" t="s">
        <v>725</v>
      </c>
      <c r="E210" s="1"/>
      <c r="F210" s="1"/>
      <c r="G210" s="1"/>
    </row>
    <row r="211" spans="1:7" ht="12.75" x14ac:dyDescent="0.2">
      <c r="A211" s="1"/>
      <c r="B211" s="1"/>
      <c r="D211" s="1"/>
      <c r="E211" s="1"/>
      <c r="F211" s="1"/>
      <c r="G211" s="1"/>
    </row>
    <row r="212" spans="1:7" ht="12.75" x14ac:dyDescent="0.2">
      <c r="A212" s="1" t="s">
        <v>226</v>
      </c>
      <c r="B212" s="1"/>
      <c r="D212" s="1" t="s">
        <v>396</v>
      </c>
      <c r="E212" s="1"/>
      <c r="F212" s="1"/>
      <c r="G212" s="1"/>
    </row>
    <row r="213" spans="1:7" ht="12.75" x14ac:dyDescent="0.2">
      <c r="A213" s="1"/>
      <c r="B213" s="1"/>
      <c r="D213" s="1"/>
      <c r="E213" s="1"/>
      <c r="F213" s="1"/>
      <c r="G213" s="1"/>
    </row>
    <row r="214" spans="1:7" ht="12.75" x14ac:dyDescent="0.2">
      <c r="A214" s="1" t="s">
        <v>227</v>
      </c>
      <c r="B214" s="1"/>
      <c r="D214" s="1" t="s">
        <v>726</v>
      </c>
      <c r="E214" s="1"/>
      <c r="F214" s="1"/>
      <c r="G214" s="1"/>
    </row>
    <row r="215" spans="1:7" ht="12.75" x14ac:dyDescent="0.2">
      <c r="A215" s="1"/>
      <c r="B215" s="1"/>
      <c r="D215" s="1"/>
      <c r="E215" s="1"/>
      <c r="F215" s="1"/>
      <c r="G215" s="1"/>
    </row>
    <row r="216" spans="1:7" ht="12.75" x14ac:dyDescent="0.2">
      <c r="A216" s="1" t="s">
        <v>228</v>
      </c>
      <c r="B216" s="1"/>
      <c r="D216" s="70">
        <v>2003</v>
      </c>
      <c r="E216" s="1"/>
      <c r="F216" s="1"/>
      <c r="G216" s="1"/>
    </row>
    <row r="217" spans="1:7" ht="12.75" x14ac:dyDescent="0.2">
      <c r="A217" s="1"/>
      <c r="B217" s="1"/>
      <c r="D217" s="70"/>
      <c r="E217" s="1"/>
      <c r="F217" s="1"/>
      <c r="G217" s="1"/>
    </row>
    <row r="218" spans="1:7" ht="12.75" x14ac:dyDescent="0.2">
      <c r="A218" s="1" t="s">
        <v>229</v>
      </c>
      <c r="B218" s="1"/>
      <c r="D218" s="1" t="s">
        <v>234</v>
      </c>
      <c r="E218" s="1"/>
      <c r="F218" s="1"/>
      <c r="G218" s="1"/>
    </row>
    <row r="219" spans="1:7" ht="12.75" x14ac:dyDescent="0.2">
      <c r="A219" s="1"/>
      <c r="B219" s="1"/>
      <c r="D219" s="1" t="s">
        <v>727</v>
      </c>
      <c r="E219" s="1"/>
      <c r="F219" s="1"/>
      <c r="G219" s="1"/>
    </row>
    <row r="220" spans="1:7" ht="12.75" x14ac:dyDescent="0.2">
      <c r="A220" s="1"/>
      <c r="B220" s="1"/>
      <c r="D220" s="1" t="s">
        <v>236</v>
      </c>
      <c r="E220" s="1"/>
      <c r="F220" s="1"/>
      <c r="G220" s="1"/>
    </row>
    <row r="221" spans="1:7" ht="12.75" x14ac:dyDescent="0.2">
      <c r="A221" s="1"/>
      <c r="B221" s="1"/>
      <c r="D221" s="1" t="s">
        <v>728</v>
      </c>
      <c r="E221" s="1"/>
      <c r="F221" s="1"/>
      <c r="G221" s="1"/>
    </row>
    <row r="222" spans="1:7" ht="12.75" x14ac:dyDescent="0.2">
      <c r="A222" s="1"/>
      <c r="B222" s="1"/>
      <c r="D222" s="1"/>
      <c r="E222" s="1"/>
      <c r="F222" s="1"/>
      <c r="G222" s="1"/>
    </row>
    <row r="223" spans="1:7" ht="12.75" x14ac:dyDescent="0.2">
      <c r="A223" s="93" t="s">
        <v>435</v>
      </c>
      <c r="B223" s="1"/>
      <c r="D223" s="1" t="s">
        <v>729</v>
      </c>
      <c r="E223" s="1"/>
      <c r="F223" s="1"/>
      <c r="G223" s="1"/>
    </row>
    <row r="224" spans="1:7" ht="12.75" x14ac:dyDescent="0.2">
      <c r="A224" s="1"/>
      <c r="B224" s="1"/>
      <c r="C224" s="1"/>
      <c r="D224" s="1"/>
      <c r="E224" s="1"/>
      <c r="F224" s="1"/>
      <c r="G224" s="1"/>
    </row>
    <row r="225" spans="1:9" ht="12.75" x14ac:dyDescent="0.2">
      <c r="A225" s="1"/>
      <c r="B225" s="1"/>
      <c r="C225" s="1"/>
      <c r="D225" s="1"/>
      <c r="E225" s="1"/>
      <c r="F225" s="1"/>
      <c r="G225" s="1"/>
    </row>
    <row r="227" spans="1:9" ht="12.75" x14ac:dyDescent="0.2">
      <c r="A227" s="1" t="s">
        <v>438</v>
      </c>
      <c r="B227" s="1"/>
      <c r="C227" s="1"/>
      <c r="D227" s="7" t="s">
        <v>436</v>
      </c>
      <c r="E227" s="7"/>
      <c r="F227" s="7"/>
      <c r="G227" s="7"/>
      <c r="H227" s="7"/>
      <c r="I227" s="7"/>
    </row>
    <row r="228" spans="1:9" ht="12.75" x14ac:dyDescent="0.2">
      <c r="A228" s="1"/>
      <c r="B228" s="1"/>
      <c r="C228" s="1"/>
      <c r="D228" s="70" t="s">
        <v>732</v>
      </c>
      <c r="E228" s="7"/>
      <c r="F228" s="70"/>
      <c r="G228" s="7"/>
      <c r="H228" s="70"/>
      <c r="I228" s="70"/>
    </row>
    <row r="229" spans="1:9" ht="12.75" x14ac:dyDescent="0.2">
      <c r="A229" s="1"/>
      <c r="B229" s="1"/>
      <c r="C229" s="1"/>
      <c r="D229" s="7" t="s">
        <v>730</v>
      </c>
      <c r="E229" s="7"/>
      <c r="F229" s="7"/>
      <c r="G229" s="7"/>
      <c r="H229" s="7"/>
      <c r="I229" s="94"/>
    </row>
    <row r="230" spans="1:9" ht="12.75" x14ac:dyDescent="0.2">
      <c r="A230" s="1"/>
      <c r="B230" s="1"/>
      <c r="C230" s="1"/>
      <c r="D230" s="7" t="s">
        <v>731</v>
      </c>
      <c r="E230" s="7"/>
      <c r="F230" s="7"/>
      <c r="G230" s="7"/>
      <c r="H230" s="7"/>
      <c r="I230" s="94"/>
    </row>
    <row r="231" spans="1:9" ht="12.75" x14ac:dyDescent="0.2">
      <c r="A231" s="1"/>
      <c r="B231" s="1"/>
      <c r="C231" s="1"/>
      <c r="D231" s="1"/>
      <c r="E231" s="1"/>
      <c r="F231" s="1"/>
      <c r="G231" s="1"/>
      <c r="H231" s="1"/>
      <c r="I231" s="74"/>
    </row>
    <row r="232" spans="1:9" ht="12.75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2.75" x14ac:dyDescent="0.2">
      <c r="A233" s="6" t="s">
        <v>439</v>
      </c>
      <c r="B233" s="1"/>
      <c r="C233" s="1"/>
      <c r="D233" s="1"/>
      <c r="E233" s="1"/>
      <c r="F233" s="1"/>
      <c r="G233" s="1"/>
      <c r="H233" s="1"/>
      <c r="I233" s="1"/>
    </row>
    <row r="234" spans="1:9" ht="12.75" x14ac:dyDescent="0.2">
      <c r="A234" s="1" t="s">
        <v>337</v>
      </c>
      <c r="B234" s="1"/>
      <c r="C234" s="3" t="s">
        <v>256</v>
      </c>
      <c r="D234" s="3"/>
      <c r="E234" s="3" t="s">
        <v>257</v>
      </c>
      <c r="F234" s="3"/>
      <c r="G234" s="3" t="s">
        <v>258</v>
      </c>
      <c r="H234" s="3"/>
      <c r="I234" s="3" t="s">
        <v>259</v>
      </c>
    </row>
    <row r="235" spans="1:9" ht="12.75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2.75" x14ac:dyDescent="0.2">
      <c r="A236" s="1" t="s">
        <v>254</v>
      </c>
      <c r="B236" s="1"/>
      <c r="C236" s="1">
        <v>114</v>
      </c>
      <c r="D236" s="1"/>
      <c r="E236" s="1">
        <v>114</v>
      </c>
      <c r="F236" s="1"/>
      <c r="G236" s="8">
        <v>114</v>
      </c>
      <c r="H236" s="8"/>
      <c r="I236" s="8" t="s">
        <v>260</v>
      </c>
    </row>
    <row r="237" spans="1:9" ht="12.75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2.75" x14ac:dyDescent="0.2">
      <c r="A238" s="76" t="s">
        <v>253</v>
      </c>
      <c r="B238" s="1"/>
      <c r="C238" s="1"/>
      <c r="D238" s="1"/>
      <c r="E238" s="1"/>
      <c r="F238" s="1"/>
      <c r="G238" s="1"/>
      <c r="H238" s="1"/>
      <c r="I238" s="1"/>
    </row>
    <row r="239" spans="1:9" ht="12.75" x14ac:dyDescent="0.2">
      <c r="A239" s="1" t="s">
        <v>254</v>
      </c>
      <c r="B239" s="1"/>
      <c r="C239" s="1"/>
      <c r="D239" s="1"/>
      <c r="E239" s="1"/>
      <c r="F239" s="1"/>
      <c r="G239" s="1"/>
      <c r="H239" s="1"/>
      <c r="I239" s="1"/>
    </row>
    <row r="240" spans="1:9" ht="12.75" x14ac:dyDescent="0.2">
      <c r="A240" s="1"/>
      <c r="B240" s="1" t="s">
        <v>424</v>
      </c>
      <c r="C240" s="1"/>
      <c r="D240" s="1"/>
      <c r="E240" s="1">
        <v>50</v>
      </c>
      <c r="F240" s="1"/>
      <c r="G240" s="8">
        <v>50</v>
      </c>
      <c r="H240" s="1"/>
      <c r="I240" s="8" t="s">
        <v>260</v>
      </c>
    </row>
    <row r="241" spans="1:9" ht="12.75" x14ac:dyDescent="0.2">
      <c r="A241" s="1"/>
      <c r="B241" s="1" t="s">
        <v>723</v>
      </c>
      <c r="C241" s="1"/>
      <c r="D241" s="1"/>
      <c r="E241" s="1">
        <v>25</v>
      </c>
      <c r="F241" s="1"/>
      <c r="G241" s="8">
        <v>0</v>
      </c>
      <c r="H241" s="1"/>
      <c r="I241" s="8" t="s">
        <v>260</v>
      </c>
    </row>
    <row r="242" spans="1:9" ht="12.75" x14ac:dyDescent="0.2">
      <c r="A242" s="1"/>
    </row>
    <row r="243" spans="1:9" ht="12.75" x14ac:dyDescent="0.2">
      <c r="A243" s="1"/>
      <c r="B243" s="1"/>
    </row>
    <row r="244" spans="1:9" ht="12.75" x14ac:dyDescent="0.2">
      <c r="B244" s="1"/>
    </row>
    <row r="254" spans="1:9" x14ac:dyDescent="0.15">
      <c r="E254" s="133"/>
    </row>
    <row r="257" spans="1:9" ht="12.75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2.75" x14ac:dyDescent="0.2">
      <c r="A258" s="4" t="s">
        <v>414</v>
      </c>
      <c r="B258" s="1"/>
      <c r="C258" s="1"/>
      <c r="D258" s="1"/>
      <c r="E258" s="1"/>
      <c r="F258" s="1"/>
      <c r="G258" s="1"/>
      <c r="H258" s="1"/>
      <c r="I258" s="1"/>
    </row>
    <row r="259" spans="1:9" ht="12.75" x14ac:dyDescent="0.2">
      <c r="A259" s="1" t="s">
        <v>408</v>
      </c>
      <c r="B259" s="1"/>
      <c r="D259" s="4" t="s">
        <v>715</v>
      </c>
      <c r="E259" s="1"/>
      <c r="F259" s="1"/>
      <c r="G259" s="1"/>
    </row>
    <row r="260" spans="1:9" ht="12.75" x14ac:dyDescent="0.2">
      <c r="A260" s="1"/>
      <c r="B260" s="1"/>
      <c r="D260" s="1"/>
      <c r="E260" s="1"/>
      <c r="F260" s="1"/>
      <c r="G260" s="1"/>
    </row>
    <row r="261" spans="1:9" ht="12.75" x14ac:dyDescent="0.2">
      <c r="A261" s="1" t="s">
        <v>225</v>
      </c>
      <c r="B261" s="1"/>
      <c r="D261" s="1" t="s">
        <v>716</v>
      </c>
      <c r="E261" s="1"/>
      <c r="F261" s="1"/>
      <c r="G261" s="1"/>
    </row>
    <row r="262" spans="1:9" ht="12.75" x14ac:dyDescent="0.2">
      <c r="A262" s="1"/>
      <c r="B262" s="1"/>
      <c r="D262" s="1"/>
      <c r="E262" s="1"/>
      <c r="F262" s="1"/>
      <c r="G262" s="1"/>
    </row>
    <row r="263" spans="1:9" ht="12.75" x14ac:dyDescent="0.2">
      <c r="A263" s="1" t="s">
        <v>226</v>
      </c>
      <c r="B263" s="1"/>
      <c r="D263" s="1" t="s">
        <v>412</v>
      </c>
      <c r="E263" s="1"/>
      <c r="F263" s="1"/>
      <c r="G263" s="1"/>
    </row>
    <row r="264" spans="1:9" ht="12.75" x14ac:dyDescent="0.2">
      <c r="A264" s="1"/>
      <c r="B264" s="1"/>
      <c r="D264" s="1"/>
      <c r="E264" s="1"/>
      <c r="F264" s="1"/>
      <c r="G264" s="1"/>
    </row>
    <row r="265" spans="1:9" ht="12.75" x14ac:dyDescent="0.2">
      <c r="A265" s="1" t="s">
        <v>227</v>
      </c>
      <c r="B265" s="1"/>
      <c r="D265" s="1" t="s">
        <v>717</v>
      </c>
      <c r="E265" s="1"/>
      <c r="F265" s="1"/>
      <c r="G265" s="1"/>
    </row>
    <row r="266" spans="1:9" ht="12.75" x14ac:dyDescent="0.2">
      <c r="A266" s="1"/>
      <c r="B266" s="1"/>
      <c r="D266" s="1"/>
      <c r="E266" s="1"/>
      <c r="F266" s="1"/>
      <c r="G266" s="1"/>
    </row>
    <row r="267" spans="1:9" ht="12.75" x14ac:dyDescent="0.2">
      <c r="A267" s="1" t="s">
        <v>228</v>
      </c>
      <c r="B267" s="1"/>
      <c r="D267" s="70">
        <v>2002</v>
      </c>
      <c r="E267" s="1"/>
      <c r="F267" s="1"/>
      <c r="G267" s="1"/>
    </row>
    <row r="268" spans="1:9" ht="12.75" x14ac:dyDescent="0.2">
      <c r="A268" s="1"/>
      <c r="B268" s="1"/>
      <c r="D268" s="70"/>
      <c r="E268" s="1"/>
      <c r="F268" s="1"/>
      <c r="G268" s="1"/>
    </row>
    <row r="269" spans="1:9" ht="12.75" x14ac:dyDescent="0.2">
      <c r="A269" s="1" t="s">
        <v>229</v>
      </c>
      <c r="B269" s="1"/>
      <c r="D269" s="1" t="s">
        <v>718</v>
      </c>
      <c r="E269" s="1"/>
      <c r="F269" s="1"/>
      <c r="G269" s="1"/>
    </row>
    <row r="270" spans="1:9" ht="12.75" x14ac:dyDescent="0.2">
      <c r="A270" s="1"/>
      <c r="B270" s="1"/>
      <c r="D270" s="1" t="s">
        <v>719</v>
      </c>
      <c r="E270" s="1"/>
      <c r="F270" s="1"/>
      <c r="G270" s="1"/>
    </row>
    <row r="271" spans="1:9" ht="12.75" x14ac:dyDescent="0.2">
      <c r="A271" s="1"/>
      <c r="B271" s="1"/>
      <c r="D271" s="1" t="s">
        <v>720</v>
      </c>
      <c r="E271" s="1"/>
      <c r="F271" s="1"/>
      <c r="G271" s="1"/>
    </row>
    <row r="272" spans="1:9" ht="12.75" x14ac:dyDescent="0.2">
      <c r="A272" s="1"/>
      <c r="B272" s="1"/>
      <c r="D272" s="1" t="s">
        <v>721</v>
      </c>
      <c r="E272" s="1"/>
      <c r="F272" s="1"/>
      <c r="G272" s="1"/>
    </row>
    <row r="273" spans="1:9" ht="12.75" x14ac:dyDescent="0.2">
      <c r="A273" s="1"/>
      <c r="B273" s="1"/>
      <c r="C273" s="1"/>
      <c r="D273" s="1"/>
      <c r="E273" s="1"/>
      <c r="F273" s="1"/>
      <c r="G273" s="1"/>
    </row>
    <row r="275" spans="1:9" ht="12.75" x14ac:dyDescent="0.2">
      <c r="A275" s="1" t="s">
        <v>238</v>
      </c>
      <c r="B275" s="1"/>
      <c r="C275" s="1"/>
      <c r="D275" s="1"/>
      <c r="E275" s="1"/>
      <c r="F275" s="1"/>
      <c r="G275" s="1"/>
      <c r="H275" s="1" t="s">
        <v>216</v>
      </c>
      <c r="I275" s="1"/>
    </row>
    <row r="276" spans="1:9" ht="12.75" x14ac:dyDescent="0.2">
      <c r="A276" s="69"/>
      <c r="B276" s="2"/>
      <c r="C276" s="2"/>
      <c r="D276" s="71"/>
      <c r="E276" s="2"/>
      <c r="F276" s="71"/>
      <c r="G276" s="71"/>
      <c r="H276" s="71">
        <v>2003</v>
      </c>
      <c r="I276" s="72"/>
    </row>
    <row r="277" spans="1:9" ht="12.75" x14ac:dyDescent="0.2">
      <c r="A277" s="73" t="s">
        <v>239</v>
      </c>
      <c r="B277" s="1"/>
      <c r="C277" s="1"/>
      <c r="D277" s="1"/>
      <c r="E277" s="1"/>
      <c r="F277" s="1"/>
      <c r="G277" s="1"/>
      <c r="H277" s="1">
        <v>1002.18</v>
      </c>
      <c r="I277" s="74"/>
    </row>
    <row r="278" spans="1:9" ht="12.75" x14ac:dyDescent="0.2">
      <c r="A278" s="73"/>
      <c r="B278" s="1"/>
      <c r="C278" s="1"/>
      <c r="D278" s="1"/>
      <c r="E278" s="1"/>
      <c r="F278" s="1"/>
      <c r="G278" s="1"/>
      <c r="H278" s="1"/>
      <c r="I278" s="74"/>
    </row>
    <row r="279" spans="1:9" ht="12.75" x14ac:dyDescent="0.2">
      <c r="A279" s="73" t="s">
        <v>240</v>
      </c>
      <c r="B279" s="1"/>
      <c r="C279" s="1"/>
      <c r="D279" s="1"/>
      <c r="E279" s="1"/>
      <c r="F279" s="1"/>
      <c r="G279" s="1"/>
      <c r="H279" s="1">
        <f>18.77+28.46-0.65</f>
        <v>46.580000000000005</v>
      </c>
      <c r="I279" s="74"/>
    </row>
    <row r="280" spans="1:9" ht="12.75" x14ac:dyDescent="0.2">
      <c r="A280" s="73"/>
      <c r="B280" s="1"/>
      <c r="C280" s="1"/>
      <c r="D280" s="1"/>
      <c r="E280" s="1"/>
      <c r="F280" s="1"/>
      <c r="G280" s="1"/>
      <c r="H280" s="1"/>
      <c r="I280" s="74"/>
    </row>
    <row r="281" spans="1:9" ht="12.75" x14ac:dyDescent="0.2">
      <c r="A281" s="73" t="s">
        <v>241</v>
      </c>
      <c r="B281" s="1"/>
      <c r="C281" s="1"/>
      <c r="D281" s="1"/>
      <c r="E281" s="1"/>
      <c r="F281" s="1"/>
      <c r="G281" s="1"/>
      <c r="H281" s="1">
        <v>28.46</v>
      </c>
      <c r="I281" s="74"/>
    </row>
    <row r="282" spans="1:9" ht="12.75" x14ac:dyDescent="0.2">
      <c r="A282" s="73"/>
      <c r="B282" s="1"/>
      <c r="C282" s="1"/>
      <c r="D282" s="1"/>
      <c r="E282" s="1"/>
      <c r="F282" s="1"/>
      <c r="G282" s="1"/>
      <c r="H282" s="1"/>
      <c r="I282" s="74"/>
    </row>
    <row r="283" spans="1:9" ht="12.75" x14ac:dyDescent="0.2">
      <c r="A283" s="73" t="s">
        <v>242</v>
      </c>
      <c r="B283" s="1"/>
      <c r="C283" s="1"/>
      <c r="D283" s="1"/>
      <c r="E283" s="1"/>
      <c r="F283" s="1"/>
      <c r="G283" s="1"/>
      <c r="H283" s="1">
        <v>10.7</v>
      </c>
      <c r="I283" s="74"/>
    </row>
    <row r="284" spans="1:9" ht="12.75" x14ac:dyDescent="0.2">
      <c r="A284" s="73"/>
      <c r="B284" s="1"/>
      <c r="C284" s="1"/>
      <c r="D284" s="1"/>
      <c r="E284" s="1"/>
      <c r="F284" s="1"/>
      <c r="G284" s="1"/>
      <c r="H284" s="1"/>
      <c r="I284" s="74"/>
    </row>
    <row r="285" spans="1:9" ht="12.75" x14ac:dyDescent="0.2">
      <c r="A285" s="73" t="s">
        <v>243</v>
      </c>
      <c r="B285" s="1"/>
      <c r="C285" s="1"/>
      <c r="D285" s="1"/>
      <c r="E285" s="1"/>
      <c r="F285" s="1"/>
      <c r="G285" s="1"/>
      <c r="H285" s="1">
        <f>8.07-0.65</f>
        <v>7.42</v>
      </c>
      <c r="I285" s="74"/>
    </row>
    <row r="286" spans="1:9" ht="12.75" x14ac:dyDescent="0.2">
      <c r="A286" s="73"/>
      <c r="B286" s="1"/>
      <c r="C286" s="1"/>
      <c r="D286" s="1"/>
      <c r="E286" s="1"/>
      <c r="F286" s="1"/>
      <c r="G286" s="1"/>
      <c r="H286" s="1"/>
      <c r="I286" s="74"/>
    </row>
    <row r="287" spans="1:9" ht="12.75" x14ac:dyDescent="0.2">
      <c r="A287" s="73" t="s">
        <v>246</v>
      </c>
      <c r="B287" s="1"/>
      <c r="C287" s="1"/>
      <c r="D287" s="1"/>
      <c r="E287" s="1"/>
      <c r="F287" s="1"/>
      <c r="G287" s="1"/>
      <c r="H287" s="1">
        <f>H285+H283</f>
        <v>18.119999999999997</v>
      </c>
      <c r="I287" s="74"/>
    </row>
    <row r="288" spans="1:9" ht="12.75" x14ac:dyDescent="0.2">
      <c r="A288" s="73"/>
      <c r="B288" s="1"/>
      <c r="C288" s="1"/>
      <c r="D288" s="1"/>
      <c r="E288" s="1"/>
      <c r="F288" s="1"/>
      <c r="G288" s="1"/>
      <c r="H288" s="1"/>
      <c r="I288" s="74"/>
    </row>
    <row r="289" spans="1:9" ht="12.75" x14ac:dyDescent="0.2">
      <c r="A289" s="73" t="s">
        <v>479</v>
      </c>
      <c r="B289" s="1"/>
      <c r="C289" s="1"/>
      <c r="D289" s="1"/>
      <c r="E289" s="1"/>
      <c r="F289" s="1"/>
      <c r="G289" s="1"/>
      <c r="H289" s="1">
        <v>250</v>
      </c>
      <c r="I289" s="74"/>
    </row>
    <row r="290" spans="1:9" ht="12.75" x14ac:dyDescent="0.2">
      <c r="A290" s="73"/>
      <c r="B290" s="1"/>
      <c r="C290" s="1"/>
      <c r="D290" s="1"/>
      <c r="E290" s="1"/>
      <c r="F290" s="1"/>
      <c r="G290" s="1"/>
      <c r="H290" s="1"/>
      <c r="I290" s="74"/>
    </row>
    <row r="291" spans="1:9" ht="12.75" x14ac:dyDescent="0.2">
      <c r="A291" s="73" t="s">
        <v>247</v>
      </c>
      <c r="B291" s="1"/>
      <c r="C291" s="1"/>
      <c r="D291" s="90"/>
      <c r="E291" s="1"/>
      <c r="F291" s="1"/>
      <c r="G291" s="90"/>
      <c r="H291" s="90">
        <f>4.41+3.01</f>
        <v>7.42</v>
      </c>
      <c r="I291" s="74"/>
    </row>
    <row r="292" spans="1:9" ht="12.75" x14ac:dyDescent="0.2">
      <c r="A292" s="73"/>
      <c r="B292" s="1"/>
      <c r="C292" s="1"/>
      <c r="D292" s="1"/>
      <c r="E292" s="1"/>
      <c r="F292" s="1"/>
      <c r="G292" s="1"/>
      <c r="H292" s="1"/>
      <c r="I292" s="74"/>
    </row>
    <row r="293" spans="1:9" ht="12.75" x14ac:dyDescent="0.2">
      <c r="A293" s="67" t="s">
        <v>251</v>
      </c>
      <c r="B293" s="68"/>
      <c r="C293" s="68"/>
      <c r="D293" s="68"/>
      <c r="E293" s="68"/>
      <c r="F293" s="68"/>
      <c r="G293" s="68"/>
      <c r="H293" s="68">
        <v>272.18</v>
      </c>
      <c r="I293" s="75"/>
    </row>
    <row r="294" spans="1:9" ht="12.75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2.75" x14ac:dyDescent="0.2">
      <c r="A295" s="6" t="s">
        <v>252</v>
      </c>
      <c r="B295" s="1"/>
      <c r="C295" s="1"/>
      <c r="D295" s="1"/>
      <c r="E295" s="1"/>
      <c r="F295" s="1"/>
      <c r="G295" s="1"/>
      <c r="H295" s="1"/>
      <c r="I295" s="1"/>
    </row>
    <row r="296" spans="1:9" ht="12.75" x14ac:dyDescent="0.2">
      <c r="A296" s="1" t="s">
        <v>337</v>
      </c>
      <c r="B296" s="1"/>
      <c r="C296" s="3" t="s">
        <v>256</v>
      </c>
      <c r="D296" s="3"/>
      <c r="E296" s="3" t="s">
        <v>257</v>
      </c>
      <c r="F296" s="3"/>
      <c r="G296" s="3" t="s">
        <v>258</v>
      </c>
      <c r="H296" s="3"/>
      <c r="I296" s="3" t="s">
        <v>259</v>
      </c>
    </row>
    <row r="297" spans="1:9" ht="12.75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2.75" x14ac:dyDescent="0.2">
      <c r="A298" s="1" t="s">
        <v>392</v>
      </c>
      <c r="B298" s="1"/>
      <c r="C298" s="1">
        <v>113</v>
      </c>
      <c r="D298" s="1"/>
      <c r="E298" s="1">
        <v>113</v>
      </c>
      <c r="F298" s="1"/>
      <c r="G298" s="8">
        <v>0</v>
      </c>
      <c r="H298" s="8"/>
      <c r="I298" s="8" t="s">
        <v>260</v>
      </c>
    </row>
    <row r="299" spans="1:9" ht="12.75" x14ac:dyDescent="0.2">
      <c r="A299" s="1"/>
      <c r="B299" s="1"/>
      <c r="C299" s="1"/>
      <c r="D299" s="1"/>
      <c r="E299" s="1"/>
      <c r="F299" s="1"/>
      <c r="G299" s="8"/>
      <c r="H299" s="8"/>
      <c r="I299" s="8"/>
    </row>
    <row r="300" spans="1:9" ht="12.75" x14ac:dyDescent="0.2">
      <c r="A300" s="76" t="s">
        <v>253</v>
      </c>
      <c r="B300" s="1"/>
      <c r="C300" s="1"/>
      <c r="D300" s="1"/>
      <c r="E300" s="1"/>
      <c r="F300" s="1"/>
      <c r="G300" s="1"/>
      <c r="H300" s="1"/>
      <c r="I300" s="1"/>
    </row>
    <row r="301" spans="1:9" ht="12.75" x14ac:dyDescent="0.2">
      <c r="A301" s="1" t="s">
        <v>722</v>
      </c>
      <c r="B301" s="1"/>
      <c r="C301" s="1"/>
      <c r="D301" s="1"/>
      <c r="E301" s="1"/>
      <c r="F301" s="1"/>
      <c r="G301" s="1"/>
      <c r="H301" s="1"/>
      <c r="I301" s="1"/>
    </row>
    <row r="302" spans="1:9" ht="12.75" x14ac:dyDescent="0.2">
      <c r="A302" s="1"/>
      <c r="B302" s="1" t="s">
        <v>424</v>
      </c>
      <c r="C302" s="1"/>
      <c r="D302" s="1"/>
      <c r="E302" s="1">
        <v>160</v>
      </c>
      <c r="F302" s="1"/>
      <c r="G302" s="8">
        <v>160</v>
      </c>
      <c r="H302" s="1"/>
      <c r="I302" s="8" t="s">
        <v>260</v>
      </c>
    </row>
    <row r="303" spans="1:9" ht="12.75" x14ac:dyDescent="0.2">
      <c r="A303" s="1"/>
      <c r="B303" s="1" t="s">
        <v>723</v>
      </c>
      <c r="C303" s="1"/>
      <c r="D303" s="1"/>
      <c r="E303" s="1">
        <v>40</v>
      </c>
      <c r="F303" s="1"/>
      <c r="G303" s="8">
        <v>40</v>
      </c>
      <c r="H303" s="8"/>
      <c r="I303" s="8"/>
    </row>
    <row r="304" spans="1:9" ht="12.75" x14ac:dyDescent="0.2">
      <c r="A304" s="1"/>
      <c r="B304" s="1"/>
      <c r="C304" s="1"/>
      <c r="D304" s="1"/>
      <c r="E304" s="1"/>
      <c r="F304" s="1"/>
      <c r="G304" s="8"/>
      <c r="H304" s="8"/>
      <c r="I304" s="8"/>
    </row>
    <row r="305" spans="1:9" ht="12.75" x14ac:dyDescent="0.2">
      <c r="A305" s="1"/>
      <c r="B305" s="1"/>
      <c r="C305" s="1"/>
      <c r="D305" s="1"/>
      <c r="E305" s="1"/>
      <c r="F305" s="1"/>
      <c r="G305" s="8"/>
      <c r="H305" s="8"/>
      <c r="I305" s="8"/>
    </row>
    <row r="306" spans="1:9" ht="12.75" x14ac:dyDescent="0.2">
      <c r="A306" s="1"/>
      <c r="B306" s="1"/>
      <c r="C306" s="1"/>
      <c r="D306" s="1"/>
      <c r="E306" s="133"/>
      <c r="F306" s="1"/>
      <c r="G306" s="8"/>
      <c r="H306" s="8"/>
      <c r="I306" s="8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BASICS</vt:lpstr>
      <vt:lpstr>PROJECT RK</vt:lpstr>
      <vt:lpstr>Building</vt:lpstr>
      <vt:lpstr>Sheet3</vt:lpstr>
      <vt:lpstr>CMA</vt:lpstr>
      <vt:lpstr>Ratio Analysis</vt:lpstr>
      <vt:lpstr>NPV&amp;IRR</vt:lpstr>
      <vt:lpstr>SISTER-CONCERNS</vt:lpstr>
      <vt:lpstr>BASICS!Print_Area</vt:lpstr>
      <vt:lpstr>Building!Print_Area</vt:lpstr>
      <vt:lpstr>CMA!Print_Area</vt:lpstr>
      <vt:lpstr>'PROJECT RK'!Print_Area</vt:lpstr>
      <vt:lpstr>'SISTER-CONCERNS'!Print_Area</vt:lpstr>
    </vt:vector>
  </TitlesOfParts>
  <Company>BANSAL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</dc:creator>
  <cp:lastModifiedBy>Gaurav Kumar</cp:lastModifiedBy>
  <cp:lastPrinted>2022-12-30T11:15:10Z</cp:lastPrinted>
  <dcterms:created xsi:type="dcterms:W3CDTF">2002-05-18T15:26:08Z</dcterms:created>
  <dcterms:modified xsi:type="dcterms:W3CDTF">2023-03-27T09:46:28Z</dcterms:modified>
</cp:coreProperties>
</file>