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Y:\In Progress Files\Mahesh Joshi\uploads\VIS(2022-23)-PL743-630-1022\"/>
    </mc:Choice>
  </mc:AlternateContent>
  <xr:revisionPtr revIDLastSave="0" documentId="13_ncr:1_{DC2FCD1F-BB5B-458A-90D8-8486E5106E7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working" sheetId="2" r:id="rId1"/>
    <sheet name="Sheet1" sheetId="1" r:id="rId2"/>
    <sheet name="Sheet2" sheetId="3" r:id="rId3"/>
    <sheet name="Sheet3" sheetId="4" r:id="rId4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2" l="1"/>
  <c r="G25" i="2"/>
  <c r="G22" i="2"/>
  <c r="K5" i="2"/>
  <c r="Q5" i="2"/>
  <c r="R5" i="2"/>
  <c r="T5" i="2"/>
  <c r="K6" i="2"/>
  <c r="Q6" i="2"/>
  <c r="R6" i="2"/>
  <c r="T6" i="2"/>
  <c r="K7" i="2"/>
  <c r="Q7" i="2"/>
  <c r="R7" i="2"/>
  <c r="T7" i="2"/>
  <c r="K8" i="2"/>
  <c r="Q8" i="2"/>
  <c r="R8" i="2"/>
  <c r="T8" i="2"/>
  <c r="K9" i="2"/>
  <c r="Q9" i="2"/>
  <c r="R9" i="2"/>
  <c r="T9" i="2"/>
  <c r="K10" i="2"/>
  <c r="Q10" i="2"/>
  <c r="R10" i="2"/>
  <c r="T10" i="2"/>
  <c r="P5" i="2"/>
  <c r="P6" i="2"/>
  <c r="P7" i="2"/>
  <c r="P8" i="2"/>
  <c r="P9" i="2"/>
  <c r="P10" i="2"/>
  <c r="N5" i="2"/>
  <c r="N6" i="2"/>
  <c r="N7" i="2"/>
  <c r="N8" i="2"/>
  <c r="N9" i="2"/>
  <c r="N10" i="2"/>
  <c r="H5" i="2"/>
  <c r="H6" i="2"/>
  <c r="H7" i="2"/>
  <c r="H8" i="2"/>
  <c r="H9" i="2"/>
  <c r="H10" i="2"/>
  <c r="H4" i="2"/>
  <c r="H11" i="2"/>
  <c r="P26" i="2"/>
  <c r="Q24" i="2"/>
  <c r="O18" i="1"/>
  <c r="N18" i="1"/>
  <c r="K13" i="1"/>
  <c r="G11" i="2"/>
  <c r="M6" i="4"/>
  <c r="K5" i="4"/>
  <c r="I5" i="4"/>
  <c r="F6" i="4"/>
  <c r="D4" i="4"/>
  <c r="J4" i="3"/>
  <c r="H4" i="3"/>
  <c r="E4" i="3"/>
  <c r="K4" i="3"/>
  <c r="L4" i="3"/>
  <c r="N4" i="3"/>
  <c r="G4" i="1"/>
  <c r="G5" i="1"/>
  <c r="E5" i="1"/>
  <c r="C5" i="1"/>
  <c r="N4" i="2"/>
  <c r="K4" i="2"/>
  <c r="P4" i="2"/>
  <c r="P11" i="2"/>
  <c r="Q4" i="2"/>
  <c r="Q11" i="2"/>
  <c r="R4" i="2"/>
  <c r="R11" i="2"/>
  <c r="T4" i="2"/>
  <c r="T11" i="2"/>
</calcChain>
</file>

<file path=xl/sharedStrings.xml><?xml version="1.0" encoding="utf-8"?>
<sst xmlns="http://schemas.openxmlformats.org/spreadsheetml/2006/main" count="62" uniqueCount="47">
  <si>
    <t>SR. No.</t>
  </si>
  <si>
    <t>Type of Structure</t>
  </si>
  <si>
    <t xml:space="preserve">Year of Valuation </t>
  </si>
  <si>
    <t>Total Life Consumed 
(In year)</t>
  </si>
  <si>
    <t>Total Economical Life
(In year)</t>
  </si>
  <si>
    <t>Salvage value</t>
  </si>
  <si>
    <t>Depreciation Rate</t>
  </si>
  <si>
    <t>Plinth Area  Rate 
(In per sq ft)</t>
  </si>
  <si>
    <t>Gross Replacement Value
(INR)</t>
  </si>
  <si>
    <t xml:space="preserve">Depreciation
(INR) </t>
  </si>
  <si>
    <t>Depreciated Value
(INR)</t>
  </si>
  <si>
    <t>Depreciated Replacement Market Value
(INR)</t>
  </si>
  <si>
    <t>TOTAL</t>
  </si>
  <si>
    <t>Remarks:</t>
  </si>
  <si>
    <t>3. The valuation is done by considering the depreciated replacement cost approach.</t>
  </si>
  <si>
    <t>Detoration</t>
  </si>
  <si>
    <t>Details of Building</t>
  </si>
  <si>
    <t>4.We have taken the year of construction from information provided to us during the survey.</t>
  </si>
  <si>
    <t>Boundary wall valuation</t>
  </si>
  <si>
    <t>Year of Construction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</si>
  <si>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</si>
  <si>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</si>
  <si>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t>Discounting Factor</t>
  </si>
  <si>
    <t>Covered area (in sq.mtr)</t>
  </si>
  <si>
    <t>Covered Area 
(in sq ft)</t>
  </si>
  <si>
    <t>Height in Feet</t>
  </si>
  <si>
    <r>
      <t xml:space="preserve">Wall
</t>
    </r>
    <r>
      <rPr>
        <b/>
        <i/>
        <sz val="10"/>
        <rFont val="Calibri"/>
        <family val="2"/>
        <scheme val="minor"/>
      </rPr>
      <t>(in Running mtr.)As per approved plan approx.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</si>
  <si>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running mtr)</t>
    </r>
  </si>
  <si>
    <t>1/1.19</t>
  </si>
  <si>
    <t>RCC</t>
  </si>
  <si>
    <t>2.The subject property is consturcted with RCC  Framed type.</t>
  </si>
  <si>
    <t>Upper basement</t>
  </si>
  <si>
    <t>Lower Basement</t>
  </si>
  <si>
    <t>Ground Floor</t>
  </si>
  <si>
    <t>First Floor</t>
  </si>
  <si>
    <t>Third Floor</t>
  </si>
  <si>
    <t>5.As per our site survey we have observed the maintenance of the building is good</t>
  </si>
  <si>
    <t xml:space="preserve">M/s. ASPAM ACADEMY NOIDA| SITUATED AT PROPERTY NO. 43, BLOCK A, SECTOR-62, NOIDA, DISTRICT GAUTAM BUDDH, NAGAR, UTTARPRADESH
</t>
  </si>
  <si>
    <t>Mumty/machine room</t>
  </si>
  <si>
    <t>Second Floor</t>
  </si>
  <si>
    <t>Construction value as per circle rate</t>
  </si>
  <si>
    <t>Depreciation</t>
  </si>
  <si>
    <t>Gross Replacement value</t>
  </si>
  <si>
    <t>=</t>
  </si>
  <si>
    <t>Total construction value</t>
  </si>
  <si>
    <t>1. All the details pertaing to the building area statement such as area, floor, etc has been taken from the Sanctioned map provided by the bank</t>
  </si>
  <si>
    <t>Year of Construction Approximately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</si>
</sst>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0.0000"/>
    <numFmt numFmtId="165" formatCode="_ &quot;₹&quot;\ * #,##0_ ;_ &quot;₹&quot;\ * \-#,##0_ ;_ &quot;₹&quot;\ * &quot;-&quot;??_ ;_ @_ "/>
    <numFmt numFmtId="166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1E366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5" borderId="0" applyNumberFormat="0" applyBorder="0" applyAlignment="0" applyProtection="0"/>
  </cellStyleXfs>
  <cellXfs count="35">
    <xf numFmtId="0" fontId="0" fillId="0" borderId="0" xfId="0"/>
    <xf numFmtId="0" fontId="2" fillId="2" borderId="1" xfId="3" applyFont="1" applyBorder="1" applyAlignment="1">
      <alignment horizontal="center" vertical="center" wrapText="1"/>
    </xf>
    <xf numFmtId="9" fontId="2" fillId="2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 wrapText="1"/>
    </xf>
    <xf numFmtId="165" fontId="0" fillId="0" borderId="0" xfId="0" applyNumberFormat="1"/>
    <xf numFmtId="43" fontId="0" fillId="0" borderId="0" xfId="0" applyNumberFormat="1"/>
    <xf numFmtId="2" fontId="2" fillId="0" borderId="1" xfId="0" applyNumberFormat="1" applyFont="1" applyBorder="1" applyAlignment="1">
      <alignment horizontal="center" vertical="center" wrapText="1"/>
    </xf>
    <xf numFmtId="166" fontId="0" fillId="0" borderId="0" xfId="6" applyNumberFormat="1" applyFont="1"/>
    <xf numFmtId="0" fontId="6" fillId="4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66" fontId="0" fillId="0" borderId="1" xfId="6" applyNumberFormat="1" applyFont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166" fontId="2" fillId="2" borderId="1" xfId="6" applyNumberFormat="1" applyFont="1" applyFill="1" applyBorder="1" applyAlignment="1">
      <alignment horizontal="center" vertical="center" wrapText="1"/>
    </xf>
    <xf numFmtId="166" fontId="2" fillId="0" borderId="1" xfId="6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3" fontId="0" fillId="0" borderId="0" xfId="6" applyFont="1"/>
    <xf numFmtId="0" fontId="0" fillId="0" borderId="0" xfId="0" applyAlignment="1">
      <alignment horizontal="left" vertical="top"/>
    </xf>
    <xf numFmtId="166" fontId="8" fillId="5" borderId="0" xfId="7" applyNumberFormat="1" applyAlignment="1">
      <alignment vertical="top"/>
    </xf>
  </cellXfs>
  <cellStyles count="8">
    <cellStyle name="40% - Accent1" xfId="3" builtinId="31"/>
    <cellStyle name="Accent5" xfId="7" builtinId="45"/>
    <cellStyle name="Comma" xfId="6" builtinId="3"/>
    <cellStyle name="Comma 2" xfId="4" xr:uid="{00000000-0005-0000-0000-000002000000}"/>
    <cellStyle name="Currency" xfId="1" builtinId="4"/>
    <cellStyle name="Currency 2" xfId="5" xr:uid="{00000000-0005-0000-0000-000004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T28"/>
  <sheetViews>
    <sheetView tabSelected="1" zoomScaleNormal="100" workbookViewId="0">
      <selection activeCell="X4" sqref="X4"/>
    </sheetView>
  </sheetViews>
  <sheetFormatPr defaultRowHeight="15" x14ac:dyDescent="0.25"/>
  <cols>
    <col min="3" max="3" width="7.28515625" customWidth="1"/>
    <col min="4" max="4" width="17.42578125" bestFit="1" customWidth="1"/>
    <col min="5" max="5" width="9" customWidth="1"/>
    <col min="6" max="6" width="10.140625" customWidth="1"/>
    <col min="7" max="7" width="10.42578125" customWidth="1"/>
    <col min="8" max="8" width="10" customWidth="1"/>
    <col min="9" max="9" width="14.85546875" customWidth="1"/>
    <col min="10" max="10" width="11.42578125" hidden="1" customWidth="1"/>
    <col min="11" max="11" width="10.42578125" customWidth="1"/>
    <col min="12" max="12" width="11.28515625" hidden="1" customWidth="1"/>
    <col min="13" max="13" width="7.7109375" hidden="1" customWidth="1"/>
    <col min="14" max="14" width="6.5703125" hidden="1" customWidth="1"/>
    <col min="15" max="15" width="11.85546875" customWidth="1"/>
    <col min="16" max="16" width="14.42578125" customWidth="1"/>
    <col min="17" max="18" width="15.140625" hidden="1" customWidth="1"/>
    <col min="19" max="19" width="11.7109375" hidden="1" customWidth="1"/>
    <col min="20" max="20" width="15.140625" customWidth="1"/>
    <col min="22" max="22" width="5.85546875" bestFit="1" customWidth="1"/>
  </cols>
  <sheetData>
    <row r="2" spans="3:20" ht="48.75" customHeight="1" x14ac:dyDescent="0.25">
      <c r="C2" s="25" t="s">
        <v>37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3:20" ht="60" x14ac:dyDescent="0.25">
      <c r="C3" s="1" t="s">
        <v>0</v>
      </c>
      <c r="D3" s="1" t="s">
        <v>16</v>
      </c>
      <c r="E3" s="1" t="s">
        <v>25</v>
      </c>
      <c r="F3" s="1" t="s">
        <v>1</v>
      </c>
      <c r="G3" s="1" t="s">
        <v>23</v>
      </c>
      <c r="H3" s="23" t="s">
        <v>24</v>
      </c>
      <c r="I3" s="1" t="s">
        <v>46</v>
      </c>
      <c r="J3" s="1" t="s">
        <v>2</v>
      </c>
      <c r="K3" s="1" t="s">
        <v>3</v>
      </c>
      <c r="L3" s="1" t="s">
        <v>4</v>
      </c>
      <c r="M3" s="1" t="s">
        <v>5</v>
      </c>
      <c r="N3" s="1" t="s">
        <v>6</v>
      </c>
      <c r="O3" s="1" t="s">
        <v>7</v>
      </c>
      <c r="P3" s="1" t="s">
        <v>8</v>
      </c>
      <c r="Q3" s="1" t="s">
        <v>9</v>
      </c>
      <c r="R3" s="1" t="s">
        <v>10</v>
      </c>
      <c r="S3" s="2" t="s">
        <v>15</v>
      </c>
      <c r="T3" s="1" t="s">
        <v>11</v>
      </c>
    </row>
    <row r="4" spans="3:20" x14ac:dyDescent="0.25">
      <c r="C4" s="3">
        <v>1</v>
      </c>
      <c r="D4" s="3" t="s">
        <v>31</v>
      </c>
      <c r="E4" s="3">
        <v>10</v>
      </c>
      <c r="F4" s="3" t="s">
        <v>29</v>
      </c>
      <c r="G4" s="22">
        <v>7973.0079999999998</v>
      </c>
      <c r="H4" s="21">
        <f>G4*10.764</f>
        <v>85821.458111999993</v>
      </c>
      <c r="I4" s="3">
        <v>2019</v>
      </c>
      <c r="J4" s="3">
        <v>2023</v>
      </c>
      <c r="K4" s="3">
        <f t="shared" ref="K4:K10" si="0">J4-I4</f>
        <v>4</v>
      </c>
      <c r="L4" s="3">
        <v>60</v>
      </c>
      <c r="M4" s="4">
        <v>0.1</v>
      </c>
      <c r="N4" s="5">
        <f>(1-M4)/L4</f>
        <v>1.5000000000000001E-2</v>
      </c>
      <c r="O4" s="6">
        <v>1600</v>
      </c>
      <c r="P4" s="6">
        <f>O4*H4</f>
        <v>137314332.97919998</v>
      </c>
      <c r="Q4" s="6">
        <f>P4*N4*K4</f>
        <v>8238859.9787519993</v>
      </c>
      <c r="R4" s="6">
        <f>MAX(P4-Q4,0)</f>
        <v>129075473.00044797</v>
      </c>
      <c r="S4" s="7">
        <v>0</v>
      </c>
      <c r="T4" s="6">
        <f>IF(R4&gt;M4*P4,R4*(1-S4),P4*M4)</f>
        <v>129075473.00044797</v>
      </c>
    </row>
    <row r="5" spans="3:20" x14ac:dyDescent="0.25">
      <c r="C5" s="3">
        <v>2</v>
      </c>
      <c r="D5" s="3" t="s">
        <v>32</v>
      </c>
      <c r="E5" s="3">
        <v>10</v>
      </c>
      <c r="F5" s="3" t="s">
        <v>29</v>
      </c>
      <c r="G5" s="22">
        <v>7339.53</v>
      </c>
      <c r="H5" s="21">
        <f t="shared" ref="H5:H10" si="1">G5*10.764</f>
        <v>79002.700919999988</v>
      </c>
      <c r="I5" s="3">
        <v>2019</v>
      </c>
      <c r="J5" s="3">
        <v>2023</v>
      </c>
      <c r="K5" s="3">
        <f t="shared" si="0"/>
        <v>4</v>
      </c>
      <c r="L5" s="3">
        <v>60</v>
      </c>
      <c r="M5" s="4">
        <v>0.1</v>
      </c>
      <c r="N5" s="5">
        <f t="shared" ref="N5:N10" si="2">(1-M5)/L5</f>
        <v>1.5000000000000001E-2</v>
      </c>
      <c r="O5" s="6">
        <v>1600</v>
      </c>
      <c r="P5" s="6">
        <f t="shared" ref="P5:P10" si="3">O5*H5</f>
        <v>126404321.47199999</v>
      </c>
      <c r="Q5" s="6">
        <f t="shared" ref="Q5:Q10" si="4">P5*N5*K5</f>
        <v>7584259.2883200003</v>
      </c>
      <c r="R5" s="6">
        <f t="shared" ref="R5:R10" si="5">MAX(P5-Q5,0)</f>
        <v>118820062.18367998</v>
      </c>
      <c r="S5" s="7">
        <v>0</v>
      </c>
      <c r="T5" s="6">
        <f t="shared" ref="T5:T10" si="6">IF(R5&gt;M5*P5,R5*(1-S5),P5*M5)</f>
        <v>118820062.18367998</v>
      </c>
    </row>
    <row r="6" spans="3:20" x14ac:dyDescent="0.25">
      <c r="C6" s="3">
        <v>3</v>
      </c>
      <c r="D6" s="3" t="s">
        <v>33</v>
      </c>
      <c r="E6" s="3">
        <v>10</v>
      </c>
      <c r="F6" s="3" t="s">
        <v>29</v>
      </c>
      <c r="G6" s="22">
        <v>5634.9530000000004</v>
      </c>
      <c r="H6" s="21">
        <f t="shared" si="1"/>
        <v>60654.634092</v>
      </c>
      <c r="I6" s="3">
        <v>2019</v>
      </c>
      <c r="J6" s="3">
        <v>2023</v>
      </c>
      <c r="K6" s="3">
        <f t="shared" si="0"/>
        <v>4</v>
      </c>
      <c r="L6" s="3">
        <v>60</v>
      </c>
      <c r="M6" s="4">
        <v>0.1</v>
      </c>
      <c r="N6" s="5">
        <f t="shared" si="2"/>
        <v>1.5000000000000001E-2</v>
      </c>
      <c r="O6" s="6">
        <v>2200</v>
      </c>
      <c r="P6" s="6">
        <f t="shared" si="3"/>
        <v>133440195.0024</v>
      </c>
      <c r="Q6" s="6">
        <f t="shared" si="4"/>
        <v>8006411.7001440004</v>
      </c>
      <c r="R6" s="6">
        <f t="shared" si="5"/>
        <v>125433783.30225599</v>
      </c>
      <c r="S6" s="7">
        <v>0</v>
      </c>
      <c r="T6" s="6">
        <f t="shared" si="6"/>
        <v>125433783.30225599</v>
      </c>
    </row>
    <row r="7" spans="3:20" x14ac:dyDescent="0.25">
      <c r="C7" s="3">
        <v>4</v>
      </c>
      <c r="D7" s="3" t="s">
        <v>34</v>
      </c>
      <c r="E7" s="3">
        <v>10</v>
      </c>
      <c r="F7" s="3" t="s">
        <v>29</v>
      </c>
      <c r="G7" s="22">
        <v>4548.4399999999996</v>
      </c>
      <c r="H7" s="21">
        <f t="shared" si="1"/>
        <v>48959.408159999992</v>
      </c>
      <c r="I7" s="3">
        <v>2019</v>
      </c>
      <c r="J7" s="3">
        <v>2023</v>
      </c>
      <c r="K7" s="3">
        <f t="shared" si="0"/>
        <v>4</v>
      </c>
      <c r="L7" s="3">
        <v>60</v>
      </c>
      <c r="M7" s="4">
        <v>0.1</v>
      </c>
      <c r="N7" s="5">
        <f t="shared" si="2"/>
        <v>1.5000000000000001E-2</v>
      </c>
      <c r="O7" s="6">
        <v>2200</v>
      </c>
      <c r="P7" s="6">
        <f t="shared" si="3"/>
        <v>107710697.95199998</v>
      </c>
      <c r="Q7" s="6">
        <f t="shared" si="4"/>
        <v>6462641.8771199994</v>
      </c>
      <c r="R7" s="6">
        <f t="shared" si="5"/>
        <v>101248056.07487997</v>
      </c>
      <c r="S7" s="7">
        <v>0</v>
      </c>
      <c r="T7" s="6">
        <f t="shared" si="6"/>
        <v>101248056.07487997</v>
      </c>
    </row>
    <row r="8" spans="3:20" x14ac:dyDescent="0.25">
      <c r="C8" s="3">
        <v>5</v>
      </c>
      <c r="D8" s="3" t="s">
        <v>39</v>
      </c>
      <c r="E8" s="3">
        <v>10</v>
      </c>
      <c r="F8" s="3" t="s">
        <v>29</v>
      </c>
      <c r="G8" s="22">
        <v>4668.4309999999996</v>
      </c>
      <c r="H8" s="21">
        <f t="shared" si="1"/>
        <v>50250.991283999996</v>
      </c>
      <c r="I8" s="3">
        <v>2019</v>
      </c>
      <c r="J8" s="3">
        <v>2023</v>
      </c>
      <c r="K8" s="3">
        <f t="shared" si="0"/>
        <v>4</v>
      </c>
      <c r="L8" s="3">
        <v>60</v>
      </c>
      <c r="M8" s="4">
        <v>0.1</v>
      </c>
      <c r="N8" s="5">
        <f t="shared" si="2"/>
        <v>1.5000000000000001E-2</v>
      </c>
      <c r="O8" s="6">
        <v>1800</v>
      </c>
      <c r="P8" s="6">
        <f t="shared" si="3"/>
        <v>90451784.311199993</v>
      </c>
      <c r="Q8" s="6">
        <f t="shared" si="4"/>
        <v>5427107.0586719997</v>
      </c>
      <c r="R8" s="6">
        <f t="shared" si="5"/>
        <v>85024677.252527997</v>
      </c>
      <c r="S8" s="7">
        <v>0</v>
      </c>
      <c r="T8" s="6">
        <f t="shared" si="6"/>
        <v>85024677.252527997</v>
      </c>
    </row>
    <row r="9" spans="3:20" x14ac:dyDescent="0.25">
      <c r="C9" s="3">
        <v>6</v>
      </c>
      <c r="D9" s="3" t="s">
        <v>35</v>
      </c>
      <c r="E9" s="3">
        <v>10</v>
      </c>
      <c r="F9" s="3" t="s">
        <v>29</v>
      </c>
      <c r="G9" s="22">
        <v>4105.2030000000004</v>
      </c>
      <c r="H9" s="21">
        <f t="shared" si="1"/>
        <v>44188.405092000001</v>
      </c>
      <c r="I9" s="3">
        <v>2019</v>
      </c>
      <c r="J9" s="3">
        <v>2023</v>
      </c>
      <c r="K9" s="3">
        <f t="shared" si="0"/>
        <v>4</v>
      </c>
      <c r="L9" s="3">
        <v>60</v>
      </c>
      <c r="M9" s="4">
        <v>0.1</v>
      </c>
      <c r="N9" s="5">
        <f t="shared" si="2"/>
        <v>1.5000000000000001E-2</v>
      </c>
      <c r="O9" s="6">
        <v>1600</v>
      </c>
      <c r="P9" s="6">
        <f t="shared" si="3"/>
        <v>70701448.147200003</v>
      </c>
      <c r="Q9" s="6">
        <f t="shared" si="4"/>
        <v>4242086.8888320001</v>
      </c>
      <c r="R9" s="6">
        <f t="shared" si="5"/>
        <v>66459361.258368</v>
      </c>
      <c r="S9" s="7">
        <v>0</v>
      </c>
      <c r="T9" s="6">
        <f t="shared" si="6"/>
        <v>66459361.258368</v>
      </c>
    </row>
    <row r="10" spans="3:20" ht="30" x14ac:dyDescent="0.25">
      <c r="C10" s="3">
        <v>7</v>
      </c>
      <c r="D10" s="3" t="s">
        <v>38</v>
      </c>
      <c r="E10" s="3">
        <v>10</v>
      </c>
      <c r="F10" s="3" t="s">
        <v>29</v>
      </c>
      <c r="G10" s="22">
        <v>401.786</v>
      </c>
      <c r="H10" s="21">
        <f t="shared" si="1"/>
        <v>4324.8245040000002</v>
      </c>
      <c r="I10" s="3">
        <v>2019</v>
      </c>
      <c r="J10" s="3">
        <v>2023</v>
      </c>
      <c r="K10" s="3">
        <f t="shared" si="0"/>
        <v>4</v>
      </c>
      <c r="L10" s="3">
        <v>60</v>
      </c>
      <c r="M10" s="4">
        <v>0.1</v>
      </c>
      <c r="N10" s="5">
        <f t="shared" si="2"/>
        <v>1.5000000000000001E-2</v>
      </c>
      <c r="O10" s="6">
        <v>1600</v>
      </c>
      <c r="P10" s="6">
        <f t="shared" si="3"/>
        <v>6919719.2064000005</v>
      </c>
      <c r="Q10" s="6">
        <f t="shared" si="4"/>
        <v>415183.15238400007</v>
      </c>
      <c r="R10" s="6">
        <f t="shared" si="5"/>
        <v>6504536.0540160006</v>
      </c>
      <c r="S10" s="7">
        <v>0</v>
      </c>
      <c r="T10" s="6">
        <f t="shared" si="6"/>
        <v>6504536.0540160006</v>
      </c>
    </row>
    <row r="11" spans="3:20" x14ac:dyDescent="0.25">
      <c r="C11" s="30" t="s">
        <v>12</v>
      </c>
      <c r="D11" s="30"/>
      <c r="E11" s="30"/>
      <c r="F11" s="30"/>
      <c r="G11" s="12">
        <f>SUM(G4:G10)</f>
        <v>34671.351000000002</v>
      </c>
      <c r="H11" s="24">
        <f>SUM(H4:H10)</f>
        <v>373202.42216399999</v>
      </c>
      <c r="I11" s="30"/>
      <c r="J11" s="30"/>
      <c r="K11" s="30"/>
      <c r="L11" s="30"/>
      <c r="M11" s="30"/>
      <c r="N11" s="30"/>
      <c r="O11" s="30"/>
      <c r="P11" s="8">
        <f>SUM(P4:P10)</f>
        <v>672942499.07039988</v>
      </c>
      <c r="Q11" s="8">
        <f>SUM(Q4:Q10)</f>
        <v>40376549.944224</v>
      </c>
      <c r="R11" s="8">
        <f>SUM(R4:R10)</f>
        <v>632565949.12617588</v>
      </c>
      <c r="S11" s="9">
        <v>0</v>
      </c>
      <c r="T11" s="8">
        <f>SUM(T4:T10)</f>
        <v>632565949.12617588</v>
      </c>
    </row>
    <row r="12" spans="3:20" x14ac:dyDescent="0.25">
      <c r="C12" s="31" t="s">
        <v>13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spans="3:20" x14ac:dyDescent="0.25">
      <c r="C13" s="26" t="s">
        <v>45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</row>
    <row r="14" spans="3:20" x14ac:dyDescent="0.25">
      <c r="C14" s="26" t="s">
        <v>30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</row>
    <row r="15" spans="3:20" x14ac:dyDescent="0.25">
      <c r="C15" s="26" t="s">
        <v>14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</row>
    <row r="16" spans="3:20" x14ac:dyDescent="0.25">
      <c r="C16" s="26" t="s">
        <v>17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spans="3:20" x14ac:dyDescent="0.25">
      <c r="C17" s="27" t="s">
        <v>36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9"/>
    </row>
    <row r="19" spans="3:20" x14ac:dyDescent="0.25">
      <c r="H19" s="11"/>
    </row>
    <row r="21" spans="3:20" x14ac:dyDescent="0.25">
      <c r="C21" t="s">
        <v>40</v>
      </c>
    </row>
    <row r="22" spans="3:20" x14ac:dyDescent="0.25">
      <c r="D22" t="s">
        <v>42</v>
      </c>
      <c r="F22" t="s">
        <v>43</v>
      </c>
      <c r="G22" s="33">
        <f>G11*15000</f>
        <v>520070265.00000006</v>
      </c>
      <c r="M22" s="10"/>
    </row>
    <row r="23" spans="3:20" x14ac:dyDescent="0.25">
      <c r="D23" t="s">
        <v>41</v>
      </c>
      <c r="F23" t="s">
        <v>43</v>
      </c>
      <c r="G23" s="33">
        <f>(G22*4*9)/(60*10)</f>
        <v>31204215.900000006</v>
      </c>
      <c r="O23" s="22"/>
    </row>
    <row r="24" spans="3:20" x14ac:dyDescent="0.25">
      <c r="G24" s="33"/>
      <c r="Q24">
        <f>539-495</f>
        <v>44</v>
      </c>
    </row>
    <row r="25" spans="3:20" x14ac:dyDescent="0.25">
      <c r="D25" t="s">
        <v>44</v>
      </c>
      <c r="F25" t="s">
        <v>43</v>
      </c>
      <c r="G25" s="34">
        <f>G22-G23</f>
        <v>488866049.10000002</v>
      </c>
    </row>
    <row r="26" spans="3:20" x14ac:dyDescent="0.25">
      <c r="P26">
        <f>452-44</f>
        <v>408</v>
      </c>
    </row>
    <row r="28" spans="3:20" x14ac:dyDescent="0.25">
      <c r="G28" s="32"/>
    </row>
  </sheetData>
  <mergeCells count="9">
    <mergeCell ref="C2:T2"/>
    <mergeCell ref="C15:T15"/>
    <mergeCell ref="C16:T16"/>
    <mergeCell ref="C17:T17"/>
    <mergeCell ref="C11:F11"/>
    <mergeCell ref="I11:O11"/>
    <mergeCell ref="C12:T12"/>
    <mergeCell ref="C13:T13"/>
    <mergeCell ref="C14:T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O18"/>
  <sheetViews>
    <sheetView workbookViewId="0">
      <selection activeCell="P19" sqref="P19"/>
    </sheetView>
  </sheetViews>
  <sheetFormatPr defaultRowHeight="15" x14ac:dyDescent="0.25"/>
  <cols>
    <col min="2" max="2" width="12.42578125" bestFit="1" customWidth="1"/>
    <col min="3" max="3" width="14.28515625" bestFit="1" customWidth="1"/>
    <col min="5" max="5" width="14.28515625" bestFit="1" customWidth="1"/>
    <col min="8" max="8" width="20" customWidth="1"/>
    <col min="11" max="11" width="13.5703125" customWidth="1"/>
  </cols>
  <sheetData>
    <row r="3" spans="3:14" x14ac:dyDescent="0.25">
      <c r="C3">
        <v>87120</v>
      </c>
      <c r="E3">
        <v>7943455</v>
      </c>
      <c r="G3">
        <v>36000000</v>
      </c>
    </row>
    <row r="4" spans="3:14" x14ac:dyDescent="0.25">
      <c r="C4">
        <v>500</v>
      </c>
      <c r="E4">
        <v>2</v>
      </c>
      <c r="G4">
        <f>60000</f>
        <v>60000</v>
      </c>
    </row>
    <row r="5" spans="3:14" x14ac:dyDescent="0.25">
      <c r="C5" s="13">
        <f>C4*C3</f>
        <v>43560000</v>
      </c>
      <c r="E5" s="13">
        <f>E4*E3</f>
        <v>15886910</v>
      </c>
      <c r="G5">
        <f>G3/G4</f>
        <v>600</v>
      </c>
    </row>
    <row r="12" spans="3:14" x14ac:dyDescent="0.25">
      <c r="H12">
        <v>2003</v>
      </c>
      <c r="K12">
        <v>2017</v>
      </c>
    </row>
    <row r="13" spans="3:14" x14ac:dyDescent="0.25">
      <c r="H13" s="13">
        <v>6000000</v>
      </c>
      <c r="K13">
        <f>M161</f>
        <v>0</v>
      </c>
    </row>
    <row r="16" spans="3:14" x14ac:dyDescent="0.25">
      <c r="N16" t="s">
        <v>28</v>
      </c>
    </row>
    <row r="18" spans="14:15" x14ac:dyDescent="0.25">
      <c r="N18">
        <f>1/1.19</f>
        <v>0.84033613445378152</v>
      </c>
      <c r="O18">
        <f>N18*10.764</f>
        <v>9.045378151260504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"/>
  <sheetViews>
    <sheetView workbookViewId="0">
      <selection activeCell="L12" sqref="L12"/>
    </sheetView>
  </sheetViews>
  <sheetFormatPr defaultRowHeight="15" x14ac:dyDescent="0.25"/>
  <cols>
    <col min="2" max="3" width="8.7109375" bestFit="1" customWidth="1"/>
    <col min="4" max="4" width="8.42578125" bestFit="1" customWidth="1"/>
    <col min="6" max="6" width="8.5703125" bestFit="1" customWidth="1"/>
    <col min="7" max="7" width="7.7109375" bestFit="1" customWidth="1"/>
    <col min="8" max="8" width="9" customWidth="1"/>
    <col min="9" max="9" width="8" customWidth="1"/>
    <col min="10" max="10" width="11.5703125" customWidth="1"/>
    <col min="11" max="11" width="10.5703125" customWidth="1"/>
    <col min="12" max="12" width="11.5703125" customWidth="1"/>
    <col min="13" max="13" width="8.7109375" customWidth="1"/>
    <col min="14" max="14" width="11.5703125" bestFit="1" customWidth="1"/>
  </cols>
  <sheetData>
    <row r="2" spans="2:14" ht="15.75" x14ac:dyDescent="0.25">
      <c r="B2" s="25" t="s">
        <v>18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2:14" ht="104.25" x14ac:dyDescent="0.25">
      <c r="B3" s="14" t="s">
        <v>26</v>
      </c>
      <c r="C3" s="14" t="s">
        <v>19</v>
      </c>
      <c r="D3" s="14" t="s">
        <v>2</v>
      </c>
      <c r="E3" s="14" t="s">
        <v>20</v>
      </c>
      <c r="F3" s="14" t="s">
        <v>21</v>
      </c>
      <c r="G3" s="14" t="s">
        <v>5</v>
      </c>
      <c r="H3" s="14" t="s">
        <v>6</v>
      </c>
      <c r="I3" s="14" t="s">
        <v>27</v>
      </c>
      <c r="J3" s="14" t="s">
        <v>8</v>
      </c>
      <c r="K3" s="14" t="s">
        <v>9</v>
      </c>
      <c r="L3" s="14" t="s">
        <v>10</v>
      </c>
      <c r="M3" s="14" t="s">
        <v>22</v>
      </c>
      <c r="N3" s="14" t="s">
        <v>11</v>
      </c>
    </row>
    <row r="4" spans="2:14" x14ac:dyDescent="0.25">
      <c r="B4" s="15">
        <v>600</v>
      </c>
      <c r="C4" s="16">
        <v>2016</v>
      </c>
      <c r="D4" s="16">
        <v>2023</v>
      </c>
      <c r="E4" s="16">
        <f>D4-C4</f>
        <v>7</v>
      </c>
      <c r="F4" s="16">
        <v>60</v>
      </c>
      <c r="G4" s="17">
        <v>0.1</v>
      </c>
      <c r="H4" s="18">
        <f>(1-G4)/F4</f>
        <v>1.5000000000000001E-2</v>
      </c>
      <c r="I4" s="19">
        <v>4500</v>
      </c>
      <c r="J4" s="19">
        <f>I4*B4</f>
        <v>2700000</v>
      </c>
      <c r="K4" s="19">
        <f>J4*H4*E4</f>
        <v>283500</v>
      </c>
      <c r="L4" s="19">
        <f>MAX(J4-K4,0)</f>
        <v>2416500</v>
      </c>
      <c r="M4" s="20">
        <v>0</v>
      </c>
      <c r="N4" s="19">
        <f>IF(L4&gt;G4*J4,L4*(1-M4),J4*G4)</f>
        <v>2416500</v>
      </c>
    </row>
  </sheetData>
  <mergeCells count="1">
    <mergeCell ref="B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3:M6"/>
  <sheetViews>
    <sheetView workbookViewId="0">
      <selection activeCell="M6" sqref="M6"/>
    </sheetView>
  </sheetViews>
  <sheetFormatPr defaultRowHeight="15" x14ac:dyDescent="0.25"/>
  <cols>
    <col min="4" max="4" width="10" bestFit="1" customWidth="1"/>
    <col min="6" max="6" width="10" bestFit="1" customWidth="1"/>
    <col min="9" max="9" width="10" bestFit="1" customWidth="1"/>
  </cols>
  <sheetData>
    <row r="3" spans="4:13" x14ac:dyDescent="0.25">
      <c r="D3">
        <v>106500000</v>
      </c>
    </row>
    <row r="4" spans="4:13" x14ac:dyDescent="0.25">
      <c r="D4">
        <f>D3/1430</f>
        <v>74475.524475524478</v>
      </c>
      <c r="F4">
        <v>120000000</v>
      </c>
      <c r="I4">
        <v>115000000</v>
      </c>
      <c r="K4">
        <v>98500000</v>
      </c>
      <c r="M4">
        <v>94000000</v>
      </c>
    </row>
    <row r="5" spans="4:13" x14ac:dyDescent="0.25">
      <c r="F5">
        <v>1650</v>
      </c>
      <c r="I5">
        <f>I4/1340</f>
        <v>85820.895522388062</v>
      </c>
      <c r="K5">
        <f>K4/1600</f>
        <v>61562.5</v>
      </c>
      <c r="M5">
        <v>1385</v>
      </c>
    </row>
    <row r="6" spans="4:13" x14ac:dyDescent="0.25">
      <c r="F6">
        <f>F4/F5</f>
        <v>72727.272727272721</v>
      </c>
      <c r="M6">
        <f>M4/M5</f>
        <v>67870.036101083038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working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Gupta</dc:creator>
  <cp:lastModifiedBy>Rajani Gupta</cp:lastModifiedBy>
  <dcterms:created xsi:type="dcterms:W3CDTF">2022-07-28T09:17:09Z</dcterms:created>
  <dcterms:modified xsi:type="dcterms:W3CDTF">2023-04-05T08:08:24Z</dcterms:modified>
</cp:coreProperties>
</file>