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activeTab="3"/>
  </bookViews>
  <sheets>
    <sheet name="Sheet1" sheetId="1" r:id="rId1"/>
    <sheet name="Sheet3" sheetId="3" r:id="rId2"/>
    <sheet name="Building" sheetId="2" r:id="rId3"/>
    <sheet name="Sheet2" sheetId="4" r:id="rId4"/>
  </sheets>
  <calcPr calcId="152511"/>
</workbook>
</file>

<file path=xl/calcChain.xml><?xml version="1.0" encoding="utf-8"?>
<calcChain xmlns="http://schemas.openxmlformats.org/spreadsheetml/2006/main">
  <c r="C24" i="1" l="1"/>
  <c r="C24" i="2"/>
  <c r="C25" i="2"/>
  <c r="M35" i="1"/>
  <c r="M34" i="1"/>
  <c r="M32" i="1"/>
  <c r="M31" i="1"/>
  <c r="M30" i="1"/>
  <c r="M29" i="1"/>
  <c r="F30" i="1"/>
  <c r="F26" i="1"/>
  <c r="F25" i="1"/>
  <c r="F23" i="1"/>
  <c r="C23" i="1"/>
  <c r="C25" i="1" s="1"/>
  <c r="C26" i="1" s="1"/>
  <c r="L26" i="1"/>
  <c r="N18" i="1" l="1"/>
  <c r="N16" i="1"/>
  <c r="M16" i="1"/>
  <c r="I4" i="1" l="1"/>
  <c r="E6" i="1"/>
  <c r="E18" i="1"/>
  <c r="F18" i="1"/>
  <c r="D18" i="1"/>
  <c r="D17" i="1"/>
  <c r="E17" i="1"/>
  <c r="F17" i="1"/>
  <c r="E16" i="1"/>
  <c r="F16" i="1"/>
  <c r="D16" i="1"/>
  <c r="F15" i="1"/>
  <c r="E11" i="1"/>
  <c r="E5" i="1"/>
  <c r="E9" i="1"/>
  <c r="G9" i="1"/>
  <c r="E4" i="1"/>
  <c r="C2" i="2"/>
  <c r="C4" i="1"/>
  <c r="D4" i="1"/>
  <c r="F4" i="1"/>
  <c r="H6" i="2"/>
  <c r="D6" i="2"/>
  <c r="I6" i="2"/>
  <c r="M6" i="2"/>
  <c r="N6" i="2"/>
  <c r="O6" i="2"/>
  <c r="P6" i="2"/>
  <c r="H7" i="2"/>
  <c r="D7" i="2"/>
  <c r="I7" i="2"/>
  <c r="K7" i="2"/>
  <c r="M7" i="2"/>
  <c r="N7" i="2"/>
  <c r="O7" i="2"/>
  <c r="P7" i="2"/>
  <c r="H8" i="2"/>
  <c r="D8" i="2"/>
  <c r="I8" i="2"/>
  <c r="K8" i="2"/>
  <c r="M8" i="2"/>
  <c r="N8" i="2"/>
  <c r="O8" i="2"/>
  <c r="P8" i="2"/>
  <c r="H9" i="2"/>
  <c r="D9" i="2"/>
  <c r="I9" i="2"/>
  <c r="K9" i="2"/>
  <c r="M9" i="2"/>
  <c r="N9" i="2"/>
  <c r="O9" i="2"/>
  <c r="P9" i="2"/>
  <c r="H10" i="2"/>
  <c r="D10" i="2"/>
  <c r="I10" i="2"/>
  <c r="K10" i="2"/>
  <c r="M10" i="2"/>
  <c r="N10" i="2"/>
  <c r="O10" i="2"/>
  <c r="P10" i="2"/>
  <c r="H11" i="2"/>
  <c r="D11" i="2"/>
  <c r="I11" i="2"/>
  <c r="K11" i="2"/>
  <c r="M11" i="2"/>
  <c r="N11" i="2"/>
  <c r="O11" i="2"/>
  <c r="P11" i="2"/>
  <c r="H12" i="2"/>
  <c r="D12" i="2"/>
  <c r="I12" i="2"/>
  <c r="K12" i="2"/>
  <c r="M12" i="2"/>
  <c r="N12" i="2"/>
  <c r="O12" i="2"/>
  <c r="P12" i="2"/>
  <c r="H13" i="2"/>
  <c r="D13" i="2"/>
  <c r="I13" i="2"/>
  <c r="K13" i="2"/>
  <c r="M13" i="2"/>
  <c r="N13" i="2"/>
  <c r="O13" i="2"/>
  <c r="P13" i="2"/>
  <c r="H14" i="2"/>
  <c r="D14" i="2"/>
  <c r="I14" i="2"/>
  <c r="K14" i="2"/>
  <c r="M14" i="2"/>
  <c r="N14" i="2"/>
  <c r="O14" i="2"/>
  <c r="P14" i="2"/>
  <c r="H15" i="2"/>
  <c r="D15" i="2"/>
  <c r="I15" i="2"/>
  <c r="K15" i="2"/>
  <c r="M15" i="2"/>
  <c r="N15" i="2"/>
  <c r="O15" i="2"/>
  <c r="P15" i="2"/>
  <c r="H16" i="2"/>
  <c r="D16" i="2"/>
  <c r="I16" i="2"/>
  <c r="K16" i="2"/>
  <c r="M16" i="2"/>
  <c r="N16" i="2"/>
  <c r="O16" i="2"/>
  <c r="P16" i="2"/>
  <c r="H17" i="2"/>
  <c r="D17" i="2"/>
  <c r="I17" i="2"/>
  <c r="M17" i="2"/>
  <c r="N17" i="2"/>
  <c r="O17" i="2"/>
  <c r="P17" i="2"/>
  <c r="H18" i="2"/>
  <c r="D18" i="2"/>
  <c r="I18" i="2"/>
  <c r="K18" i="2"/>
  <c r="M18" i="2"/>
  <c r="N18" i="2"/>
  <c r="O18" i="2"/>
  <c r="P18" i="2"/>
  <c r="H19" i="2"/>
  <c r="D19" i="2"/>
  <c r="I19" i="2"/>
  <c r="K19" i="2"/>
  <c r="M19" i="2"/>
  <c r="N19" i="2"/>
  <c r="O19" i="2"/>
  <c r="P19" i="2"/>
  <c r="H20" i="2"/>
  <c r="I20" i="2" s="1"/>
  <c r="D20" i="2"/>
  <c r="K20" i="2"/>
  <c r="M20" i="2"/>
  <c r="N20" i="2"/>
  <c r="H21" i="2"/>
  <c r="I21" i="2" s="1"/>
  <c r="D21" i="2"/>
  <c r="K21" i="2"/>
  <c r="M21" i="2"/>
  <c r="N21" i="2"/>
  <c r="H22" i="2"/>
  <c r="I22" i="2" s="1"/>
  <c r="D22" i="2"/>
  <c r="K22" i="2"/>
  <c r="M22" i="2"/>
  <c r="N22" i="2"/>
  <c r="E10" i="1"/>
  <c r="F10" i="1"/>
  <c r="C5" i="1"/>
  <c r="D5" i="1"/>
  <c r="F5" i="1"/>
  <c r="C7" i="3"/>
  <c r="D4" i="3"/>
  <c r="C5" i="3"/>
  <c r="D5" i="3"/>
  <c r="D23" i="2"/>
  <c r="C23" i="2"/>
  <c r="H2" i="2"/>
  <c r="G2" i="2"/>
  <c r="N4" i="2"/>
  <c r="E46" i="2"/>
  <c r="E42" i="2"/>
  <c r="F42" i="2"/>
  <c r="F41" i="2"/>
  <c r="E41" i="2"/>
  <c r="D41" i="2"/>
  <c r="G4" i="2"/>
  <c r="H4" i="2"/>
  <c r="D30" i="2"/>
  <c r="E34" i="2"/>
  <c r="F34" i="2"/>
  <c r="F27" i="2"/>
  <c r="E3" i="2"/>
  <c r="D2" i="2"/>
  <c r="C29" i="2"/>
  <c r="E29" i="2"/>
  <c r="F29" i="2"/>
  <c r="D6" i="1"/>
  <c r="D3" i="2"/>
  <c r="F3" i="2"/>
  <c r="F2" i="2"/>
  <c r="F1" i="2"/>
  <c r="B41" i="2"/>
  <c r="E40" i="2"/>
  <c r="C6" i="1"/>
  <c r="F6" i="1"/>
  <c r="O20" i="2" l="1"/>
  <c r="O23" i="2" s="1"/>
  <c r="I23" i="2"/>
  <c r="I24" i="2" s="1"/>
  <c r="O21" i="2"/>
  <c r="P21" i="2"/>
  <c r="O22" i="2"/>
  <c r="P22" i="2"/>
  <c r="I27" i="2"/>
  <c r="H24" i="2"/>
  <c r="O27" i="2" l="1"/>
  <c r="O24" i="2"/>
  <c r="P20" i="2"/>
  <c r="P23" i="2" s="1"/>
  <c r="I5" i="1" l="1"/>
  <c r="P27" i="2"/>
  <c r="P24" i="2"/>
  <c r="L6" i="1" l="1"/>
  <c r="I6" i="1"/>
  <c r="I7" i="1" s="1"/>
  <c r="J7" i="1" s="1"/>
  <c r="F32" i="2"/>
</calcChain>
</file>

<file path=xl/sharedStrings.xml><?xml version="1.0" encoding="utf-8"?>
<sst xmlns="http://schemas.openxmlformats.org/spreadsheetml/2006/main" count="80" uniqueCount="54">
  <si>
    <t>Building</t>
  </si>
  <si>
    <t>Plot Area</t>
  </si>
  <si>
    <t>Academic Engg. Block A</t>
  </si>
  <si>
    <t>Academic Engg. Block B</t>
  </si>
  <si>
    <t>Academic Engg. Block C</t>
  </si>
  <si>
    <t>Academic Block D</t>
  </si>
  <si>
    <t>Girl's Hostel</t>
  </si>
  <si>
    <t>Canteen</t>
  </si>
  <si>
    <t>Store</t>
  </si>
  <si>
    <t>Guard Rooms</t>
  </si>
  <si>
    <t>Workshop-1</t>
  </si>
  <si>
    <t>Block-E</t>
  </si>
  <si>
    <t>Building Name</t>
  </si>
  <si>
    <t>S. No.</t>
  </si>
  <si>
    <t>Area 
(in sq. mtr.)</t>
  </si>
  <si>
    <t>Total</t>
  </si>
  <si>
    <t>Type of Structure</t>
  </si>
  <si>
    <t>742 only land</t>
  </si>
  <si>
    <t>2 bigha</t>
  </si>
  <si>
    <t>14000 sq. yd</t>
  </si>
  <si>
    <t>equals to 1 bigha</t>
  </si>
  <si>
    <t>lucent</t>
  </si>
  <si>
    <t>RCC</t>
  </si>
  <si>
    <t>CPWD</t>
  </si>
  <si>
    <t>Adjustment</t>
  </si>
  <si>
    <t>Area 
(in sq. ft.)</t>
  </si>
  <si>
    <t>GCRC</t>
  </si>
  <si>
    <t>DEP</t>
  </si>
  <si>
    <t>FV</t>
  </si>
  <si>
    <t>Salvage Value</t>
  </si>
  <si>
    <t>Age</t>
  </si>
  <si>
    <t>Economic
Life</t>
  </si>
  <si>
    <t>Dep.</t>
  </si>
  <si>
    <t>Land-College</t>
  </si>
  <si>
    <t>Land-Hostel</t>
  </si>
  <si>
    <t>RATE</t>
  </si>
  <si>
    <t>IN Bigha</t>
  </si>
  <si>
    <t>in Sq. mtr.</t>
  </si>
  <si>
    <t>Existing DBSBM</t>
  </si>
  <si>
    <t>Civil Block</t>
  </si>
  <si>
    <t>Arch. &amp; Design Block</t>
  </si>
  <si>
    <t>Cafeteria Block</t>
  </si>
  <si>
    <t>DBIHM Block</t>
  </si>
  <si>
    <t>Mandir</t>
  </si>
  <si>
    <t>Year of Construction</t>
  </si>
  <si>
    <t>sq mtr</t>
  </si>
  <si>
    <t>bigha</t>
  </si>
  <si>
    <t>area</t>
  </si>
  <si>
    <t>rate</t>
  </si>
  <si>
    <t>value</t>
  </si>
  <si>
    <t>RV</t>
  </si>
  <si>
    <t>Particular</t>
  </si>
  <si>
    <t>Land</t>
  </si>
  <si>
    <t>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</si>
</sst>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₹&quot;\ #,##0;[Red]&quot;₹&quot;\ \-#,##0"/>
    <numFmt numFmtId="43" formatCode="_ * #,##0.00_ ;_ * \-#,##0.00_ ;_ * &quot;-&quot;??_ ;_ @_ "/>
    <numFmt numFmtId="164" formatCode="_ * #,##0_ ;_ * \-#,##0_ ;_ * &quot;-&quot;??_ ;_ @_ "/>
    <numFmt numFmtId="165" formatCode="_ * #,##0_ ;_ * \-#,##0_ ;_ * &quot;-&quot;?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0" fillId="0" borderId="1" xfId="1" applyFont="1" applyBorder="1"/>
    <xf numFmtId="43" fontId="0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3" fillId="3" borderId="1" xfId="0" applyFont="1" applyFill="1" applyBorder="1" applyAlignment="1">
      <alignment horizontal="right"/>
    </xf>
    <xf numFmtId="43" fontId="3" fillId="3" borderId="1" xfId="1" applyFont="1" applyFill="1" applyBorder="1" applyAlignment="1">
      <alignment horizontal="right"/>
    </xf>
    <xf numFmtId="164" fontId="0" fillId="0" borderId="0" xfId="1" applyNumberFormat="1" applyFont="1"/>
    <xf numFmtId="43" fontId="0" fillId="0" borderId="0" xfId="0" applyNumberFormat="1"/>
    <xf numFmtId="164" fontId="0" fillId="0" borderId="0" xfId="0" applyNumberFormat="1"/>
    <xf numFmtId="14" fontId="0" fillId="0" borderId="0" xfId="0" applyNumberFormat="1"/>
    <xf numFmtId="9" fontId="0" fillId="0" borderId="0" xfId="0" applyNumberFormat="1"/>
    <xf numFmtId="164" fontId="0" fillId="0" borderId="1" xfId="1" applyNumberFormat="1" applyFont="1" applyBorder="1"/>
    <xf numFmtId="9" fontId="0" fillId="0" borderId="1" xfId="2" applyFont="1" applyBorder="1"/>
    <xf numFmtId="164" fontId="3" fillId="0" borderId="0" xfId="0" applyNumberFormat="1" applyFont="1"/>
    <xf numFmtId="165" fontId="0" fillId="0" borderId="1" xfId="0" applyNumberFormat="1" applyBorder="1"/>
    <xf numFmtId="164" fontId="3" fillId="0" borderId="1" xfId="0" applyNumberFormat="1" applyFont="1" applyBorder="1"/>
    <xf numFmtId="164" fontId="0" fillId="0" borderId="1" xfId="0" applyNumberFormat="1" applyBorder="1"/>
    <xf numFmtId="164" fontId="3" fillId="3" borderId="1" xfId="0" applyNumberFormat="1" applyFont="1" applyFill="1" applyBorder="1"/>
    <xf numFmtId="9" fontId="0" fillId="0" borderId="0" xfId="2" applyFont="1"/>
    <xf numFmtId="43" fontId="3" fillId="0" borderId="1" xfId="0" applyNumberFormat="1" applyFont="1" applyBorder="1"/>
    <xf numFmtId="164" fontId="3" fillId="0" borderId="1" xfId="1" applyNumberFormat="1" applyFont="1" applyBorder="1"/>
    <xf numFmtId="0" fontId="0" fillId="0" borderId="1" xfId="1" applyNumberFormat="1" applyFont="1" applyBorder="1"/>
    <xf numFmtId="0" fontId="3" fillId="3" borderId="1" xfId="0" applyFont="1" applyFill="1" applyBorder="1"/>
    <xf numFmtId="9" fontId="3" fillId="0" borderId="1" xfId="2" applyFont="1" applyBorder="1"/>
    <xf numFmtId="165" fontId="0" fillId="0" borderId="2" xfId="0" applyNumberFormat="1" applyFill="1" applyBorder="1"/>
    <xf numFmtId="43" fontId="0" fillId="0" borderId="2" xfId="1" applyFont="1" applyFill="1" applyBorder="1"/>
    <xf numFmtId="164" fontId="3" fillId="0" borderId="1" xfId="1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6" fontId="4" fillId="0" borderId="3" xfId="0" applyNumberFormat="1" applyFont="1" applyBorder="1" applyAlignment="1">
      <alignment horizontal="right" vertical="center" wrapText="1"/>
    </xf>
    <xf numFmtId="6" fontId="4" fillId="0" borderId="4" xfId="0" applyNumberFormat="1" applyFont="1" applyBorder="1" applyAlignment="1">
      <alignment horizontal="right" vertical="center" wrapText="1"/>
    </xf>
    <xf numFmtId="43" fontId="0" fillId="0" borderId="0" xfId="1" applyNumberFormat="1" applyFont="1"/>
    <xf numFmtId="164" fontId="0" fillId="0" borderId="2" xfId="1" applyNumberFormat="1" applyFont="1" applyFill="1" applyBorder="1"/>
    <xf numFmtId="0" fontId="3" fillId="3" borderId="1" xfId="0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28575</xdr:colOff>
      <xdr:row>28</xdr:row>
      <xdr:rowOff>29089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992" t="8467" r="18243" b="8748"/>
        <a:stretch/>
      </xdr:blipFill>
      <xdr:spPr>
        <a:xfrm>
          <a:off x="0" y="0"/>
          <a:ext cx="7343775" cy="5363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7"/>
  <sheetViews>
    <sheetView topLeftCell="B16" workbookViewId="0">
      <selection activeCell="C25" sqref="C25"/>
    </sheetView>
  </sheetViews>
  <sheetFormatPr defaultRowHeight="15" x14ac:dyDescent="0.25"/>
  <cols>
    <col min="2" max="2" width="12.5703125" bestFit="1" customWidth="1"/>
    <col min="3" max="3" width="15.28515625" bestFit="1" customWidth="1"/>
    <col min="4" max="4" width="8.28515625" bestFit="1" customWidth="1"/>
    <col min="5" max="6" width="12.5703125" bestFit="1" customWidth="1"/>
    <col min="7" max="7" width="10" bestFit="1" customWidth="1"/>
    <col min="9" max="9" width="15.28515625" bestFit="1" customWidth="1"/>
    <col min="12" max="13" width="14.28515625" bestFit="1" customWidth="1"/>
  </cols>
  <sheetData>
    <row r="3" spans="2:14" s="3" customFormat="1" x14ac:dyDescent="0.25">
      <c r="B3" s="4" t="s">
        <v>0</v>
      </c>
      <c r="C3" s="4" t="s">
        <v>37</v>
      </c>
      <c r="D3" s="4" t="s">
        <v>36</v>
      </c>
      <c r="E3" s="4" t="s">
        <v>35</v>
      </c>
      <c r="F3" s="4" t="s">
        <v>28</v>
      </c>
    </row>
    <row r="4" spans="2:14" x14ac:dyDescent="0.25">
      <c r="B4" s="2" t="s">
        <v>33</v>
      </c>
      <c r="C4" s="18">
        <f>Building!C2</f>
        <v>50625</v>
      </c>
      <c r="D4" s="5">
        <f>C4*1.196/900</f>
        <v>67.275000000000006</v>
      </c>
      <c r="E4" s="23">
        <f>G9</f>
        <v>4200000</v>
      </c>
      <c r="F4" s="18">
        <f>E4*D4</f>
        <v>282555000</v>
      </c>
      <c r="I4" s="13">
        <f>F4</f>
        <v>282555000</v>
      </c>
    </row>
    <row r="5" spans="2:14" x14ac:dyDescent="0.25">
      <c r="B5" s="2" t="s">
        <v>34</v>
      </c>
      <c r="C5" s="18">
        <f>Building!H3</f>
        <v>50142</v>
      </c>
      <c r="D5" s="5">
        <f>C5*1.196/900</f>
        <v>66.633146666666661</v>
      </c>
      <c r="E5" s="23">
        <f>F10</f>
        <v>2648829.4314381275</v>
      </c>
      <c r="F5" s="18">
        <f>E5*D5</f>
        <v>176499840.00000003</v>
      </c>
      <c r="H5" t="s">
        <v>0</v>
      </c>
      <c r="I5" s="13">
        <f>Building!P23</f>
        <v>1054763001.7172326</v>
      </c>
    </row>
    <row r="6" spans="2:14" s="10" customFormat="1" x14ac:dyDescent="0.25">
      <c r="B6" s="9" t="s">
        <v>15</v>
      </c>
      <c r="C6" s="22">
        <f>SUM(C4:C5)</f>
        <v>100767</v>
      </c>
      <c r="D6" s="26">
        <f>SUM(D4:D5)</f>
        <v>133.90814666666665</v>
      </c>
      <c r="E6" s="30">
        <f>E5/E4</f>
        <v>0.63067367415193509</v>
      </c>
      <c r="F6" s="27">
        <f>SUM(F4:F5)</f>
        <v>459054840</v>
      </c>
      <c r="I6" s="20">
        <f>SUM(I4:I5)</f>
        <v>1337318001.7172327</v>
      </c>
      <c r="L6" s="20">
        <f>F6+I5</f>
        <v>1513817841.7172327</v>
      </c>
    </row>
    <row r="7" spans="2:14" x14ac:dyDescent="0.25">
      <c r="I7" s="15">
        <f>I6+F5</f>
        <v>1513817841.7172327</v>
      </c>
      <c r="J7" s="14">
        <f>I7/10^7</f>
        <v>151.38178417172327</v>
      </c>
    </row>
    <row r="9" spans="2:14" x14ac:dyDescent="0.25">
      <c r="D9">
        <v>60</v>
      </c>
      <c r="E9" s="13">
        <f>D9*10^5</f>
        <v>6000000</v>
      </c>
      <c r="F9" s="25">
        <v>0.3</v>
      </c>
      <c r="G9" s="15">
        <f>(1-F9)*E9</f>
        <v>4200000</v>
      </c>
    </row>
    <row r="10" spans="2:14" x14ac:dyDescent="0.25">
      <c r="E10">
        <f>3200*1.1</f>
        <v>3520.0000000000005</v>
      </c>
      <c r="F10" s="13">
        <f>E10*900/1.196</f>
        <v>2648829.4314381275</v>
      </c>
    </row>
    <row r="11" spans="2:14" x14ac:dyDescent="0.25">
      <c r="E11">
        <f>E10*900*1.195</f>
        <v>3785760.0000000009</v>
      </c>
    </row>
    <row r="12" spans="2:14" x14ac:dyDescent="0.25">
      <c r="F12" s="13"/>
    </row>
    <row r="13" spans="2:14" x14ac:dyDescent="0.25">
      <c r="L13" s="2" t="s">
        <v>51</v>
      </c>
      <c r="M13" s="2" t="s">
        <v>28</v>
      </c>
      <c r="N13" s="2" t="s">
        <v>50</v>
      </c>
    </row>
    <row r="14" spans="2:14" x14ac:dyDescent="0.25">
      <c r="D14" t="s">
        <v>47</v>
      </c>
      <c r="E14" t="s">
        <v>48</v>
      </c>
      <c r="F14" t="s">
        <v>49</v>
      </c>
      <c r="L14" s="18" t="s">
        <v>33</v>
      </c>
      <c r="M14" s="18">
        <v>28</v>
      </c>
      <c r="N14" s="2"/>
    </row>
    <row r="15" spans="2:14" x14ac:dyDescent="0.25">
      <c r="C15" t="s">
        <v>45</v>
      </c>
      <c r="D15">
        <v>500</v>
      </c>
      <c r="E15" s="13">
        <v>5000</v>
      </c>
      <c r="F15">
        <f>E15*D15</f>
        <v>2500000</v>
      </c>
      <c r="L15" s="18" t="s">
        <v>0</v>
      </c>
      <c r="M15" s="18">
        <v>106</v>
      </c>
      <c r="N15" s="2"/>
    </row>
    <row r="16" spans="2:14" x14ac:dyDescent="0.25">
      <c r="C16" t="s">
        <v>46</v>
      </c>
      <c r="D16" s="6">
        <f>D15*1.196/900</f>
        <v>0.66444444444444439</v>
      </c>
      <c r="E16" s="13">
        <f>F16/D16</f>
        <v>3762541.8060200671</v>
      </c>
      <c r="F16">
        <f>F15</f>
        <v>2500000</v>
      </c>
      <c r="L16" s="33" t="s">
        <v>15</v>
      </c>
      <c r="M16" s="33">
        <f>SUM(M14:M15)</f>
        <v>134</v>
      </c>
      <c r="N16" s="34">
        <f>M16*0.85</f>
        <v>113.89999999999999</v>
      </c>
    </row>
    <row r="17" spans="3:14" x14ac:dyDescent="0.25">
      <c r="D17" s="15">
        <f>C5</f>
        <v>50142</v>
      </c>
      <c r="E17">
        <f>3200*1.1</f>
        <v>3520.0000000000005</v>
      </c>
      <c r="F17" s="15">
        <f>E17*D17</f>
        <v>176499840.00000003</v>
      </c>
      <c r="L17" s="2"/>
      <c r="M17" s="2"/>
      <c r="N17" s="2"/>
    </row>
    <row r="18" spans="3:14" x14ac:dyDescent="0.25">
      <c r="D18" s="14">
        <f>D17*1.196/900</f>
        <v>66.633146666666661</v>
      </c>
      <c r="E18" s="13">
        <f>F18/D18</f>
        <v>2648829.4314381275</v>
      </c>
      <c r="F18" s="15">
        <f>F17</f>
        <v>176499840.00000003</v>
      </c>
      <c r="L18" s="2" t="s">
        <v>34</v>
      </c>
      <c r="M18" s="2">
        <v>17.649999999999999</v>
      </c>
      <c r="N18" s="5">
        <f>M18*0.85</f>
        <v>15.002499999999998</v>
      </c>
    </row>
    <row r="19" spans="3:14" x14ac:dyDescent="0.25">
      <c r="M19" s="14"/>
    </row>
    <row r="22" spans="3:14" x14ac:dyDescent="0.25">
      <c r="C22">
        <v>3200</v>
      </c>
    </row>
    <row r="23" spans="3:14" ht="15.75" thickBot="1" x14ac:dyDescent="0.3">
      <c r="C23" s="15">
        <f>C22*C4</f>
        <v>162000000</v>
      </c>
      <c r="F23" s="13">
        <f>4047*800</f>
        <v>3237600</v>
      </c>
    </row>
    <row r="24" spans="3:14" ht="15.75" thickBot="1" x14ac:dyDescent="0.3">
      <c r="C24" s="13">
        <f>Building!C25</f>
        <v>564776230.55999994</v>
      </c>
      <c r="F24" s="13">
        <v>2500000</v>
      </c>
      <c r="L24" s="35">
        <v>608400</v>
      </c>
    </row>
    <row r="25" spans="3:14" ht="15.75" thickBot="1" x14ac:dyDescent="0.3">
      <c r="C25" s="15">
        <f>C24+C23</f>
        <v>726776230.55999994</v>
      </c>
      <c r="F25" s="37">
        <f>C4/4047</f>
        <v>12.509266123054115</v>
      </c>
      <c r="L25" s="36">
        <v>3036198</v>
      </c>
    </row>
    <row r="26" spans="3:14" x14ac:dyDescent="0.25">
      <c r="C26" s="25">
        <f>C25/M33</f>
        <v>0.53835276337777771</v>
      </c>
      <c r="F26" s="13">
        <f>F25*F24</f>
        <v>31273165.307635285</v>
      </c>
      <c r="L26" s="13">
        <f>L25+L24</f>
        <v>3644598</v>
      </c>
    </row>
    <row r="27" spans="3:14" x14ac:dyDescent="0.25">
      <c r="F27" s="13"/>
    </row>
    <row r="28" spans="3:14" x14ac:dyDescent="0.25">
      <c r="F28" s="13">
        <v>1.44</v>
      </c>
    </row>
    <row r="29" spans="3:14" x14ac:dyDescent="0.25">
      <c r="F29" s="15">
        <v>1700</v>
      </c>
      <c r="L29" t="s">
        <v>52</v>
      </c>
      <c r="M29" s="15">
        <f>F4</f>
        <v>282555000</v>
      </c>
    </row>
    <row r="30" spans="3:14" x14ac:dyDescent="0.25">
      <c r="F30" s="15">
        <f>F29*6000</f>
        <v>10200000</v>
      </c>
      <c r="L30" t="s">
        <v>0</v>
      </c>
      <c r="M30">
        <f>Building!P23</f>
        <v>1054763001.7172326</v>
      </c>
    </row>
    <row r="31" spans="3:14" x14ac:dyDescent="0.25">
      <c r="L31" t="s">
        <v>53</v>
      </c>
      <c r="M31" s="15">
        <f>F30</f>
        <v>10200000</v>
      </c>
    </row>
    <row r="32" spans="3:14" x14ac:dyDescent="0.25">
      <c r="M32" s="15">
        <f>SUM(M29:M31)</f>
        <v>1347518001.7172327</v>
      </c>
    </row>
    <row r="33" spans="13:13" x14ac:dyDescent="0.25">
      <c r="M33" s="15">
        <v>1350000000</v>
      </c>
    </row>
    <row r="34" spans="13:13" x14ac:dyDescent="0.25">
      <c r="M34" s="15">
        <f>M33*0.85</f>
        <v>1147500000</v>
      </c>
    </row>
    <row r="35" spans="13:13" x14ac:dyDescent="0.25">
      <c r="M35" s="15">
        <f>M33*0.75</f>
        <v>1012500000</v>
      </c>
    </row>
    <row r="36" spans="13:13" x14ac:dyDescent="0.25">
      <c r="M36" s="15"/>
    </row>
    <row r="37" spans="13:13" x14ac:dyDescent="0.25">
      <c r="M37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9"/>
  <sheetViews>
    <sheetView workbookViewId="0">
      <selection activeCell="B30" sqref="B30"/>
    </sheetView>
  </sheetViews>
  <sheetFormatPr defaultRowHeight="15" x14ac:dyDescent="0.25"/>
  <cols>
    <col min="3" max="3" width="15.28515625" bestFit="1" customWidth="1"/>
    <col min="4" max="4" width="12.5703125" bestFit="1" customWidth="1"/>
  </cols>
  <sheetData>
    <row r="3" spans="2:4" x14ac:dyDescent="0.25">
      <c r="B3">
        <v>4</v>
      </c>
      <c r="C3" s="6">
        <v>31134</v>
      </c>
    </row>
    <row r="4" spans="2:4" x14ac:dyDescent="0.25">
      <c r="C4" s="6">
        <v>2893.49</v>
      </c>
      <c r="D4">
        <f>C3*B3/C4</f>
        <v>43.040065802888556</v>
      </c>
    </row>
    <row r="5" spans="2:4" x14ac:dyDescent="0.25">
      <c r="C5" s="6">
        <f>SUM(C3:C4)</f>
        <v>34027.49</v>
      </c>
      <c r="D5" s="13">
        <f>C5*12000*0.86</f>
        <v>351163696.80000001</v>
      </c>
    </row>
    <row r="6" spans="2:4" x14ac:dyDescent="0.25">
      <c r="C6" s="13">
        <v>119443267</v>
      </c>
    </row>
    <row r="7" spans="2:4" x14ac:dyDescent="0.25">
      <c r="C7" s="13">
        <f>C6/(12000*0.86)</f>
        <v>11573.959980620155</v>
      </c>
    </row>
    <row r="9" spans="2:4" x14ac:dyDescent="0.25">
      <c r="C9" s="6">
        <v>11576.95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workbookViewId="0">
      <selection activeCell="C25" sqref="C25"/>
    </sheetView>
  </sheetViews>
  <sheetFormatPr defaultRowHeight="15" x14ac:dyDescent="0.25"/>
  <cols>
    <col min="2" max="2" width="23" customWidth="1"/>
    <col min="3" max="3" width="12.5703125" bestFit="1" customWidth="1"/>
    <col min="4" max="4" width="12.28515625" hidden="1" customWidth="1"/>
    <col min="5" max="5" width="15.28515625" bestFit="1" customWidth="1"/>
    <col min="6" max="6" width="15.28515625" hidden="1" customWidth="1"/>
    <col min="7" max="7" width="12.5703125" hidden="1" customWidth="1"/>
    <col min="8" max="8" width="10" bestFit="1" customWidth="1"/>
    <col min="9" max="9" width="16.85546875" bestFit="1" customWidth="1"/>
    <col min="10" max="10" width="7.7109375" hidden="1" customWidth="1"/>
    <col min="11" max="11" width="12.28515625" bestFit="1" customWidth="1"/>
    <col min="12" max="12" width="10.42578125" bestFit="1" customWidth="1"/>
    <col min="13" max="13" width="10.42578125" hidden="1" customWidth="1"/>
    <col min="14" max="14" width="0" hidden="1" customWidth="1"/>
    <col min="15" max="15" width="15.28515625" hidden="1" customWidth="1"/>
    <col min="16" max="16" width="16.85546875" bestFit="1" customWidth="1"/>
  </cols>
  <sheetData>
    <row r="1" spans="1:16" x14ac:dyDescent="0.25">
      <c r="F1" s="14">
        <f>SUM(F2:G2)</f>
        <v>60.290758666666669</v>
      </c>
    </row>
    <row r="2" spans="1:16" x14ac:dyDescent="0.25">
      <c r="B2" t="s">
        <v>1</v>
      </c>
      <c r="C2" s="13">
        <f>(C3+B3)*10000</f>
        <v>50625</v>
      </c>
      <c r="D2" s="15">
        <f>C2*1.196</f>
        <v>60547.5</v>
      </c>
      <c r="E2" t="s">
        <v>17</v>
      </c>
      <c r="F2" s="14">
        <f>F3/10^7</f>
        <v>33.637500000000003</v>
      </c>
      <c r="G2" s="6">
        <f>G3*H2/10^7</f>
        <v>26.653258666666666</v>
      </c>
      <c r="H2" s="6">
        <f>H3*1.196/900</f>
        <v>66.633146666666661</v>
      </c>
      <c r="N2">
        <v>0.95</v>
      </c>
    </row>
    <row r="3" spans="1:16" x14ac:dyDescent="0.25">
      <c r="B3">
        <v>1.17</v>
      </c>
      <c r="C3">
        <v>3.8925000000000001</v>
      </c>
      <c r="D3" s="6">
        <f>D2/900</f>
        <v>67.275000000000006</v>
      </c>
      <c r="E3" s="13">
        <f>E4*10^5</f>
        <v>5000000</v>
      </c>
      <c r="F3" s="15">
        <f>E3*D3</f>
        <v>336375000</v>
      </c>
      <c r="G3" s="13">
        <v>4000000</v>
      </c>
      <c r="H3">
        <v>50142</v>
      </c>
      <c r="N3">
        <v>60</v>
      </c>
    </row>
    <row r="4" spans="1:16" x14ac:dyDescent="0.25">
      <c r="B4" s="16">
        <v>38349</v>
      </c>
      <c r="C4" s="16">
        <v>44193</v>
      </c>
      <c r="E4">
        <v>50</v>
      </c>
      <c r="G4" s="13">
        <f>3200*1.196</f>
        <v>3827.2</v>
      </c>
      <c r="H4" s="15">
        <f>G4*900</f>
        <v>3444480</v>
      </c>
      <c r="M4">
        <v>2023</v>
      </c>
      <c r="N4">
        <f>2023-2015</f>
        <v>8</v>
      </c>
    </row>
    <row r="5" spans="1:16" s="3" customFormat="1" ht="30" x14ac:dyDescent="0.25">
      <c r="A5" s="7" t="s">
        <v>13</v>
      </c>
      <c r="B5" s="7" t="s">
        <v>12</v>
      </c>
      <c r="C5" s="8" t="s">
        <v>14</v>
      </c>
      <c r="D5" s="8" t="s">
        <v>25</v>
      </c>
      <c r="E5" s="8" t="s">
        <v>16</v>
      </c>
      <c r="F5" s="7" t="s">
        <v>23</v>
      </c>
      <c r="G5" s="7" t="s">
        <v>24</v>
      </c>
      <c r="H5" s="7"/>
      <c r="I5" s="7" t="s">
        <v>26</v>
      </c>
      <c r="J5" s="8" t="s">
        <v>29</v>
      </c>
      <c r="K5" s="8" t="s">
        <v>44</v>
      </c>
      <c r="L5" s="8" t="s">
        <v>31</v>
      </c>
      <c r="M5" s="7" t="s">
        <v>30</v>
      </c>
      <c r="N5" s="7" t="s">
        <v>27</v>
      </c>
      <c r="O5" s="7" t="s">
        <v>32</v>
      </c>
      <c r="P5" s="7" t="s">
        <v>28</v>
      </c>
    </row>
    <row r="6" spans="1:16" x14ac:dyDescent="0.25">
      <c r="A6" s="1">
        <v>1</v>
      </c>
      <c r="B6" s="2" t="s">
        <v>2</v>
      </c>
      <c r="C6" s="5">
        <v>7836.69</v>
      </c>
      <c r="D6" s="18">
        <f>C6*10.764</f>
        <v>84354.13115999999</v>
      </c>
      <c r="E6" s="2" t="s">
        <v>22</v>
      </c>
      <c r="F6" s="18">
        <v>23908.500000000004</v>
      </c>
      <c r="G6" s="19">
        <v>1.1499999999999999</v>
      </c>
      <c r="H6" s="21">
        <f>F6*G6/10.764</f>
        <v>2554.3269230769233</v>
      </c>
      <c r="I6" s="18">
        <f>H6*D6</f>
        <v>215468028.29475001</v>
      </c>
      <c r="J6" s="19">
        <v>0.05</v>
      </c>
      <c r="K6" s="28">
        <v>2015</v>
      </c>
      <c r="L6" s="18">
        <v>60</v>
      </c>
      <c r="M6" s="5">
        <f>$M$4-K6</f>
        <v>8</v>
      </c>
      <c r="N6" s="19">
        <f>M6*(1-J6)/L6</f>
        <v>0.12666666666666665</v>
      </c>
      <c r="O6" s="23">
        <f>N6*I6</f>
        <v>27292616.917334996</v>
      </c>
      <c r="P6" s="23">
        <f>I6-O6</f>
        <v>188175411.377415</v>
      </c>
    </row>
    <row r="7" spans="1:16" x14ac:dyDescent="0.25">
      <c r="A7" s="1">
        <v>2</v>
      </c>
      <c r="B7" s="2" t="s">
        <v>3</v>
      </c>
      <c r="C7" s="5">
        <v>2582.2199999999998</v>
      </c>
      <c r="D7" s="18">
        <f t="shared" ref="D7:D22" si="0">C7*10.764</f>
        <v>27795.016079999998</v>
      </c>
      <c r="E7" s="2" t="s">
        <v>22</v>
      </c>
      <c r="F7" s="18">
        <v>23908.500000000004</v>
      </c>
      <c r="G7" s="19">
        <v>1.1499999999999999</v>
      </c>
      <c r="H7" s="21">
        <f t="shared" ref="H7:H16" si="1">F7*G7/10.764</f>
        <v>2554.3269230769233</v>
      </c>
      <c r="I7" s="18">
        <f t="shared" ref="I7:I16" si="2">H7*D7</f>
        <v>70997557.9005</v>
      </c>
      <c r="J7" s="19">
        <v>0.05</v>
      </c>
      <c r="K7" s="28">
        <f>K6</f>
        <v>2015</v>
      </c>
      <c r="L7" s="18">
        <v>60</v>
      </c>
      <c r="M7" s="5">
        <f t="shared" ref="M7:M22" si="3">$M$4-K7</f>
        <v>8</v>
      </c>
      <c r="N7" s="19">
        <f t="shared" ref="N7:N22" si="4">M7*(1-J7)/L7</f>
        <v>0.12666666666666665</v>
      </c>
      <c r="O7" s="23">
        <f t="shared" ref="O7:O16" si="5">N7*I7</f>
        <v>8993024.0007299986</v>
      </c>
      <c r="P7" s="23">
        <f t="shared" ref="P7:P16" si="6">I7-O7</f>
        <v>62004533.899769999</v>
      </c>
    </row>
    <row r="8" spans="1:16" x14ac:dyDescent="0.25">
      <c r="A8" s="1">
        <v>3</v>
      </c>
      <c r="B8" s="2" t="s">
        <v>4</v>
      </c>
      <c r="C8" s="5">
        <v>5772.48</v>
      </c>
      <c r="D8" s="18">
        <f t="shared" si="0"/>
        <v>62134.974719999991</v>
      </c>
      <c r="E8" s="2" t="s">
        <v>22</v>
      </c>
      <c r="F8" s="18">
        <v>23908.500000000004</v>
      </c>
      <c r="G8" s="19">
        <v>1.1499999999999999</v>
      </c>
      <c r="H8" s="21">
        <f t="shared" si="1"/>
        <v>2554.3269230769233</v>
      </c>
      <c r="I8" s="18">
        <f t="shared" si="2"/>
        <v>158713038.792</v>
      </c>
      <c r="J8" s="19">
        <v>0.05</v>
      </c>
      <c r="K8" s="28">
        <f t="shared" ref="K8:K16" si="7">K7</f>
        <v>2015</v>
      </c>
      <c r="L8" s="18">
        <v>60</v>
      </c>
      <c r="M8" s="5">
        <f t="shared" si="3"/>
        <v>8</v>
      </c>
      <c r="N8" s="19">
        <f t="shared" si="4"/>
        <v>0.12666666666666665</v>
      </c>
      <c r="O8" s="23">
        <f t="shared" si="5"/>
        <v>20103651.580319997</v>
      </c>
      <c r="P8" s="23">
        <f t="shared" si="6"/>
        <v>138609387.21168</v>
      </c>
    </row>
    <row r="9" spans="1:16" x14ac:dyDescent="0.25">
      <c r="A9" s="1">
        <v>4</v>
      </c>
      <c r="B9" s="2" t="s">
        <v>5</v>
      </c>
      <c r="C9" s="5">
        <v>12678</v>
      </c>
      <c r="D9" s="18">
        <f t="shared" si="0"/>
        <v>136465.992</v>
      </c>
      <c r="E9" s="2" t="s">
        <v>22</v>
      </c>
      <c r="F9" s="18">
        <v>23908.500000000004</v>
      </c>
      <c r="G9" s="19">
        <v>1.1499999999999999</v>
      </c>
      <c r="H9" s="21">
        <f t="shared" si="1"/>
        <v>2554.3269230769233</v>
      </c>
      <c r="I9" s="18">
        <f t="shared" si="2"/>
        <v>348578757.45000005</v>
      </c>
      <c r="J9" s="19">
        <v>0.05</v>
      </c>
      <c r="K9" s="28">
        <f t="shared" si="7"/>
        <v>2015</v>
      </c>
      <c r="L9" s="18">
        <v>60</v>
      </c>
      <c r="M9" s="5">
        <f t="shared" si="3"/>
        <v>8</v>
      </c>
      <c r="N9" s="19">
        <f t="shared" si="4"/>
        <v>0.12666666666666665</v>
      </c>
      <c r="O9" s="23">
        <f t="shared" si="5"/>
        <v>44153309.277000003</v>
      </c>
      <c r="P9" s="23">
        <f t="shared" si="6"/>
        <v>304425448.17300004</v>
      </c>
    </row>
    <row r="10" spans="1:16" x14ac:dyDescent="0.25">
      <c r="A10" s="1">
        <v>5</v>
      </c>
      <c r="B10" s="2" t="s">
        <v>6</v>
      </c>
      <c r="C10" s="5">
        <v>3872.12</v>
      </c>
      <c r="D10" s="18">
        <f t="shared" si="0"/>
        <v>41679.499679999994</v>
      </c>
      <c r="E10" s="2" t="s">
        <v>22</v>
      </c>
      <c r="F10" s="18">
        <v>23908.500000000004</v>
      </c>
      <c r="G10" s="19">
        <v>0.9</v>
      </c>
      <c r="H10" s="21">
        <f t="shared" si="1"/>
        <v>1999.0384615384621</v>
      </c>
      <c r="I10" s="18">
        <f t="shared" si="2"/>
        <v>83318922.918000013</v>
      </c>
      <c r="J10" s="19">
        <v>0.05</v>
      </c>
      <c r="K10" s="28">
        <f t="shared" si="7"/>
        <v>2015</v>
      </c>
      <c r="L10" s="18">
        <v>60</v>
      </c>
      <c r="M10" s="5">
        <f t="shared" si="3"/>
        <v>8</v>
      </c>
      <c r="N10" s="19">
        <f t="shared" si="4"/>
        <v>0.12666666666666665</v>
      </c>
      <c r="O10" s="23">
        <f t="shared" si="5"/>
        <v>10553730.23628</v>
      </c>
      <c r="P10" s="23">
        <f t="shared" si="6"/>
        <v>72765192.681720018</v>
      </c>
    </row>
    <row r="11" spans="1:16" x14ac:dyDescent="0.25">
      <c r="A11" s="1">
        <v>6</v>
      </c>
      <c r="B11" s="2" t="s">
        <v>7</v>
      </c>
      <c r="C11" s="5">
        <v>714.15</v>
      </c>
      <c r="D11" s="18">
        <f t="shared" si="0"/>
        <v>7687.1105999999991</v>
      </c>
      <c r="E11" s="2" t="s">
        <v>22</v>
      </c>
      <c r="F11" s="18">
        <v>23908.500000000004</v>
      </c>
      <c r="G11" s="19">
        <v>0.8</v>
      </c>
      <c r="H11" s="21">
        <f t="shared" si="1"/>
        <v>1776.9230769230774</v>
      </c>
      <c r="I11" s="18">
        <f t="shared" si="2"/>
        <v>13659404.220000003</v>
      </c>
      <c r="J11" s="19">
        <v>0.05</v>
      </c>
      <c r="K11" s="28">
        <f t="shared" si="7"/>
        <v>2015</v>
      </c>
      <c r="L11" s="18">
        <v>60</v>
      </c>
      <c r="M11" s="5">
        <f t="shared" si="3"/>
        <v>8</v>
      </c>
      <c r="N11" s="19">
        <f t="shared" si="4"/>
        <v>0.12666666666666665</v>
      </c>
      <c r="O11" s="23">
        <f t="shared" si="5"/>
        <v>1730191.2012</v>
      </c>
      <c r="P11" s="23">
        <f t="shared" si="6"/>
        <v>11929213.018800002</v>
      </c>
    </row>
    <row r="12" spans="1:16" x14ac:dyDescent="0.25">
      <c r="A12" s="1">
        <v>7</v>
      </c>
      <c r="B12" s="2" t="s">
        <v>8</v>
      </c>
      <c r="C12" s="5">
        <v>292.56</v>
      </c>
      <c r="D12" s="18">
        <f t="shared" si="0"/>
        <v>3149.1158399999999</v>
      </c>
      <c r="E12" s="2" t="s">
        <v>22</v>
      </c>
      <c r="F12" s="18">
        <v>23908.500000000004</v>
      </c>
      <c r="G12" s="19">
        <v>0.7</v>
      </c>
      <c r="H12" s="21">
        <f t="shared" si="1"/>
        <v>1554.8076923076924</v>
      </c>
      <c r="I12" s="18">
        <f t="shared" si="2"/>
        <v>4896269.5319999997</v>
      </c>
      <c r="J12" s="19">
        <v>0.05</v>
      </c>
      <c r="K12" s="28">
        <f t="shared" si="7"/>
        <v>2015</v>
      </c>
      <c r="L12" s="18">
        <v>60</v>
      </c>
      <c r="M12" s="5">
        <f t="shared" si="3"/>
        <v>8</v>
      </c>
      <c r="N12" s="19">
        <f t="shared" si="4"/>
        <v>0.12666666666666665</v>
      </c>
      <c r="O12" s="23">
        <f t="shared" si="5"/>
        <v>620194.14071999991</v>
      </c>
      <c r="P12" s="23">
        <f t="shared" si="6"/>
        <v>4276075.3912800001</v>
      </c>
    </row>
    <row r="13" spans="1:16" x14ac:dyDescent="0.25">
      <c r="A13" s="1">
        <v>8</v>
      </c>
      <c r="B13" s="2" t="s">
        <v>9</v>
      </c>
      <c r="C13" s="5">
        <v>29.04</v>
      </c>
      <c r="D13" s="18">
        <f t="shared" si="0"/>
        <v>312.58655999999996</v>
      </c>
      <c r="E13" s="2" t="s">
        <v>22</v>
      </c>
      <c r="F13" s="18">
        <v>23908.500000000004</v>
      </c>
      <c r="G13" s="19">
        <v>0.7</v>
      </c>
      <c r="H13" s="21">
        <f t="shared" si="1"/>
        <v>1554.8076923076924</v>
      </c>
      <c r="I13" s="18">
        <f t="shared" si="2"/>
        <v>486011.98799999995</v>
      </c>
      <c r="J13" s="19">
        <v>0.05</v>
      </c>
      <c r="K13" s="28">
        <f t="shared" si="7"/>
        <v>2015</v>
      </c>
      <c r="L13" s="18">
        <v>60</v>
      </c>
      <c r="M13" s="5">
        <f t="shared" si="3"/>
        <v>8</v>
      </c>
      <c r="N13" s="19">
        <f t="shared" si="4"/>
        <v>0.12666666666666665</v>
      </c>
      <c r="O13" s="23">
        <f t="shared" si="5"/>
        <v>61561.518479999984</v>
      </c>
      <c r="P13" s="23">
        <f t="shared" si="6"/>
        <v>424450.46951999998</v>
      </c>
    </row>
    <row r="14" spans="1:16" x14ac:dyDescent="0.25">
      <c r="A14" s="1">
        <v>9</v>
      </c>
      <c r="B14" s="2" t="s">
        <v>10</v>
      </c>
      <c r="C14" s="5">
        <v>1496.19</v>
      </c>
      <c r="D14" s="18">
        <f t="shared" si="0"/>
        <v>16104.989159999999</v>
      </c>
      <c r="E14" s="2" t="s">
        <v>22</v>
      </c>
      <c r="F14" s="18">
        <v>23908.500000000004</v>
      </c>
      <c r="G14" s="19">
        <v>0.8</v>
      </c>
      <c r="H14" s="21">
        <f t="shared" si="1"/>
        <v>1776.9230769230774</v>
      </c>
      <c r="I14" s="18">
        <f t="shared" si="2"/>
        <v>28617326.892000005</v>
      </c>
      <c r="J14" s="19">
        <v>0.05</v>
      </c>
      <c r="K14" s="28">
        <f t="shared" si="7"/>
        <v>2015</v>
      </c>
      <c r="L14" s="18">
        <v>60</v>
      </c>
      <c r="M14" s="5">
        <f t="shared" si="3"/>
        <v>8</v>
      </c>
      <c r="N14" s="19">
        <f t="shared" si="4"/>
        <v>0.12666666666666665</v>
      </c>
      <c r="O14" s="23">
        <f t="shared" si="5"/>
        <v>3624861.4063200001</v>
      </c>
      <c r="P14" s="23">
        <f t="shared" si="6"/>
        <v>24992465.485680006</v>
      </c>
    </row>
    <row r="15" spans="1:16" x14ac:dyDescent="0.25">
      <c r="A15" s="1">
        <v>10</v>
      </c>
      <c r="B15" s="2" t="s">
        <v>10</v>
      </c>
      <c r="C15" s="5">
        <v>1334.94</v>
      </c>
      <c r="D15" s="18">
        <f t="shared" si="0"/>
        <v>14369.294159999999</v>
      </c>
      <c r="E15" s="2" t="s">
        <v>22</v>
      </c>
      <c r="F15" s="18">
        <v>23908.500000000004</v>
      </c>
      <c r="G15" s="19">
        <v>0.8</v>
      </c>
      <c r="H15" s="21">
        <f t="shared" si="1"/>
        <v>1776.9230769230774</v>
      </c>
      <c r="I15" s="18">
        <f t="shared" si="2"/>
        <v>25533130.392000005</v>
      </c>
      <c r="J15" s="19">
        <v>0.05</v>
      </c>
      <c r="K15" s="28">
        <f t="shared" si="7"/>
        <v>2015</v>
      </c>
      <c r="L15" s="18">
        <v>60</v>
      </c>
      <c r="M15" s="5">
        <f t="shared" si="3"/>
        <v>8</v>
      </c>
      <c r="N15" s="19">
        <f t="shared" si="4"/>
        <v>0.12666666666666665</v>
      </c>
      <c r="O15" s="23">
        <f t="shared" si="5"/>
        <v>3234196.5163199999</v>
      </c>
      <c r="P15" s="23">
        <f t="shared" si="6"/>
        <v>22298933.875680003</v>
      </c>
    </row>
    <row r="16" spans="1:16" x14ac:dyDescent="0.25">
      <c r="A16" s="1">
        <v>11</v>
      </c>
      <c r="B16" s="2" t="s">
        <v>11</v>
      </c>
      <c r="C16" s="5">
        <v>1953</v>
      </c>
      <c r="D16" s="18">
        <f t="shared" si="0"/>
        <v>21022.091999999997</v>
      </c>
      <c r="E16" s="2" t="s">
        <v>22</v>
      </c>
      <c r="F16" s="18">
        <v>23908.500000000004</v>
      </c>
      <c r="G16" s="19">
        <v>1.1499999999999999</v>
      </c>
      <c r="H16" s="21">
        <f t="shared" si="1"/>
        <v>2554.3269230769233</v>
      </c>
      <c r="I16" s="18">
        <f t="shared" si="2"/>
        <v>53697295.574999996</v>
      </c>
      <c r="J16" s="19">
        <v>0.05</v>
      </c>
      <c r="K16" s="28">
        <f t="shared" si="7"/>
        <v>2015</v>
      </c>
      <c r="L16" s="18">
        <v>60</v>
      </c>
      <c r="M16" s="5">
        <f t="shared" si="3"/>
        <v>8</v>
      </c>
      <c r="N16" s="19">
        <f t="shared" si="4"/>
        <v>0.12666666666666665</v>
      </c>
      <c r="O16" s="23">
        <f t="shared" si="5"/>
        <v>6801657.4394999985</v>
      </c>
      <c r="P16" s="23">
        <f t="shared" si="6"/>
        <v>46895638.135499999</v>
      </c>
    </row>
    <row r="17" spans="1:16" x14ac:dyDescent="0.25">
      <c r="A17" s="1">
        <v>12</v>
      </c>
      <c r="B17" s="2" t="s">
        <v>38</v>
      </c>
      <c r="C17" s="5">
        <v>1904.28</v>
      </c>
      <c r="D17" s="18">
        <f t="shared" si="0"/>
        <v>20497.66992</v>
      </c>
      <c r="E17" s="2" t="s">
        <v>22</v>
      </c>
      <c r="F17" s="18">
        <v>23908.500000000004</v>
      </c>
      <c r="G17" s="19">
        <v>1</v>
      </c>
      <c r="H17" s="21">
        <f t="shared" ref="H17:H22" si="8">F17*G17/10.764</f>
        <v>2221.1538461538466</v>
      </c>
      <c r="I17" s="18">
        <f t="shared" ref="I17:I22" si="9">H17*D17</f>
        <v>45528478.38000001</v>
      </c>
      <c r="J17" s="19">
        <v>0.05</v>
      </c>
      <c r="K17" s="28">
        <v>2008</v>
      </c>
      <c r="L17" s="18">
        <v>60</v>
      </c>
      <c r="M17" s="5">
        <f t="shared" si="3"/>
        <v>15</v>
      </c>
      <c r="N17" s="19">
        <f t="shared" si="4"/>
        <v>0.23749999999999999</v>
      </c>
      <c r="O17" s="23">
        <f t="shared" ref="O17:O22" si="10">N17*I17</f>
        <v>10813013.615250003</v>
      </c>
      <c r="P17" s="23">
        <f t="shared" ref="P17:P22" si="11">I17-O17</f>
        <v>34715464.764750004</v>
      </c>
    </row>
    <row r="18" spans="1:16" x14ac:dyDescent="0.25">
      <c r="A18" s="1">
        <v>13</v>
      </c>
      <c r="B18" s="2" t="s">
        <v>39</v>
      </c>
      <c r="C18" s="5">
        <v>1461.12</v>
      </c>
      <c r="D18" s="18">
        <f t="shared" si="0"/>
        <v>15727.495679999998</v>
      </c>
      <c r="E18" s="2" t="s">
        <v>22</v>
      </c>
      <c r="F18" s="18">
        <v>23908.500000000004</v>
      </c>
      <c r="G18" s="19">
        <v>0.9</v>
      </c>
      <c r="H18" s="21">
        <f t="shared" si="8"/>
        <v>1999.0384615384621</v>
      </c>
      <c r="I18" s="18">
        <f t="shared" si="9"/>
        <v>31439868.768000007</v>
      </c>
      <c r="J18" s="19">
        <v>0.05</v>
      </c>
      <c r="K18" s="28">
        <f>K17</f>
        <v>2008</v>
      </c>
      <c r="L18" s="18">
        <v>60</v>
      </c>
      <c r="M18" s="5">
        <f t="shared" si="3"/>
        <v>15</v>
      </c>
      <c r="N18" s="19">
        <f t="shared" si="4"/>
        <v>0.23749999999999999</v>
      </c>
      <c r="O18" s="23">
        <f t="shared" si="10"/>
        <v>7466968.8324000016</v>
      </c>
      <c r="P18" s="23">
        <f t="shared" si="11"/>
        <v>23972899.935600005</v>
      </c>
    </row>
    <row r="19" spans="1:16" x14ac:dyDescent="0.25">
      <c r="A19" s="1">
        <v>14</v>
      </c>
      <c r="B19" s="2" t="s">
        <v>40</v>
      </c>
      <c r="C19" s="5">
        <v>2713.01</v>
      </c>
      <c r="D19" s="18">
        <f t="shared" si="0"/>
        <v>29202.839640000002</v>
      </c>
      <c r="E19" s="2" t="s">
        <v>22</v>
      </c>
      <c r="F19" s="18">
        <v>23908.500000000004</v>
      </c>
      <c r="G19" s="19">
        <v>0.9</v>
      </c>
      <c r="H19" s="21">
        <f t="shared" si="8"/>
        <v>1999.0384615384621</v>
      </c>
      <c r="I19" s="18">
        <f t="shared" si="9"/>
        <v>58377599.626500018</v>
      </c>
      <c r="J19" s="19">
        <v>0.05</v>
      </c>
      <c r="K19" s="28">
        <f t="shared" ref="K19:K22" si="12">K18</f>
        <v>2008</v>
      </c>
      <c r="L19" s="18">
        <v>60</v>
      </c>
      <c r="M19" s="5">
        <f t="shared" si="3"/>
        <v>15</v>
      </c>
      <c r="N19" s="19">
        <f t="shared" si="4"/>
        <v>0.23749999999999999</v>
      </c>
      <c r="O19" s="23">
        <f t="shared" si="10"/>
        <v>13864679.911293754</v>
      </c>
      <c r="P19" s="23">
        <f t="shared" si="11"/>
        <v>44512919.715206265</v>
      </c>
    </row>
    <row r="20" spans="1:16" x14ac:dyDescent="0.25">
      <c r="A20" s="1">
        <v>15</v>
      </c>
      <c r="B20" s="2" t="s">
        <v>41</v>
      </c>
      <c r="C20" s="5">
        <v>3243.5</v>
      </c>
      <c r="D20" s="18">
        <f t="shared" si="0"/>
        <v>34913.034</v>
      </c>
      <c r="E20" s="2" t="s">
        <v>22</v>
      </c>
      <c r="F20" s="18">
        <v>23908.500000000004</v>
      </c>
      <c r="G20" s="19">
        <v>0.7</v>
      </c>
      <c r="H20" s="21">
        <f t="shared" si="8"/>
        <v>1554.8076923076924</v>
      </c>
      <c r="I20" s="18">
        <f t="shared" si="9"/>
        <v>54283053.825000003</v>
      </c>
      <c r="J20" s="19">
        <v>0.05</v>
      </c>
      <c r="K20" s="28">
        <f t="shared" si="12"/>
        <v>2008</v>
      </c>
      <c r="L20" s="18">
        <v>60</v>
      </c>
      <c r="M20" s="5">
        <f t="shared" si="3"/>
        <v>15</v>
      </c>
      <c r="N20" s="19">
        <f t="shared" si="4"/>
        <v>0.23749999999999999</v>
      </c>
      <c r="O20" s="23">
        <f t="shared" si="10"/>
        <v>12892225.2834375</v>
      </c>
      <c r="P20" s="23">
        <f t="shared" si="11"/>
        <v>41390828.541562505</v>
      </c>
    </row>
    <row r="21" spans="1:16" x14ac:dyDescent="0.25">
      <c r="A21" s="1">
        <v>16</v>
      </c>
      <c r="B21" s="2" t="s">
        <v>42</v>
      </c>
      <c r="C21" s="5">
        <v>2347.1999999999998</v>
      </c>
      <c r="D21" s="18">
        <f t="shared" si="0"/>
        <v>25265.260799999996</v>
      </c>
      <c r="E21" s="2" t="s">
        <v>22</v>
      </c>
      <c r="F21" s="18">
        <v>23908.500000000004</v>
      </c>
      <c r="G21" s="19">
        <v>0.7</v>
      </c>
      <c r="H21" s="21">
        <f t="shared" si="8"/>
        <v>1554.8076923076924</v>
      </c>
      <c r="I21" s="18">
        <f t="shared" si="9"/>
        <v>39282621.839999996</v>
      </c>
      <c r="J21" s="19">
        <v>0.05</v>
      </c>
      <c r="K21" s="28">
        <f t="shared" si="12"/>
        <v>2008</v>
      </c>
      <c r="L21" s="18">
        <v>60</v>
      </c>
      <c r="M21" s="5">
        <f t="shared" si="3"/>
        <v>15</v>
      </c>
      <c r="N21" s="19">
        <f t="shared" si="4"/>
        <v>0.23749999999999999</v>
      </c>
      <c r="O21" s="23">
        <f t="shared" si="10"/>
        <v>9329622.686999999</v>
      </c>
      <c r="P21" s="23">
        <f t="shared" si="11"/>
        <v>29952999.152999997</v>
      </c>
    </row>
    <row r="22" spans="1:16" x14ac:dyDescent="0.25">
      <c r="A22" s="1">
        <v>17</v>
      </c>
      <c r="B22" s="2" t="s">
        <v>43</v>
      </c>
      <c r="C22" s="5">
        <v>268.08999999999997</v>
      </c>
      <c r="D22" s="18">
        <f t="shared" si="0"/>
        <v>2885.7207599999997</v>
      </c>
      <c r="E22" s="2" t="s">
        <v>22</v>
      </c>
      <c r="F22" s="18">
        <v>23908.500000000004</v>
      </c>
      <c r="G22" s="19">
        <v>0.7</v>
      </c>
      <c r="H22" s="21">
        <f t="shared" si="8"/>
        <v>1554.8076923076924</v>
      </c>
      <c r="I22" s="18">
        <f t="shared" si="9"/>
        <v>4486740.8355</v>
      </c>
      <c r="J22" s="19">
        <v>0.05</v>
      </c>
      <c r="K22" s="28">
        <f t="shared" si="12"/>
        <v>2008</v>
      </c>
      <c r="L22" s="18">
        <v>60</v>
      </c>
      <c r="M22" s="5">
        <f t="shared" si="3"/>
        <v>15</v>
      </c>
      <c r="N22" s="19">
        <f t="shared" si="4"/>
        <v>0.23749999999999999</v>
      </c>
      <c r="O22" s="23">
        <f t="shared" si="10"/>
        <v>1065600.9484312499</v>
      </c>
      <c r="P22" s="23">
        <f t="shared" si="11"/>
        <v>3421139.8870687503</v>
      </c>
    </row>
    <row r="23" spans="1:16" x14ac:dyDescent="0.25">
      <c r="A23" s="39" t="s">
        <v>15</v>
      </c>
      <c r="B23" s="39"/>
      <c r="C23" s="12">
        <f>SUM(C6:C22)</f>
        <v>50498.59</v>
      </c>
      <c r="D23" s="12">
        <f>SUM(D6:D22)</f>
        <v>543566.82276000013</v>
      </c>
      <c r="E23" s="11"/>
      <c r="F23" s="11"/>
      <c r="G23" s="11"/>
      <c r="H23" s="11"/>
      <c r="I23" s="24">
        <f>SUM(I6:I22)</f>
        <v>1237364107.2292502</v>
      </c>
      <c r="J23" s="24"/>
      <c r="K23" s="29"/>
      <c r="L23" s="24"/>
      <c r="M23" s="24"/>
      <c r="N23" s="24"/>
      <c r="O23" s="24">
        <f t="shared" ref="O23:P23" si="13">SUM(O6:O22)</f>
        <v>182601105.51201749</v>
      </c>
      <c r="P23" s="24">
        <f t="shared" si="13"/>
        <v>1054763001.7172326</v>
      </c>
    </row>
    <row r="24" spans="1:16" x14ac:dyDescent="0.25">
      <c r="C24" s="38">
        <f>12000*0.932</f>
        <v>11184</v>
      </c>
      <c r="H24" s="31">
        <f>I23/D23</f>
        <v>2276.3790125130226</v>
      </c>
      <c r="I24" s="14">
        <f>I23/10^7</f>
        <v>123.73641072292502</v>
      </c>
      <c r="N24" s="32"/>
      <c r="O24" s="14">
        <f>O23/10^7</f>
        <v>18.260110551201748</v>
      </c>
      <c r="P24" s="14">
        <f>P23/10^7</f>
        <v>105.47630017172325</v>
      </c>
    </row>
    <row r="25" spans="1:16" x14ac:dyDescent="0.25">
      <c r="C25" s="13">
        <f>C24*C23</f>
        <v>564776230.55999994</v>
      </c>
    </row>
    <row r="26" spans="1:16" x14ac:dyDescent="0.25">
      <c r="I26" s="13">
        <v>1251371595.3007503</v>
      </c>
      <c r="J26" s="13"/>
      <c r="K26" s="13"/>
      <c r="L26" s="13"/>
      <c r="M26" s="13"/>
      <c r="N26" s="13"/>
      <c r="O26" s="13">
        <v>185927883.92899874</v>
      </c>
      <c r="P26" s="13">
        <v>1065443711.3717512</v>
      </c>
    </row>
    <row r="27" spans="1:16" x14ac:dyDescent="0.25">
      <c r="D27" t="s">
        <v>18</v>
      </c>
      <c r="E27" t="s">
        <v>19</v>
      </c>
      <c r="F27">
        <f>10000*1.196</f>
        <v>11960</v>
      </c>
      <c r="I27" s="15">
        <f>I26-I23</f>
        <v>14007488.071500063</v>
      </c>
      <c r="O27" s="15">
        <f t="shared" ref="O27:P27" si="14">O26-O23</f>
        <v>3326778.41698125</v>
      </c>
      <c r="P27" s="15">
        <f t="shared" si="14"/>
        <v>10680709.654518604</v>
      </c>
    </row>
    <row r="28" spans="1:16" x14ac:dyDescent="0.25">
      <c r="D28">
        <v>900</v>
      </c>
      <c r="E28" t="s">
        <v>20</v>
      </c>
    </row>
    <row r="29" spans="1:16" x14ac:dyDescent="0.25">
      <c r="C29" s="15">
        <f>D2</f>
        <v>60547.5</v>
      </c>
      <c r="D29" s="13">
        <v>10000</v>
      </c>
      <c r="E29" s="13">
        <f>D29*C29</f>
        <v>605475000</v>
      </c>
      <c r="F29" s="15">
        <f>E29/4047</f>
        <v>149610.82283172722</v>
      </c>
    </row>
    <row r="30" spans="1:16" x14ac:dyDescent="0.25">
      <c r="B30" t="s">
        <v>21</v>
      </c>
      <c r="D30" s="13">
        <f>D29*D28</f>
        <v>9000000</v>
      </c>
    </row>
    <row r="31" spans="1:16" x14ac:dyDescent="0.25">
      <c r="F31">
        <v>6000000</v>
      </c>
    </row>
    <row r="32" spans="1:16" x14ac:dyDescent="0.25">
      <c r="F32">
        <f ca="1">F32</f>
        <v>0</v>
      </c>
    </row>
    <row r="34" spans="2:6" x14ac:dyDescent="0.25">
      <c r="B34">
        <v>9000</v>
      </c>
      <c r="C34" s="17">
        <v>0.2</v>
      </c>
      <c r="D34" s="17">
        <v>0.15</v>
      </c>
      <c r="E34" s="17">
        <f>(D34+C34)</f>
        <v>0.35</v>
      </c>
      <c r="F34">
        <f>B34*(1-E34)</f>
        <v>5850</v>
      </c>
    </row>
    <row r="40" spans="2:6" x14ac:dyDescent="0.25">
      <c r="E40" s="13">
        <f>SUM(E41:E42)</f>
        <v>250000000</v>
      </c>
      <c r="F40" s="6">
        <v>25</v>
      </c>
    </row>
    <row r="41" spans="2:6" x14ac:dyDescent="0.25">
      <c r="B41" s="13">
        <f>E41/C41</f>
        <v>10630952.380952381</v>
      </c>
      <c r="C41" s="6">
        <v>16.8</v>
      </c>
      <c r="D41" s="14">
        <f>C41*900</f>
        <v>15120</v>
      </c>
      <c r="E41" s="15">
        <f>F41*10^7</f>
        <v>178600000</v>
      </c>
      <c r="F41" s="6">
        <f>F40-F42</f>
        <v>17.86</v>
      </c>
    </row>
    <row r="42" spans="2:6" x14ac:dyDescent="0.25">
      <c r="C42" s="13">
        <v>51000</v>
      </c>
      <c r="D42">
        <v>1400</v>
      </c>
      <c r="E42" s="15">
        <f>D42*C42</f>
        <v>71400000</v>
      </c>
      <c r="F42" s="6">
        <f>E42/10^7</f>
        <v>7.14</v>
      </c>
    </row>
    <row r="46" spans="2:6" x14ac:dyDescent="0.25">
      <c r="D46" s="13">
        <v>21735</v>
      </c>
      <c r="E46" s="14">
        <f>D46*1.1</f>
        <v>23908.500000000004</v>
      </c>
    </row>
  </sheetData>
  <mergeCells count="1">
    <mergeCell ref="A23:B2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Building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2023-04-04T14:02:14Z</dcterms:modified>
</cp:coreProperties>
</file>