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In Progress Files\Adil Afaque\uploads\VIS(2022-23)-PL759-644-1041-Marine Drive Hospitality &amp; Realty Pvt. Ltd\"/>
    </mc:Choice>
  </mc:AlternateContent>
  <bookViews>
    <workbookView xWindow="0" yWindow="0" windowWidth="24000" windowHeight="9015" activeTab="2"/>
  </bookViews>
  <sheets>
    <sheet name="Carpet" sheetId="1" r:id="rId1"/>
    <sheet name="Cost of Construction" sheetId="2" r:id="rId2"/>
    <sheet name="Valuation Working FAR (2)" sheetId="7" r:id="rId3"/>
    <sheet name="Valuation Working" sheetId="4" r:id="rId4"/>
    <sheet name="Valuation Working FAR" sheetId="5" r:id="rId5"/>
    <sheet name="Sheet2"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7" l="1"/>
  <c r="B8" i="7"/>
  <c r="J14" i="7"/>
  <c r="J13" i="7"/>
  <c r="I14" i="7"/>
  <c r="D40" i="1" l="1"/>
  <c r="D39" i="1"/>
  <c r="D37" i="1"/>
  <c r="H2" i="7"/>
  <c r="H3" i="7" s="1"/>
  <c r="F6" i="7"/>
  <c r="E6" i="7" s="1"/>
  <c r="E5" i="7"/>
  <c r="F5" i="7"/>
  <c r="B39" i="7" l="1"/>
  <c r="D8" i="2"/>
  <c r="G8" i="2"/>
  <c r="I5" i="7"/>
  <c r="B7" i="7" s="1"/>
  <c r="B6" i="7"/>
  <c r="I6" i="7" l="1"/>
  <c r="I7" i="7"/>
  <c r="I34" i="7"/>
  <c r="I27" i="7"/>
  <c r="J12" i="2"/>
  <c r="D10" i="2"/>
  <c r="B36" i="7"/>
  <c r="B3" i="7"/>
  <c r="B5" i="7" s="1"/>
  <c r="D51" i="7"/>
  <c r="B45" i="7"/>
  <c r="B44" i="7"/>
  <c r="B30" i="7"/>
  <c r="I22" i="7"/>
  <c r="C30" i="7" l="1"/>
  <c r="D30" i="7" s="1"/>
  <c r="E30" i="7" s="1"/>
  <c r="F30" i="7" s="1"/>
  <c r="G30" i="7" s="1"/>
  <c r="H30" i="7" s="1"/>
  <c r="C39" i="5"/>
  <c r="C38" i="5"/>
  <c r="B26" i="7" l="1"/>
  <c r="I33" i="7"/>
  <c r="B5" i="5"/>
  <c r="B7" i="5" s="1"/>
  <c r="B4" i="5"/>
  <c r="E39" i="1"/>
  <c r="E43" i="1" s="1"/>
  <c r="E44" i="1"/>
  <c r="E42" i="1"/>
  <c r="E41" i="1"/>
  <c r="E40" i="1"/>
  <c r="E38" i="1"/>
  <c r="D43" i="1"/>
  <c r="D44" i="1" s="1"/>
  <c r="D41" i="1"/>
  <c r="D42" i="1" s="1"/>
  <c r="E37" i="1"/>
  <c r="D35" i="1"/>
  <c r="D36" i="1" s="1"/>
  <c r="N14" i="1"/>
  <c r="B37" i="5"/>
  <c r="B36" i="5"/>
  <c r="F35" i="7" l="1"/>
  <c r="H28" i="7"/>
  <c r="H35" i="7"/>
  <c r="G35" i="7"/>
  <c r="G28" i="7"/>
  <c r="N24" i="1"/>
  <c r="N23" i="1"/>
  <c r="D43" i="5"/>
  <c r="F22" i="6"/>
  <c r="F21" i="6"/>
  <c r="F20" i="6"/>
  <c r="F19" i="6"/>
  <c r="F15" i="6"/>
  <c r="F14" i="6"/>
  <c r="F13" i="6"/>
  <c r="F12" i="6"/>
  <c r="F9" i="6"/>
  <c r="D15" i="6"/>
  <c r="D14" i="6"/>
  <c r="D13" i="6"/>
  <c r="D12" i="6"/>
  <c r="D11" i="6"/>
  <c r="F11" i="6" s="1"/>
  <c r="D10" i="6"/>
  <c r="F10" i="6" s="1"/>
  <c r="D9" i="6"/>
  <c r="D8" i="6"/>
  <c r="F8" i="6"/>
  <c r="D7" i="6"/>
  <c r="O14" i="1"/>
  <c r="B31" i="5"/>
  <c r="B28" i="5"/>
  <c r="C28" i="5" s="1"/>
  <c r="D28" i="5" s="1"/>
  <c r="E28" i="5" s="1"/>
  <c r="F28" i="5" s="1"/>
  <c r="G28" i="5" s="1"/>
  <c r="H28" i="5" s="1"/>
  <c r="I26" i="5"/>
  <c r="I21" i="5"/>
  <c r="M7" i="5"/>
  <c r="K7" i="5"/>
  <c r="N4" i="1"/>
  <c r="N22" i="1"/>
  <c r="B35" i="7" l="1"/>
  <c r="D35" i="7"/>
  <c r="E35" i="7"/>
  <c r="C35" i="7"/>
  <c r="B28" i="7"/>
  <c r="D28" i="7"/>
  <c r="D31" i="7" s="1"/>
  <c r="C28" i="7"/>
  <c r="C31" i="7" s="1"/>
  <c r="I26" i="7"/>
  <c r="F28" i="7"/>
  <c r="E28" i="7"/>
  <c r="E31" i="7" s="1"/>
  <c r="P14" i="1"/>
  <c r="B3" i="5"/>
  <c r="D1" i="2"/>
  <c r="O2" i="1"/>
  <c r="H31" i="7" l="1"/>
  <c r="G31" i="7"/>
  <c r="I35" i="7"/>
  <c r="B31" i="7"/>
  <c r="I28" i="7"/>
  <c r="F31" i="7"/>
  <c r="P13" i="1"/>
  <c r="D19" i="2"/>
  <c r="D20" i="2"/>
  <c r="D21" i="2"/>
  <c r="D22" i="2"/>
  <c r="D18" i="2"/>
  <c r="D25" i="2" l="1"/>
  <c r="C29" i="4"/>
  <c r="D29" i="4" s="1"/>
  <c r="E29" i="4" s="1"/>
  <c r="F29" i="4" s="1"/>
  <c r="G29" i="4" s="1"/>
  <c r="H29" i="4" s="1"/>
  <c r="I27" i="4"/>
  <c r="B32" i="4"/>
  <c r="D12" i="1"/>
  <c r="D24" i="1"/>
  <c r="D25" i="1"/>
  <c r="D13" i="1"/>
  <c r="E13" i="1" s="1"/>
  <c r="B29" i="4"/>
  <c r="M6" i="4"/>
  <c r="K6" i="4"/>
  <c r="M5" i="4"/>
  <c r="K5" i="4"/>
  <c r="I31" i="7" l="1"/>
  <c r="B7" i="4"/>
  <c r="E25" i="1"/>
  <c r="E29" i="1" s="1"/>
  <c r="D29" i="1"/>
  <c r="B9" i="5" l="1"/>
  <c r="B15" i="5"/>
  <c r="B3" i="4"/>
  <c r="B16" i="4" s="1"/>
  <c r="O15" i="1"/>
  <c r="B25" i="5" s="1"/>
  <c r="P15" i="1"/>
  <c r="I22" i="4"/>
  <c r="B10" i="4" l="1"/>
  <c r="F27" i="5"/>
  <c r="F29" i="5" s="1"/>
  <c r="F30" i="5" s="1"/>
  <c r="C27" i="5"/>
  <c r="C29" i="5" s="1"/>
  <c r="G27" i="5"/>
  <c r="G29" i="5" s="1"/>
  <c r="G30" i="5" s="1"/>
  <c r="E27" i="5"/>
  <c r="E29" i="5" s="1"/>
  <c r="D27" i="5"/>
  <c r="D29" i="5" s="1"/>
  <c r="B27" i="5"/>
  <c r="I25" i="5"/>
  <c r="H27" i="5"/>
  <c r="H29" i="5" s="1"/>
  <c r="H30" i="5" s="1"/>
  <c r="N9" i="1"/>
  <c r="N10" i="1" s="1"/>
  <c r="E25" i="2"/>
  <c r="E5" i="2"/>
  <c r="D23" i="2"/>
  <c r="D24" i="2" s="1"/>
  <c r="M5" i="1"/>
  <c r="D9" i="2"/>
  <c r="B29" i="5" l="1"/>
  <c r="I29" i="5" s="1"/>
  <c r="I27" i="5"/>
  <c r="N3" i="1"/>
  <c r="D38" i="1"/>
  <c r="N5" i="1"/>
  <c r="E10" i="2"/>
  <c r="E24" i="2"/>
  <c r="E23" i="2"/>
  <c r="E22" i="2"/>
  <c r="E21" i="2"/>
  <c r="E20" i="2"/>
  <c r="E18" i="2"/>
  <c r="E19" i="2"/>
  <c r="E9" i="2"/>
  <c r="E4" i="2"/>
  <c r="E8" i="2"/>
  <c r="E7" i="2"/>
  <c r="E6" i="2"/>
  <c r="E3" i="2"/>
  <c r="D26" i="2"/>
  <c r="E26" i="2" s="1"/>
  <c r="D11" i="2"/>
  <c r="E11" i="2" s="1"/>
  <c r="D12" i="2" l="1"/>
  <c r="B16" i="7" s="1"/>
  <c r="E27" i="2"/>
  <c r="F28" i="2" s="1"/>
  <c r="E12" i="2"/>
  <c r="F13" i="2" s="1"/>
  <c r="D27" i="2"/>
  <c r="B14" i="5" l="1"/>
  <c r="B15" i="4"/>
  <c r="G28" i="2"/>
  <c r="F29" i="2"/>
  <c r="F14" i="2"/>
  <c r="G13" i="2"/>
  <c r="F31" i="2" l="1"/>
  <c r="B23" i="7" s="1"/>
  <c r="H28" i="2"/>
  <c r="G29" i="2"/>
  <c r="H13" i="2"/>
  <c r="G14" i="2"/>
  <c r="B24" i="7" l="1"/>
  <c r="B23" i="4"/>
  <c r="B22" i="5"/>
  <c r="B23" i="5" s="1"/>
  <c r="B30" i="5" s="1"/>
  <c r="G31" i="2"/>
  <c r="C23" i="7" s="1"/>
  <c r="C24" i="7" s="1"/>
  <c r="I28" i="2"/>
  <c r="I29" i="2" s="1"/>
  <c r="H29" i="2"/>
  <c r="I13" i="2"/>
  <c r="I14" i="2" s="1"/>
  <c r="H14" i="2"/>
  <c r="J14" i="2" l="1"/>
  <c r="C23" i="4"/>
  <c r="C24" i="4" s="1"/>
  <c r="C22" i="5"/>
  <c r="C23" i="5" s="1"/>
  <c r="C30" i="5" s="1"/>
  <c r="I31" i="2"/>
  <c r="E23" i="7" s="1"/>
  <c r="E24" i="7" s="1"/>
  <c r="H31" i="2"/>
  <c r="D23" i="7" s="1"/>
  <c r="D24" i="7" s="1"/>
  <c r="J29" i="2"/>
  <c r="I24" i="7" l="1"/>
  <c r="I23" i="7"/>
  <c r="J31" i="2"/>
  <c r="B14" i="7" s="1"/>
  <c r="E23" i="4"/>
  <c r="E24" i="4" s="1"/>
  <c r="E22" i="5"/>
  <c r="B13" i="5"/>
  <c r="B20" i="5" s="1"/>
  <c r="D23" i="4"/>
  <c r="D24" i="4" s="1"/>
  <c r="D22" i="5"/>
  <c r="D23" i="5" s="1"/>
  <c r="D30" i="5" s="1"/>
  <c r="B24" i="4"/>
  <c r="B14" i="4" l="1"/>
  <c r="B21" i="4" s="1"/>
  <c r="B21" i="7"/>
  <c r="I22" i="5"/>
  <c r="E23" i="5"/>
  <c r="I23" i="4"/>
  <c r="I24" i="4"/>
  <c r="C36" i="7" l="1"/>
  <c r="D36" i="7" s="1"/>
  <c r="E36" i="7" s="1"/>
  <c r="F36" i="7" s="1"/>
  <c r="G36" i="7" s="1"/>
  <c r="H36" i="7" s="1"/>
  <c r="B37" i="7"/>
  <c r="I23" i="5"/>
  <c r="E30" i="5"/>
  <c r="F24" i="1"/>
  <c r="F25" i="1" s="1"/>
  <c r="F12" i="1"/>
  <c r="B6" i="5" s="1"/>
  <c r="E24" i="1"/>
  <c r="E12" i="1"/>
  <c r="G23" i="1"/>
  <c r="G22" i="1"/>
  <c r="G21" i="1"/>
  <c r="G20" i="1"/>
  <c r="G19" i="1"/>
  <c r="G18" i="1"/>
  <c r="G7" i="1"/>
  <c r="G8" i="1"/>
  <c r="G9" i="1"/>
  <c r="G10" i="1"/>
  <c r="G11" i="1"/>
  <c r="G6" i="1"/>
  <c r="B38" i="7" l="1"/>
  <c r="C37" i="7"/>
  <c r="C38" i="7" s="1"/>
  <c r="F14" i="1"/>
  <c r="B32" i="5"/>
  <c r="B34" i="5" s="1"/>
  <c r="C35" i="5" s="1"/>
  <c r="I30" i="5"/>
  <c r="F26" i="1"/>
  <c r="B6" i="4" s="1"/>
  <c r="B4" i="4"/>
  <c r="F13" i="1"/>
  <c r="G12" i="1"/>
  <c r="G24" i="1"/>
  <c r="D26" i="1" s="1"/>
  <c r="D37" i="7" l="1"/>
  <c r="D38" i="7" s="1"/>
  <c r="E26" i="1"/>
  <c r="D14" i="1"/>
  <c r="E14" i="1" s="1"/>
  <c r="B5" i="4" s="1"/>
  <c r="F37" i="7" l="1"/>
  <c r="F38" i="7" s="1"/>
  <c r="E37" i="7"/>
  <c r="E38" i="7" s="1"/>
  <c r="D30" i="1"/>
  <c r="D31" i="1" s="1"/>
  <c r="E30" i="1"/>
  <c r="B26" i="4"/>
  <c r="F6" i="4"/>
  <c r="G37" i="7" l="1"/>
  <c r="G38" i="7" s="1"/>
  <c r="H37" i="7"/>
  <c r="H38" i="7" s="1"/>
  <c r="I37" i="7"/>
  <c r="E31" i="1"/>
  <c r="C28" i="4"/>
  <c r="C30" i="4" s="1"/>
  <c r="C31" i="4" s="1"/>
  <c r="H28" i="4"/>
  <c r="H30" i="4" s="1"/>
  <c r="H31" i="4" s="1"/>
  <c r="I26" i="4"/>
  <c r="E28" i="4"/>
  <c r="E30" i="4" s="1"/>
  <c r="E31" i="4" s="1"/>
  <c r="F28" i="4"/>
  <c r="F30" i="4" s="1"/>
  <c r="F31" i="4" s="1"/>
  <c r="D28" i="4"/>
  <c r="D30" i="4" s="1"/>
  <c r="D31" i="4" s="1"/>
  <c r="B28" i="4"/>
  <c r="G28" i="4"/>
  <c r="G30" i="4" s="1"/>
  <c r="G31" i="4" s="1"/>
  <c r="B40" i="7" l="1"/>
  <c r="B42" i="7" s="1"/>
  <c r="C43" i="7" s="1"/>
  <c r="I38" i="7"/>
  <c r="I28" i="4"/>
  <c r="B30" i="4"/>
  <c r="I30" i="4" l="1"/>
  <c r="B31" i="4"/>
  <c r="I31" i="4" l="1"/>
  <c r="B33" i="4"/>
  <c r="B35" i="4" s="1"/>
  <c r="B38" i="4" s="1"/>
</calcChain>
</file>

<file path=xl/sharedStrings.xml><?xml version="1.0" encoding="utf-8"?>
<sst xmlns="http://schemas.openxmlformats.org/spreadsheetml/2006/main" count="338" uniqueCount="166">
  <si>
    <t>Sr.No.</t>
  </si>
  <si>
    <t>Apartment Type</t>
  </si>
  <si>
    <t>Number of Apartment</t>
  </si>
  <si>
    <t>Number of Booked Apartment</t>
  </si>
  <si>
    <t>T2 X01 5BHK</t>
  </si>
  <si>
    <t>T2 X01 5BHK O</t>
  </si>
  <si>
    <t>T2 X01 4BHK O R</t>
  </si>
  <si>
    <t>T2 X01 6BHK</t>
  </si>
  <si>
    <t>T2 X01 4BHK</t>
  </si>
  <si>
    <t>T2 X02 4BHK</t>
  </si>
  <si>
    <t>South Tower - Tower 2</t>
  </si>
  <si>
    <t>T1 X01 5BHK O</t>
  </si>
  <si>
    <t>T1 X01 4BHK O R</t>
  </si>
  <si>
    <t>T1 X01 6BHK</t>
  </si>
  <si>
    <t>T1 X01 5BHK</t>
  </si>
  <si>
    <t>T1 X02 4BHK</t>
  </si>
  <si>
    <t>T1 X01 4BHK</t>
  </si>
  <si>
    <t>Total Carpet Area
(in sq. mtr.)</t>
  </si>
  <si>
    <t>Carpet Area
(in sq. mtr.)</t>
  </si>
  <si>
    <t>North Tower - Tower 1</t>
  </si>
  <si>
    <t xml:space="preserve">Sr. No. </t>
  </si>
  <si>
    <t xml:space="preserve">Description </t>
  </si>
  <si>
    <r>
      <t xml:space="preserve">Average Cost for Residential                          </t>
    </r>
    <r>
      <rPr>
        <b/>
        <i/>
        <sz val="10"/>
        <color theme="0"/>
        <rFont val="Calibri"/>
        <family val="2"/>
        <scheme val="minor"/>
      </rPr>
      <t>(per sq.ft.)</t>
    </r>
  </si>
  <si>
    <t>T1
= Average Cost
x FAR Area</t>
  </si>
  <si>
    <t>i</t>
  </si>
  <si>
    <t>Basic structure construction cost</t>
  </si>
  <si>
    <t>ii</t>
  </si>
  <si>
    <t>Project sanctioning/ approval, Architectural, structural stability Fees, etc.</t>
  </si>
  <si>
    <t>iii</t>
  </si>
  <si>
    <t>Finishing Work (Flooring, white washing, fittings &amp; fixtures, etc.)</t>
  </si>
  <si>
    <t>iv</t>
  </si>
  <si>
    <r>
      <t xml:space="preserve">MEP Works </t>
    </r>
    <r>
      <rPr>
        <i/>
        <sz val="11"/>
        <color theme="1"/>
        <rFont val="Calibri"/>
        <family val="2"/>
        <scheme val="minor"/>
      </rPr>
      <t>(Mechanical, Electrical &amp; Plumbing)</t>
    </r>
  </si>
  <si>
    <t>v</t>
  </si>
  <si>
    <t>Internal &amp; External Development charges</t>
  </si>
  <si>
    <t>vi</t>
  </si>
  <si>
    <t xml:space="preserve">Other expenses (Firefighting, intercom &amp; etc.) @ 1.5% of total cost (i+ii+iii+iv+v)             </t>
  </si>
  <si>
    <t>vii</t>
  </si>
  <si>
    <t xml:space="preserve">Pre-operative &amp; Administrative expenses @ 5% of total cost  (i+ii+iii+iv+v+vi)           </t>
  </si>
  <si>
    <t>viii</t>
  </si>
  <si>
    <t>ix</t>
  </si>
  <si>
    <t>Institutional Borrowing for 03 years @ 12.5% on 75% of total cost (i+ii+iii+iv+v+vi+vii+viii)</t>
  </si>
  <si>
    <t xml:space="preserve">Total </t>
  </si>
  <si>
    <t>Land</t>
  </si>
  <si>
    <t>sqm</t>
  </si>
  <si>
    <t>Built-up</t>
  </si>
  <si>
    <t>Phase 1</t>
  </si>
  <si>
    <t>Phase 2</t>
  </si>
  <si>
    <t>Total</t>
  </si>
  <si>
    <t>Basement</t>
  </si>
  <si>
    <t>Stilt</t>
  </si>
  <si>
    <t>Podium</t>
  </si>
  <si>
    <t>Floors</t>
  </si>
  <si>
    <t>Covered Parking</t>
  </si>
  <si>
    <t>Inflation on construction cost</t>
  </si>
  <si>
    <t>per year</t>
  </si>
  <si>
    <t>%</t>
  </si>
  <si>
    <t>per sq. ft.</t>
  </si>
  <si>
    <t xml:space="preserve">Residential </t>
  </si>
  <si>
    <t>per sqm</t>
  </si>
  <si>
    <t>Net Cash Flow</t>
  </si>
  <si>
    <t>Deduction-Developer’s Profit</t>
  </si>
  <si>
    <t>Fair NPV (in Rs. Cr.)</t>
  </si>
  <si>
    <t>Round-Off Fair NPV (in Rs. Cr.)</t>
  </si>
  <si>
    <t>Construction Years</t>
  </si>
  <si>
    <t xml:space="preserve">Particulars </t>
  </si>
  <si>
    <t xml:space="preserve">Figures </t>
  </si>
  <si>
    <t xml:space="preserve">Unit </t>
  </si>
  <si>
    <t>Remark</t>
  </si>
  <si>
    <t>Residential</t>
  </si>
  <si>
    <t xml:space="preserve">Total unsold area </t>
  </si>
  <si>
    <t xml:space="preserve">Sq feet </t>
  </si>
  <si>
    <t>1BHK</t>
  </si>
  <si>
    <t>No. of total unsold unit</t>
  </si>
  <si>
    <t xml:space="preserve">Nos. </t>
  </si>
  <si>
    <t>2BHK</t>
  </si>
  <si>
    <t xml:space="preserve">Average size of unit </t>
  </si>
  <si>
    <t>Average selling price</t>
  </si>
  <si>
    <t xml:space="preserve">RKA Research </t>
  </si>
  <si>
    <t xml:space="preserve">Provided by company </t>
  </si>
  <si>
    <t xml:space="preserve">Disocount Rate </t>
  </si>
  <si>
    <t>Amount to be incurred on Completion of project</t>
  </si>
  <si>
    <t>INR. Cr.</t>
  </si>
  <si>
    <t>Amount Received from sold units</t>
  </si>
  <si>
    <t>FY-23</t>
  </si>
  <si>
    <t>FY-24</t>
  </si>
  <si>
    <t>FY-25</t>
  </si>
  <si>
    <t>FY-26</t>
  </si>
  <si>
    <t>FY-27</t>
  </si>
  <si>
    <t xml:space="preserve">Outflow </t>
  </si>
  <si>
    <t>Amount to be incurred on completion of project (In Rs. Cr.)</t>
  </si>
  <si>
    <t>Phase</t>
  </si>
  <si>
    <t>Cost to be incurred in phase (INR Cr.)</t>
  </si>
  <si>
    <t>Total Outflow -A (INR Cr.)</t>
  </si>
  <si>
    <t xml:space="preserve">Inflow </t>
  </si>
  <si>
    <t>Total unsold area (sq feet)</t>
  </si>
  <si>
    <t>Selling Phase (%)</t>
  </si>
  <si>
    <t>Total area to be sold in phase (sq feet)</t>
  </si>
  <si>
    <t>Average market rate (Rs. Per sq feet)</t>
  </si>
  <si>
    <t>Sale consideration (In Rs. Cr.)</t>
  </si>
  <si>
    <t>Discount rate</t>
  </si>
  <si>
    <t>Net Present Value NPV (Rs. Cr.)</t>
  </si>
  <si>
    <t xml:space="preserve">Years </t>
  </si>
  <si>
    <t>Sold Area</t>
  </si>
  <si>
    <t>Unsold Area</t>
  </si>
  <si>
    <t xml:space="preserve">Per sq feet </t>
  </si>
  <si>
    <t>FY-28</t>
  </si>
  <si>
    <t>FY-29</t>
  </si>
  <si>
    <t>Marketing &amp; Selling charges @ 3% of Rs.60,000/-</t>
  </si>
  <si>
    <t>Total Sold Area</t>
  </si>
  <si>
    <t>No. of total sold unit</t>
  </si>
  <si>
    <t>As per RERA</t>
  </si>
  <si>
    <t>Amount to be received from Sold Units</t>
  </si>
  <si>
    <t>Assumed 10%</t>
  </si>
  <si>
    <t>Inflation on sale price  year (Biennial)</t>
  </si>
  <si>
    <t>Rate</t>
  </si>
  <si>
    <t>acres</t>
  </si>
  <si>
    <t>Max. Ground Coverage</t>
  </si>
  <si>
    <t>Max. FAR</t>
  </si>
  <si>
    <t>Location</t>
  </si>
  <si>
    <t>Oberoi Realty</t>
  </si>
  <si>
    <t>Mumbai Central LBS Marg</t>
  </si>
  <si>
    <t>Crompton Greaves</t>
  </si>
  <si>
    <t>Mumbai LBS Marg</t>
  </si>
  <si>
    <t xml:space="preserve">Runwal Group </t>
  </si>
  <si>
    <t>South Mumbai</t>
  </si>
  <si>
    <t>Lodha Group</t>
  </si>
  <si>
    <t>Rate
(per sq. mtr.)</t>
  </si>
  <si>
    <t>Area
(in sq. mtr.)</t>
  </si>
  <si>
    <t>Name</t>
  </si>
  <si>
    <t>TOTAL</t>
  </si>
  <si>
    <t>Sq. ft.</t>
  </si>
  <si>
    <t>As per FAR</t>
  </si>
  <si>
    <t>Inflation on sale price</t>
  </si>
  <si>
    <t>Walkeshwar</t>
  </si>
  <si>
    <t>Peddar Road</t>
  </si>
  <si>
    <t>Total Built-up Area</t>
  </si>
  <si>
    <t>sq. ft.</t>
  </si>
  <si>
    <t>As per Building Bye-Laws</t>
  </si>
  <si>
    <t>Land Area</t>
  </si>
  <si>
    <t>Built-up Area</t>
  </si>
  <si>
    <t>Carpet Area-Sold</t>
  </si>
  <si>
    <t>Carpet Area-Unsold</t>
  </si>
  <si>
    <t>Total Carpet Area</t>
  </si>
  <si>
    <t>As per Bye-Laws</t>
  </si>
  <si>
    <t>Total Land Area</t>
  </si>
  <si>
    <t>Carpet Area-Residential</t>
  </si>
  <si>
    <t>Carpet Area-Commercial</t>
  </si>
  <si>
    <t>Average selling price- Residential</t>
  </si>
  <si>
    <t>Average selling price- Commercial</t>
  </si>
  <si>
    <t>Inflow-Residential</t>
  </si>
  <si>
    <t>Inflow- Commercial</t>
  </si>
  <si>
    <t>Permissible FSI</t>
  </si>
  <si>
    <t xml:space="preserve">Discount Rate </t>
  </si>
  <si>
    <t>Total area to be sold (sq feet)</t>
  </si>
  <si>
    <t>Units</t>
  </si>
  <si>
    <t xml:space="preserve">Other expenses (Firefighting, intercom &amp; etc.) @ 2.5% of total cost (i+ii+iii+iv+v)             </t>
  </si>
  <si>
    <t>32k for Shreepati Jewel Annex and 70k for MKR</t>
  </si>
  <si>
    <t>Alkesh Gandhi</t>
  </si>
  <si>
    <t>SINCE IT IS AN UNDER CONSTRCUTION PROPERTY</t>
  </si>
  <si>
    <t>https://www.99acres.com/property-rates-and-price-trends-in-marine-lines-south-mumbai-prffid?preference=RESALE&amp;src_page=RLP_PRT_CITY_PAGE&amp;rlpId=1392_LOCALITY</t>
  </si>
  <si>
    <t>PRICE TREND LINK</t>
  </si>
  <si>
    <t>Govt. Value</t>
  </si>
  <si>
    <t>Presently the land is approved for residential Project as per RERA. However on Maharashtra RERA we couldn't find its approved plan. Edelweiss was also not having its approved plan.</t>
  </si>
  <si>
    <t>If there is any change in plan and if additional FSI is exploited then it may command a better value. However that scenario can't be apply at this time since no such details are planned or available.</t>
  </si>
  <si>
    <t>Therefore based on the above facts the highest and best use of the land is assumed as Residential Project only. However since approved plan was not available to us tehrefore based on the building bye laws of UDCPR we have considered 2.4 FSI. We have additionally considered 5% as commercial in the Project as community shooping area in residential complex. Based on these assumptions valuation is arrived.</t>
  </si>
  <si>
    <t>Since the area is prime and fully developed, therefore Vacant land is not available upto lengths in periphery so direct comparable approach can't be applied. As per the arrived value the per sq.mtr rates comes out to be Rs.9.00 Lakh per sqs. mtr. However, if we look at the small residential land parcels of the size upto 600 - 700 sq.mtr in and around this locality then it may easily command the rates of Rs.15 Lacs to 30 Lacs per sq.mtr. So based on this information and as per the size of our land, the overall value appeasr to be fine.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</si>
</sst>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 #,##0.00;[Red]&quot;₹&quot;\ \-#,##0.00"/>
    <numFmt numFmtId="44" formatCode="_ &quot;₹&quot;\ * #,##0.00_ ;_ &quot;₹&quot;\ * \-#,##0.00_ ;_ &quot;₹&quot;\ * &quot;-&quot;??_ ;_ @_ "/>
    <numFmt numFmtId="43" formatCode="_ * #,##0.00_ ;_ * \-#,##0.00_ ;_ * &quot;-&quot;??_ ;_ @_ "/>
    <numFmt numFmtId="164" formatCode="_ * #,##0_ ;_ * \-#,##0_ ;_ * &quot;-&quot;??_ ;_ @_ "/>
    <numFmt numFmtId="165" formatCode="_ &quot;₹&quot;\ * #,##0_ ;_ &quot;₹&quot;\ * \-#,##0_ ;_ &quot;₹&quot;\ * &quot;-&quot;??_ ;_ @_ "/>
    <numFmt numFmtId="166" formatCode="_(* #,##0.00_);_(* \(#,##0.00\);_(* &quot;-&quot;??_);_(@_)"/>
    <numFmt numFmtId="167" formatCode="_(* #,##0_);_(* \(#,##0\);_(* &quot;-&quot;??_);_(@_)"/>
    <numFmt numFmtId="168" formatCode="0.0%"/>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rgb="FF333333"/>
      <name val="Arial"/>
      <family val="2"/>
    </font>
    <font>
      <sz val="11"/>
      <color rgb="FF333333"/>
      <name val="Calibri"/>
      <family val="2"/>
      <scheme val="minor"/>
    </font>
    <font>
      <b/>
      <sz val="11"/>
      <color rgb="FFFFFFFF"/>
      <name val="Calibri"/>
      <family val="2"/>
      <scheme val="minor"/>
    </font>
    <font>
      <b/>
      <i/>
      <sz val="10"/>
      <color theme="0"/>
      <name val="Calibri"/>
      <family val="2"/>
      <scheme val="minor"/>
    </font>
    <font>
      <i/>
      <sz val="11"/>
      <color theme="1"/>
      <name val="Calibri"/>
      <family val="2"/>
      <scheme val="minor"/>
    </font>
    <font>
      <b/>
      <sz val="12"/>
      <color theme="1"/>
      <name val="Calibri"/>
      <family val="2"/>
      <scheme val="minor"/>
    </font>
    <font>
      <sz val="11"/>
      <color theme="1"/>
      <name val="Calibri"/>
      <family val="2"/>
    </font>
    <font>
      <sz val="11"/>
      <color rgb="FF000000"/>
      <name val="Calibri"/>
      <family val="2"/>
      <scheme val="minor"/>
    </font>
    <font>
      <b/>
      <i/>
      <sz val="11"/>
      <color theme="1"/>
      <name val="Calibri"/>
      <family val="2"/>
      <scheme val="minor"/>
    </font>
    <font>
      <b/>
      <sz val="11"/>
      <color rgb="FF000000"/>
      <name val="Calibri"/>
      <family val="2"/>
      <scheme val="minor"/>
    </font>
    <font>
      <b/>
      <sz val="11"/>
      <color theme="1"/>
      <name val="Calibri"/>
      <family val="2"/>
    </font>
    <font>
      <sz val="11"/>
      <color theme="0"/>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rgb="FF00206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BFBFBF"/>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cellStyleXfs>
  <cellXfs count="139">
    <xf numFmtId="0" fontId="0" fillId="0" borderId="0" xfId="0"/>
    <xf numFmtId="14" fontId="0" fillId="0" borderId="0" xfId="0" applyNumberFormat="1"/>
    <xf numFmtId="43" fontId="0" fillId="0" borderId="0" xfId="1" applyFont="1" applyAlignment="1">
      <alignment vertical="center"/>
    </xf>
    <xf numFmtId="164" fontId="0" fillId="0" borderId="0" xfId="1" applyNumberFormat="1" applyFont="1" applyAlignment="1">
      <alignment vertical="center"/>
    </xf>
    <xf numFmtId="0" fontId="0" fillId="0" borderId="0" xfId="0" applyFont="1" applyAlignment="1">
      <alignment vertical="center"/>
    </xf>
    <xf numFmtId="0" fontId="5" fillId="0" borderId="0" xfId="0" applyFont="1"/>
    <xf numFmtId="0" fontId="6" fillId="3" borderId="1" xfId="0" applyFont="1" applyFill="1" applyBorder="1" applyAlignment="1">
      <alignment horizontal="center" vertical="center" wrapText="1"/>
    </xf>
    <xf numFmtId="164" fontId="6" fillId="3" borderId="1" xfId="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3" fontId="5" fillId="0" borderId="1" xfId="1" applyFont="1" applyFill="1" applyBorder="1" applyAlignment="1">
      <alignment horizontal="left" vertical="center" wrapText="1"/>
    </xf>
    <xf numFmtId="164" fontId="5" fillId="0" borderId="1" xfId="1" applyNumberFormat="1" applyFont="1" applyFill="1" applyBorder="1" applyAlignment="1">
      <alignment horizontal="center" vertical="center" wrapText="1"/>
    </xf>
    <xf numFmtId="14" fontId="0" fillId="0" borderId="0" xfId="0" applyNumberFormat="1" applyFont="1" applyAlignment="1">
      <alignment vertical="center"/>
    </xf>
    <xf numFmtId="0" fontId="0" fillId="0" borderId="1" xfId="0" applyFont="1" applyBorder="1" applyAlignment="1">
      <alignment vertical="center"/>
    </xf>
    <xf numFmtId="164" fontId="0" fillId="0" borderId="1" xfId="1" applyNumberFormat="1" applyFont="1" applyBorder="1" applyAlignment="1">
      <alignment vertical="center"/>
    </xf>
    <xf numFmtId="43" fontId="0" fillId="0" borderId="0" xfId="0" applyNumberFormat="1" applyFont="1" applyAlignment="1">
      <alignment vertical="center"/>
    </xf>
    <xf numFmtId="43" fontId="6" fillId="3" borderId="1" xfId="1" applyFont="1" applyFill="1" applyBorder="1" applyAlignment="1">
      <alignment horizontal="center" vertical="center" wrapText="1"/>
    </xf>
    <xf numFmtId="43" fontId="5" fillId="0" borderId="1" xfId="1" applyFont="1" applyFill="1" applyBorder="1" applyAlignment="1">
      <alignment horizontal="center" vertical="center" wrapText="1"/>
    </xf>
    <xf numFmtId="0" fontId="3" fillId="4" borderId="1" xfId="0" applyFont="1" applyFill="1" applyBorder="1" applyAlignment="1">
      <alignment vertical="center"/>
    </xf>
    <xf numFmtId="164" fontId="3" fillId="4" borderId="1" xfId="1" applyNumberFormat="1" applyFont="1" applyFill="1" applyBorder="1" applyAlignment="1">
      <alignment vertical="center"/>
    </xf>
    <xf numFmtId="43" fontId="3" fillId="4" borderId="1" xfId="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65" fontId="0" fillId="5" borderId="1" xfId="2" applyNumberFormat="1" applyFont="1" applyFill="1" applyBorder="1" applyAlignment="1">
      <alignment horizontal="right" vertical="center"/>
    </xf>
    <xf numFmtId="0" fontId="0" fillId="0" borderId="1" xfId="0" applyBorder="1" applyAlignment="1">
      <alignment vertical="center" wrapText="1"/>
    </xf>
    <xf numFmtId="0" fontId="0" fillId="0" borderId="1" xfId="0" applyBorder="1" applyAlignment="1">
      <alignment horizontal="left" vertical="center" wrapText="1"/>
    </xf>
    <xf numFmtId="165" fontId="0" fillId="5" borderId="2" xfId="2" applyNumberFormat="1" applyFont="1" applyFill="1" applyBorder="1" applyAlignment="1">
      <alignment horizontal="right" vertical="center"/>
    </xf>
    <xf numFmtId="0" fontId="0" fillId="0" borderId="3" xfId="0" applyBorder="1" applyAlignment="1">
      <alignment horizontal="left" vertical="center" wrapText="1"/>
    </xf>
    <xf numFmtId="165" fontId="0" fillId="6" borderId="1" xfId="2" applyNumberFormat="1" applyFont="1" applyFill="1" applyBorder="1" applyAlignment="1">
      <alignment horizontal="right" vertical="center"/>
    </xf>
    <xf numFmtId="165" fontId="0" fillId="0" borderId="1" xfId="2" applyNumberFormat="1" applyFont="1" applyFill="1" applyBorder="1" applyAlignment="1">
      <alignment horizontal="right" vertical="center"/>
    </xf>
    <xf numFmtId="0" fontId="0" fillId="0" borderId="3" xfId="0" applyBorder="1" applyAlignment="1">
      <alignment vertical="center" wrapText="1"/>
    </xf>
    <xf numFmtId="0" fontId="0" fillId="0" borderId="1" xfId="0" applyFill="1" applyBorder="1" applyAlignment="1">
      <alignment horizontal="center" vertical="center"/>
    </xf>
    <xf numFmtId="0" fontId="0" fillId="0" borderId="3" xfId="0" applyFill="1" applyBorder="1" applyAlignment="1">
      <alignment vertical="center" wrapText="1"/>
    </xf>
    <xf numFmtId="165" fontId="9" fillId="0" borderId="5" xfId="2" applyNumberFormat="1" applyFont="1" applyBorder="1" applyAlignment="1">
      <alignment horizontal="right"/>
    </xf>
    <xf numFmtId="0" fontId="0" fillId="0" borderId="1" xfId="0" applyBorder="1"/>
    <xf numFmtId="10" fontId="0" fillId="0" borderId="0" xfId="0" applyNumberFormat="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43" fontId="0" fillId="0" borderId="0" xfId="0" applyNumberFormat="1"/>
    <xf numFmtId="44" fontId="0" fillId="0" borderId="0" xfId="0" applyNumberFormat="1"/>
    <xf numFmtId="44" fontId="9" fillId="0" borderId="0" xfId="0" applyNumberFormat="1" applyFont="1"/>
    <xf numFmtId="0" fontId="2"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Fill="1" applyBorder="1" applyAlignment="1">
      <alignment horizontal="center" vertical="center"/>
    </xf>
    <xf numFmtId="167" fontId="3"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0" fontId="3" fillId="0" borderId="1" xfId="3" applyNumberFormat="1" applyFont="1" applyFill="1" applyBorder="1" applyAlignment="1">
      <alignment horizontal="right" vertical="center"/>
    </xf>
    <xf numFmtId="0" fontId="8" fillId="0" borderId="1" xfId="0" applyFont="1" applyFill="1" applyBorder="1" applyAlignment="1">
      <alignment horizontal="right" vertical="center"/>
    </xf>
    <xf numFmtId="166" fontId="3" fillId="0" borderId="1" xfId="0" applyNumberFormat="1" applyFont="1" applyFill="1" applyBorder="1" applyAlignment="1">
      <alignment horizontal="center" vertical="center"/>
    </xf>
    <xf numFmtId="0" fontId="3" fillId="4" borderId="1" xfId="0" applyFont="1" applyFill="1" applyBorder="1" applyAlignment="1">
      <alignment horizontal="right" vertical="center"/>
    </xf>
    <xf numFmtId="166" fontId="3" fillId="0" borderId="1" xfId="4" applyFont="1" applyFill="1" applyBorder="1" applyAlignment="1">
      <alignment horizontal="center" vertical="center"/>
    </xf>
    <xf numFmtId="9" fontId="3" fillId="0" borderId="1" xfId="3" applyFont="1" applyFill="1" applyBorder="1" applyAlignment="1">
      <alignment horizontal="right" vertical="center"/>
    </xf>
    <xf numFmtId="166" fontId="2" fillId="3" borderId="1" xfId="4" applyFont="1" applyFill="1" applyBorder="1" applyAlignment="1">
      <alignment horizontal="center" vertical="center"/>
    </xf>
    <xf numFmtId="167" fontId="0" fillId="0" borderId="0" xfId="4" applyNumberFormat="1" applyFont="1" applyAlignment="1">
      <alignment vertical="center"/>
    </xf>
    <xf numFmtId="167" fontId="11" fillId="0" borderId="1" xfId="4" applyNumberFormat="1" applyFont="1" applyBorder="1" applyAlignment="1">
      <alignment vertical="center"/>
    </xf>
    <xf numFmtId="10" fontId="0" fillId="0" borderId="0" xfId="3" applyNumberFormat="1" applyFont="1" applyAlignment="1">
      <alignment vertical="center"/>
    </xf>
    <xf numFmtId="0" fontId="0" fillId="0" borderId="1" xfId="0" applyFill="1" applyBorder="1" applyAlignment="1">
      <alignment vertical="center"/>
    </xf>
    <xf numFmtId="9" fontId="0" fillId="0" borderId="1" xfId="4" applyNumberFormat="1" applyFont="1" applyBorder="1" applyAlignment="1">
      <alignment vertical="center"/>
    </xf>
    <xf numFmtId="168" fontId="0" fillId="0" borderId="1" xfId="4" applyNumberFormat="1" applyFont="1" applyBorder="1" applyAlignment="1">
      <alignment vertical="center"/>
    </xf>
    <xf numFmtId="166" fontId="0" fillId="0" borderId="1" xfId="4" applyFont="1" applyBorder="1" applyAlignment="1">
      <alignment vertical="center"/>
    </xf>
    <xf numFmtId="166" fontId="0" fillId="0" borderId="0" xfId="4" applyFont="1" applyAlignment="1">
      <alignment vertical="center"/>
    </xf>
    <xf numFmtId="164" fontId="0" fillId="0" borderId="0" xfId="5" applyNumberFormat="1" applyFont="1" applyAlignment="1">
      <alignment vertical="center"/>
    </xf>
    <xf numFmtId="167" fontId="0" fillId="0" borderId="0" xfId="4" applyNumberFormat="1" applyFont="1" applyFill="1" applyAlignment="1">
      <alignment vertical="center"/>
    </xf>
    <xf numFmtId="0" fontId="0" fillId="0" borderId="1" xfId="0" applyFont="1" applyFill="1" applyBorder="1" applyAlignment="1">
      <alignment horizontal="right" vertical="center"/>
    </xf>
    <xf numFmtId="9" fontId="0" fillId="0" borderId="0" xfId="3" applyFont="1" applyFill="1" applyAlignment="1">
      <alignment vertical="center"/>
    </xf>
    <xf numFmtId="166" fontId="3" fillId="4" borderId="1" xfId="4" applyFont="1" applyFill="1" applyBorder="1" applyAlignment="1">
      <alignment horizontal="right" vertical="center"/>
    </xf>
    <xf numFmtId="166" fontId="3" fillId="0" borderId="1" xfId="4" applyFont="1" applyFill="1" applyBorder="1" applyAlignment="1">
      <alignment horizontal="right" vertical="center"/>
    </xf>
    <xf numFmtId="0" fontId="3" fillId="0" borderId="1" xfId="0" applyFont="1" applyFill="1" applyBorder="1" applyAlignment="1">
      <alignment horizontal="right" vertical="center"/>
    </xf>
    <xf numFmtId="0" fontId="12" fillId="4" borderId="1" xfId="0" applyFont="1" applyFill="1" applyBorder="1" applyAlignment="1">
      <alignment horizontal="right" vertical="center"/>
    </xf>
    <xf numFmtId="166" fontId="12" fillId="4" borderId="1" xfId="4" applyFont="1" applyFill="1" applyBorder="1" applyAlignment="1">
      <alignment horizontal="right" vertical="center"/>
    </xf>
    <xf numFmtId="10" fontId="0" fillId="0" borderId="1" xfId="4" applyNumberFormat="1" applyFont="1" applyBorder="1" applyAlignment="1">
      <alignment vertical="center"/>
    </xf>
    <xf numFmtId="43" fontId="0" fillId="0" borderId="1" xfId="5" applyFont="1" applyBorder="1" applyAlignment="1">
      <alignment vertical="center"/>
    </xf>
    <xf numFmtId="166" fontId="3" fillId="0" borderId="1" xfId="4" applyFont="1" applyBorder="1" applyAlignment="1">
      <alignment vertical="center"/>
    </xf>
    <xf numFmtId="0" fontId="10" fillId="0" borderId="1" xfId="0" applyFont="1" applyFill="1" applyBorder="1" applyAlignment="1">
      <alignment vertical="center" wrapText="1"/>
    </xf>
    <xf numFmtId="14" fontId="0" fillId="0" borderId="1" xfId="0" applyNumberFormat="1" applyBorder="1"/>
    <xf numFmtId="0" fontId="10" fillId="0" borderId="0" xfId="0" applyFont="1" applyFill="1" applyBorder="1" applyAlignment="1">
      <alignment vertical="center" wrapText="1"/>
    </xf>
    <xf numFmtId="43" fontId="0" fillId="0" borderId="1" xfId="1" applyFont="1" applyBorder="1" applyAlignment="1">
      <alignment vertical="center"/>
    </xf>
    <xf numFmtId="14" fontId="4" fillId="0" borderId="0" xfId="0" applyNumberFormat="1" applyFont="1" applyAlignment="1">
      <alignment vertical="center"/>
    </xf>
    <xf numFmtId="0" fontId="0" fillId="0" borderId="0" xfId="0" applyFont="1" applyFill="1" applyAlignment="1">
      <alignment vertical="center"/>
    </xf>
    <xf numFmtId="167" fontId="0" fillId="0" borderId="0" xfId="0" applyNumberFormat="1" applyFont="1" applyAlignment="1">
      <alignment vertical="center"/>
    </xf>
    <xf numFmtId="167" fontId="0" fillId="0" borderId="1" xfId="4" applyNumberFormat="1" applyFont="1" applyFill="1" applyBorder="1" applyAlignment="1">
      <alignment horizontal="right" vertical="center"/>
    </xf>
    <xf numFmtId="43" fontId="0" fillId="0" borderId="0" xfId="0" applyNumberFormat="1" applyFont="1" applyFill="1" applyAlignment="1">
      <alignment vertical="center"/>
    </xf>
    <xf numFmtId="167" fontId="0" fillId="0" borderId="1" xfId="4" applyNumberFormat="1" applyFont="1" applyFill="1" applyBorder="1" applyAlignment="1">
      <alignment horizontal="center" vertical="center"/>
    </xf>
    <xf numFmtId="165" fontId="11" fillId="0" borderId="1" xfId="0" applyNumberFormat="1" applyFont="1" applyBorder="1" applyAlignment="1">
      <alignment horizontal="right" vertical="center" wrapText="1"/>
    </xf>
    <xf numFmtId="0" fontId="0" fillId="0" borderId="1" xfId="0" applyFont="1" applyBorder="1" applyAlignment="1">
      <alignment vertical="center" wrapText="1"/>
    </xf>
    <xf numFmtId="9" fontId="11" fillId="0" borderId="1" xfId="0" applyNumberFormat="1" applyFont="1" applyBorder="1" applyAlignment="1">
      <alignment horizontal="right" vertical="center"/>
    </xf>
    <xf numFmtId="0" fontId="0" fillId="0" borderId="1" xfId="0" applyFont="1" applyFill="1" applyBorder="1" applyAlignment="1">
      <alignment vertical="center"/>
    </xf>
    <xf numFmtId="166" fontId="0" fillId="0" borderId="1" xfId="4" applyFont="1" applyFill="1" applyBorder="1" applyAlignment="1">
      <alignment horizontal="right" vertical="center"/>
    </xf>
    <xf numFmtId="9" fontId="0" fillId="0" borderId="1" xfId="4" applyNumberFormat="1" applyFont="1" applyFill="1" applyBorder="1" applyAlignment="1">
      <alignment horizontal="right" vertical="center"/>
    </xf>
    <xf numFmtId="10" fontId="0" fillId="0" borderId="1" xfId="4" applyNumberFormat="1" applyFont="1" applyFill="1" applyBorder="1" applyAlignment="1">
      <alignment horizontal="right" vertical="center"/>
    </xf>
    <xf numFmtId="10" fontId="0" fillId="0" borderId="1" xfId="3" applyNumberFormat="1" applyFont="1" applyFill="1" applyBorder="1" applyAlignment="1">
      <alignment horizontal="right" vertical="center"/>
    </xf>
    <xf numFmtId="9" fontId="0" fillId="0" borderId="0" xfId="0" applyNumberFormat="1" applyFont="1" applyFill="1" applyAlignment="1">
      <alignment vertical="center"/>
    </xf>
    <xf numFmtId="43" fontId="3" fillId="0" borderId="1" xfId="1" applyFont="1" applyFill="1" applyBorder="1" applyAlignment="1">
      <alignment horizontal="center" vertical="center"/>
    </xf>
    <xf numFmtId="0" fontId="13" fillId="0" borderId="1" xfId="0" applyFont="1" applyBorder="1" applyAlignment="1">
      <alignment horizontal="justify" vertical="center"/>
    </xf>
    <xf numFmtId="9" fontId="13" fillId="0" borderId="1" xfId="0" applyNumberFormat="1" applyFont="1" applyBorder="1" applyAlignment="1">
      <alignment horizontal="right" vertical="center" wrapText="1"/>
    </xf>
    <xf numFmtId="43" fontId="13" fillId="0" borderId="1" xfId="0" applyNumberFormat="1" applyFont="1" applyBorder="1" applyAlignment="1">
      <alignment horizontal="right" vertical="center" wrapText="1"/>
    </xf>
    <xf numFmtId="0" fontId="13" fillId="7" borderId="1" xfId="0" applyFont="1" applyFill="1" applyBorder="1" applyAlignment="1">
      <alignment horizontal="justify" vertical="center"/>
    </xf>
    <xf numFmtId="43" fontId="13" fillId="7" borderId="1" xfId="1" applyFont="1" applyFill="1" applyBorder="1" applyAlignment="1">
      <alignment horizontal="right" vertical="center" wrapText="1"/>
    </xf>
    <xf numFmtId="44" fontId="11" fillId="0" borderId="1" xfId="0" applyNumberFormat="1" applyFont="1" applyBorder="1" applyAlignment="1">
      <alignment horizontal="right" vertical="center" wrapText="1"/>
    </xf>
    <xf numFmtId="164" fontId="0" fillId="0" borderId="0" xfId="0" applyNumberFormat="1"/>
    <xf numFmtId="165" fontId="9" fillId="0" borderId="0" xfId="2" applyNumberFormat="1" applyFont="1" applyBorder="1" applyAlignment="1">
      <alignment horizontal="right"/>
    </xf>
    <xf numFmtId="0" fontId="9" fillId="0" borderId="0" xfId="0" applyFont="1" applyBorder="1" applyAlignment="1">
      <alignment horizontal="right" vertical="center"/>
    </xf>
    <xf numFmtId="165" fontId="9" fillId="0" borderId="6" xfId="2" applyNumberFormat="1" applyFont="1" applyBorder="1" applyAlignment="1">
      <alignment horizontal="right"/>
    </xf>
    <xf numFmtId="165" fontId="0" fillId="0" borderId="1" xfId="0" applyNumberFormat="1" applyBorder="1"/>
    <xf numFmtId="44" fontId="0" fillId="0" borderId="1" xfId="0" applyNumberFormat="1" applyBorder="1"/>
    <xf numFmtId="0" fontId="0" fillId="8" borderId="1" xfId="0" applyFont="1" applyFill="1" applyBorder="1" applyAlignment="1">
      <alignment vertical="center"/>
    </xf>
    <xf numFmtId="165" fontId="11" fillId="8" borderId="1" xfId="0" applyNumberFormat="1" applyFont="1" applyFill="1" applyBorder="1" applyAlignment="1">
      <alignment horizontal="right" vertical="center" wrapText="1"/>
    </xf>
    <xf numFmtId="9" fontId="0" fillId="0" borderId="0" xfId="3" applyFont="1" applyAlignment="1">
      <alignment vertical="center"/>
    </xf>
    <xf numFmtId="9" fontId="0" fillId="0" borderId="0" xfId="0" applyNumberFormat="1" applyFont="1" applyAlignment="1">
      <alignment vertical="center"/>
    </xf>
    <xf numFmtId="0" fontId="2" fillId="3" borderId="1" xfId="0" applyFont="1" applyFill="1" applyBorder="1" applyAlignment="1">
      <alignment horizontal="center" vertical="center" wrapText="1"/>
    </xf>
    <xf numFmtId="164" fontId="0" fillId="0" borderId="0" xfId="0" applyNumberFormat="1" applyFont="1" applyAlignment="1">
      <alignment vertical="center"/>
    </xf>
    <xf numFmtId="164" fontId="3" fillId="0" borderId="0" xfId="1" applyNumberFormat="1" applyFont="1" applyAlignment="1">
      <alignment vertical="center"/>
    </xf>
    <xf numFmtId="0" fontId="14" fillId="0" borderId="1" xfId="0" applyFont="1" applyFill="1" applyBorder="1" applyAlignment="1">
      <alignment vertical="center" wrapText="1"/>
    </xf>
    <xf numFmtId="164" fontId="3" fillId="0" borderId="1" xfId="1" applyNumberFormat="1" applyFont="1" applyBorder="1" applyAlignment="1">
      <alignment vertical="center"/>
    </xf>
    <xf numFmtId="164" fontId="1" fillId="0" borderId="1" xfId="1" applyNumberFormat="1" applyFont="1" applyFill="1" applyBorder="1" applyAlignment="1">
      <alignment horizontal="center" vertical="center"/>
    </xf>
    <xf numFmtId="43" fontId="0" fillId="0" borderId="0" xfId="1" applyFont="1"/>
    <xf numFmtId="164" fontId="0" fillId="0" borderId="0" xfId="1" applyNumberFormat="1" applyFont="1"/>
    <xf numFmtId="0" fontId="4" fillId="0" borderId="0" xfId="0" applyFont="1"/>
    <xf numFmtId="164" fontId="0" fillId="0" borderId="1" xfId="0" applyNumberFormat="1" applyFont="1" applyBorder="1" applyAlignment="1">
      <alignment vertical="center"/>
    </xf>
    <xf numFmtId="0" fontId="15" fillId="3" borderId="1" xfId="0" applyFont="1" applyFill="1" applyBorder="1" applyAlignment="1">
      <alignment horizontal="center" vertical="center"/>
    </xf>
    <xf numFmtId="164" fontId="15" fillId="3" borderId="1" xfId="1" applyNumberFormat="1" applyFont="1" applyFill="1" applyBorder="1" applyAlignment="1">
      <alignment horizontal="center" vertical="center"/>
    </xf>
    <xf numFmtId="43" fontId="1" fillId="0" borderId="1" xfId="1" applyFont="1" applyFill="1" applyBorder="1" applyAlignment="1">
      <alignment horizontal="center" vertical="center"/>
    </xf>
    <xf numFmtId="44" fontId="13" fillId="4" borderId="1" xfId="0" applyNumberFormat="1" applyFont="1" applyFill="1" applyBorder="1" applyAlignment="1">
      <alignment horizontal="right" vertical="center" wrapText="1"/>
    </xf>
    <xf numFmtId="44" fontId="13" fillId="0" borderId="1" xfId="0" applyNumberFormat="1" applyFont="1" applyFill="1" applyBorder="1" applyAlignment="1">
      <alignment horizontal="right" vertical="center" wrapText="1"/>
    </xf>
    <xf numFmtId="167" fontId="1" fillId="0" borderId="1" xfId="4" applyNumberFormat="1" applyFont="1" applyFill="1" applyBorder="1" applyAlignment="1">
      <alignment horizontal="center" vertical="center"/>
    </xf>
    <xf numFmtId="166" fontId="0" fillId="0" borderId="1" xfId="4" applyFont="1" applyFill="1" applyBorder="1" applyAlignment="1">
      <alignment horizontal="left" vertical="center"/>
    </xf>
    <xf numFmtId="164" fontId="11" fillId="0" borderId="1" xfId="4" applyNumberFormat="1" applyFont="1" applyBorder="1" applyAlignment="1">
      <alignment vertical="center"/>
    </xf>
    <xf numFmtId="9" fontId="0" fillId="0" borderId="1" xfId="0" applyNumberFormat="1" applyBorder="1"/>
    <xf numFmtId="8" fontId="13" fillId="0" borderId="1" xfId="0" applyNumberFormat="1" applyFont="1" applyFill="1" applyBorder="1" applyAlignment="1">
      <alignment horizontal="right" vertical="center" wrapText="1"/>
    </xf>
    <xf numFmtId="164" fontId="3" fillId="0" borderId="0" xfId="0" applyNumberFormat="1" applyFont="1" applyAlignment="1">
      <alignment vertical="center"/>
    </xf>
    <xf numFmtId="44" fontId="0" fillId="0" borderId="0" xfId="0" applyNumberFormat="1" applyAlignment="1">
      <alignment horizontal="center" vertical="center"/>
    </xf>
    <xf numFmtId="0" fontId="0" fillId="0" borderId="1" xfId="0" applyBorder="1" applyAlignment="1">
      <alignment horizontal="left" vertical="center"/>
    </xf>
    <xf numFmtId="0" fontId="0" fillId="0" borderId="3" xfId="0" applyFill="1" applyBorder="1" applyAlignment="1">
      <alignment horizontal="left" vertical="center" wrapText="1"/>
    </xf>
    <xf numFmtId="0" fontId="3" fillId="0" borderId="1" xfId="0" applyFont="1" applyBorder="1" applyAlignment="1">
      <alignment horizontal="center" vertical="center"/>
    </xf>
    <xf numFmtId="44" fontId="0" fillId="0" borderId="1" xfId="0" applyNumberFormat="1" applyFont="1" applyBorder="1" applyAlignment="1">
      <alignment vertical="center"/>
    </xf>
    <xf numFmtId="0" fontId="3" fillId="0" borderId="1" xfId="0" applyFont="1" applyBorder="1" applyAlignment="1">
      <alignment horizontal="center" vertical="center"/>
    </xf>
    <xf numFmtId="0" fontId="9" fillId="0" borderId="3" xfId="0" applyFont="1" applyBorder="1" applyAlignment="1">
      <alignment horizontal="right" vertical="center"/>
    </xf>
    <xf numFmtId="0" fontId="9" fillId="0" borderId="4" xfId="0" applyFont="1" applyBorder="1" applyAlignment="1">
      <alignment horizontal="right" vertical="center"/>
    </xf>
  </cellXfs>
  <cellStyles count="6">
    <cellStyle name="Comma" xfId="1" builtinId="3"/>
    <cellStyle name="Comma 2" xfId="4"/>
    <cellStyle name="Comma 2 2" xfId="5"/>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428625</xdr:colOff>
      <xdr:row>4</xdr:row>
      <xdr:rowOff>161924</xdr:rowOff>
    </xdr:from>
    <xdr:to>
      <xdr:col>21</xdr:col>
      <xdr:colOff>45000</xdr:colOff>
      <xdr:row>27</xdr:row>
      <xdr:rowOff>140779</xdr:rowOff>
    </xdr:to>
    <xdr:pic>
      <xdr:nvPicPr>
        <xdr:cNvPr id="3" name="Picture 2"/>
        <xdr:cNvPicPr>
          <a:picLocks noChangeAspect="1"/>
        </xdr:cNvPicPr>
      </xdr:nvPicPr>
      <xdr:blipFill rotWithShape="1">
        <a:blip xmlns:r="http://schemas.openxmlformats.org/officeDocument/2006/relationships" r:embed="rId1"/>
        <a:srcRect l="19678" t="16757" r="18806" b="7689"/>
        <a:stretch/>
      </xdr:blipFill>
      <xdr:spPr>
        <a:xfrm>
          <a:off x="12496800" y="923924"/>
          <a:ext cx="5760000" cy="3979355"/>
        </a:xfrm>
        <a:prstGeom prst="rect">
          <a:avLst/>
        </a:prstGeom>
      </xdr:spPr>
    </xdr:pic>
    <xdr:clientData/>
  </xdr:twoCellAnchor>
  <xdr:twoCellAnchor editAs="oneCell">
    <xdr:from>
      <xdr:col>11</xdr:col>
      <xdr:colOff>371475</xdr:colOff>
      <xdr:row>26</xdr:row>
      <xdr:rowOff>38100</xdr:rowOff>
    </xdr:from>
    <xdr:to>
      <xdr:col>20</xdr:col>
      <xdr:colOff>578400</xdr:colOff>
      <xdr:row>37</xdr:row>
      <xdr:rowOff>132781</xdr:rowOff>
    </xdr:to>
    <xdr:pic>
      <xdr:nvPicPr>
        <xdr:cNvPr id="2" name="Picture 1"/>
        <xdr:cNvPicPr>
          <a:picLocks noChangeAspect="1"/>
        </xdr:cNvPicPr>
      </xdr:nvPicPr>
      <xdr:blipFill rotWithShape="1">
        <a:blip xmlns:r="http://schemas.openxmlformats.org/officeDocument/2006/relationships" r:embed="rId2"/>
        <a:srcRect l="33569" t="48507" r="11200" b="14157"/>
        <a:stretch/>
      </xdr:blipFill>
      <xdr:spPr>
        <a:xfrm>
          <a:off x="12439650" y="4991100"/>
          <a:ext cx="5760000" cy="2190181"/>
        </a:xfrm>
        <a:prstGeom prst="rect">
          <a:avLst/>
        </a:prstGeom>
      </xdr:spPr>
    </xdr:pic>
    <xdr:clientData/>
  </xdr:twoCellAnchor>
  <xdr:twoCellAnchor editAs="oneCell">
    <xdr:from>
      <xdr:col>11</xdr:col>
      <xdr:colOff>428625</xdr:colOff>
      <xdr:row>38</xdr:row>
      <xdr:rowOff>38100</xdr:rowOff>
    </xdr:from>
    <xdr:to>
      <xdr:col>21</xdr:col>
      <xdr:colOff>45000</xdr:colOff>
      <xdr:row>49</xdr:row>
      <xdr:rowOff>133520</xdr:rowOff>
    </xdr:to>
    <xdr:pic>
      <xdr:nvPicPr>
        <xdr:cNvPr id="4" name="Picture 3"/>
        <xdr:cNvPicPr>
          <a:picLocks noChangeAspect="1"/>
        </xdr:cNvPicPr>
      </xdr:nvPicPr>
      <xdr:blipFill rotWithShape="1">
        <a:blip xmlns:r="http://schemas.openxmlformats.org/officeDocument/2006/relationships" r:embed="rId3"/>
        <a:srcRect l="33569" t="29986" r="12522" b="33560"/>
        <a:stretch/>
      </xdr:blipFill>
      <xdr:spPr>
        <a:xfrm>
          <a:off x="12496800" y="7277100"/>
          <a:ext cx="5760000" cy="21909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6"/>
  <sheetViews>
    <sheetView topLeftCell="A18" workbookViewId="0">
      <selection activeCell="C34" sqref="C34:D40"/>
    </sheetView>
  </sheetViews>
  <sheetFormatPr defaultRowHeight="15" x14ac:dyDescent="0.25"/>
  <cols>
    <col min="1" max="2" width="9.140625" style="4"/>
    <col min="3" max="3" width="18.85546875" style="4" bestFit="1" customWidth="1"/>
    <col min="4" max="4" width="14.140625" style="2" customWidth="1"/>
    <col min="5" max="5" width="15.42578125" style="3" bestFit="1" customWidth="1"/>
    <col min="6" max="6" width="11.5703125" style="3" bestFit="1" customWidth="1"/>
    <col min="7" max="7" width="13.28515625" style="2" customWidth="1"/>
    <col min="8" max="8" width="9.140625" style="4"/>
    <col min="9" max="9" width="15.5703125" style="4" bestFit="1" customWidth="1"/>
    <col min="10" max="10" width="9.140625" style="4"/>
    <col min="11" max="11" width="10.42578125" style="4" bestFit="1" customWidth="1"/>
    <col min="12" max="12" width="17" style="4" customWidth="1"/>
    <col min="13" max="13" width="23.85546875" style="4" bestFit="1" customWidth="1"/>
    <col min="14" max="14" width="13.85546875" style="4" customWidth="1"/>
    <col min="15" max="16" width="11.5703125" style="4" bestFit="1" customWidth="1"/>
    <col min="17" max="16384" width="9.140625" style="4"/>
  </cols>
  <sheetData>
    <row r="2" spans="2:16" x14ac:dyDescent="0.25">
      <c r="L2" s="4" t="s">
        <v>42</v>
      </c>
      <c r="M2" s="2">
        <v>8983.5499999999993</v>
      </c>
      <c r="N2" s="4" t="s">
        <v>43</v>
      </c>
      <c r="O2" s="14">
        <f>M2/4047</f>
        <v>2.2198047936743266</v>
      </c>
      <c r="P2" s="4" t="s">
        <v>115</v>
      </c>
    </row>
    <row r="3" spans="2:16" x14ac:dyDescent="0.25">
      <c r="K3" s="4" t="s">
        <v>44</v>
      </c>
      <c r="L3" s="4" t="s">
        <v>45</v>
      </c>
      <c r="M3" s="2">
        <v>21718.86</v>
      </c>
      <c r="N3" s="2">
        <f>M5/M2</f>
        <v>5.3418993604977993</v>
      </c>
      <c r="O3" s="108"/>
    </row>
    <row r="4" spans="2:16" x14ac:dyDescent="0.25">
      <c r="C4" s="5" t="s">
        <v>19</v>
      </c>
      <c r="K4" s="11"/>
      <c r="L4" s="4" t="s">
        <v>46</v>
      </c>
      <c r="M4" s="2">
        <v>26270.36</v>
      </c>
      <c r="N4" s="111">
        <f>M2*1.75*10.764</f>
        <v>169223.13134999995</v>
      </c>
      <c r="P4" s="78">
        <v>46111</v>
      </c>
    </row>
    <row r="5" spans="2:16" ht="45" x14ac:dyDescent="0.25">
      <c r="B5" s="6" t="s">
        <v>0</v>
      </c>
      <c r="C5" s="6" t="s">
        <v>1</v>
      </c>
      <c r="D5" s="15" t="s">
        <v>18</v>
      </c>
      <c r="E5" s="7" t="s">
        <v>2</v>
      </c>
      <c r="F5" s="7" t="s">
        <v>3</v>
      </c>
      <c r="G5" s="15" t="s">
        <v>17</v>
      </c>
      <c r="L5" s="4" t="s">
        <v>47</v>
      </c>
      <c r="M5" s="14">
        <f>SUM(M3:M4)</f>
        <v>47989.22</v>
      </c>
      <c r="N5" s="111">
        <f>M5*10.764</f>
        <v>516555.96408000001</v>
      </c>
    </row>
    <row r="6" spans="2:16" x14ac:dyDescent="0.25">
      <c r="B6" s="8">
        <v>1</v>
      </c>
      <c r="C6" s="9" t="s">
        <v>11</v>
      </c>
      <c r="D6" s="16">
        <v>278.13</v>
      </c>
      <c r="E6" s="10">
        <v>2</v>
      </c>
      <c r="F6" s="10">
        <v>0</v>
      </c>
      <c r="G6" s="16">
        <f>E6*D6</f>
        <v>556.26</v>
      </c>
      <c r="M6" s="2"/>
    </row>
    <row r="7" spans="2:16" x14ac:dyDescent="0.25">
      <c r="B7" s="8">
        <v>2</v>
      </c>
      <c r="C7" s="9" t="s">
        <v>12</v>
      </c>
      <c r="D7" s="16">
        <v>297.05</v>
      </c>
      <c r="E7" s="10">
        <v>1</v>
      </c>
      <c r="F7" s="10">
        <v>0</v>
      </c>
      <c r="G7" s="16">
        <f t="shared" ref="G7:G11" si="0">E7*D7</f>
        <v>297.05</v>
      </c>
      <c r="I7" s="12" t="s">
        <v>48</v>
      </c>
      <c r="J7" s="12">
        <v>7</v>
      </c>
    </row>
    <row r="8" spans="2:16" x14ac:dyDescent="0.25">
      <c r="B8" s="8">
        <v>3</v>
      </c>
      <c r="C8" s="9" t="s">
        <v>13</v>
      </c>
      <c r="D8" s="16">
        <v>425.97</v>
      </c>
      <c r="E8" s="10">
        <v>2</v>
      </c>
      <c r="F8" s="10">
        <v>0</v>
      </c>
      <c r="G8" s="16">
        <f t="shared" si="0"/>
        <v>851.94</v>
      </c>
      <c r="I8" s="12" t="s">
        <v>49</v>
      </c>
      <c r="J8" s="12">
        <v>1</v>
      </c>
      <c r="M8" s="4" t="s">
        <v>57</v>
      </c>
      <c r="N8" s="2">
        <v>168250</v>
      </c>
      <c r="O8" s="4" t="s">
        <v>58</v>
      </c>
    </row>
    <row r="9" spans="2:16" x14ac:dyDescent="0.25">
      <c r="B9" s="8">
        <v>4</v>
      </c>
      <c r="C9" s="9" t="s">
        <v>14</v>
      </c>
      <c r="D9" s="16">
        <v>287.22000000000003</v>
      </c>
      <c r="E9" s="10">
        <v>6</v>
      </c>
      <c r="F9" s="10">
        <v>2</v>
      </c>
      <c r="G9" s="16">
        <f t="shared" si="0"/>
        <v>1723.3200000000002</v>
      </c>
      <c r="I9" s="12" t="s">
        <v>50</v>
      </c>
      <c r="J9" s="12">
        <v>7</v>
      </c>
      <c r="N9" s="3">
        <f>N8*M2</f>
        <v>1511482287.4999998</v>
      </c>
    </row>
    <row r="10" spans="2:16" x14ac:dyDescent="0.25">
      <c r="B10" s="8">
        <v>5</v>
      </c>
      <c r="C10" s="9" t="s">
        <v>15</v>
      </c>
      <c r="D10" s="16">
        <v>209.18</v>
      </c>
      <c r="E10" s="10">
        <v>37</v>
      </c>
      <c r="F10" s="10">
        <v>6</v>
      </c>
      <c r="G10" s="16">
        <f t="shared" si="0"/>
        <v>7739.66</v>
      </c>
      <c r="I10" s="12" t="s">
        <v>51</v>
      </c>
      <c r="J10" s="12">
        <v>68</v>
      </c>
      <c r="N10" s="2">
        <f>N9/10^7</f>
        <v>151.14822874999999</v>
      </c>
    </row>
    <row r="11" spans="2:16" x14ac:dyDescent="0.25">
      <c r="B11" s="8">
        <v>6</v>
      </c>
      <c r="C11" s="9" t="s">
        <v>16</v>
      </c>
      <c r="D11" s="16">
        <v>209.18</v>
      </c>
      <c r="E11" s="10">
        <v>37</v>
      </c>
      <c r="F11" s="10">
        <v>9</v>
      </c>
      <c r="G11" s="16">
        <f t="shared" si="0"/>
        <v>7739.66</v>
      </c>
      <c r="I11" s="12" t="s">
        <v>52</v>
      </c>
      <c r="J11" s="12">
        <v>266</v>
      </c>
    </row>
    <row r="12" spans="2:16" x14ac:dyDescent="0.25">
      <c r="B12" s="17"/>
      <c r="C12" s="17" t="s">
        <v>47</v>
      </c>
      <c r="D12" s="19">
        <f>AVERAGE(D6:D11)</f>
        <v>284.45500000000004</v>
      </c>
      <c r="E12" s="18">
        <f>SUM(E6:E11)</f>
        <v>85</v>
      </c>
      <c r="F12" s="18">
        <f>SUM(F6:F11)</f>
        <v>17</v>
      </c>
      <c r="G12" s="19">
        <f>SUM(G6:G11)</f>
        <v>18907.89</v>
      </c>
    </row>
    <row r="13" spans="2:16" x14ac:dyDescent="0.25">
      <c r="C13" s="74" t="s">
        <v>102</v>
      </c>
      <c r="D13" s="13">
        <f>SUMPRODUCT(D9:D11,F9:F11)</f>
        <v>3712.1400000000003</v>
      </c>
      <c r="E13" s="13">
        <f>D13*10.764</f>
        <v>39957.47496</v>
      </c>
      <c r="F13" s="13">
        <f>F12</f>
        <v>17</v>
      </c>
      <c r="L13" s="4" t="s">
        <v>116</v>
      </c>
      <c r="M13" s="109">
        <v>0.35</v>
      </c>
      <c r="P13" s="3">
        <f>P14/10.764</f>
        <v>24794.597999999994</v>
      </c>
    </row>
    <row r="14" spans="2:16" x14ac:dyDescent="0.25">
      <c r="C14" s="74" t="s">
        <v>103</v>
      </c>
      <c r="D14" s="13">
        <f>G12-D13</f>
        <v>15195.75</v>
      </c>
      <c r="E14" s="13">
        <f>D14*10.764</f>
        <v>163567.05299999999</v>
      </c>
      <c r="F14" s="13">
        <f>E12-F12</f>
        <v>68</v>
      </c>
      <c r="L14" s="4" t="s">
        <v>117</v>
      </c>
      <c r="M14" s="4">
        <v>2.4</v>
      </c>
      <c r="N14" s="111">
        <f>M14*M2</f>
        <v>21560.519999999997</v>
      </c>
      <c r="O14" s="111">
        <f>M14*M2*10.764</f>
        <v>232077.43727999995</v>
      </c>
      <c r="P14" s="111">
        <f>O14*1.15</f>
        <v>266889.05287199991</v>
      </c>
    </row>
    <row r="15" spans="2:16" x14ac:dyDescent="0.25">
      <c r="C15" s="76"/>
      <c r="O15" s="111">
        <f>O14-E29</f>
        <v>187616.73527999996</v>
      </c>
      <c r="P15" s="111">
        <f>P14-E29</f>
        <v>222428.35087199992</v>
      </c>
    </row>
    <row r="16" spans="2:16" x14ac:dyDescent="0.25">
      <c r="C16" s="5" t="s">
        <v>10</v>
      </c>
    </row>
    <row r="17" spans="2:15" ht="45" x14ac:dyDescent="0.25">
      <c r="B17" s="6" t="s">
        <v>0</v>
      </c>
      <c r="C17" s="6" t="s">
        <v>1</v>
      </c>
      <c r="D17" s="15" t="s">
        <v>18</v>
      </c>
      <c r="E17" s="7" t="s">
        <v>2</v>
      </c>
      <c r="F17" s="7" t="s">
        <v>3</v>
      </c>
      <c r="G17" s="15" t="s">
        <v>17</v>
      </c>
      <c r="L17" s="110" t="s">
        <v>128</v>
      </c>
      <c r="M17" s="110" t="s">
        <v>118</v>
      </c>
      <c r="N17" s="110" t="s">
        <v>126</v>
      </c>
      <c r="O17" s="110" t="s">
        <v>127</v>
      </c>
    </row>
    <row r="18" spans="2:15" x14ac:dyDescent="0.25">
      <c r="B18" s="8">
        <v>1</v>
      </c>
      <c r="C18" s="9" t="s">
        <v>4</v>
      </c>
      <c r="D18" s="16">
        <v>287.22000000000003</v>
      </c>
      <c r="E18" s="10">
        <v>8</v>
      </c>
      <c r="F18" s="10">
        <v>0</v>
      </c>
      <c r="G18" s="16">
        <f>E18*D18</f>
        <v>2297.7600000000002</v>
      </c>
      <c r="L18" s="12" t="s">
        <v>119</v>
      </c>
      <c r="M18" s="12" t="s">
        <v>120</v>
      </c>
      <c r="N18" s="13">
        <v>68973.73</v>
      </c>
      <c r="O18" s="13">
        <v>16673</v>
      </c>
    </row>
    <row r="19" spans="2:15" x14ac:dyDescent="0.25">
      <c r="B19" s="8">
        <v>2</v>
      </c>
      <c r="C19" s="9" t="s">
        <v>5</v>
      </c>
      <c r="D19" s="16">
        <v>278.13</v>
      </c>
      <c r="E19" s="10">
        <v>2</v>
      </c>
      <c r="F19" s="10">
        <v>0</v>
      </c>
      <c r="G19" s="16">
        <f t="shared" ref="G19:G23" si="1">E19*D19</f>
        <v>556.26</v>
      </c>
      <c r="I19" s="12" t="s">
        <v>48</v>
      </c>
      <c r="J19" s="12">
        <v>7</v>
      </c>
      <c r="L19" s="12" t="s">
        <v>121</v>
      </c>
      <c r="M19" s="12" t="s">
        <v>122</v>
      </c>
      <c r="N19" s="13">
        <v>73768.34</v>
      </c>
      <c r="O19" s="13">
        <v>137593</v>
      </c>
    </row>
    <row r="20" spans="2:15" x14ac:dyDescent="0.25">
      <c r="B20" s="8">
        <v>3</v>
      </c>
      <c r="C20" s="9" t="s">
        <v>6</v>
      </c>
      <c r="D20" s="16">
        <v>297.05</v>
      </c>
      <c r="E20" s="10">
        <v>1</v>
      </c>
      <c r="F20" s="10">
        <v>0</v>
      </c>
      <c r="G20" s="16">
        <f t="shared" si="1"/>
        <v>297.05</v>
      </c>
      <c r="I20" s="12" t="s">
        <v>49</v>
      </c>
      <c r="J20" s="12">
        <v>1</v>
      </c>
      <c r="L20" s="12" t="s">
        <v>123</v>
      </c>
      <c r="M20" s="12" t="s">
        <v>124</v>
      </c>
      <c r="N20" s="13">
        <v>302704</v>
      </c>
      <c r="O20" s="13">
        <v>8094</v>
      </c>
    </row>
    <row r="21" spans="2:15" x14ac:dyDescent="0.25">
      <c r="B21" s="8">
        <v>4</v>
      </c>
      <c r="C21" s="9" t="s">
        <v>7</v>
      </c>
      <c r="D21" s="16">
        <v>425.97</v>
      </c>
      <c r="E21" s="10">
        <v>4</v>
      </c>
      <c r="F21" s="10">
        <v>0</v>
      </c>
      <c r="G21" s="16">
        <f t="shared" si="1"/>
        <v>1703.88</v>
      </c>
      <c r="I21" s="12" t="s">
        <v>50</v>
      </c>
      <c r="J21" s="12">
        <v>7</v>
      </c>
      <c r="L21" s="12" t="s">
        <v>125</v>
      </c>
      <c r="M21" s="12" t="s">
        <v>124</v>
      </c>
      <c r="N21" s="13">
        <v>185329.33</v>
      </c>
      <c r="O21" s="13">
        <v>32375</v>
      </c>
    </row>
    <row r="22" spans="2:15" x14ac:dyDescent="0.25">
      <c r="B22" s="8">
        <v>5</v>
      </c>
      <c r="C22" s="9" t="s">
        <v>8</v>
      </c>
      <c r="D22" s="16">
        <v>209.18</v>
      </c>
      <c r="E22" s="10">
        <v>43</v>
      </c>
      <c r="F22" s="10">
        <v>1</v>
      </c>
      <c r="G22" s="16">
        <f t="shared" si="1"/>
        <v>8994.74</v>
      </c>
      <c r="I22" s="12" t="s">
        <v>51</v>
      </c>
      <c r="J22" s="12">
        <v>74</v>
      </c>
      <c r="L22" s="12"/>
      <c r="M22" s="12"/>
      <c r="N22" s="13">
        <f>7652*10.764</f>
        <v>82366.127999999997</v>
      </c>
      <c r="O22" s="12"/>
    </row>
    <row r="23" spans="2:15" x14ac:dyDescent="0.25">
      <c r="B23" s="8">
        <v>6</v>
      </c>
      <c r="C23" s="9" t="s">
        <v>9</v>
      </c>
      <c r="D23" s="16">
        <v>209.18</v>
      </c>
      <c r="E23" s="10">
        <v>43</v>
      </c>
      <c r="F23" s="10">
        <v>1</v>
      </c>
      <c r="G23" s="16">
        <f t="shared" si="1"/>
        <v>8994.74</v>
      </c>
      <c r="I23" s="12" t="s">
        <v>52</v>
      </c>
      <c r="J23" s="12">
        <v>316</v>
      </c>
      <c r="L23" s="12"/>
      <c r="M23" s="12"/>
      <c r="N23" s="13">
        <f>100857*10.764</f>
        <v>1085624.7479999999</v>
      </c>
      <c r="O23" s="12"/>
    </row>
    <row r="24" spans="2:15" x14ac:dyDescent="0.25">
      <c r="B24" s="17"/>
      <c r="C24" s="17" t="s">
        <v>47</v>
      </c>
      <c r="D24" s="19">
        <f>AVERAGE(D18:D23)</f>
        <v>284.45500000000004</v>
      </c>
      <c r="E24" s="18">
        <f>SUM(E18:E23)</f>
        <v>101</v>
      </c>
      <c r="F24" s="18">
        <f>SUM(F18:F23)</f>
        <v>2</v>
      </c>
      <c r="G24" s="19">
        <f>SUM(G18:G23)</f>
        <v>22844.43</v>
      </c>
      <c r="L24" s="12" t="s">
        <v>133</v>
      </c>
      <c r="M24" s="12" t="s">
        <v>124</v>
      </c>
      <c r="N24" s="13">
        <f>257548*10.764</f>
        <v>2772246.6719999998</v>
      </c>
      <c r="O24" s="12">
        <v>1800</v>
      </c>
    </row>
    <row r="25" spans="2:15" x14ac:dyDescent="0.25">
      <c r="C25" s="74" t="s">
        <v>102</v>
      </c>
      <c r="D25" s="77">
        <f>SUMPRODUCT(D22:D23,F22:F23)</f>
        <v>418.36</v>
      </c>
      <c r="E25" s="13">
        <f t="shared" ref="E25:E26" si="2">D25*10.764</f>
        <v>4503.2270399999998</v>
      </c>
      <c r="F25" s="13">
        <f>F24</f>
        <v>2</v>
      </c>
      <c r="L25" s="12" t="s">
        <v>134</v>
      </c>
      <c r="M25" s="12" t="s">
        <v>124</v>
      </c>
      <c r="N25" s="13">
        <v>1869461</v>
      </c>
      <c r="O25" s="13"/>
    </row>
    <row r="26" spans="2:15" x14ac:dyDescent="0.25">
      <c r="C26" s="74" t="s">
        <v>103</v>
      </c>
      <c r="D26" s="13">
        <f>G24-D25</f>
        <v>22426.07</v>
      </c>
      <c r="E26" s="13">
        <f t="shared" si="2"/>
        <v>241394.21747999999</v>
      </c>
      <c r="F26" s="13">
        <f>E24-F24</f>
        <v>99</v>
      </c>
      <c r="L26" s="12"/>
      <c r="M26" s="12"/>
      <c r="N26" s="12"/>
      <c r="O26" s="12"/>
    </row>
    <row r="27" spans="2:15" x14ac:dyDescent="0.25">
      <c r="D27" s="112"/>
      <c r="E27" s="112"/>
      <c r="L27" s="12"/>
      <c r="M27" s="12"/>
      <c r="N27" s="12"/>
      <c r="O27" s="12"/>
    </row>
    <row r="28" spans="2:15" x14ac:dyDescent="0.25">
      <c r="C28" s="136" t="s">
        <v>129</v>
      </c>
      <c r="D28" s="136"/>
      <c r="E28" s="136"/>
      <c r="L28" s="12"/>
      <c r="M28" s="12"/>
      <c r="N28" s="12"/>
      <c r="O28" s="12"/>
    </row>
    <row r="29" spans="2:15" x14ac:dyDescent="0.25">
      <c r="C29" s="113" t="s">
        <v>102</v>
      </c>
      <c r="D29" s="114">
        <f t="shared" ref="D29" si="3">D25+D13</f>
        <v>4130.5</v>
      </c>
      <c r="E29" s="114">
        <f>E25+E13</f>
        <v>44460.701999999997</v>
      </c>
    </row>
    <row r="30" spans="2:15" x14ac:dyDescent="0.25">
      <c r="C30" s="113" t="s">
        <v>103</v>
      </c>
      <c r="D30" s="114">
        <f t="shared" ref="D30:E30" si="4">D26+D14</f>
        <v>37621.82</v>
      </c>
      <c r="E30" s="114">
        <f t="shared" si="4"/>
        <v>404961.27047999995</v>
      </c>
    </row>
    <row r="31" spans="2:15" x14ac:dyDescent="0.25">
      <c r="D31" s="3">
        <f>SUM(D29:D30)</f>
        <v>41752.32</v>
      </c>
      <c r="E31" s="3">
        <f>SUM(E29:E30)</f>
        <v>449421.97247999994</v>
      </c>
    </row>
    <row r="34" spans="3:6" x14ac:dyDescent="0.25">
      <c r="C34" s="120"/>
      <c r="D34" s="42" t="s">
        <v>110</v>
      </c>
      <c r="E34" s="42" t="s">
        <v>143</v>
      </c>
      <c r="F34" s="121"/>
    </row>
    <row r="35" spans="3:6" x14ac:dyDescent="0.25">
      <c r="C35" s="113" t="s">
        <v>138</v>
      </c>
      <c r="D35" s="119">
        <f>M2</f>
        <v>8983.5499999999993</v>
      </c>
      <c r="E35" s="13"/>
      <c r="F35" s="13"/>
    </row>
    <row r="36" spans="3:6" x14ac:dyDescent="0.25">
      <c r="C36" s="113"/>
      <c r="D36" s="119">
        <f>D35*10.764</f>
        <v>96698.932199999981</v>
      </c>
      <c r="E36" s="13"/>
      <c r="F36" s="13"/>
    </row>
    <row r="37" spans="3:6" x14ac:dyDescent="0.25">
      <c r="C37" s="113" t="s">
        <v>139</v>
      </c>
      <c r="D37" s="119">
        <f>D35*2.4</f>
        <v>21560.519999999997</v>
      </c>
      <c r="E37" s="13">
        <f>D35*2.4</f>
        <v>21560.519999999997</v>
      </c>
      <c r="F37" s="13"/>
    </row>
    <row r="38" spans="3:6" x14ac:dyDescent="0.25">
      <c r="C38" s="113"/>
      <c r="D38" s="119">
        <f>D37*10.764</f>
        <v>232077.43727999995</v>
      </c>
      <c r="E38" s="119">
        <f>E37*10.764</f>
        <v>232077.43727999995</v>
      </c>
      <c r="F38" s="13"/>
    </row>
    <row r="39" spans="3:6" x14ac:dyDescent="0.25">
      <c r="C39" s="113" t="s">
        <v>142</v>
      </c>
      <c r="D39" s="119">
        <f>D37*F39</f>
        <v>18326.441999999995</v>
      </c>
      <c r="E39" s="13">
        <f>E37*F39</f>
        <v>18326.441999999995</v>
      </c>
      <c r="F39" s="77">
        <v>0.85</v>
      </c>
    </row>
    <row r="40" spans="3:6" x14ac:dyDescent="0.25">
      <c r="C40" s="113"/>
      <c r="D40" s="119">
        <f>D39*10.764</f>
        <v>197265.82168799994</v>
      </c>
      <c r="E40" s="13">
        <f>E38/1.15</f>
        <v>201806.46719999998</v>
      </c>
      <c r="F40" s="13"/>
    </row>
    <row r="41" spans="3:6" x14ac:dyDescent="0.25">
      <c r="C41" s="113" t="s">
        <v>140</v>
      </c>
      <c r="D41" s="119">
        <f>D25+D13</f>
        <v>4130.5</v>
      </c>
      <c r="E41" s="13">
        <f>D41</f>
        <v>4130.5</v>
      </c>
      <c r="F41" s="13"/>
    </row>
    <row r="42" spans="3:6" x14ac:dyDescent="0.25">
      <c r="C42" s="113"/>
      <c r="D42" s="119">
        <f>D41*10.764</f>
        <v>44460.701999999997</v>
      </c>
      <c r="E42" s="13">
        <f>D42</f>
        <v>44460.701999999997</v>
      </c>
      <c r="F42" s="13"/>
    </row>
    <row r="43" spans="3:6" x14ac:dyDescent="0.25">
      <c r="C43" s="113" t="s">
        <v>141</v>
      </c>
      <c r="D43" s="119">
        <f>D26+D14</f>
        <v>37621.82</v>
      </c>
      <c r="E43" s="13">
        <f>E39-E41</f>
        <v>14195.941999999995</v>
      </c>
      <c r="F43" s="13"/>
    </row>
    <row r="44" spans="3:6" x14ac:dyDescent="0.25">
      <c r="C44" s="113"/>
      <c r="D44" s="119">
        <f>D43*10.764</f>
        <v>404961.27047999995</v>
      </c>
      <c r="E44" s="13">
        <f>E40-E42</f>
        <v>157345.76519999999</v>
      </c>
      <c r="F44" s="13"/>
    </row>
    <row r="45" spans="3:6" x14ac:dyDescent="0.25">
      <c r="C45" s="12"/>
      <c r="D45" s="114"/>
      <c r="E45" s="13"/>
      <c r="F45" s="13"/>
    </row>
    <row r="46" spans="3:6" x14ac:dyDescent="0.25">
      <c r="C46" s="12"/>
      <c r="D46" s="77"/>
      <c r="E46" s="13"/>
      <c r="F46" s="13"/>
    </row>
  </sheetData>
  <mergeCells count="1">
    <mergeCell ref="C28:E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workbookViewId="0">
      <selection activeCell="F12" sqref="F12"/>
    </sheetView>
  </sheetViews>
  <sheetFormatPr defaultRowHeight="15" x14ac:dyDescent="0.25"/>
  <cols>
    <col min="2" max="2" width="7.28515625" bestFit="1" customWidth="1"/>
    <col min="3" max="3" width="59.140625" bestFit="1" customWidth="1"/>
    <col min="4" max="4" width="15.7109375" bestFit="1" customWidth="1"/>
    <col min="5" max="5" width="17.85546875" bestFit="1" customWidth="1"/>
    <col min="6" max="6" width="19.5703125" bestFit="1" customWidth="1"/>
    <col min="7" max="7" width="18.5703125" bestFit="1" customWidth="1"/>
    <col min="8" max="8" width="16.85546875" bestFit="1" customWidth="1"/>
    <col min="9" max="9" width="19.140625" customWidth="1"/>
    <col min="10" max="10" width="15.85546875" bestFit="1" customWidth="1"/>
  </cols>
  <sheetData>
    <row r="1" spans="2:10" x14ac:dyDescent="0.25">
      <c r="C1" t="s">
        <v>45</v>
      </c>
      <c r="D1" s="100">
        <f>Carpet!O14</f>
        <v>232077.43727999995</v>
      </c>
    </row>
    <row r="2" spans="2:10" ht="45" x14ac:dyDescent="0.25">
      <c r="B2" s="20" t="s">
        <v>20</v>
      </c>
      <c r="C2" s="20" t="s">
        <v>21</v>
      </c>
      <c r="D2" s="21" t="s">
        <v>22</v>
      </c>
      <c r="E2" s="21" t="s">
        <v>23</v>
      </c>
    </row>
    <row r="3" spans="2:10" x14ac:dyDescent="0.25">
      <c r="B3" s="22" t="s">
        <v>24</v>
      </c>
      <c r="C3" s="132" t="s">
        <v>25</v>
      </c>
      <c r="D3" s="24">
        <v>1400</v>
      </c>
      <c r="E3" s="30">
        <f>D3*$D$1</f>
        <v>324908412.19199991</v>
      </c>
    </row>
    <row r="4" spans="2:10" ht="30" x14ac:dyDescent="0.25">
      <c r="B4" s="22" t="s">
        <v>26</v>
      </c>
      <c r="C4" s="26" t="s">
        <v>27</v>
      </c>
      <c r="D4" s="24">
        <v>200</v>
      </c>
      <c r="E4" s="30">
        <f>D4*$D$1</f>
        <v>46415487.455999993</v>
      </c>
    </row>
    <row r="5" spans="2:10" ht="30" x14ac:dyDescent="0.25">
      <c r="B5" s="22" t="s">
        <v>28</v>
      </c>
      <c r="C5" s="26" t="s">
        <v>29</v>
      </c>
      <c r="D5" s="24">
        <v>500</v>
      </c>
      <c r="E5" s="30">
        <f t="shared" ref="E5:E11" si="0">D5*$D$1</f>
        <v>116038718.63999997</v>
      </c>
    </row>
    <row r="6" spans="2:10" x14ac:dyDescent="0.25">
      <c r="B6" s="22" t="s">
        <v>30</v>
      </c>
      <c r="C6" s="26" t="s">
        <v>31</v>
      </c>
      <c r="D6" s="24">
        <v>300</v>
      </c>
      <c r="E6" s="30">
        <f t="shared" si="0"/>
        <v>69623231.183999985</v>
      </c>
    </row>
    <row r="7" spans="2:10" x14ac:dyDescent="0.25">
      <c r="B7" s="22" t="s">
        <v>32</v>
      </c>
      <c r="C7" s="132" t="s">
        <v>33</v>
      </c>
      <c r="D7" s="27">
        <v>350</v>
      </c>
      <c r="E7" s="30">
        <f t="shared" si="0"/>
        <v>81227103.047999978</v>
      </c>
    </row>
    <row r="8" spans="2:10" ht="30" x14ac:dyDescent="0.25">
      <c r="B8" s="22" t="s">
        <v>34</v>
      </c>
      <c r="C8" s="28" t="s">
        <v>155</v>
      </c>
      <c r="D8" s="29">
        <f>SUM(D3:D7)*F8</f>
        <v>68.75</v>
      </c>
      <c r="E8" s="30">
        <f>D8*$D$1</f>
        <v>15955323.812999997</v>
      </c>
      <c r="F8" s="36">
        <v>2.5000000000000001E-2</v>
      </c>
      <c r="G8" s="131">
        <f>SUM(D3:D7)*F8</f>
        <v>68.75</v>
      </c>
      <c r="H8" s="37"/>
    </row>
    <row r="9" spans="2:10" ht="30" x14ac:dyDescent="0.25">
      <c r="B9" s="22" t="s">
        <v>36</v>
      </c>
      <c r="C9" s="28" t="s">
        <v>37</v>
      </c>
      <c r="D9" s="29">
        <f>(D3+D4+D5+D6+D7+D8)*F9</f>
        <v>281.875</v>
      </c>
      <c r="E9" s="30">
        <f t="shared" si="0"/>
        <v>65416827.633299984</v>
      </c>
      <c r="F9" s="38">
        <v>0.1</v>
      </c>
      <c r="G9" s="37"/>
      <c r="H9" s="37"/>
    </row>
    <row r="10" spans="2:10" x14ac:dyDescent="0.25">
      <c r="B10" s="22" t="s">
        <v>38</v>
      </c>
      <c r="C10" s="26" t="s">
        <v>107</v>
      </c>
      <c r="D10" s="24">
        <f>60000*0.015</f>
        <v>900</v>
      </c>
      <c r="E10" s="30">
        <f t="shared" si="0"/>
        <v>208869693.55199996</v>
      </c>
      <c r="G10" s="37"/>
      <c r="H10" s="37"/>
    </row>
    <row r="11" spans="2:10" ht="30" x14ac:dyDescent="0.25">
      <c r="B11" s="32" t="s">
        <v>39</v>
      </c>
      <c r="C11" s="133" t="s">
        <v>40</v>
      </c>
      <c r="D11" s="29">
        <f>SUM(D3:D10)*F11*G11*H11</f>
        <v>1125.17578125</v>
      </c>
      <c r="E11" s="30">
        <f t="shared" si="0"/>
        <v>261127911.80202183</v>
      </c>
      <c r="F11" s="38">
        <v>0.75</v>
      </c>
      <c r="G11" s="36">
        <v>0.125</v>
      </c>
      <c r="H11" s="37">
        <v>3</v>
      </c>
    </row>
    <row r="12" spans="2:10" ht="15.75" x14ac:dyDescent="0.25">
      <c r="B12" s="137" t="s">
        <v>41</v>
      </c>
      <c r="C12" s="138"/>
      <c r="D12" s="34">
        <f>SUM(D3:D11)</f>
        <v>5125.80078125</v>
      </c>
      <c r="E12" s="103">
        <f>SUM(E3:E11)</f>
        <v>1189582709.3203216</v>
      </c>
      <c r="F12" s="89">
        <v>0.2</v>
      </c>
      <c r="G12" s="89">
        <v>0.35</v>
      </c>
      <c r="H12" s="89">
        <v>0.35</v>
      </c>
      <c r="I12" s="89">
        <v>0.1</v>
      </c>
      <c r="J12" s="128">
        <f>SUM(F12:I12)</f>
        <v>1</v>
      </c>
    </row>
    <row r="13" spans="2:10" x14ac:dyDescent="0.25">
      <c r="F13" s="104">
        <f>E12</f>
        <v>1189582709.3203216</v>
      </c>
      <c r="G13" s="104">
        <f>F13*102%</f>
        <v>1213374363.5067279</v>
      </c>
      <c r="H13" s="104">
        <f t="shared" ref="H13:I13" si="1">G13*102%</f>
        <v>1237641850.7768626</v>
      </c>
      <c r="I13" s="104">
        <f t="shared" si="1"/>
        <v>1262394687.7923999</v>
      </c>
      <c r="J13" s="35"/>
    </row>
    <row r="14" spans="2:10" x14ac:dyDescent="0.25">
      <c r="F14" s="104">
        <f>F13*F12</f>
        <v>237916541.86406434</v>
      </c>
      <c r="G14" s="104">
        <f t="shared" ref="G14:I14" si="2">G13*G12</f>
        <v>424681027.22735476</v>
      </c>
      <c r="H14" s="104">
        <f t="shared" si="2"/>
        <v>433174647.77190191</v>
      </c>
      <c r="I14" s="104">
        <f t="shared" si="2"/>
        <v>126239468.77924</v>
      </c>
      <c r="J14" s="105">
        <f>SUM(F14:I14)/10^7</f>
        <v>122.20116856425609</v>
      </c>
    </row>
    <row r="16" spans="2:10" x14ac:dyDescent="0.25">
      <c r="C16" t="s">
        <v>46</v>
      </c>
      <c r="D16" s="39">
        <v>0</v>
      </c>
    </row>
    <row r="17" spans="2:10" ht="45" x14ac:dyDescent="0.25">
      <c r="B17" s="20" t="s">
        <v>20</v>
      </c>
      <c r="C17" s="20" t="s">
        <v>21</v>
      </c>
      <c r="D17" s="21" t="s">
        <v>22</v>
      </c>
      <c r="E17" s="21" t="s">
        <v>23</v>
      </c>
    </row>
    <row r="18" spans="2:10" x14ac:dyDescent="0.25">
      <c r="B18" s="22" t="s">
        <v>24</v>
      </c>
      <c r="C18" s="23" t="s">
        <v>25</v>
      </c>
      <c r="D18" s="24">
        <f>D3</f>
        <v>1400</v>
      </c>
      <c r="E18" s="30">
        <f>D18*$D$16</f>
        <v>0</v>
      </c>
    </row>
    <row r="19" spans="2:10" ht="30" x14ac:dyDescent="0.25">
      <c r="B19" s="22" t="s">
        <v>26</v>
      </c>
      <c r="C19" s="25" t="s">
        <v>27</v>
      </c>
      <c r="D19" s="24">
        <f t="shared" ref="D19:D22" si="3">D4</f>
        <v>200</v>
      </c>
      <c r="E19" s="30">
        <f t="shared" ref="E19:E26" si="4">D19*$D$16</f>
        <v>0</v>
      </c>
    </row>
    <row r="20" spans="2:10" ht="30" x14ac:dyDescent="0.25">
      <c r="B20" s="22" t="s">
        <v>28</v>
      </c>
      <c r="C20" s="26" t="s">
        <v>29</v>
      </c>
      <c r="D20" s="24">
        <f t="shared" si="3"/>
        <v>500</v>
      </c>
      <c r="E20" s="30">
        <f t="shared" si="4"/>
        <v>0</v>
      </c>
    </row>
    <row r="21" spans="2:10" x14ac:dyDescent="0.25">
      <c r="B21" s="22" t="s">
        <v>30</v>
      </c>
      <c r="C21" s="26" t="s">
        <v>31</v>
      </c>
      <c r="D21" s="24">
        <f t="shared" si="3"/>
        <v>300</v>
      </c>
      <c r="E21" s="30">
        <f t="shared" si="4"/>
        <v>0</v>
      </c>
    </row>
    <row r="22" spans="2:10" x14ac:dyDescent="0.25">
      <c r="B22" s="22" t="s">
        <v>32</v>
      </c>
      <c r="C22" s="23" t="s">
        <v>33</v>
      </c>
      <c r="D22" s="24">
        <f t="shared" si="3"/>
        <v>350</v>
      </c>
      <c r="E22" s="30">
        <f t="shared" si="4"/>
        <v>0</v>
      </c>
    </row>
    <row r="23" spans="2:10" ht="30" x14ac:dyDescent="0.25">
      <c r="B23" s="22" t="s">
        <v>34</v>
      </c>
      <c r="C23" s="28" t="s">
        <v>35</v>
      </c>
      <c r="D23" s="29">
        <f>(D18+D19+D20+D21+D22)*F23</f>
        <v>41.25</v>
      </c>
      <c r="E23" s="30">
        <f t="shared" si="4"/>
        <v>0</v>
      </c>
      <c r="F23" s="36">
        <v>1.4999999999999999E-2</v>
      </c>
      <c r="G23" s="37"/>
      <c r="H23" s="37"/>
    </row>
    <row r="24" spans="2:10" ht="30" x14ac:dyDescent="0.25">
      <c r="B24" s="22" t="s">
        <v>36</v>
      </c>
      <c r="C24" s="31" t="s">
        <v>37</v>
      </c>
      <c r="D24" s="29">
        <f>(D18+D19+D20+D21+D22+D23)*F24</f>
        <v>139.5625</v>
      </c>
      <c r="E24" s="30">
        <f t="shared" si="4"/>
        <v>0</v>
      </c>
      <c r="F24" s="38">
        <v>0.05</v>
      </c>
      <c r="G24" s="37"/>
      <c r="H24" s="37"/>
    </row>
    <row r="25" spans="2:10" x14ac:dyDescent="0.25">
      <c r="B25" s="22" t="s">
        <v>38</v>
      </c>
      <c r="C25" s="25" t="s">
        <v>107</v>
      </c>
      <c r="D25" s="24">
        <f>60000*0.03</f>
        <v>1800</v>
      </c>
      <c r="E25" s="30">
        <f t="shared" si="4"/>
        <v>0</v>
      </c>
      <c r="G25" s="37"/>
      <c r="H25" s="37"/>
    </row>
    <row r="26" spans="2:10" ht="30" x14ac:dyDescent="0.25">
      <c r="B26" s="32" t="s">
        <v>39</v>
      </c>
      <c r="C26" s="33" t="s">
        <v>40</v>
      </c>
      <c r="D26" s="29">
        <f>SUM(D18:D25)*F26*G26*H26</f>
        <v>1330.541015625</v>
      </c>
      <c r="E26" s="30">
        <f t="shared" si="4"/>
        <v>0</v>
      </c>
      <c r="F26" s="38">
        <v>0.75</v>
      </c>
      <c r="G26" s="36">
        <v>0.125</v>
      </c>
      <c r="H26" s="37">
        <v>3</v>
      </c>
    </row>
    <row r="27" spans="2:10" ht="15.75" x14ac:dyDescent="0.25">
      <c r="B27" s="137" t="s">
        <v>41</v>
      </c>
      <c r="C27" s="138"/>
      <c r="D27" s="34">
        <f>SUM(D18:D26)</f>
        <v>6061.353515625</v>
      </c>
      <c r="E27" s="34">
        <f>SUM(E18:E26)</f>
        <v>0</v>
      </c>
      <c r="F27" s="89">
        <v>0.2</v>
      </c>
      <c r="G27" s="89">
        <v>0.3</v>
      </c>
      <c r="H27" s="89">
        <v>0.3</v>
      </c>
      <c r="I27" s="89">
        <v>0.2</v>
      </c>
      <c r="J27" s="35"/>
    </row>
    <row r="28" spans="2:10" ht="15.75" x14ac:dyDescent="0.25">
      <c r="B28" s="102"/>
      <c r="C28" s="102"/>
      <c r="D28" s="101"/>
      <c r="E28" s="101"/>
      <c r="F28" s="104">
        <f>E27</f>
        <v>0</v>
      </c>
      <c r="G28" s="104">
        <f>F28*102%</f>
        <v>0</v>
      </c>
      <c r="H28" s="104">
        <f t="shared" ref="H28:I28" si="5">G28*102%</f>
        <v>0</v>
      </c>
      <c r="I28" s="104">
        <f t="shared" si="5"/>
        <v>0</v>
      </c>
      <c r="J28" s="35"/>
    </row>
    <row r="29" spans="2:10" ht="15.75" x14ac:dyDescent="0.25">
      <c r="B29" s="102"/>
      <c r="C29" s="102"/>
      <c r="D29" s="101"/>
      <c r="E29" s="101"/>
      <c r="F29" s="104">
        <f>F28*F27</f>
        <v>0</v>
      </c>
      <c r="G29" s="104">
        <f t="shared" ref="G29" si="6">G28*G27</f>
        <v>0</v>
      </c>
      <c r="H29" s="104">
        <f t="shared" ref="H29" si="7">H28*H27</f>
        <v>0</v>
      </c>
      <c r="I29" s="104">
        <f t="shared" ref="I29" si="8">I28*I27</f>
        <v>0</v>
      </c>
      <c r="J29" s="105">
        <f>SUM(F29:I29)/10^7</f>
        <v>0</v>
      </c>
    </row>
    <row r="31" spans="2:10" ht="15.75" x14ac:dyDescent="0.25">
      <c r="E31" s="34"/>
      <c r="F31" s="40">
        <f>(F29+F14)/10^7</f>
        <v>23.791654186406433</v>
      </c>
      <c r="G31" s="40">
        <f t="shared" ref="G31:I31" si="9">(G29+G14)/10^7</f>
        <v>42.468102722735473</v>
      </c>
      <c r="H31" s="40">
        <f t="shared" si="9"/>
        <v>43.317464777190189</v>
      </c>
      <c r="I31" s="40">
        <f t="shared" si="9"/>
        <v>12.623946877924</v>
      </c>
      <c r="J31" s="40">
        <f>J29+J14</f>
        <v>122.20116856425609</v>
      </c>
    </row>
    <row r="32" spans="2:10" ht="15.75" x14ac:dyDescent="0.25">
      <c r="E32" s="41"/>
      <c r="F32" s="41"/>
      <c r="G32" s="41"/>
      <c r="H32" s="41"/>
      <c r="I32" s="41"/>
    </row>
  </sheetData>
  <mergeCells count="2">
    <mergeCell ref="B12:C12"/>
    <mergeCell ref="B27:C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topLeftCell="A25" workbookViewId="0">
      <selection activeCell="A47" sqref="A47:A50"/>
    </sheetView>
  </sheetViews>
  <sheetFormatPr defaultColWidth="8.85546875" defaultRowHeight="15" x14ac:dyDescent="0.25"/>
  <cols>
    <col min="1" max="1" width="54.140625" style="4" bestFit="1" customWidth="1"/>
    <col min="2" max="2" width="16" style="61" bestFit="1" customWidth="1"/>
    <col min="3" max="3" width="14.42578125" style="4" bestFit="1" customWidth="1"/>
    <col min="4" max="4" width="17.85546875" style="4" customWidth="1"/>
    <col min="5" max="6" width="10.5703125" style="4" bestFit="1" customWidth="1"/>
    <col min="7" max="7" width="11" style="4" bestFit="1" customWidth="1"/>
    <col min="8" max="8" width="12.85546875" style="4" customWidth="1"/>
    <col min="9" max="9" width="10.7109375" style="4" bestFit="1" customWidth="1"/>
    <col min="10" max="10" width="15.28515625" style="4" bestFit="1" customWidth="1"/>
    <col min="11" max="11" width="10.7109375" style="54" bestFit="1" customWidth="1"/>
    <col min="12" max="12" width="10.5703125" style="54" bestFit="1" customWidth="1"/>
    <col min="13" max="13" width="10.7109375" style="4" bestFit="1" customWidth="1"/>
    <col min="14" max="16384" width="8.85546875" style="4"/>
  </cols>
  <sheetData>
    <row r="1" spans="1:10" x14ac:dyDescent="0.25">
      <c r="A1" s="42" t="s">
        <v>64</v>
      </c>
      <c r="B1" s="53" t="s">
        <v>65</v>
      </c>
      <c r="C1" s="42" t="s">
        <v>66</v>
      </c>
      <c r="D1" s="42" t="s">
        <v>67</v>
      </c>
      <c r="F1" s="4" t="s">
        <v>161</v>
      </c>
    </row>
    <row r="2" spans="1:10" x14ac:dyDescent="0.25">
      <c r="A2" s="43" t="s">
        <v>68</v>
      </c>
      <c r="B2" s="51"/>
      <c r="C2" s="44"/>
      <c r="D2" s="44"/>
      <c r="F2" s="3">
        <v>82060</v>
      </c>
      <c r="G2" s="3">
        <v>8983.5499999999993</v>
      </c>
      <c r="H2" s="3">
        <f>G2*F2</f>
        <v>737190112.99999988</v>
      </c>
      <c r="J2" s="4" t="s">
        <v>160</v>
      </c>
    </row>
    <row r="3" spans="1:10" x14ac:dyDescent="0.25">
      <c r="A3" s="126" t="s">
        <v>144</v>
      </c>
      <c r="B3" s="125">
        <f>8983.55*10.764</f>
        <v>96698.932199999981</v>
      </c>
      <c r="C3" s="12" t="s">
        <v>136</v>
      </c>
      <c r="D3" s="12"/>
      <c r="H3" s="14">
        <f>H2/10^7</f>
        <v>73.719011299999991</v>
      </c>
      <c r="J3" s="4" t="s">
        <v>159</v>
      </c>
    </row>
    <row r="4" spans="1:10" x14ac:dyDescent="0.25">
      <c r="A4" s="126" t="s">
        <v>151</v>
      </c>
      <c r="B4" s="122">
        <v>2.4</v>
      </c>
      <c r="C4" s="12"/>
      <c r="D4" s="12"/>
    </row>
    <row r="5" spans="1:10" x14ac:dyDescent="0.25">
      <c r="A5" s="12" t="s">
        <v>135</v>
      </c>
      <c r="B5" s="127">
        <f>B4*B3</f>
        <v>232077.43727999995</v>
      </c>
      <c r="C5" s="12" t="s">
        <v>136</v>
      </c>
      <c r="D5" s="12" t="s">
        <v>137</v>
      </c>
      <c r="E5" s="111">
        <f>F5/10.764</f>
        <v>21560.519999999997</v>
      </c>
      <c r="F5" s="111">
        <f>B5</f>
        <v>232077.43727999995</v>
      </c>
      <c r="H5" s="4">
        <v>1.05</v>
      </c>
      <c r="I5" s="3">
        <f>B6/H5</f>
        <v>187872.21113142854</v>
      </c>
    </row>
    <row r="6" spans="1:10" x14ac:dyDescent="0.25">
      <c r="A6" s="12" t="s">
        <v>142</v>
      </c>
      <c r="B6" s="55">
        <f>B5*0.85</f>
        <v>197265.82168799997</v>
      </c>
      <c r="C6" s="12"/>
      <c r="D6" s="12"/>
      <c r="E6" s="111">
        <f>F6/10.764</f>
        <v>18326.441999999999</v>
      </c>
      <c r="F6" s="111">
        <f>B6</f>
        <v>197265.82168799997</v>
      </c>
      <c r="I6" s="111">
        <f>B6-I5</f>
        <v>9393.6105565714242</v>
      </c>
    </row>
    <row r="7" spans="1:10" x14ac:dyDescent="0.25">
      <c r="A7" s="12" t="s">
        <v>145</v>
      </c>
      <c r="B7" s="115">
        <f>I5</f>
        <v>187872.21113142854</v>
      </c>
      <c r="C7" s="12" t="s">
        <v>136</v>
      </c>
      <c r="D7" s="12" t="s">
        <v>110</v>
      </c>
      <c r="H7" s="109"/>
      <c r="I7" s="130">
        <f>SUM(I5:I6)</f>
        <v>197265.82168799997</v>
      </c>
    </row>
    <row r="8" spans="1:10" x14ac:dyDescent="0.25">
      <c r="A8" s="12" t="s">
        <v>146</v>
      </c>
      <c r="B8" s="115">
        <f>I6</f>
        <v>9393.6105565714242</v>
      </c>
      <c r="C8" s="12" t="s">
        <v>136</v>
      </c>
      <c r="D8" s="12"/>
    </row>
    <row r="9" spans="1:10" x14ac:dyDescent="0.25">
      <c r="A9" s="12" t="s">
        <v>147</v>
      </c>
      <c r="B9" s="84">
        <v>48000</v>
      </c>
      <c r="C9" s="12" t="s">
        <v>104</v>
      </c>
      <c r="D9" s="12" t="s">
        <v>77</v>
      </c>
      <c r="E9" s="79" t="s">
        <v>158</v>
      </c>
      <c r="F9" s="79"/>
      <c r="G9" s="79"/>
      <c r="H9" s="79"/>
    </row>
    <row r="10" spans="1:10" x14ac:dyDescent="0.25">
      <c r="A10" s="12" t="s">
        <v>148</v>
      </c>
      <c r="B10" s="84">
        <v>65000</v>
      </c>
      <c r="C10" s="12"/>
      <c r="D10" s="12"/>
      <c r="E10" s="79"/>
      <c r="F10" s="79" t="s">
        <v>157</v>
      </c>
      <c r="G10" s="79">
        <v>9757069090</v>
      </c>
      <c r="H10" s="79" t="s">
        <v>156</v>
      </c>
    </row>
    <row r="11" spans="1:10" x14ac:dyDescent="0.25">
      <c r="A11" s="85" t="s">
        <v>53</v>
      </c>
      <c r="B11" s="86">
        <v>0.02</v>
      </c>
      <c r="C11" s="12" t="s">
        <v>54</v>
      </c>
      <c r="D11" s="12"/>
    </row>
    <row r="12" spans="1:10" x14ac:dyDescent="0.25">
      <c r="A12" s="87" t="s">
        <v>152</v>
      </c>
      <c r="B12" s="58">
        <v>0.18</v>
      </c>
      <c r="C12" s="12"/>
      <c r="D12" s="12" t="s">
        <v>77</v>
      </c>
    </row>
    <row r="13" spans="1:10" x14ac:dyDescent="0.25">
      <c r="A13" s="85" t="s">
        <v>132</v>
      </c>
      <c r="B13" s="59">
        <v>0.03</v>
      </c>
      <c r="C13" s="87" t="s">
        <v>54</v>
      </c>
      <c r="D13" s="12" t="s">
        <v>77</v>
      </c>
      <c r="H13" s="4">
        <v>3.5</v>
      </c>
      <c r="I13" s="4">
        <v>800</v>
      </c>
      <c r="J13" s="4">
        <f>(H13*10^7)/I13</f>
        <v>43750</v>
      </c>
    </row>
    <row r="14" spans="1:10" x14ac:dyDescent="0.25">
      <c r="A14" s="87" t="s">
        <v>80</v>
      </c>
      <c r="B14" s="99">
        <f>'Cost of Construction'!J31</f>
        <v>122.20116856425609</v>
      </c>
      <c r="C14" s="87" t="s">
        <v>81</v>
      </c>
      <c r="D14" s="12" t="s">
        <v>78</v>
      </c>
      <c r="H14" s="4">
        <v>4</v>
      </c>
      <c r="I14" s="4">
        <f>I13</f>
        <v>800</v>
      </c>
      <c r="J14" s="4">
        <f>(H14*10^7)/I14</f>
        <v>50000</v>
      </c>
    </row>
    <row r="15" spans="1:10" hidden="1" x14ac:dyDescent="0.25">
      <c r="A15" s="87"/>
      <c r="B15" s="99"/>
      <c r="C15" s="87"/>
      <c r="D15" s="12"/>
      <c r="J15" s="3"/>
    </row>
    <row r="16" spans="1:10" hidden="1" x14ac:dyDescent="0.25">
      <c r="A16" s="106" t="s">
        <v>114</v>
      </c>
      <c r="B16" s="107">
        <f>'Cost of Construction'!D12</f>
        <v>5125.80078125</v>
      </c>
      <c r="C16" s="106" t="s">
        <v>56</v>
      </c>
      <c r="D16" s="106"/>
      <c r="J16" s="56"/>
    </row>
    <row r="17" spans="1:16" x14ac:dyDescent="0.25">
      <c r="A17" s="74" t="s">
        <v>63</v>
      </c>
      <c r="B17" s="35">
        <v>4</v>
      </c>
      <c r="C17" s="57" t="s">
        <v>101</v>
      </c>
      <c r="D17" s="75">
        <v>46111</v>
      </c>
      <c r="E17" s="1">
        <v>45027</v>
      </c>
      <c r="F17" s="62"/>
      <c r="G17" s="62"/>
      <c r="H17" s="62"/>
      <c r="N17" s="2"/>
      <c r="O17" s="2"/>
      <c r="P17" s="2"/>
    </row>
    <row r="18" spans="1:16" x14ac:dyDescent="0.25">
      <c r="A18" s="74"/>
      <c r="B18" s="35"/>
      <c r="C18" s="57"/>
      <c r="D18" s="75"/>
      <c r="E18" s="1"/>
      <c r="F18" s="62"/>
      <c r="G18" s="62"/>
      <c r="H18" s="62"/>
      <c r="N18" s="2"/>
      <c r="O18" s="2"/>
      <c r="P18" s="2"/>
    </row>
    <row r="19" spans="1:16" x14ac:dyDescent="0.25">
      <c r="A19" s="42" t="s">
        <v>64</v>
      </c>
      <c r="B19" s="42" t="s">
        <v>83</v>
      </c>
      <c r="C19" s="42" t="s">
        <v>84</v>
      </c>
      <c r="D19" s="42" t="s">
        <v>85</v>
      </c>
      <c r="E19" s="42" t="s">
        <v>86</v>
      </c>
      <c r="F19" s="42" t="s">
        <v>87</v>
      </c>
      <c r="G19" s="42" t="s">
        <v>105</v>
      </c>
      <c r="H19" s="42" t="s">
        <v>106</v>
      </c>
      <c r="I19" s="43" t="s">
        <v>47</v>
      </c>
      <c r="N19" s="2"/>
      <c r="O19" s="2"/>
      <c r="P19" s="2"/>
    </row>
    <row r="20" spans="1:16" s="79" customFormat="1" x14ac:dyDescent="0.25">
      <c r="A20" s="42" t="s">
        <v>88</v>
      </c>
      <c r="B20" s="51"/>
      <c r="C20" s="44"/>
      <c r="D20" s="44"/>
      <c r="E20" s="44"/>
      <c r="F20" s="44"/>
      <c r="G20" s="44"/>
      <c r="H20" s="44"/>
      <c r="I20" s="44"/>
      <c r="K20" s="63"/>
      <c r="L20" s="63"/>
    </row>
    <row r="21" spans="1:16" s="79" customFormat="1" x14ac:dyDescent="0.25">
      <c r="A21" s="87" t="s">
        <v>89</v>
      </c>
      <c r="B21" s="99">
        <f>B14</f>
        <v>122.20116856425609</v>
      </c>
      <c r="C21" s="64"/>
      <c r="D21" s="44"/>
      <c r="E21" s="44"/>
      <c r="F21" s="44"/>
      <c r="G21" s="44"/>
      <c r="H21" s="44"/>
      <c r="I21" s="45"/>
      <c r="K21" s="63"/>
      <c r="L21" s="63"/>
    </row>
    <row r="22" spans="1:16" s="79" customFormat="1" x14ac:dyDescent="0.25">
      <c r="A22" s="46" t="s">
        <v>90</v>
      </c>
      <c r="B22" s="89">
        <v>0.2</v>
      </c>
      <c r="C22" s="89">
        <v>0.35</v>
      </c>
      <c r="D22" s="89">
        <v>0.35</v>
      </c>
      <c r="E22" s="89">
        <v>0.1</v>
      </c>
      <c r="F22" s="90"/>
      <c r="G22" s="90"/>
      <c r="H22" s="90"/>
      <c r="I22" s="47">
        <f>SUM(B22:F22)</f>
        <v>1</v>
      </c>
      <c r="J22" s="92">
        <v>1</v>
      </c>
      <c r="K22" s="65"/>
      <c r="L22" s="65"/>
    </row>
    <row r="23" spans="1:16" s="79" customFormat="1" x14ac:dyDescent="0.25">
      <c r="A23" s="48" t="s">
        <v>91</v>
      </c>
      <c r="B23" s="99">
        <f>'Cost of Construction'!F31</f>
        <v>23.791654186406433</v>
      </c>
      <c r="C23" s="99">
        <f>'Cost of Construction'!G31</f>
        <v>42.468102722735473</v>
      </c>
      <c r="D23" s="99">
        <f>'Cost of Construction'!H31</f>
        <v>43.317464777190189</v>
      </c>
      <c r="E23" s="99">
        <f>'Cost of Construction'!I31</f>
        <v>12.623946877924</v>
      </c>
      <c r="F23" s="88"/>
      <c r="G23" s="88"/>
      <c r="H23" s="88"/>
      <c r="I23" s="49">
        <f>SUM(B23:F23)</f>
        <v>122.20116856425611</v>
      </c>
      <c r="K23" s="63"/>
      <c r="L23" s="63"/>
    </row>
    <row r="24" spans="1:16" s="79" customFormat="1" x14ac:dyDescent="0.25">
      <c r="A24" s="50" t="s">
        <v>92</v>
      </c>
      <c r="B24" s="123">
        <f>B23</f>
        <v>23.791654186406433</v>
      </c>
      <c r="C24" s="123">
        <f t="shared" ref="C24:E24" si="0">C23</f>
        <v>42.468102722735473</v>
      </c>
      <c r="D24" s="123">
        <f t="shared" si="0"/>
        <v>43.317464777190189</v>
      </c>
      <c r="E24" s="123">
        <f t="shared" si="0"/>
        <v>12.623946877924</v>
      </c>
      <c r="F24" s="66"/>
      <c r="G24" s="66"/>
      <c r="H24" s="66"/>
      <c r="I24" s="51">
        <f>SUM(B24:F24)</f>
        <v>122.20116856425611</v>
      </c>
      <c r="K24" s="63"/>
      <c r="L24" s="63"/>
    </row>
    <row r="25" spans="1:16" s="79" customFormat="1" x14ac:dyDescent="0.25">
      <c r="A25" s="42" t="s">
        <v>149</v>
      </c>
      <c r="B25" s="67"/>
      <c r="C25" s="68"/>
      <c r="D25" s="68"/>
      <c r="E25" s="44"/>
      <c r="F25" s="44"/>
      <c r="G25" s="44"/>
      <c r="H25" s="44"/>
      <c r="I25" s="44"/>
      <c r="K25" s="63"/>
      <c r="L25" s="63"/>
    </row>
    <row r="26" spans="1:16" s="79" customFormat="1" x14ac:dyDescent="0.25">
      <c r="A26" s="46" t="s">
        <v>153</v>
      </c>
      <c r="B26" s="81">
        <f>B7</f>
        <v>187872.21113142854</v>
      </c>
      <c r="C26" s="68"/>
      <c r="D26" s="68"/>
      <c r="E26" s="44"/>
      <c r="F26" s="44"/>
      <c r="G26" s="44"/>
      <c r="H26" s="44"/>
      <c r="I26" s="45">
        <f>SUM(B26:F26)</f>
        <v>187872.21113142854</v>
      </c>
      <c r="K26" s="63"/>
      <c r="L26" s="63"/>
    </row>
    <row r="27" spans="1:16" s="79" customFormat="1" x14ac:dyDescent="0.25">
      <c r="A27" s="46" t="s">
        <v>95</v>
      </c>
      <c r="B27" s="89">
        <v>0.05</v>
      </c>
      <c r="C27" s="89">
        <v>0.1</v>
      </c>
      <c r="D27" s="89">
        <v>0.2</v>
      </c>
      <c r="E27" s="89">
        <v>0.2</v>
      </c>
      <c r="F27" s="89">
        <v>0.2</v>
      </c>
      <c r="G27" s="89">
        <v>0.15</v>
      </c>
      <c r="H27" s="89">
        <v>0.1</v>
      </c>
      <c r="I27" s="52">
        <f>SUM(B27:H27)</f>
        <v>1</v>
      </c>
      <c r="K27" s="63"/>
      <c r="L27" s="63"/>
    </row>
    <row r="28" spans="1:16" s="79" customFormat="1" x14ac:dyDescent="0.25">
      <c r="A28" s="46" t="s">
        <v>96</v>
      </c>
      <c r="B28" s="81">
        <f>B27*$B$26</f>
        <v>9393.6105565714279</v>
      </c>
      <c r="C28" s="81">
        <f t="shared" ref="C28:F28" si="1">C27*$B$26</f>
        <v>18787.221113142856</v>
      </c>
      <c r="D28" s="81">
        <f t="shared" si="1"/>
        <v>37574.442226285712</v>
      </c>
      <c r="E28" s="81">
        <f t="shared" si="1"/>
        <v>37574.442226285712</v>
      </c>
      <c r="F28" s="81">
        <f t="shared" si="1"/>
        <v>37574.442226285712</v>
      </c>
      <c r="G28" s="81">
        <f t="shared" ref="G28:H28" si="2">G27*$B$26</f>
        <v>28180.83166971428</v>
      </c>
      <c r="H28" s="81">
        <f t="shared" si="2"/>
        <v>18787.221113142856</v>
      </c>
      <c r="I28" s="45">
        <f>SUM(B28:F28)</f>
        <v>140904.15834857142</v>
      </c>
      <c r="K28" s="63"/>
      <c r="L28" s="63"/>
    </row>
    <row r="29" spans="1:16" s="79" customFormat="1" x14ac:dyDescent="0.25">
      <c r="A29" s="46" t="s">
        <v>154</v>
      </c>
      <c r="B29" s="81"/>
      <c r="C29" s="81"/>
      <c r="D29" s="81"/>
      <c r="E29" s="81"/>
      <c r="F29" s="81"/>
      <c r="G29" s="81"/>
      <c r="H29" s="81"/>
      <c r="I29" s="45"/>
      <c r="K29" s="63"/>
      <c r="L29" s="63"/>
    </row>
    <row r="30" spans="1:16" s="79" customFormat="1" x14ac:dyDescent="0.25">
      <c r="A30" s="46" t="s">
        <v>97</v>
      </c>
      <c r="B30" s="84">
        <f>B9</f>
        <v>48000</v>
      </c>
      <c r="C30" s="84">
        <f>B30*(1+$B$13)</f>
        <v>49440</v>
      </c>
      <c r="D30" s="84">
        <f t="shared" ref="D30:H30" si="3">C30*(1+$B$13)</f>
        <v>50923.200000000004</v>
      </c>
      <c r="E30" s="84">
        <f t="shared" si="3"/>
        <v>52450.896000000008</v>
      </c>
      <c r="F30" s="84">
        <f t="shared" si="3"/>
        <v>54024.422880000013</v>
      </c>
      <c r="G30" s="84">
        <f t="shared" si="3"/>
        <v>55645.155566400012</v>
      </c>
      <c r="H30" s="84">
        <f t="shared" si="3"/>
        <v>57314.510233392015</v>
      </c>
      <c r="I30" s="44"/>
      <c r="K30" s="63"/>
      <c r="L30" s="63"/>
      <c r="M30" s="63"/>
    </row>
    <row r="31" spans="1:16" s="79" customFormat="1" x14ac:dyDescent="0.25">
      <c r="A31" s="50" t="s">
        <v>98</v>
      </c>
      <c r="B31" s="123">
        <f t="shared" ref="B31:H31" si="4">B30*B28/10^7</f>
        <v>45.089330671542854</v>
      </c>
      <c r="C31" s="123">
        <f t="shared" si="4"/>
        <v>92.88402118337828</v>
      </c>
      <c r="D31" s="123">
        <f t="shared" si="4"/>
        <v>191.34108363775928</v>
      </c>
      <c r="E31" s="123">
        <f t="shared" si="4"/>
        <v>197.08131614689208</v>
      </c>
      <c r="F31" s="123">
        <f t="shared" si="4"/>
        <v>202.99375563129885</v>
      </c>
      <c r="G31" s="123">
        <f t="shared" si="4"/>
        <v>156.81267622517834</v>
      </c>
      <c r="H31" s="123">
        <f t="shared" si="4"/>
        <v>107.67803767462246</v>
      </c>
      <c r="I31" s="93">
        <f>SUM(B31:F31)</f>
        <v>729.38950727087138</v>
      </c>
      <c r="J31" s="82"/>
      <c r="K31" s="63"/>
      <c r="L31" s="63"/>
      <c r="M31" s="63"/>
    </row>
    <row r="32" spans="1:16" s="79" customFormat="1" x14ac:dyDescent="0.25">
      <c r="A32" s="42" t="s">
        <v>150</v>
      </c>
      <c r="B32" s="67"/>
      <c r="C32" s="68"/>
      <c r="D32" s="68"/>
      <c r="E32" s="44"/>
      <c r="F32" s="44"/>
      <c r="G32" s="44"/>
      <c r="H32" s="44"/>
      <c r="I32" s="44"/>
      <c r="K32" s="63"/>
      <c r="L32" s="63"/>
    </row>
    <row r="33" spans="1:13" s="79" customFormat="1" x14ac:dyDescent="0.25">
      <c r="A33" s="46" t="s">
        <v>153</v>
      </c>
      <c r="B33" s="81">
        <f>B8</f>
        <v>9393.6105565714242</v>
      </c>
      <c r="C33" s="68"/>
      <c r="D33" s="68"/>
      <c r="E33" s="44"/>
      <c r="F33" s="44"/>
      <c r="G33" s="44"/>
      <c r="H33" s="44"/>
      <c r="I33" s="45">
        <f>SUM(B33:F33)</f>
        <v>9393.6105565714242</v>
      </c>
      <c r="K33" s="63"/>
      <c r="L33" s="63"/>
    </row>
    <row r="34" spans="1:13" s="79" customFormat="1" x14ac:dyDescent="0.25">
      <c r="A34" s="46" t="s">
        <v>95</v>
      </c>
      <c r="B34" s="89">
        <v>0</v>
      </c>
      <c r="C34" s="89">
        <v>0.1</v>
      </c>
      <c r="D34" s="89">
        <v>0.2</v>
      </c>
      <c r="E34" s="89">
        <v>0.2</v>
      </c>
      <c r="F34" s="89">
        <v>0.2</v>
      </c>
      <c r="G34" s="89">
        <v>0.1</v>
      </c>
      <c r="H34" s="89">
        <v>0.1</v>
      </c>
      <c r="I34" s="52">
        <f>SUM(B34:H34)</f>
        <v>0.89999999999999991</v>
      </c>
      <c r="K34" s="63"/>
      <c r="L34" s="63"/>
    </row>
    <row r="35" spans="1:13" s="79" customFormat="1" x14ac:dyDescent="0.25">
      <c r="A35" s="46" t="s">
        <v>96</v>
      </c>
      <c r="B35" s="81">
        <f>B34*$B$26</f>
        <v>0</v>
      </c>
      <c r="C35" s="81">
        <f t="shared" ref="C35:F35" si="5">C34*$B$26</f>
        <v>18787.221113142856</v>
      </c>
      <c r="D35" s="81">
        <f t="shared" si="5"/>
        <v>37574.442226285712</v>
      </c>
      <c r="E35" s="81">
        <f t="shared" si="5"/>
        <v>37574.442226285712</v>
      </c>
      <c r="F35" s="81">
        <f t="shared" si="5"/>
        <v>37574.442226285712</v>
      </c>
      <c r="G35" s="81">
        <f t="shared" ref="G35:H35" si="6">G34*$B$26</f>
        <v>18787.221113142856</v>
      </c>
      <c r="H35" s="81">
        <f t="shared" si="6"/>
        <v>18787.221113142856</v>
      </c>
      <c r="I35" s="45">
        <f>SUM(B35:F35)</f>
        <v>131510.547792</v>
      </c>
      <c r="K35" s="63"/>
      <c r="L35" s="63"/>
    </row>
    <row r="36" spans="1:13" s="79" customFormat="1" x14ac:dyDescent="0.25">
      <c r="A36" s="46" t="s">
        <v>97</v>
      </c>
      <c r="B36" s="84">
        <f>B10</f>
        <v>65000</v>
      </c>
      <c r="C36" s="84">
        <f>B36*(1+$B$13)</f>
        <v>66950</v>
      </c>
      <c r="D36" s="84">
        <f t="shared" ref="D36" si="7">C36*(1+$B$13)</f>
        <v>68958.5</v>
      </c>
      <c r="E36" s="84">
        <f t="shared" ref="E36:H36" si="8">D36*(1+$B$13)</f>
        <v>71027.255000000005</v>
      </c>
      <c r="F36" s="84">
        <f t="shared" si="8"/>
        <v>73158.072650000002</v>
      </c>
      <c r="G36" s="84">
        <f t="shared" si="8"/>
        <v>75352.814829499999</v>
      </c>
      <c r="H36" s="84">
        <f t="shared" si="8"/>
        <v>77613.399274384996</v>
      </c>
      <c r="I36" s="44"/>
      <c r="K36" s="63"/>
      <c r="L36" s="63"/>
      <c r="M36" s="63"/>
    </row>
    <row r="37" spans="1:13" s="79" customFormat="1" x14ac:dyDescent="0.25">
      <c r="A37" s="50" t="s">
        <v>98</v>
      </c>
      <c r="B37" s="123">
        <f>B36*B35/10^7</f>
        <v>0</v>
      </c>
      <c r="C37" s="123">
        <f t="shared" ref="C37:F37" si="9">C36*C35/10^7</f>
        <v>125.78044535249143</v>
      </c>
      <c r="D37" s="123">
        <f t="shared" si="9"/>
        <v>259.10771742613235</v>
      </c>
      <c r="E37" s="123">
        <f t="shared" si="9"/>
        <v>266.88094894891628</v>
      </c>
      <c r="F37" s="123">
        <f t="shared" si="9"/>
        <v>274.88737741738379</v>
      </c>
      <c r="G37" s="123">
        <f t="shared" ref="G37:H37" si="10">G36*G35/10^7</f>
        <v>141.56699936995267</v>
      </c>
      <c r="H37" s="123">
        <f t="shared" si="10"/>
        <v>145.8140093510512</v>
      </c>
      <c r="I37" s="93">
        <f>SUM(B37:F37)</f>
        <v>926.65648914492385</v>
      </c>
      <c r="J37" s="82"/>
      <c r="K37" s="63"/>
      <c r="L37" s="63"/>
      <c r="M37" s="63"/>
    </row>
    <row r="38" spans="1:13" x14ac:dyDescent="0.25">
      <c r="A38" s="69" t="s">
        <v>59</v>
      </c>
      <c r="B38" s="123">
        <f>B37+B31-B24</f>
        <v>21.297676485136421</v>
      </c>
      <c r="C38" s="123">
        <f t="shared" ref="C38:H38" si="11">C37+C31-C24</f>
        <v>176.19636381313424</v>
      </c>
      <c r="D38" s="123">
        <f t="shared" si="11"/>
        <v>407.13133628670147</v>
      </c>
      <c r="E38" s="123">
        <f t="shared" si="11"/>
        <v>451.33831821788431</v>
      </c>
      <c r="F38" s="123">
        <f t="shared" si="11"/>
        <v>477.88113304868261</v>
      </c>
      <c r="G38" s="123">
        <f t="shared" si="11"/>
        <v>298.379675595131</v>
      </c>
      <c r="H38" s="123">
        <f t="shared" si="11"/>
        <v>253.49204702567366</v>
      </c>
      <c r="I38" s="93">
        <f>SUM(B38:F38)</f>
        <v>1533.8448278515391</v>
      </c>
      <c r="K38" s="63"/>
      <c r="L38" s="63"/>
      <c r="M38" s="63"/>
    </row>
    <row r="39" spans="1:13" x14ac:dyDescent="0.25">
      <c r="A39" s="46" t="s">
        <v>99</v>
      </c>
      <c r="B39" s="58">
        <f>B12</f>
        <v>0.18</v>
      </c>
      <c r="C39" s="12"/>
      <c r="D39" s="12"/>
      <c r="E39" s="12"/>
      <c r="F39" s="12"/>
      <c r="G39" s="12"/>
      <c r="H39" s="12"/>
      <c r="I39" s="72"/>
      <c r="K39" s="63"/>
      <c r="L39" s="63"/>
      <c r="M39" s="63"/>
    </row>
    <row r="40" spans="1:13" x14ac:dyDescent="0.25">
      <c r="A40" s="87" t="s">
        <v>100</v>
      </c>
      <c r="B40" s="129">
        <f>NPV(B39,B38:H38)</f>
        <v>1024.1713367017153</v>
      </c>
      <c r="C40" s="12"/>
      <c r="D40" s="12"/>
      <c r="E40" s="12"/>
      <c r="F40" s="134"/>
      <c r="G40" s="12"/>
      <c r="H40" s="12"/>
      <c r="I40" s="72"/>
      <c r="K40" s="63"/>
      <c r="L40" s="63"/>
      <c r="M40" s="63"/>
    </row>
    <row r="41" spans="1:13" x14ac:dyDescent="0.25">
      <c r="A41" s="94" t="s">
        <v>60</v>
      </c>
      <c r="B41" s="95">
        <v>0.2</v>
      </c>
      <c r="C41" s="12"/>
      <c r="D41" s="12"/>
      <c r="E41" s="12"/>
      <c r="F41" s="135"/>
      <c r="G41" s="12"/>
      <c r="H41" s="12"/>
      <c r="I41" s="72"/>
      <c r="K41" s="63"/>
      <c r="L41" s="63"/>
      <c r="M41" s="63"/>
    </row>
    <row r="42" spans="1:13" x14ac:dyDescent="0.25">
      <c r="A42" s="94" t="s">
        <v>61</v>
      </c>
      <c r="B42" s="124">
        <f>(1-B41)*B40</f>
        <v>819.3370693613723</v>
      </c>
      <c r="C42" s="12"/>
      <c r="D42" s="12"/>
      <c r="E42" s="12"/>
      <c r="F42" s="135"/>
      <c r="G42" s="12"/>
      <c r="H42" s="12"/>
      <c r="I42" s="12"/>
      <c r="K42" s="63"/>
      <c r="L42" s="63"/>
      <c r="M42" s="63"/>
    </row>
    <row r="43" spans="1:13" x14ac:dyDescent="0.25">
      <c r="A43" s="97" t="s">
        <v>62</v>
      </c>
      <c r="B43" s="123">
        <v>820</v>
      </c>
      <c r="C43" s="13">
        <f>B42*10^7/(B3/10.764)</f>
        <v>912041.53075496026</v>
      </c>
      <c r="D43" s="12"/>
      <c r="E43" s="12"/>
      <c r="F43" s="135"/>
      <c r="G43" s="12"/>
      <c r="H43" s="12"/>
      <c r="I43" s="12"/>
      <c r="K43" s="63"/>
      <c r="L43" s="63"/>
      <c r="M43" s="63"/>
    </row>
    <row r="44" spans="1:13" x14ac:dyDescent="0.25">
      <c r="B44" s="61">
        <f>B43*0.85</f>
        <v>697</v>
      </c>
      <c r="K44" s="63"/>
      <c r="L44" s="63"/>
      <c r="M44" s="63"/>
    </row>
    <row r="45" spans="1:13" x14ac:dyDescent="0.25">
      <c r="B45" s="61">
        <f>B43*0.75</f>
        <v>615</v>
      </c>
      <c r="K45" s="63"/>
      <c r="L45" s="63"/>
      <c r="M45" s="63"/>
    </row>
    <row r="46" spans="1:13" x14ac:dyDescent="0.25">
      <c r="C46" s="3"/>
    </row>
    <row r="47" spans="1:13" x14ac:dyDescent="0.25">
      <c r="A47" s="4" t="s">
        <v>162</v>
      </c>
      <c r="C47" s="3"/>
    </row>
    <row r="48" spans="1:13" x14ac:dyDescent="0.25">
      <c r="A48" s="4" t="s">
        <v>164</v>
      </c>
    </row>
    <row r="49" spans="1:4" x14ac:dyDescent="0.25">
      <c r="A49" s="4" t="s">
        <v>165</v>
      </c>
    </row>
    <row r="50" spans="1:4" x14ac:dyDescent="0.25">
      <c r="A50" s="4" t="s">
        <v>163</v>
      </c>
    </row>
    <row r="51" spans="1:4" x14ac:dyDescent="0.25">
      <c r="B51" s="61">
        <v>5</v>
      </c>
      <c r="C51" s="4">
        <v>365</v>
      </c>
      <c r="D51" s="14">
        <f>C51*B51</f>
        <v>1825</v>
      </c>
    </row>
  </sheetData>
  <pageMargins left="0.7" right="0.7" top="0.75" bottom="0.75" header="0.3" footer="0.3"/>
  <pageSetup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22" workbookViewId="0">
      <selection activeCell="C9" sqref="C9"/>
    </sheetView>
  </sheetViews>
  <sheetFormatPr defaultColWidth="8.85546875" defaultRowHeight="15" x14ac:dyDescent="0.25"/>
  <cols>
    <col min="1" max="1" width="54.140625" style="4" bestFit="1" customWidth="1"/>
    <col min="2" max="2" width="15.85546875" style="61" bestFit="1" customWidth="1"/>
    <col min="3" max="3" width="14.28515625" style="4" bestFit="1" customWidth="1"/>
    <col min="4" max="4" width="20.85546875" style="4" bestFit="1" customWidth="1"/>
    <col min="5" max="5" width="10.42578125" style="4" bestFit="1" customWidth="1"/>
    <col min="6" max="7" width="9.7109375" style="4" bestFit="1" customWidth="1"/>
    <col min="8" max="8" width="9.7109375" style="4" customWidth="1"/>
    <col min="9" max="9" width="10.7109375" style="4" bestFit="1" customWidth="1"/>
    <col min="10" max="10" width="14.42578125" style="4" bestFit="1" customWidth="1"/>
    <col min="11" max="11" width="10.7109375" style="54" bestFit="1" customWidth="1"/>
    <col min="12" max="12" width="10.5703125" style="54" bestFit="1" customWidth="1"/>
    <col min="13" max="13" width="10.7109375" style="4" bestFit="1" customWidth="1"/>
    <col min="14" max="16384" width="8.85546875" style="4"/>
  </cols>
  <sheetData>
    <row r="1" spans="1:13" x14ac:dyDescent="0.25">
      <c r="A1" s="42" t="s">
        <v>64</v>
      </c>
      <c r="B1" s="53" t="s">
        <v>65</v>
      </c>
      <c r="C1" s="42" t="s">
        <v>66</v>
      </c>
      <c r="D1" s="42" t="s">
        <v>67</v>
      </c>
    </row>
    <row r="2" spans="1:13" x14ac:dyDescent="0.25">
      <c r="A2" s="43" t="s">
        <v>68</v>
      </c>
      <c r="B2" s="51"/>
      <c r="C2" s="44"/>
      <c r="D2" s="44"/>
    </row>
    <row r="3" spans="1:13" x14ac:dyDescent="0.25">
      <c r="A3" s="12" t="s">
        <v>108</v>
      </c>
      <c r="B3" s="55">
        <f>Carpet!E29</f>
        <v>44460.701999999997</v>
      </c>
      <c r="C3" s="12" t="s">
        <v>130</v>
      </c>
      <c r="D3" s="12" t="s">
        <v>110</v>
      </c>
    </row>
    <row r="4" spans="1:13" x14ac:dyDescent="0.25">
      <c r="A4" s="12" t="s">
        <v>109</v>
      </c>
      <c r="B4" s="115">
        <f>Carpet!F12+Carpet!F24</f>
        <v>19</v>
      </c>
      <c r="C4" s="12" t="s">
        <v>73</v>
      </c>
      <c r="D4" s="12" t="s">
        <v>110</v>
      </c>
    </row>
    <row r="5" spans="1:13" x14ac:dyDescent="0.25">
      <c r="A5" s="12" t="s">
        <v>69</v>
      </c>
      <c r="B5" s="55">
        <f>Carpet!E14+Carpet!E26</f>
        <v>404961.27047999995</v>
      </c>
      <c r="C5" s="12" t="s">
        <v>130</v>
      </c>
      <c r="D5" s="12" t="s">
        <v>110</v>
      </c>
      <c r="E5" s="79"/>
      <c r="F5" s="79"/>
      <c r="G5" s="79"/>
      <c r="H5" s="79"/>
      <c r="I5" s="4">
        <v>391</v>
      </c>
      <c r="J5" s="4" t="s">
        <v>71</v>
      </c>
      <c r="K5" s="54">
        <f>45*10^5</f>
        <v>4500000</v>
      </c>
      <c r="L5" s="54">
        <v>10000</v>
      </c>
      <c r="M5" s="80">
        <f>L5*I5</f>
        <v>3910000</v>
      </c>
    </row>
    <row r="6" spans="1:13" x14ac:dyDescent="0.25">
      <c r="A6" s="12" t="s">
        <v>72</v>
      </c>
      <c r="B6" s="81">
        <f>Carpet!F26+Carpet!F14</f>
        <v>167</v>
      </c>
      <c r="C6" s="12" t="s">
        <v>73</v>
      </c>
      <c r="D6" s="12" t="s">
        <v>110</v>
      </c>
      <c r="E6" s="79"/>
      <c r="F6" s="82">
        <f>B5/(Carpet!G12+Carpet!G24)</f>
        <v>9.6991321794812819</v>
      </c>
      <c r="G6" s="79"/>
      <c r="H6" s="79"/>
      <c r="I6" s="4">
        <v>575</v>
      </c>
      <c r="J6" s="4" t="s">
        <v>74</v>
      </c>
      <c r="K6" s="54">
        <f>65*10^5</f>
        <v>6500000</v>
      </c>
      <c r="L6" s="54">
        <v>10000</v>
      </c>
      <c r="M6" s="80">
        <f>L6*I6</f>
        <v>5750000</v>
      </c>
    </row>
    <row r="7" spans="1:13" x14ac:dyDescent="0.25">
      <c r="A7" s="12" t="s">
        <v>75</v>
      </c>
      <c r="B7" s="83">
        <f>Carpet!D12*10.764</f>
        <v>3061.8736200000003</v>
      </c>
      <c r="C7" s="12" t="s">
        <v>70</v>
      </c>
      <c r="D7" s="12"/>
      <c r="E7" s="79"/>
      <c r="F7" s="79"/>
      <c r="G7" s="79"/>
      <c r="H7" s="79"/>
    </row>
    <row r="8" spans="1:13" x14ac:dyDescent="0.25">
      <c r="A8" s="12"/>
      <c r="B8" s="83"/>
      <c r="C8" s="12"/>
      <c r="D8" s="12"/>
      <c r="E8" s="79"/>
      <c r="F8" s="79"/>
      <c r="G8" s="79"/>
      <c r="H8" s="79"/>
    </row>
    <row r="9" spans="1:13" x14ac:dyDescent="0.25">
      <c r="A9" s="12" t="s">
        <v>76</v>
      </c>
      <c r="B9" s="84">
        <v>55000</v>
      </c>
      <c r="C9" s="12" t="s">
        <v>104</v>
      </c>
      <c r="D9" s="12" t="s">
        <v>77</v>
      </c>
      <c r="E9" s="79"/>
      <c r="F9" s="79"/>
      <c r="G9" s="79"/>
      <c r="H9" s="79"/>
    </row>
    <row r="10" spans="1:13" x14ac:dyDescent="0.25">
      <c r="A10" s="12" t="s">
        <v>111</v>
      </c>
      <c r="B10" s="99">
        <f>B9*B3*90%/10^7</f>
        <v>220.08047490000001</v>
      </c>
      <c r="C10" s="12"/>
      <c r="D10" s="12"/>
      <c r="E10" s="79"/>
      <c r="F10" s="79"/>
      <c r="G10" s="79"/>
      <c r="H10" s="79"/>
    </row>
    <row r="11" spans="1:13" x14ac:dyDescent="0.25">
      <c r="A11" s="85" t="s">
        <v>53</v>
      </c>
      <c r="B11" s="86">
        <v>0.02</v>
      </c>
      <c r="C11" s="12" t="s">
        <v>54</v>
      </c>
      <c r="D11" s="12"/>
    </row>
    <row r="12" spans="1:13" x14ac:dyDescent="0.25">
      <c r="A12" s="87" t="s">
        <v>79</v>
      </c>
      <c r="B12" s="58">
        <v>0.18</v>
      </c>
      <c r="C12" s="12"/>
      <c r="D12" s="12" t="s">
        <v>77</v>
      </c>
    </row>
    <row r="13" spans="1:13" x14ac:dyDescent="0.25">
      <c r="A13" s="85" t="s">
        <v>113</v>
      </c>
      <c r="B13" s="59">
        <v>0.05</v>
      </c>
      <c r="C13" s="87" t="s">
        <v>55</v>
      </c>
      <c r="D13" s="12" t="s">
        <v>77</v>
      </c>
    </row>
    <row r="14" spans="1:13" x14ac:dyDescent="0.25">
      <c r="A14" s="87" t="s">
        <v>80</v>
      </c>
      <c r="B14" s="99">
        <f>'Cost of Construction'!J31</f>
        <v>122.20116856425609</v>
      </c>
      <c r="C14" s="87" t="s">
        <v>81</v>
      </c>
      <c r="D14" s="12" t="s">
        <v>78</v>
      </c>
      <c r="J14" s="56"/>
    </row>
    <row r="15" spans="1:13" x14ac:dyDescent="0.25">
      <c r="A15" s="106" t="s">
        <v>114</v>
      </c>
      <c r="B15" s="107">
        <f>'Cost of Construction'!D27</f>
        <v>6061.353515625</v>
      </c>
      <c r="C15" s="106" t="s">
        <v>56</v>
      </c>
      <c r="D15" s="106"/>
      <c r="J15" s="56"/>
    </row>
    <row r="16" spans="1:13" x14ac:dyDescent="0.25">
      <c r="A16" s="87" t="s">
        <v>82</v>
      </c>
      <c r="B16" s="60">
        <f>B9*B3*10%/10^7</f>
        <v>24.453386099999999</v>
      </c>
      <c r="C16" s="87" t="s">
        <v>81</v>
      </c>
      <c r="D16" s="12" t="s">
        <v>112</v>
      </c>
    </row>
    <row r="17" spans="1:16" x14ac:dyDescent="0.25">
      <c r="A17" s="74" t="s">
        <v>63</v>
      </c>
      <c r="B17" s="35">
        <v>3</v>
      </c>
      <c r="C17" s="57" t="s">
        <v>101</v>
      </c>
      <c r="D17" s="75">
        <v>46111</v>
      </c>
      <c r="E17" s="1">
        <v>45027</v>
      </c>
      <c r="F17" s="62"/>
      <c r="G17" s="62"/>
      <c r="H17" s="62"/>
      <c r="N17" s="2"/>
      <c r="O17" s="2"/>
      <c r="P17" s="2"/>
    </row>
    <row r="18" spans="1:16" x14ac:dyDescent="0.25">
      <c r="A18" s="74"/>
      <c r="B18" s="35"/>
      <c r="C18" s="57"/>
      <c r="D18" s="75"/>
      <c r="E18" s="1"/>
      <c r="F18" s="62"/>
      <c r="G18" s="62"/>
      <c r="H18" s="62"/>
      <c r="N18" s="2"/>
      <c r="O18" s="2"/>
      <c r="P18" s="2"/>
    </row>
    <row r="19" spans="1:16" x14ac:dyDescent="0.25">
      <c r="A19" s="42" t="s">
        <v>64</v>
      </c>
      <c r="B19" s="42" t="s">
        <v>83</v>
      </c>
      <c r="C19" s="42" t="s">
        <v>84</v>
      </c>
      <c r="D19" s="42" t="s">
        <v>85</v>
      </c>
      <c r="E19" s="42" t="s">
        <v>86</v>
      </c>
      <c r="F19" s="42" t="s">
        <v>87</v>
      </c>
      <c r="G19" s="42" t="s">
        <v>105</v>
      </c>
      <c r="H19" s="42" t="s">
        <v>106</v>
      </c>
      <c r="I19" s="43" t="s">
        <v>47</v>
      </c>
      <c r="N19" s="2"/>
      <c r="O19" s="2"/>
      <c r="P19" s="2"/>
    </row>
    <row r="20" spans="1:16" s="79" customFormat="1" x14ac:dyDescent="0.25">
      <c r="A20" s="42" t="s">
        <v>88</v>
      </c>
      <c r="B20" s="51"/>
      <c r="C20" s="44"/>
      <c r="D20" s="44"/>
      <c r="E20" s="44"/>
      <c r="F20" s="44"/>
      <c r="G20" s="44"/>
      <c r="H20" s="44"/>
      <c r="I20" s="44"/>
      <c r="K20" s="63"/>
      <c r="L20" s="63"/>
    </row>
    <row r="21" spans="1:16" s="79" customFormat="1" x14ac:dyDescent="0.25">
      <c r="A21" s="87" t="s">
        <v>89</v>
      </c>
      <c r="B21" s="99">
        <f>B14</f>
        <v>122.20116856425609</v>
      </c>
      <c r="C21" s="64"/>
      <c r="D21" s="44"/>
      <c r="E21" s="44"/>
      <c r="F21" s="44"/>
      <c r="G21" s="44"/>
      <c r="H21" s="44"/>
      <c r="I21" s="45"/>
      <c r="K21" s="63"/>
      <c r="L21" s="63"/>
    </row>
    <row r="22" spans="1:16" s="79" customFormat="1" x14ac:dyDescent="0.25">
      <c r="A22" s="46" t="s">
        <v>90</v>
      </c>
      <c r="B22" s="89">
        <v>0.2</v>
      </c>
      <c r="C22" s="89">
        <v>0.3</v>
      </c>
      <c r="D22" s="89">
        <v>0.3</v>
      </c>
      <c r="E22" s="89">
        <v>0.2</v>
      </c>
      <c r="F22" s="90"/>
      <c r="G22" s="91"/>
      <c r="H22" s="91"/>
      <c r="I22" s="47">
        <f>SUM(B22:G22)</f>
        <v>1</v>
      </c>
      <c r="J22" s="92">
        <v>1</v>
      </c>
      <c r="K22" s="65"/>
      <c r="L22" s="65"/>
    </row>
    <row r="23" spans="1:16" s="79" customFormat="1" x14ac:dyDescent="0.25">
      <c r="A23" s="48" t="s">
        <v>91</v>
      </c>
      <c r="B23" s="88">
        <f>'Cost of Construction'!F31</f>
        <v>23.791654186406433</v>
      </c>
      <c r="C23" s="88">
        <f>'Cost of Construction'!G31</f>
        <v>42.468102722735473</v>
      </c>
      <c r="D23" s="88">
        <f>'Cost of Construction'!H31</f>
        <v>43.317464777190189</v>
      </c>
      <c r="E23" s="88">
        <f>'Cost of Construction'!I31</f>
        <v>12.623946877924</v>
      </c>
      <c r="F23" s="88"/>
      <c r="G23" s="88"/>
      <c r="H23" s="88"/>
      <c r="I23" s="49">
        <f>SUM(B23:G23)</f>
        <v>122.20116856425611</v>
      </c>
      <c r="K23" s="63"/>
      <c r="L23" s="63"/>
    </row>
    <row r="24" spans="1:16" s="79" customFormat="1" x14ac:dyDescent="0.25">
      <c r="A24" s="50" t="s">
        <v>92</v>
      </c>
      <c r="B24" s="66">
        <f>B23</f>
        <v>23.791654186406433</v>
      </c>
      <c r="C24" s="66">
        <f t="shared" ref="C24:E24" si="0">C23</f>
        <v>42.468102722735473</v>
      </c>
      <c r="D24" s="66">
        <f t="shared" si="0"/>
        <v>43.317464777190189</v>
      </c>
      <c r="E24" s="66">
        <f t="shared" si="0"/>
        <v>12.623946877924</v>
      </c>
      <c r="F24" s="66"/>
      <c r="G24" s="66"/>
      <c r="H24" s="66"/>
      <c r="I24" s="51">
        <f>SUM(B24:G24)</f>
        <v>122.20116856425611</v>
      </c>
      <c r="K24" s="63"/>
      <c r="L24" s="63"/>
    </row>
    <row r="25" spans="1:16" s="79" customFormat="1" x14ac:dyDescent="0.25">
      <c r="A25" s="42" t="s">
        <v>93</v>
      </c>
      <c r="B25" s="67"/>
      <c r="C25" s="68"/>
      <c r="D25" s="68"/>
      <c r="E25" s="44"/>
      <c r="F25" s="44"/>
      <c r="G25" s="44"/>
      <c r="H25" s="44"/>
      <c r="I25" s="44"/>
      <c r="K25" s="63"/>
      <c r="L25" s="63"/>
    </row>
    <row r="26" spans="1:16" s="79" customFormat="1" x14ac:dyDescent="0.25">
      <c r="A26" s="46" t="s">
        <v>94</v>
      </c>
      <c r="B26" s="81">
        <f>B5</f>
        <v>404961.27047999995</v>
      </c>
      <c r="C26" s="68"/>
      <c r="D26" s="68"/>
      <c r="E26" s="44"/>
      <c r="F26" s="44"/>
      <c r="G26" s="44"/>
      <c r="H26" s="44"/>
      <c r="I26" s="45">
        <f>SUM(B26:G26)</f>
        <v>404961.27047999995</v>
      </c>
      <c r="K26" s="63"/>
      <c r="L26" s="63"/>
    </row>
    <row r="27" spans="1:16" s="79" customFormat="1" x14ac:dyDescent="0.25">
      <c r="A27" s="46" t="s">
        <v>95</v>
      </c>
      <c r="B27" s="89">
        <v>0.1</v>
      </c>
      <c r="C27" s="89">
        <v>0.1</v>
      </c>
      <c r="D27" s="89">
        <v>0.1</v>
      </c>
      <c r="E27" s="89">
        <v>0.15</v>
      </c>
      <c r="F27" s="89">
        <v>0.15</v>
      </c>
      <c r="G27" s="89">
        <v>0.2</v>
      </c>
      <c r="H27" s="89">
        <v>0.2</v>
      </c>
      <c r="I27" s="52">
        <f>SUM(B27:H27)</f>
        <v>1</v>
      </c>
      <c r="K27" s="63"/>
      <c r="L27" s="63"/>
    </row>
    <row r="28" spans="1:16" s="79" customFormat="1" x14ac:dyDescent="0.25">
      <c r="A28" s="46" t="s">
        <v>96</v>
      </c>
      <c r="B28" s="81">
        <f>B27*$B$26</f>
        <v>40496.127047999995</v>
      </c>
      <c r="C28" s="81">
        <f t="shared" ref="C28:H28" si="1">C27*$B$26</f>
        <v>40496.127047999995</v>
      </c>
      <c r="D28" s="81">
        <f t="shared" si="1"/>
        <v>40496.127047999995</v>
      </c>
      <c r="E28" s="81">
        <f t="shared" si="1"/>
        <v>60744.190571999992</v>
      </c>
      <c r="F28" s="81">
        <f t="shared" si="1"/>
        <v>60744.190571999992</v>
      </c>
      <c r="G28" s="81">
        <f t="shared" si="1"/>
        <v>80992.25409599999</v>
      </c>
      <c r="H28" s="81">
        <f t="shared" si="1"/>
        <v>80992.25409599999</v>
      </c>
      <c r="I28" s="45">
        <f>SUM(B28:G28)</f>
        <v>323969.01638399996</v>
      </c>
      <c r="K28" s="63"/>
      <c r="L28" s="63"/>
    </row>
    <row r="29" spans="1:16" s="79" customFormat="1" x14ac:dyDescent="0.25">
      <c r="A29" s="46" t="s">
        <v>97</v>
      </c>
      <c r="B29" s="81">
        <f>B9</f>
        <v>55000</v>
      </c>
      <c r="C29" s="81">
        <f>B9</f>
        <v>55000</v>
      </c>
      <c r="D29" s="81">
        <f>C29+(C29*$B$13)</f>
        <v>57750</v>
      </c>
      <c r="E29" s="81">
        <f>D29</f>
        <v>57750</v>
      </c>
      <c r="F29" s="81">
        <f>E29*1.1</f>
        <v>63525.000000000007</v>
      </c>
      <c r="G29" s="81">
        <f>F29</f>
        <v>63525.000000000007</v>
      </c>
      <c r="H29" s="81">
        <f>G29+(G29*$B$13)</f>
        <v>66701.250000000015</v>
      </c>
      <c r="I29" s="44"/>
      <c r="K29" s="63"/>
      <c r="L29" s="63"/>
      <c r="M29" s="63"/>
    </row>
    <row r="30" spans="1:16" s="79" customFormat="1" x14ac:dyDescent="0.25">
      <c r="A30" s="50" t="s">
        <v>98</v>
      </c>
      <c r="B30" s="66">
        <f>B29*B28/10^7</f>
        <v>222.728698764</v>
      </c>
      <c r="C30" s="66">
        <f t="shared" ref="C30:H30" si="2">C29*C28/10^7</f>
        <v>222.728698764</v>
      </c>
      <c r="D30" s="66">
        <f t="shared" si="2"/>
        <v>233.86513370219998</v>
      </c>
      <c r="E30" s="66">
        <f t="shared" si="2"/>
        <v>350.79770055329993</v>
      </c>
      <c r="F30" s="66">
        <f t="shared" si="2"/>
        <v>385.87747060863001</v>
      </c>
      <c r="G30" s="66">
        <f t="shared" si="2"/>
        <v>514.50329414483997</v>
      </c>
      <c r="H30" s="66">
        <f t="shared" si="2"/>
        <v>540.2284588520821</v>
      </c>
      <c r="I30" s="93">
        <f t="shared" ref="I30:I31" si="3">SUM(B30:G30)</f>
        <v>1930.50099653697</v>
      </c>
      <c r="J30" s="82"/>
      <c r="K30" s="63"/>
      <c r="L30" s="63"/>
      <c r="M30" s="63"/>
    </row>
    <row r="31" spans="1:16" x14ac:dyDescent="0.25">
      <c r="A31" s="69" t="s">
        <v>59</v>
      </c>
      <c r="B31" s="70">
        <f>B30-B24</f>
        <v>198.93704457759355</v>
      </c>
      <c r="C31" s="70">
        <f t="shared" ref="C31:H31" si="4">C30-C24</f>
        <v>180.26059604126453</v>
      </c>
      <c r="D31" s="70">
        <f t="shared" si="4"/>
        <v>190.54766892500979</v>
      </c>
      <c r="E31" s="70">
        <f t="shared" si="4"/>
        <v>338.17375367537591</v>
      </c>
      <c r="F31" s="70">
        <f t="shared" si="4"/>
        <v>385.87747060863001</v>
      </c>
      <c r="G31" s="70">
        <f t="shared" si="4"/>
        <v>514.50329414483997</v>
      </c>
      <c r="H31" s="70">
        <f t="shared" si="4"/>
        <v>540.2284588520821</v>
      </c>
      <c r="I31" s="93">
        <f t="shared" si="3"/>
        <v>1808.2998279727135</v>
      </c>
      <c r="K31" s="63"/>
      <c r="L31" s="63"/>
      <c r="M31" s="63"/>
    </row>
    <row r="32" spans="1:16" x14ac:dyDescent="0.25">
      <c r="A32" s="46" t="s">
        <v>99</v>
      </c>
      <c r="B32" s="71">
        <f>B12</f>
        <v>0.18</v>
      </c>
      <c r="C32" s="12"/>
      <c r="D32" s="12"/>
      <c r="E32" s="12"/>
      <c r="F32" s="12"/>
      <c r="G32" s="12"/>
      <c r="H32" s="12"/>
      <c r="I32" s="72"/>
      <c r="K32" s="63"/>
      <c r="L32" s="63"/>
      <c r="M32" s="63"/>
    </row>
    <row r="33" spans="1:13" x14ac:dyDescent="0.25">
      <c r="A33" s="87" t="s">
        <v>100</v>
      </c>
      <c r="B33" s="73">
        <f>NPV(B32,B31:H31)</f>
        <v>1117.3006059420029</v>
      </c>
      <c r="C33" s="12"/>
      <c r="D33" s="12"/>
      <c r="E33" s="12"/>
      <c r="F33" s="12"/>
      <c r="G33" s="12"/>
      <c r="H33" s="12"/>
      <c r="I33" s="72"/>
      <c r="K33" s="63"/>
      <c r="L33" s="63"/>
      <c r="M33" s="63"/>
    </row>
    <row r="34" spans="1:13" x14ac:dyDescent="0.25">
      <c r="A34" s="94" t="s">
        <v>60</v>
      </c>
      <c r="B34" s="95">
        <v>0.18</v>
      </c>
      <c r="C34" s="12"/>
      <c r="D34" s="12"/>
      <c r="E34" s="12"/>
      <c r="F34" s="12"/>
      <c r="G34" s="12"/>
      <c r="H34" s="12"/>
      <c r="I34" s="72"/>
      <c r="K34" s="63"/>
      <c r="L34" s="63"/>
      <c r="M34" s="63"/>
    </row>
    <row r="35" spans="1:13" x14ac:dyDescent="0.25">
      <c r="A35" s="94" t="s">
        <v>61</v>
      </c>
      <c r="B35" s="96">
        <f>(1-B34)*B33</f>
        <v>916.18649687244249</v>
      </c>
      <c r="C35" s="12"/>
      <c r="D35" s="12"/>
      <c r="E35" s="12"/>
      <c r="F35" s="12"/>
      <c r="G35" s="12"/>
      <c r="H35" s="12"/>
      <c r="I35" s="12"/>
      <c r="K35" s="63"/>
      <c r="L35" s="63"/>
      <c r="M35" s="63"/>
    </row>
    <row r="36" spans="1:13" x14ac:dyDescent="0.25">
      <c r="A36" s="97" t="s">
        <v>62</v>
      </c>
      <c r="B36" s="98">
        <v>840</v>
      </c>
      <c r="C36" s="12"/>
      <c r="D36" s="12"/>
      <c r="E36" s="12"/>
      <c r="F36" s="12"/>
      <c r="G36" s="12"/>
      <c r="H36" s="12"/>
      <c r="I36" s="12"/>
      <c r="K36" s="63"/>
      <c r="L36" s="63"/>
      <c r="M36" s="63"/>
    </row>
    <row r="37" spans="1:13" x14ac:dyDescent="0.25">
      <c r="K37" s="63"/>
      <c r="L37" s="63"/>
      <c r="M37" s="63"/>
    </row>
    <row r="38" spans="1:13" x14ac:dyDescent="0.25">
      <c r="B38" s="3">
        <f>B35*10^7/Carpet!M2</f>
        <v>1019849.0539624564</v>
      </c>
      <c r="K38" s="63"/>
      <c r="L38" s="63"/>
      <c r="M38" s="63"/>
    </row>
  </sheetData>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workbookViewId="0">
      <selection activeCell="G2" sqref="G2:I4"/>
    </sheetView>
  </sheetViews>
  <sheetFormatPr defaultColWidth="8.85546875" defaultRowHeight="15" x14ac:dyDescent="0.25"/>
  <cols>
    <col min="1" max="1" width="54.140625" style="4" bestFit="1" customWidth="1"/>
    <col min="2" max="2" width="16" style="61" bestFit="1" customWidth="1"/>
    <col min="3" max="3" width="14.42578125" style="4" bestFit="1" customWidth="1"/>
    <col min="4" max="4" width="17.85546875" style="4" customWidth="1"/>
    <col min="5" max="7" width="10.5703125" style="4" bestFit="1" customWidth="1"/>
    <col min="8" max="8" width="9.7109375" style="4" customWidth="1"/>
    <col min="9" max="9" width="15.28515625" style="4" bestFit="1" customWidth="1"/>
    <col min="10" max="10" width="14.42578125" style="4" bestFit="1" customWidth="1"/>
    <col min="11" max="11" width="10.7109375" style="54" bestFit="1" customWidth="1"/>
    <col min="12" max="12" width="10.5703125" style="54" bestFit="1" customWidth="1"/>
    <col min="13" max="13" width="10.7109375" style="4" bestFit="1" customWidth="1"/>
    <col min="14" max="16384" width="8.85546875" style="4"/>
  </cols>
  <sheetData>
    <row r="1" spans="1:16" x14ac:dyDescent="0.25">
      <c r="A1" s="42" t="s">
        <v>64</v>
      </c>
      <c r="B1" s="53" t="s">
        <v>65</v>
      </c>
      <c r="C1" s="42" t="s">
        <v>66</v>
      </c>
      <c r="D1" s="42" t="s">
        <v>67</v>
      </c>
    </row>
    <row r="2" spans="1:16" x14ac:dyDescent="0.25">
      <c r="A2" s="43" t="s">
        <v>68</v>
      </c>
      <c r="B2" s="51"/>
      <c r="C2" s="44"/>
      <c r="D2" s="44"/>
    </row>
    <row r="3" spans="1:16" x14ac:dyDescent="0.25">
      <c r="A3" s="12" t="s">
        <v>135</v>
      </c>
      <c r="B3" s="55">
        <f>Carpet!O14</f>
        <v>232077.43727999995</v>
      </c>
      <c r="C3" s="12" t="s">
        <v>136</v>
      </c>
      <c r="D3" s="12" t="s">
        <v>137</v>
      </c>
    </row>
    <row r="4" spans="1:16" x14ac:dyDescent="0.25">
      <c r="A4" s="12" t="s">
        <v>142</v>
      </c>
      <c r="B4" s="55">
        <f>Carpet!E40</f>
        <v>201806.46719999998</v>
      </c>
      <c r="C4" s="12"/>
      <c r="D4" s="12"/>
    </row>
    <row r="5" spans="1:16" x14ac:dyDescent="0.25">
      <c r="A5" s="12" t="s">
        <v>108</v>
      </c>
      <c r="B5" s="115">
        <f>Carpet!E42</f>
        <v>44460.701999999997</v>
      </c>
      <c r="C5" s="12" t="s">
        <v>136</v>
      </c>
      <c r="D5" s="12" t="s">
        <v>110</v>
      </c>
    </row>
    <row r="6" spans="1:16" x14ac:dyDescent="0.25">
      <c r="A6" s="12" t="s">
        <v>109</v>
      </c>
      <c r="B6" s="122">
        <f>Carpet!F12+Carpet!F24</f>
        <v>19</v>
      </c>
      <c r="C6" s="12"/>
      <c r="D6" s="12" t="s">
        <v>110</v>
      </c>
    </row>
    <row r="7" spans="1:16" x14ac:dyDescent="0.25">
      <c r="A7" s="12" t="s">
        <v>69</v>
      </c>
      <c r="B7" s="55">
        <f>B4-B5</f>
        <v>157345.76519999999</v>
      </c>
      <c r="C7" s="12" t="s">
        <v>136</v>
      </c>
      <c r="D7" s="12" t="s">
        <v>131</v>
      </c>
      <c r="E7" s="79"/>
      <c r="F7" s="79"/>
      <c r="G7" s="79"/>
      <c r="H7" s="79"/>
      <c r="I7" s="4">
        <v>391</v>
      </c>
      <c r="J7" s="4" t="s">
        <v>71</v>
      </c>
      <c r="K7" s="54">
        <f>45*10^5</f>
        <v>4500000</v>
      </c>
      <c r="L7" s="54">
        <v>10000</v>
      </c>
      <c r="M7" s="80">
        <f>L7*I7</f>
        <v>3910000</v>
      </c>
    </row>
    <row r="8" spans="1:16" x14ac:dyDescent="0.25">
      <c r="A8" s="12" t="s">
        <v>76</v>
      </c>
      <c r="B8" s="84">
        <v>55000</v>
      </c>
      <c r="C8" s="12" t="s">
        <v>104</v>
      </c>
      <c r="D8" s="12" t="s">
        <v>77</v>
      </c>
      <c r="E8" s="79"/>
      <c r="F8" s="79"/>
      <c r="G8" s="79"/>
      <c r="H8" s="79"/>
    </row>
    <row r="9" spans="1:16" x14ac:dyDescent="0.25">
      <c r="A9" s="12" t="s">
        <v>111</v>
      </c>
      <c r="B9" s="99">
        <f>B8*B5*90%/10^7</f>
        <v>220.08047490000001</v>
      </c>
      <c r="C9" s="12"/>
      <c r="D9" s="12"/>
      <c r="E9" s="79"/>
      <c r="F9" s="79"/>
      <c r="G9" s="79"/>
      <c r="H9" s="79"/>
    </row>
    <row r="10" spans="1:16" x14ac:dyDescent="0.25">
      <c r="A10" s="85" t="s">
        <v>53</v>
      </c>
      <c r="B10" s="86">
        <v>0.02</v>
      </c>
      <c r="C10" s="12" t="s">
        <v>54</v>
      </c>
      <c r="D10" s="12"/>
    </row>
    <row r="11" spans="1:16" x14ac:dyDescent="0.25">
      <c r="A11" s="87" t="s">
        <v>79</v>
      </c>
      <c r="B11" s="58">
        <v>0.18</v>
      </c>
      <c r="C11" s="12"/>
      <c r="D11" s="12" t="s">
        <v>77</v>
      </c>
    </row>
    <row r="12" spans="1:16" x14ac:dyDescent="0.25">
      <c r="A12" s="85" t="s">
        <v>132</v>
      </c>
      <c r="B12" s="59">
        <v>0.05</v>
      </c>
      <c r="C12" s="87" t="s">
        <v>54</v>
      </c>
      <c r="D12" s="12" t="s">
        <v>77</v>
      </c>
    </row>
    <row r="13" spans="1:16" x14ac:dyDescent="0.25">
      <c r="A13" s="87" t="s">
        <v>80</v>
      </c>
      <c r="B13" s="99">
        <f>'Cost of Construction'!J31</f>
        <v>122.20116856425609</v>
      </c>
      <c r="C13" s="87" t="s">
        <v>81</v>
      </c>
      <c r="D13" s="12" t="s">
        <v>78</v>
      </c>
      <c r="J13" s="56"/>
    </row>
    <row r="14" spans="1:16" x14ac:dyDescent="0.25">
      <c r="A14" s="106" t="s">
        <v>114</v>
      </c>
      <c r="B14" s="107">
        <f>'Cost of Construction'!D27</f>
        <v>6061.353515625</v>
      </c>
      <c r="C14" s="106" t="s">
        <v>56</v>
      </c>
      <c r="D14" s="106"/>
      <c r="J14" s="56"/>
    </row>
    <row r="15" spans="1:16" x14ac:dyDescent="0.25">
      <c r="A15" s="87" t="s">
        <v>82</v>
      </c>
      <c r="B15" s="99">
        <f>B8*B5*10%/10^7</f>
        <v>24.453386099999999</v>
      </c>
      <c r="C15" s="87" t="s">
        <v>81</v>
      </c>
      <c r="D15" s="12" t="s">
        <v>112</v>
      </c>
    </row>
    <row r="16" spans="1:16" x14ac:dyDescent="0.25">
      <c r="A16" s="74" t="s">
        <v>63</v>
      </c>
      <c r="B16" s="35">
        <v>3</v>
      </c>
      <c r="C16" s="57" t="s">
        <v>101</v>
      </c>
      <c r="D16" s="75">
        <v>46111</v>
      </c>
      <c r="E16" s="1">
        <v>45027</v>
      </c>
      <c r="F16" s="62"/>
      <c r="G16" s="62"/>
      <c r="H16" s="62"/>
      <c r="N16" s="2"/>
      <c r="O16" s="2"/>
      <c r="P16" s="2"/>
    </row>
    <row r="17" spans="1:16" x14ac:dyDescent="0.25">
      <c r="A17" s="74"/>
      <c r="B17" s="35"/>
      <c r="C17" s="57"/>
      <c r="D17" s="75"/>
      <c r="E17" s="1"/>
      <c r="F17" s="62"/>
      <c r="G17" s="62"/>
      <c r="H17" s="62"/>
      <c r="N17" s="2"/>
      <c r="O17" s="2"/>
      <c r="P17" s="2"/>
    </row>
    <row r="18" spans="1:16" x14ac:dyDescent="0.25">
      <c r="A18" s="42" t="s">
        <v>64</v>
      </c>
      <c r="B18" s="42" t="s">
        <v>83</v>
      </c>
      <c r="C18" s="42" t="s">
        <v>84</v>
      </c>
      <c r="D18" s="42" t="s">
        <v>85</v>
      </c>
      <c r="E18" s="42" t="s">
        <v>86</v>
      </c>
      <c r="F18" s="42" t="s">
        <v>87</v>
      </c>
      <c r="G18" s="42" t="s">
        <v>105</v>
      </c>
      <c r="H18" s="42" t="s">
        <v>106</v>
      </c>
      <c r="I18" s="43" t="s">
        <v>47</v>
      </c>
      <c r="N18" s="2"/>
      <c r="O18" s="2"/>
      <c r="P18" s="2"/>
    </row>
    <row r="19" spans="1:16" s="79" customFormat="1" x14ac:dyDescent="0.25">
      <c r="A19" s="42" t="s">
        <v>88</v>
      </c>
      <c r="B19" s="51"/>
      <c r="C19" s="44"/>
      <c r="D19" s="44"/>
      <c r="E19" s="44"/>
      <c r="F19" s="44"/>
      <c r="G19" s="44"/>
      <c r="H19" s="44"/>
      <c r="I19" s="44"/>
      <c r="K19" s="63"/>
      <c r="L19" s="63"/>
    </row>
    <row r="20" spans="1:16" s="79" customFormat="1" x14ac:dyDescent="0.25">
      <c r="A20" s="87" t="s">
        <v>89</v>
      </c>
      <c r="B20" s="99">
        <f>B13</f>
        <v>122.20116856425609</v>
      </c>
      <c r="C20" s="64"/>
      <c r="D20" s="44"/>
      <c r="E20" s="44"/>
      <c r="F20" s="44"/>
      <c r="G20" s="44"/>
      <c r="H20" s="44"/>
      <c r="I20" s="45"/>
      <c r="K20" s="63"/>
      <c r="L20" s="63"/>
    </row>
    <row r="21" spans="1:16" s="79" customFormat="1" x14ac:dyDescent="0.25">
      <c r="A21" s="46" t="s">
        <v>90</v>
      </c>
      <c r="B21" s="89">
        <v>0.2</v>
      </c>
      <c r="C21" s="89">
        <v>0.3</v>
      </c>
      <c r="D21" s="89">
        <v>0.3</v>
      </c>
      <c r="E21" s="89">
        <v>0.2</v>
      </c>
      <c r="F21" s="90"/>
      <c r="G21" s="91"/>
      <c r="H21" s="91"/>
      <c r="I21" s="47">
        <f>SUM(B21:G21)</f>
        <v>1</v>
      </c>
      <c r="J21" s="92">
        <v>1</v>
      </c>
      <c r="K21" s="65"/>
      <c r="L21" s="65"/>
    </row>
    <row r="22" spans="1:16" s="79" customFormat="1" x14ac:dyDescent="0.25">
      <c r="A22" s="48" t="s">
        <v>91</v>
      </c>
      <c r="B22" s="99">
        <f>'Cost of Construction'!F31</f>
        <v>23.791654186406433</v>
      </c>
      <c r="C22" s="99">
        <f>'Cost of Construction'!G31</f>
        <v>42.468102722735473</v>
      </c>
      <c r="D22" s="99">
        <f>'Cost of Construction'!H31</f>
        <v>43.317464777190189</v>
      </c>
      <c r="E22" s="99">
        <f>'Cost of Construction'!I31</f>
        <v>12.623946877924</v>
      </c>
      <c r="F22" s="88"/>
      <c r="G22" s="88"/>
      <c r="H22" s="88"/>
      <c r="I22" s="49">
        <f>SUM(B22:G22)</f>
        <v>122.20116856425611</v>
      </c>
      <c r="K22" s="63"/>
      <c r="L22" s="63"/>
    </row>
    <row r="23" spans="1:16" s="79" customFormat="1" x14ac:dyDescent="0.25">
      <c r="A23" s="50" t="s">
        <v>92</v>
      </c>
      <c r="B23" s="123">
        <f>B22</f>
        <v>23.791654186406433</v>
      </c>
      <c r="C23" s="123">
        <f t="shared" ref="C23:E23" si="0">C22</f>
        <v>42.468102722735473</v>
      </c>
      <c r="D23" s="123">
        <f t="shared" si="0"/>
        <v>43.317464777190189</v>
      </c>
      <c r="E23" s="123">
        <f t="shared" si="0"/>
        <v>12.623946877924</v>
      </c>
      <c r="F23" s="66"/>
      <c r="G23" s="66"/>
      <c r="H23" s="66"/>
      <c r="I23" s="51">
        <f>SUM(B23:G23)</f>
        <v>122.20116856425611</v>
      </c>
      <c r="K23" s="63"/>
      <c r="L23" s="63"/>
    </row>
    <row r="24" spans="1:16" s="79" customFormat="1" x14ac:dyDescent="0.25">
      <c r="A24" s="42" t="s">
        <v>93</v>
      </c>
      <c r="B24" s="67"/>
      <c r="C24" s="68"/>
      <c r="D24" s="68"/>
      <c r="E24" s="44"/>
      <c r="F24" s="44"/>
      <c r="G24" s="44"/>
      <c r="H24" s="44"/>
      <c r="I24" s="44"/>
      <c r="K24" s="63"/>
      <c r="L24" s="63"/>
    </row>
    <row r="25" spans="1:16" s="79" customFormat="1" x14ac:dyDescent="0.25">
      <c r="A25" s="46" t="s">
        <v>94</v>
      </c>
      <c r="B25" s="81">
        <f>B7</f>
        <v>157345.76519999999</v>
      </c>
      <c r="C25" s="68"/>
      <c r="D25" s="68"/>
      <c r="E25" s="44"/>
      <c r="F25" s="44"/>
      <c r="G25" s="44"/>
      <c r="H25" s="44"/>
      <c r="I25" s="45">
        <f>SUM(B25:G25)</f>
        <v>157345.76519999999</v>
      </c>
      <c r="K25" s="63"/>
      <c r="L25" s="63"/>
    </row>
    <row r="26" spans="1:16" s="79" customFormat="1" x14ac:dyDescent="0.25">
      <c r="A26" s="46" t="s">
        <v>95</v>
      </c>
      <c r="B26" s="89">
        <v>0.1</v>
      </c>
      <c r="C26" s="89">
        <v>0.1</v>
      </c>
      <c r="D26" s="89">
        <v>0.1</v>
      </c>
      <c r="E26" s="89">
        <v>0.15</v>
      </c>
      <c r="F26" s="89">
        <v>0.15</v>
      </c>
      <c r="G26" s="89">
        <v>0.2</v>
      </c>
      <c r="H26" s="89">
        <v>0.2</v>
      </c>
      <c r="I26" s="52">
        <f>SUM(B26:H26)</f>
        <v>1</v>
      </c>
      <c r="K26" s="63"/>
      <c r="L26" s="63"/>
    </row>
    <row r="27" spans="1:16" s="79" customFormat="1" x14ac:dyDescent="0.25">
      <c r="A27" s="46" t="s">
        <v>96</v>
      </c>
      <c r="B27" s="81">
        <f>B26*$B$25</f>
        <v>15734.576520000001</v>
      </c>
      <c r="C27" s="81">
        <f t="shared" ref="C27:H27" si="1">C26*$B$25</f>
        <v>15734.576520000001</v>
      </c>
      <c r="D27" s="81">
        <f t="shared" si="1"/>
        <v>15734.576520000001</v>
      </c>
      <c r="E27" s="81">
        <f t="shared" si="1"/>
        <v>23601.86478</v>
      </c>
      <c r="F27" s="81">
        <f t="shared" si="1"/>
        <v>23601.86478</v>
      </c>
      <c r="G27" s="81">
        <f t="shared" si="1"/>
        <v>31469.153040000001</v>
      </c>
      <c r="H27" s="81">
        <f t="shared" si="1"/>
        <v>31469.153040000001</v>
      </c>
      <c r="I27" s="45">
        <f>SUM(B27:G27)</f>
        <v>125876.61216</v>
      </c>
      <c r="K27" s="63"/>
      <c r="L27" s="63"/>
    </row>
    <row r="28" spans="1:16" s="79" customFormat="1" x14ac:dyDescent="0.25">
      <c r="A28" s="46" t="s">
        <v>97</v>
      </c>
      <c r="B28" s="84">
        <f>B8</f>
        <v>55000</v>
      </c>
      <c r="C28" s="84">
        <f>B28*(1+$B$12)</f>
        <v>57750</v>
      </c>
      <c r="D28" s="84">
        <f t="shared" ref="D28:H28" si="2">C28*(1+$B$12)</f>
        <v>60637.5</v>
      </c>
      <c r="E28" s="84">
        <f t="shared" si="2"/>
        <v>63669.375</v>
      </c>
      <c r="F28" s="84">
        <f t="shared" si="2"/>
        <v>66852.84375</v>
      </c>
      <c r="G28" s="84">
        <f t="shared" si="2"/>
        <v>70195.485937500009</v>
      </c>
      <c r="H28" s="84">
        <f t="shared" si="2"/>
        <v>73705.260234375019</v>
      </c>
      <c r="I28" s="44"/>
      <c r="K28" s="63"/>
      <c r="L28" s="63"/>
      <c r="M28" s="63"/>
    </row>
    <row r="29" spans="1:16" s="79" customFormat="1" x14ac:dyDescent="0.25">
      <c r="A29" s="50" t="s">
        <v>98</v>
      </c>
      <c r="B29" s="123">
        <f>B28*B27/10^7</f>
        <v>86.540170860000003</v>
      </c>
      <c r="C29" s="123">
        <f t="shared" ref="C29:H29" si="3">C28*C27/10^7</f>
        <v>90.867179402999994</v>
      </c>
      <c r="D29" s="123">
        <f t="shared" si="3"/>
        <v>95.410538373150004</v>
      </c>
      <c r="E29" s="123">
        <f t="shared" si="3"/>
        <v>150.27159793771125</v>
      </c>
      <c r="F29" s="123">
        <f t="shared" si="3"/>
        <v>157.78517783459679</v>
      </c>
      <c r="G29" s="123">
        <f t="shared" si="3"/>
        <v>220.89924896843559</v>
      </c>
      <c r="H29" s="123">
        <f t="shared" si="3"/>
        <v>231.9442114168574</v>
      </c>
      <c r="I29" s="93">
        <f t="shared" ref="I29:I30" si="4">SUM(B29:G29)</f>
        <v>801.77391337689369</v>
      </c>
      <c r="J29" s="82"/>
      <c r="K29" s="63"/>
      <c r="L29" s="63"/>
      <c r="M29" s="63"/>
    </row>
    <row r="30" spans="1:16" x14ac:dyDescent="0.25">
      <c r="A30" s="69" t="s">
        <v>59</v>
      </c>
      <c r="B30" s="123">
        <f>B29-B23</f>
        <v>62.748516673593571</v>
      </c>
      <c r="C30" s="123">
        <f t="shared" ref="C30:H30" si="5">C29-C23</f>
        <v>48.399076680264521</v>
      </c>
      <c r="D30" s="123">
        <f t="shared" si="5"/>
        <v>52.093073595959815</v>
      </c>
      <c r="E30" s="123">
        <f t="shared" si="5"/>
        <v>137.64765105978725</v>
      </c>
      <c r="F30" s="123">
        <f t="shared" si="5"/>
        <v>157.78517783459679</v>
      </c>
      <c r="G30" s="123">
        <f t="shared" si="5"/>
        <v>220.89924896843559</v>
      </c>
      <c r="H30" s="123">
        <f t="shared" si="5"/>
        <v>231.9442114168574</v>
      </c>
      <c r="I30" s="93">
        <f t="shared" si="4"/>
        <v>679.57274481263755</v>
      </c>
      <c r="K30" s="63"/>
      <c r="L30" s="63"/>
      <c r="M30" s="63"/>
    </row>
    <row r="31" spans="1:16" x14ac:dyDescent="0.25">
      <c r="A31" s="46" t="s">
        <v>99</v>
      </c>
      <c r="B31" s="71">
        <f>B11</f>
        <v>0.18</v>
      </c>
      <c r="C31" s="12"/>
      <c r="D31" s="12"/>
      <c r="E31" s="12"/>
      <c r="F31" s="12"/>
      <c r="G31" s="12"/>
      <c r="H31" s="12"/>
      <c r="I31" s="72"/>
      <c r="K31" s="63"/>
      <c r="L31" s="63"/>
      <c r="M31" s="63"/>
    </row>
    <row r="32" spans="1:16" x14ac:dyDescent="0.25">
      <c r="A32" s="87" t="s">
        <v>100</v>
      </c>
      <c r="B32" s="124">
        <f>NPV(B31,B30:H30)</f>
        <v>414.24925076754232</v>
      </c>
      <c r="C32" s="12"/>
      <c r="D32" s="12"/>
      <c r="E32" s="12"/>
      <c r="F32" s="12"/>
      <c r="G32" s="12"/>
      <c r="H32" s="12"/>
      <c r="I32" s="72"/>
      <c r="K32" s="63"/>
      <c r="L32" s="63"/>
      <c r="M32" s="63"/>
    </row>
    <row r="33" spans="1:13" x14ac:dyDescent="0.25">
      <c r="A33" s="94" t="s">
        <v>60</v>
      </c>
      <c r="B33" s="95">
        <v>0.18</v>
      </c>
      <c r="C33" s="12"/>
      <c r="D33" s="12"/>
      <c r="E33" s="12"/>
      <c r="F33" s="12"/>
      <c r="G33" s="12"/>
      <c r="H33" s="12"/>
      <c r="I33" s="72"/>
      <c r="K33" s="63"/>
      <c r="L33" s="63"/>
      <c r="M33" s="63"/>
    </row>
    <row r="34" spans="1:13" x14ac:dyDescent="0.25">
      <c r="A34" s="94" t="s">
        <v>61</v>
      </c>
      <c r="B34" s="124">
        <f>(1-B33)*B32</f>
        <v>339.68438562938474</v>
      </c>
      <c r="C34" s="12"/>
      <c r="D34" s="12"/>
      <c r="E34" s="12"/>
      <c r="F34" s="12"/>
      <c r="G34" s="12"/>
      <c r="H34" s="12"/>
      <c r="I34" s="12"/>
      <c r="K34" s="63"/>
      <c r="L34" s="63"/>
      <c r="M34" s="63"/>
    </row>
    <row r="35" spans="1:13" x14ac:dyDescent="0.25">
      <c r="A35" s="97" t="s">
        <v>62</v>
      </c>
      <c r="B35" s="123">
        <v>340</v>
      </c>
      <c r="C35" s="3">
        <f>B34*10^7/Carpet!$M$2</f>
        <v>378118.21120757918</v>
      </c>
      <c r="D35" s="12"/>
      <c r="E35" s="12"/>
      <c r="F35" s="12"/>
      <c r="G35" s="12"/>
      <c r="H35" s="12"/>
      <c r="I35" s="12"/>
      <c r="K35" s="63"/>
      <c r="L35" s="63"/>
      <c r="M35" s="63"/>
    </row>
    <row r="36" spans="1:13" x14ac:dyDescent="0.25">
      <c r="B36" s="61">
        <f>B35*0.85</f>
        <v>289</v>
      </c>
      <c r="K36" s="63"/>
      <c r="L36" s="63"/>
      <c r="M36" s="63"/>
    </row>
    <row r="37" spans="1:13" x14ac:dyDescent="0.25">
      <c r="B37" s="61">
        <f>B35*0.75</f>
        <v>255</v>
      </c>
      <c r="K37" s="63"/>
      <c r="L37" s="63"/>
      <c r="M37" s="63"/>
    </row>
    <row r="38" spans="1:13" x14ac:dyDescent="0.25">
      <c r="B38" s="61">
        <v>700</v>
      </c>
      <c r="C38" s="3">
        <f>B37*10^7/Carpet!$M$2</f>
        <v>283852.15198891307</v>
      </c>
    </row>
    <row r="39" spans="1:13" x14ac:dyDescent="0.25">
      <c r="C39" s="3">
        <f>B38*10^7/Carpet!$M$2</f>
        <v>779201.98585191835</v>
      </c>
    </row>
    <row r="43" spans="1:13" x14ac:dyDescent="0.25">
      <c r="B43" s="61">
        <v>5</v>
      </c>
      <c r="C43" s="4">
        <v>365</v>
      </c>
      <c r="D43" s="14">
        <f>C43*B43</f>
        <v>1825</v>
      </c>
    </row>
  </sheetData>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F22"/>
  <sheetViews>
    <sheetView workbookViewId="0">
      <selection activeCell="A20" sqref="A20"/>
    </sheetView>
  </sheetViews>
  <sheetFormatPr defaultRowHeight="15" x14ac:dyDescent="0.25"/>
  <cols>
    <col min="4" max="4" width="14.28515625" bestFit="1" customWidth="1"/>
  </cols>
  <sheetData>
    <row r="7" spans="3:6" x14ac:dyDescent="0.25">
      <c r="D7">
        <f>10^7</f>
        <v>10000000</v>
      </c>
    </row>
    <row r="8" spans="3:6" x14ac:dyDescent="0.25">
      <c r="C8">
        <v>3.5</v>
      </c>
      <c r="D8" s="117">
        <f>C8*$D$7</f>
        <v>35000000</v>
      </c>
      <c r="E8">
        <v>800</v>
      </c>
      <c r="F8" s="100">
        <f>D8/E8</f>
        <v>43750</v>
      </c>
    </row>
    <row r="9" spans="3:6" x14ac:dyDescent="0.25">
      <c r="C9">
        <v>4</v>
      </c>
      <c r="D9" s="117">
        <f t="shared" ref="D9:D15" si="0">C9*$D$7</f>
        <v>40000000</v>
      </c>
      <c r="E9">
        <v>800</v>
      </c>
      <c r="F9" s="100">
        <f t="shared" ref="F9:F15" si="1">D9/E9</f>
        <v>50000</v>
      </c>
    </row>
    <row r="10" spans="3:6" x14ac:dyDescent="0.25">
      <c r="C10">
        <v>11.5</v>
      </c>
      <c r="D10" s="117">
        <f t="shared" si="0"/>
        <v>115000000</v>
      </c>
      <c r="E10">
        <v>1500</v>
      </c>
      <c r="F10" s="100">
        <f t="shared" si="1"/>
        <v>76666.666666666672</v>
      </c>
    </row>
    <row r="11" spans="3:6" x14ac:dyDescent="0.25">
      <c r="C11">
        <v>5.75</v>
      </c>
      <c r="D11" s="117">
        <f t="shared" si="0"/>
        <v>57500000</v>
      </c>
      <c r="E11">
        <v>1060</v>
      </c>
      <c r="F11" s="100">
        <f t="shared" si="1"/>
        <v>54245.283018867922</v>
      </c>
    </row>
    <row r="12" spans="3:6" x14ac:dyDescent="0.25">
      <c r="D12" s="117">
        <f t="shared" si="0"/>
        <v>0</v>
      </c>
      <c r="F12" s="100" t="e">
        <f t="shared" si="1"/>
        <v>#DIV/0!</v>
      </c>
    </row>
    <row r="13" spans="3:6" x14ac:dyDescent="0.25">
      <c r="D13" s="117">
        <f t="shared" si="0"/>
        <v>0</v>
      </c>
      <c r="F13" s="100" t="e">
        <f t="shared" si="1"/>
        <v>#DIV/0!</v>
      </c>
    </row>
    <row r="14" spans="3:6" x14ac:dyDescent="0.25">
      <c r="D14" s="117">
        <f t="shared" si="0"/>
        <v>0</v>
      </c>
      <c r="F14" s="100" t="e">
        <f t="shared" si="1"/>
        <v>#DIV/0!</v>
      </c>
    </row>
    <row r="15" spans="3:6" x14ac:dyDescent="0.25">
      <c r="D15" s="117">
        <f t="shared" si="0"/>
        <v>0</v>
      </c>
      <c r="F15" s="100" t="e">
        <f t="shared" si="1"/>
        <v>#DIV/0!</v>
      </c>
    </row>
    <row r="19" spans="4:6" x14ac:dyDescent="0.25">
      <c r="D19">
        <v>934.98</v>
      </c>
      <c r="E19" s="118">
        <v>5451.97</v>
      </c>
      <c r="F19" s="116">
        <f>E19/D19</f>
        <v>5.8311086868168305</v>
      </c>
    </row>
    <row r="20" spans="4:6" x14ac:dyDescent="0.25">
      <c r="D20">
        <v>1013.16</v>
      </c>
      <c r="E20">
        <v>3430</v>
      </c>
      <c r="F20" s="116">
        <f t="shared" ref="F20:F22" si="2">E20/D20</f>
        <v>3.3854475107584192</v>
      </c>
    </row>
    <row r="21" spans="4:6" x14ac:dyDescent="0.25">
      <c r="F21" s="116" t="e">
        <f t="shared" si="2"/>
        <v>#DIV/0!</v>
      </c>
    </row>
    <row r="22" spans="4:6" x14ac:dyDescent="0.25">
      <c r="F22" s="116" t="e">
        <f t="shared" si="2"/>
        <v>#DIV/0!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Carpet</vt:lpstr>
      <vt:lpstr>Cost of Construction</vt:lpstr>
      <vt:lpstr>Valuation Working FAR (2)</vt:lpstr>
      <vt:lpstr>Valuation Working</vt:lpstr>
      <vt:lpstr>Valuation Working FAR</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Adil Afaque</dc:creator>
  <cp:lastModifiedBy>Adil Afaque</cp:lastModifiedBy>
  <dcterms:created xsi:type="dcterms:W3CDTF">2023-04-11T07:10:44Z</dcterms:created>
  <dcterms:modified xsi:type="dcterms:W3CDTF">2023-04-28T06:08:47Z</dcterms:modified>
</cp:coreProperties>
</file>