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In Progress Files\Adil Afaque\Microtech Green Burg- 2023-04-28\"/>
    </mc:Choice>
  </mc:AlternateContent>
  <bookViews>
    <workbookView xWindow="0" yWindow="0" windowWidth="24000" windowHeight="9015" activeTab="1"/>
  </bookViews>
  <sheets>
    <sheet name="Sheet1" sheetId="1" r:id="rId1"/>
    <sheet name="Sheet2"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4" i="2" l="1"/>
  <c r="P12" i="2"/>
  <c r="P11" i="2"/>
  <c r="G23" i="2" l="1"/>
  <c r="H26" i="2"/>
  <c r="G26" i="2"/>
  <c r="G25" i="2"/>
  <c r="H25" i="2" s="1"/>
  <c r="F25" i="2"/>
  <c r="E25" i="2"/>
  <c r="I19" i="2"/>
  <c r="E18" i="2"/>
  <c r="B18" i="2"/>
  <c r="E26" i="2" l="1"/>
  <c r="I25" i="2"/>
  <c r="B12" i="2"/>
  <c r="W22" i="1" l="1"/>
  <c r="W25" i="1" s="1"/>
  <c r="X25" i="1" s="1"/>
  <c r="W23" i="1"/>
  <c r="Y9" i="1"/>
  <c r="Z9" i="1" s="1"/>
  <c r="Z10" i="1"/>
  <c r="X12" i="1"/>
  <c r="Y12" i="1" s="1"/>
  <c r="H9" i="1"/>
  <c r="H8" i="1"/>
  <c r="H7" i="1"/>
  <c r="H6" i="1"/>
  <c r="H10" i="1" s="1"/>
  <c r="G10" i="1"/>
  <c r="G8" i="1"/>
  <c r="G7" i="1"/>
  <c r="Z25" i="1" l="1"/>
  <c r="Y25" i="1"/>
  <c r="N26" i="1"/>
  <c r="R12" i="1"/>
  <c r="N21" i="1" l="1"/>
  <c r="O20" i="1"/>
  <c r="O19" i="1"/>
  <c r="O21" i="1" l="1"/>
  <c r="N19" i="1"/>
  <c r="P19" i="1" s="1"/>
  <c r="H12" i="1"/>
  <c r="I12" i="1" s="1"/>
  <c r="O31" i="1"/>
  <c r="N31" i="1"/>
</calcChain>
</file>

<file path=xl/sharedStrings.xml><?xml version="1.0" encoding="utf-8"?>
<sst xmlns="http://schemas.openxmlformats.org/spreadsheetml/2006/main" count="88" uniqueCount="68">
  <si>
    <t>Total</t>
  </si>
  <si>
    <t>A</t>
  </si>
  <si>
    <t xml:space="preserve">Comment </t>
  </si>
  <si>
    <t>B</t>
  </si>
  <si>
    <t>C</t>
  </si>
  <si>
    <t>B2</t>
  </si>
  <si>
    <t>C1</t>
  </si>
  <si>
    <t>NA</t>
  </si>
  <si>
    <t>C2</t>
  </si>
  <si>
    <t>E</t>
  </si>
  <si>
    <t>F</t>
  </si>
  <si>
    <t>H</t>
  </si>
  <si>
    <t>K</t>
  </si>
  <si>
    <t>J1</t>
  </si>
  <si>
    <t>J2</t>
  </si>
  <si>
    <t>G+24</t>
  </si>
  <si>
    <t>S+12</t>
  </si>
  <si>
    <t>All structure completed and are in ready to move in condition</t>
  </si>
  <si>
    <t>Construction not started yet</t>
  </si>
  <si>
    <t xml:space="preserve">Construction not yet started </t>
  </si>
  <si>
    <t>Super structure is completed upto 11th floor, 12th floor is in under construction phase.</t>
  </si>
  <si>
    <t>Super structure is completetd and only finishing work is in progress</t>
  </si>
  <si>
    <t>Construction done upto plinth level</t>
  </si>
  <si>
    <t xml:space="preserve">Total No Of 
Floors </t>
  </si>
  <si>
    <t xml:space="preserve">Type of 
Tower </t>
  </si>
  <si>
    <t>Sr. No</t>
  </si>
  <si>
    <t xml:space="preserve">Khasra no </t>
  </si>
  <si>
    <t xml:space="preserve">Owner </t>
  </si>
  <si>
    <t>Mr. Devidayal and Mr. Maman</t>
  </si>
  <si>
    <t>215-218</t>
  </si>
  <si>
    <t>302 &amp; 304</t>
  </si>
  <si>
    <t>M/s. Shilpkar Housing Pvt Ltd</t>
  </si>
  <si>
    <t xml:space="preserve">Area
(In hect) </t>
  </si>
  <si>
    <t xml:space="preserve">Area
(In acre) </t>
  </si>
  <si>
    <t xml:space="preserve">Document </t>
  </si>
  <si>
    <t>Collabration agreement</t>
  </si>
  <si>
    <t>Reference no /
 Date</t>
  </si>
  <si>
    <t>Dated:05/05/13</t>
  </si>
  <si>
    <t>Dated:08/05/13</t>
  </si>
  <si>
    <t xml:space="preserve">Joint development Agreement </t>
  </si>
  <si>
    <t>Dated:19/08/16</t>
  </si>
  <si>
    <t>Mr. Kishan Lal, Mr.Nihal, Mr.Sumer, Mr. Sandeep Kumar, 
Mr. manoj Kumar, Mr. Maman &amp; Mr. Vedpraksh</t>
  </si>
  <si>
    <t>OWNER AS PER COLLABRATION AGREEMENT</t>
  </si>
  <si>
    <t xml:space="preserve">Mr. Kishan Lal, Mr. Nihal, Mr. Sumer, Mr. Sandeep Kumar, 
Mr. Manoj Kumar, Mr. Ramesh Chander, 
Mr. Anil Kumar, Mr. pradeep Kumar, Mrs. Ramrati Devi, 
Mr. Babu Lal, Mr. Billu Ram, Mr. Chote Lal, 
Mr. Sajan Singh, Mrs. Bajanti, Mrs. Kamla, Mr. Lala Ram, 
Mrs. Vidha Devi, Mrs. Ramkaalo, Mrs. Kamlesh &amp; Mrs. Itwari </t>
  </si>
  <si>
    <t>PROGRESS REPORT OF OXIRICH SANSKRUTI-II</t>
  </si>
  <si>
    <t>Area Statement of Oxirich Sanskruti-II</t>
  </si>
  <si>
    <t xml:space="preserve">Total plot area as per revenue </t>
  </si>
  <si>
    <t>Total Plot area as per survey plan</t>
  </si>
  <si>
    <t>Surrender in 60 M and 45 M wide road</t>
  </si>
  <si>
    <t>Surrender in 12m wide nala road</t>
  </si>
  <si>
    <t xml:space="preserve">Remaining plot area </t>
  </si>
  <si>
    <t xml:space="preserve">Surrender area for facilities </t>
  </si>
  <si>
    <t xml:space="preserve">Residential Net Plot area </t>
  </si>
  <si>
    <t xml:space="preserve">Commercial Net Plot area </t>
  </si>
  <si>
    <t xml:space="preserve">Sq mtr </t>
  </si>
  <si>
    <t>1 bigha</t>
  </si>
  <si>
    <t>3025 sq yds</t>
  </si>
  <si>
    <t xml:space="preserve">Type of Flats </t>
  </si>
  <si>
    <t xml:space="preserve">Tower </t>
  </si>
  <si>
    <r>
      <t xml:space="preserve">Super Area
</t>
    </r>
    <r>
      <rPr>
        <i/>
        <sz val="11"/>
        <color theme="0"/>
        <rFont val="Calibri"/>
        <family val="2"/>
        <scheme val="minor"/>
      </rPr>
      <t xml:space="preserve">(In sq ft) </t>
    </r>
  </si>
  <si>
    <t>03 BHK</t>
  </si>
  <si>
    <t>03 BHK+SQ</t>
  </si>
  <si>
    <t>03 BHK+SQ+Study room</t>
  </si>
  <si>
    <t>04 BHK+SQ</t>
  </si>
  <si>
    <t>G, H, I &amp; J</t>
  </si>
  <si>
    <t>C, D, E, F, K, M &amp; N</t>
  </si>
  <si>
    <t>C, D, E, F, K &amp; L</t>
  </si>
  <si>
    <t>A &amp; B</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</si>
</sst>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64" formatCode="0.000"/>
  </numFmts>
  <fonts count="5" x14ac:knownFonts="1">
    <font>
      <sz val="11"/>
      <color theme="1"/>
      <name val="Calibri"/>
      <family val="2"/>
      <scheme val="minor"/>
    </font>
    <font>
      <b/>
      <sz val="11"/>
      <color theme="0"/>
      <name val="Calibri"/>
      <family val="2"/>
      <scheme val="minor"/>
    </font>
    <font>
      <b/>
      <sz val="11"/>
      <color theme="1"/>
      <name val="Calibri"/>
      <family val="2"/>
      <scheme val="minor"/>
    </font>
    <font>
      <i/>
      <sz val="11"/>
      <color theme="0"/>
      <name val="Calibri"/>
      <family val="2"/>
      <scheme val="minor"/>
    </font>
    <font>
      <sz val="11"/>
      <color theme="1"/>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rgb="FF25396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4" fillId="0" borderId="0" applyFont="0" applyFill="0" applyBorder="0" applyAlignment="0" applyProtection="0"/>
  </cellStyleXfs>
  <cellXfs count="20">
    <xf numFmtId="0" fontId="0" fillId="0" borderId="0" xfId="0"/>
    <xf numFmtId="0" fontId="0" fillId="0" borderId="1" xfId="0"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0" fontId="0" fillId="0" borderId="1" xfId="0"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2" fontId="0" fillId="0" borderId="1" xfId="0" applyNumberFormat="1" applyBorder="1" applyAlignment="1">
      <alignment horizontal="center" vertical="center"/>
    </xf>
    <xf numFmtId="0" fontId="2" fillId="0" borderId="1" xfId="0" applyFont="1" applyBorder="1" applyAlignment="1">
      <alignment horizontal="center"/>
    </xf>
    <xf numFmtId="2" fontId="2" fillId="0" borderId="1" xfId="0" applyNumberFormat="1" applyFont="1" applyBorder="1" applyAlignment="1">
      <alignment horizontal="center"/>
    </xf>
    <xf numFmtId="0" fontId="0" fillId="0" borderId="1" xfId="0" applyBorder="1"/>
    <xf numFmtId="0" fontId="0" fillId="0" borderId="1" xfId="0" applyBorder="1" applyAlignment="1">
      <alignment horizontal="center"/>
    </xf>
    <xf numFmtId="164" fontId="0" fillId="0" borderId="0" xfId="0" applyNumberFormat="1"/>
    <xf numFmtId="0" fontId="1" fillId="4" borderId="1" xfId="0" applyFont="1" applyFill="1"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43" fontId="0" fillId="0" borderId="0" xfId="1" applyFont="1"/>
  </cellXfs>
  <cellStyles count="2">
    <cellStyle name="Comma" xfId="1" builtinId="3"/>
    <cellStyle name="Normal" xfId="0" builtinId="0"/>
  </cellStyles>
  <dxfs count="0"/>
  <tableStyles count="0" defaultTableStyle="TableStyleMedium2" defaultPivotStyle="PivotStyleLight16"/>
  <colors>
    <mruColors>
      <color rgb="FF253961"/>
      <color rgb="FF246024"/>
      <color rgb="FF246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Z31"/>
  <sheetViews>
    <sheetView zoomScaleNormal="100" workbookViewId="0">
      <selection activeCell="A6" sqref="A6"/>
    </sheetView>
  </sheetViews>
  <sheetFormatPr defaultRowHeight="15" x14ac:dyDescent="0.25"/>
  <cols>
    <col min="2" max="2" width="6.28515625" bestFit="1" customWidth="1"/>
    <col min="3" max="3" width="29.140625" hidden="1" customWidth="1"/>
    <col min="4" max="4" width="14.7109375" hidden="1" customWidth="1"/>
    <col min="5" max="5" width="10" customWidth="1"/>
    <col min="6" max="6" width="54.85546875" bestFit="1" customWidth="1"/>
    <col min="7" max="7" width="8.42578125" customWidth="1"/>
    <col min="8" max="8" width="8.28515625" customWidth="1"/>
    <col min="9" max="9" width="9.140625" customWidth="1"/>
    <col min="13" max="13" width="7.5703125" bestFit="1" customWidth="1"/>
    <col min="14" max="14" width="11.42578125" customWidth="1"/>
    <col min="15" max="15" width="39.5703125" customWidth="1"/>
    <col min="19" max="19" width="35.140625" bestFit="1" customWidth="1"/>
    <col min="21" max="21" width="7.140625" bestFit="1" customWidth="1"/>
    <col min="23" max="25" width="11" bestFit="1" customWidth="1"/>
    <col min="26" max="26" width="10" bestFit="1" customWidth="1"/>
  </cols>
  <sheetData>
    <row r="4" spans="2:26" x14ac:dyDescent="0.25">
      <c r="B4" s="16" t="s">
        <v>42</v>
      </c>
      <c r="C4" s="16"/>
      <c r="D4" s="16"/>
      <c r="E4" s="16"/>
      <c r="F4" s="16"/>
      <c r="G4" s="16"/>
      <c r="H4" s="16"/>
      <c r="M4" s="16" t="s">
        <v>44</v>
      </c>
      <c r="N4" s="16"/>
      <c r="O4" s="16"/>
    </row>
    <row r="5" spans="2:26" ht="30" x14ac:dyDescent="0.25">
      <c r="B5" s="2" t="s">
        <v>25</v>
      </c>
      <c r="C5" s="2" t="s">
        <v>34</v>
      </c>
      <c r="D5" s="3" t="s">
        <v>36</v>
      </c>
      <c r="E5" s="2" t="s">
        <v>26</v>
      </c>
      <c r="F5" s="3" t="s">
        <v>27</v>
      </c>
      <c r="G5" s="3" t="s">
        <v>32</v>
      </c>
      <c r="H5" s="3" t="s">
        <v>33</v>
      </c>
      <c r="M5" s="8" t="s">
        <v>24</v>
      </c>
      <c r="N5" s="8" t="s">
        <v>23</v>
      </c>
      <c r="O5" s="9" t="s">
        <v>2</v>
      </c>
      <c r="S5" s="8"/>
      <c r="T5" s="8"/>
      <c r="U5" s="9"/>
    </row>
    <row r="6" spans="2:26" ht="30" x14ac:dyDescent="0.25">
      <c r="B6" s="4">
        <v>1</v>
      </c>
      <c r="C6" s="4" t="s">
        <v>35</v>
      </c>
      <c r="D6" s="4" t="s">
        <v>37</v>
      </c>
      <c r="E6" s="4">
        <v>225</v>
      </c>
      <c r="F6" s="4" t="s">
        <v>28</v>
      </c>
      <c r="G6" s="4">
        <v>0.25</v>
      </c>
      <c r="H6" s="10">
        <f>G6*2.471054</f>
        <v>0.61776350000000002</v>
      </c>
      <c r="M6" s="4" t="s">
        <v>1</v>
      </c>
      <c r="N6" s="4" t="s">
        <v>15</v>
      </c>
      <c r="O6" s="1" t="s">
        <v>17</v>
      </c>
      <c r="S6" s="16" t="s">
        <v>45</v>
      </c>
      <c r="T6" s="16"/>
      <c r="U6" s="16"/>
    </row>
    <row r="7" spans="2:26" ht="30" x14ac:dyDescent="0.25">
      <c r="B7" s="4">
        <v>2</v>
      </c>
      <c r="C7" s="4" t="s">
        <v>35</v>
      </c>
      <c r="D7" s="4" t="s">
        <v>37</v>
      </c>
      <c r="E7" s="4" t="s">
        <v>29</v>
      </c>
      <c r="F7" s="1" t="s">
        <v>41</v>
      </c>
      <c r="G7" s="4">
        <f>0.86+0.48+0.38+0.35</f>
        <v>2.0699999999999998</v>
      </c>
      <c r="H7" s="10">
        <f t="shared" ref="H7:H9" si="0">G7*2.471054</f>
        <v>5.1150817799999997</v>
      </c>
      <c r="M7" s="4" t="s">
        <v>3</v>
      </c>
      <c r="N7" s="4" t="s">
        <v>15</v>
      </c>
      <c r="O7" s="1" t="s">
        <v>17</v>
      </c>
      <c r="S7" s="13" t="s">
        <v>46</v>
      </c>
      <c r="T7" s="13">
        <v>47500</v>
      </c>
      <c r="U7" s="13" t="s">
        <v>54</v>
      </c>
    </row>
    <row r="8" spans="2:26" ht="15.75" customHeight="1" x14ac:dyDescent="0.25">
      <c r="B8" s="4">
        <v>3</v>
      </c>
      <c r="C8" s="4" t="s">
        <v>35</v>
      </c>
      <c r="D8" s="4" t="s">
        <v>38</v>
      </c>
      <c r="E8" s="4" t="s">
        <v>30</v>
      </c>
      <c r="F8" s="1" t="s">
        <v>43</v>
      </c>
      <c r="G8" s="4">
        <f>0.97+0.25</f>
        <v>1.22</v>
      </c>
      <c r="H8" s="10">
        <f t="shared" si="0"/>
        <v>3.01468588</v>
      </c>
      <c r="M8" s="4" t="s">
        <v>4</v>
      </c>
      <c r="N8" s="4" t="s">
        <v>16</v>
      </c>
      <c r="O8" s="1" t="s">
        <v>19</v>
      </c>
      <c r="S8" s="13" t="s">
        <v>47</v>
      </c>
      <c r="T8" s="13">
        <v>47485.97</v>
      </c>
      <c r="U8" s="13" t="s">
        <v>54</v>
      </c>
    </row>
    <row r="9" spans="2:26" x14ac:dyDescent="0.25">
      <c r="B9" s="4">
        <v>4</v>
      </c>
      <c r="C9" s="4" t="s">
        <v>39</v>
      </c>
      <c r="D9" s="4" t="s">
        <v>40</v>
      </c>
      <c r="E9" s="4">
        <v>214</v>
      </c>
      <c r="F9" s="4" t="s">
        <v>31</v>
      </c>
      <c r="G9" s="4">
        <v>1.21</v>
      </c>
      <c r="H9" s="10">
        <f t="shared" si="0"/>
        <v>2.98997534</v>
      </c>
      <c r="M9" s="4" t="s">
        <v>9</v>
      </c>
      <c r="N9" s="4" t="s">
        <v>16</v>
      </c>
      <c r="O9" s="1" t="s">
        <v>19</v>
      </c>
      <c r="S9" s="13" t="s">
        <v>48</v>
      </c>
      <c r="T9" s="13">
        <v>6267.71</v>
      </c>
      <c r="U9" s="13" t="s">
        <v>54</v>
      </c>
      <c r="Y9">
        <f>4840/3025</f>
        <v>1.6</v>
      </c>
      <c r="Z9">
        <f>Y9*16000000</f>
        <v>25600000</v>
      </c>
    </row>
    <row r="10" spans="2:26" x14ac:dyDescent="0.25">
      <c r="B10" s="18" t="s">
        <v>0</v>
      </c>
      <c r="C10" s="18"/>
      <c r="D10" s="18"/>
      <c r="E10" s="18"/>
      <c r="F10" s="18"/>
      <c r="G10" s="11">
        <f>SUM(G6:G9)</f>
        <v>4.75</v>
      </c>
      <c r="H10" s="12">
        <f>SUM(H6:H9)</f>
        <v>11.737506499999999</v>
      </c>
      <c r="M10" s="4" t="s">
        <v>10</v>
      </c>
      <c r="N10" s="4" t="s">
        <v>16</v>
      </c>
      <c r="O10" s="4" t="s">
        <v>22</v>
      </c>
      <c r="S10" s="13" t="s">
        <v>49</v>
      </c>
      <c r="T10" s="13">
        <v>134.37</v>
      </c>
      <c r="U10" s="13" t="s">
        <v>54</v>
      </c>
      <c r="W10" t="s">
        <v>55</v>
      </c>
      <c r="X10" t="s">
        <v>56</v>
      </c>
      <c r="Y10">
        <v>16000000</v>
      </c>
      <c r="Z10">
        <f>Y10/3025</f>
        <v>5289.2561983471078</v>
      </c>
    </row>
    <row r="11" spans="2:26" ht="30" x14ac:dyDescent="0.25">
      <c r="M11" s="4" t="s">
        <v>11</v>
      </c>
      <c r="N11" s="4" t="s">
        <v>16</v>
      </c>
      <c r="O11" s="1" t="s">
        <v>17</v>
      </c>
      <c r="S11" s="13" t="s">
        <v>50</v>
      </c>
      <c r="T11" s="13">
        <v>41083.89</v>
      </c>
      <c r="U11" s="13" t="s">
        <v>54</v>
      </c>
    </row>
    <row r="12" spans="2:26" x14ac:dyDescent="0.25">
      <c r="H12">
        <f>4800+5500</f>
        <v>10300</v>
      </c>
      <c r="I12">
        <f>H12/2</f>
        <v>5150</v>
      </c>
      <c r="M12" s="4" t="s">
        <v>12</v>
      </c>
      <c r="N12" s="4" t="s">
        <v>16</v>
      </c>
      <c r="O12" s="1" t="s">
        <v>18</v>
      </c>
      <c r="R12">
        <f>1052-82</f>
        <v>970</v>
      </c>
      <c r="S12" s="13" t="s">
        <v>51</v>
      </c>
      <c r="T12" s="13">
        <v>2054.19</v>
      </c>
      <c r="U12" s="13" t="s">
        <v>54</v>
      </c>
      <c r="W12">
        <v>8.7200000000000006</v>
      </c>
      <c r="X12">
        <f>W12*4840</f>
        <v>42204.800000000003</v>
      </c>
      <c r="Y12">
        <f>X12/3025</f>
        <v>13.952000000000002</v>
      </c>
    </row>
    <row r="13" spans="2:26" ht="14.25" customHeight="1" x14ac:dyDescent="0.25">
      <c r="M13" s="4" t="s">
        <v>13</v>
      </c>
      <c r="N13" s="4" t="s">
        <v>16</v>
      </c>
      <c r="O13" s="1" t="s">
        <v>21</v>
      </c>
      <c r="S13" s="13" t="s">
        <v>52</v>
      </c>
      <c r="T13" s="13">
        <v>35290.21</v>
      </c>
      <c r="U13" s="13" t="s">
        <v>54</v>
      </c>
    </row>
    <row r="14" spans="2:26" ht="15" customHeight="1" x14ac:dyDescent="0.25">
      <c r="M14" s="7" t="s">
        <v>14</v>
      </c>
      <c r="N14" s="4" t="s">
        <v>16</v>
      </c>
      <c r="O14" s="1" t="s">
        <v>20</v>
      </c>
      <c r="S14" s="13" t="s">
        <v>53</v>
      </c>
      <c r="T14" s="13">
        <v>3739.49</v>
      </c>
      <c r="U14" s="13" t="s">
        <v>54</v>
      </c>
    </row>
    <row r="15" spans="2:26" x14ac:dyDescent="0.25">
      <c r="M15" s="17"/>
      <c r="N15" s="17"/>
      <c r="O15" s="17"/>
    </row>
    <row r="16" spans="2:26" x14ac:dyDescent="0.25">
      <c r="N16" s="5"/>
      <c r="O16" s="6"/>
    </row>
    <row r="19" spans="13:26" x14ac:dyDescent="0.25">
      <c r="M19" t="s">
        <v>5</v>
      </c>
      <c r="N19" t="e">
        <f>#REF!*3</f>
        <v>#REF!</v>
      </c>
      <c r="O19" t="e">
        <f>#REF!*1</f>
        <v>#REF!</v>
      </c>
      <c r="P19" t="e">
        <f>O19+N19</f>
        <v>#REF!</v>
      </c>
    </row>
    <row r="20" spans="13:26" x14ac:dyDescent="0.25">
      <c r="M20" t="s">
        <v>6</v>
      </c>
      <c r="N20" t="s">
        <v>7</v>
      </c>
      <c r="O20" t="e">
        <f>#REF!</f>
        <v>#REF!</v>
      </c>
    </row>
    <row r="21" spans="13:26" x14ac:dyDescent="0.25">
      <c r="M21" t="s">
        <v>8</v>
      </c>
      <c r="N21" t="e">
        <f>#REF!*3</f>
        <v>#REF!</v>
      </c>
      <c r="O21" t="e">
        <f>#REF!*3</f>
        <v>#REF!</v>
      </c>
    </row>
    <row r="22" spans="13:26" x14ac:dyDescent="0.25">
      <c r="W22">
        <f>1500*645649.1</f>
        <v>968473650</v>
      </c>
    </row>
    <row r="23" spans="13:26" x14ac:dyDescent="0.25">
      <c r="W23">
        <f>8.72*22000000</f>
        <v>191840000</v>
      </c>
    </row>
    <row r="24" spans="13:26" x14ac:dyDescent="0.25">
      <c r="W24">
        <v>70000000</v>
      </c>
    </row>
    <row r="25" spans="13:26" x14ac:dyDescent="0.25">
      <c r="W25">
        <f>SUM(W22:W24)</f>
        <v>1230313650</v>
      </c>
      <c r="X25">
        <f>ROUND(W25,-6)</f>
        <v>1230000000</v>
      </c>
      <c r="Y25">
        <f>X25*0.85</f>
        <v>1045500000</v>
      </c>
      <c r="Z25">
        <f>X25*0.75</f>
        <v>922500000</v>
      </c>
    </row>
    <row r="26" spans="13:26" x14ac:dyDescent="0.25">
      <c r="N26">
        <f>19300000/3200</f>
        <v>6031.25</v>
      </c>
    </row>
    <row r="31" spans="13:26" x14ac:dyDescent="0.25">
      <c r="N31">
        <f>7901000/1285</f>
        <v>6148.6381322957195</v>
      </c>
      <c r="O31">
        <f>9582000/1575</f>
        <v>6083.8095238095239</v>
      </c>
    </row>
  </sheetData>
  <mergeCells count="5">
    <mergeCell ref="S6:U6"/>
    <mergeCell ref="M15:O15"/>
    <mergeCell ref="B4:H4"/>
    <mergeCell ref="M4:O4"/>
    <mergeCell ref="B10:F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R26"/>
  <sheetViews>
    <sheetView tabSelected="1" workbookViewId="0">
      <selection activeCell="R14" sqref="R14"/>
    </sheetView>
  </sheetViews>
  <sheetFormatPr defaultRowHeight="15" x14ac:dyDescent="0.25"/>
  <cols>
    <col min="2" max="2" width="10.5703125" bestFit="1" customWidth="1"/>
    <col min="5" max="5" width="22" bestFit="1" customWidth="1"/>
    <col min="6" max="6" width="17.28515625" bestFit="1" customWidth="1"/>
    <col min="7" max="7" width="11.28515625" customWidth="1"/>
    <col min="8" max="8" width="11" bestFit="1" customWidth="1"/>
  </cols>
  <sheetData>
    <row r="6" spans="2:18" x14ac:dyDescent="0.25">
      <c r="B6">
        <v>10576.13</v>
      </c>
    </row>
    <row r="7" spans="2:18" x14ac:dyDescent="0.25">
      <c r="B7">
        <v>11351.526</v>
      </c>
    </row>
    <row r="8" spans="2:18" ht="30" x14ac:dyDescent="0.25">
      <c r="B8">
        <v>32549.807000000001</v>
      </c>
      <c r="E8" s="2" t="s">
        <v>57</v>
      </c>
      <c r="F8" s="3" t="s">
        <v>58</v>
      </c>
      <c r="G8" s="3" t="s">
        <v>59</v>
      </c>
    </row>
    <row r="9" spans="2:18" x14ac:dyDescent="0.25">
      <c r="B9">
        <v>25837.623</v>
      </c>
      <c r="E9" s="14" t="s">
        <v>60</v>
      </c>
      <c r="F9" s="14" t="s">
        <v>64</v>
      </c>
      <c r="G9" s="14">
        <v>1480</v>
      </c>
    </row>
    <row r="10" spans="2:18" x14ac:dyDescent="0.25">
      <c r="B10">
        <v>16957.345000000001</v>
      </c>
      <c r="E10" s="14" t="s">
        <v>61</v>
      </c>
      <c r="F10" s="14" t="s">
        <v>65</v>
      </c>
      <c r="G10" s="14">
        <v>1895</v>
      </c>
      <c r="P10">
        <v>468.3</v>
      </c>
    </row>
    <row r="11" spans="2:18" x14ac:dyDescent="0.25">
      <c r="B11">
        <v>2869.415</v>
      </c>
      <c r="E11" s="14" t="s">
        <v>62</v>
      </c>
      <c r="F11" s="14" t="s">
        <v>66</v>
      </c>
      <c r="G11" s="14">
        <v>2285</v>
      </c>
      <c r="P11" s="19">
        <f>P10*0.85</f>
        <v>398.05500000000001</v>
      </c>
      <c r="R11">
        <v>178</v>
      </c>
    </row>
    <row r="12" spans="2:18" x14ac:dyDescent="0.25">
      <c r="B12" s="15">
        <f>SUM(B6:B11)</f>
        <v>100141.84600000001</v>
      </c>
      <c r="E12" s="14" t="s">
        <v>63</v>
      </c>
      <c r="F12" s="14" t="s">
        <v>67</v>
      </c>
      <c r="G12" s="14">
        <v>3060</v>
      </c>
      <c r="P12" s="19">
        <f>P10*0.75</f>
        <v>351.22500000000002</v>
      </c>
      <c r="R12">
        <v>244</v>
      </c>
    </row>
    <row r="13" spans="2:18" x14ac:dyDescent="0.25">
      <c r="R13">
        <v>45</v>
      </c>
    </row>
    <row r="14" spans="2:18" x14ac:dyDescent="0.25">
      <c r="I14">
        <v>1113</v>
      </c>
      <c r="R14">
        <f>SUM(R11:R13)</f>
        <v>467</v>
      </c>
    </row>
    <row r="15" spans="2:18" x14ac:dyDescent="0.25">
      <c r="B15">
        <v>47352.048999999999</v>
      </c>
      <c r="I15">
        <v>667</v>
      </c>
    </row>
    <row r="16" spans="2:18" x14ac:dyDescent="0.25">
      <c r="B16">
        <v>5180.1469999999999</v>
      </c>
      <c r="E16">
        <v>103691.92</v>
      </c>
      <c r="I16">
        <v>333</v>
      </c>
    </row>
    <row r="17" spans="2:9" x14ac:dyDescent="0.25">
      <c r="B17">
        <v>1258.0239999999999</v>
      </c>
      <c r="E17">
        <v>53790.22</v>
      </c>
      <c r="I17">
        <v>53</v>
      </c>
    </row>
    <row r="18" spans="2:9" x14ac:dyDescent="0.25">
      <c r="B18">
        <f>SUM(B15:B17)</f>
        <v>53790.219999999994</v>
      </c>
      <c r="E18">
        <f>E17+E16</f>
        <v>157482.14000000001</v>
      </c>
      <c r="I18">
        <v>309</v>
      </c>
    </row>
    <row r="19" spans="2:9" x14ac:dyDescent="0.25">
      <c r="I19">
        <f>SUM(I14:I18)</f>
        <v>2475</v>
      </c>
    </row>
    <row r="23" spans="2:9" x14ac:dyDescent="0.25">
      <c r="G23">
        <f>96000000*14.643</f>
        <v>1405728000</v>
      </c>
    </row>
    <row r="25" spans="2:9" x14ac:dyDescent="0.25">
      <c r="E25">
        <f>1116233.8*1600</f>
        <v>1785974080</v>
      </c>
      <c r="F25">
        <f>1600*1116129.45</f>
        <v>1785807120</v>
      </c>
      <c r="G25">
        <f>1300*578993.1</f>
        <v>752691030</v>
      </c>
      <c r="H25">
        <f>G25+F25</f>
        <v>2538498150</v>
      </c>
      <c r="I25">
        <f>H25*0.01</f>
        <v>25384981.5</v>
      </c>
    </row>
    <row r="26" spans="2:9" x14ac:dyDescent="0.25">
      <c r="E26">
        <f>E25+H25+400000000</f>
        <v>4724472230</v>
      </c>
      <c r="F26">
        <v>4724500000</v>
      </c>
      <c r="G26">
        <f>F26*0.85</f>
        <v>4015825000</v>
      </c>
      <c r="H26">
        <f>F26*0.75</f>
        <v>3543375000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Adil Afaque</cp:lastModifiedBy>
  <dcterms:created xsi:type="dcterms:W3CDTF">2021-11-30T11:16:04Z</dcterms:created>
  <dcterms:modified xsi:type="dcterms:W3CDTF">2023-05-08T06:21:03Z</dcterms:modified>
</cp:coreProperties>
</file>