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G:\DATAm Since 01-12-2021\FOR REVIEW\VIS(2023-24)-PL016-015-015\PreparerReport\"/>
    </mc:Choice>
  </mc:AlternateContent>
  <xr:revisionPtr revIDLastSave="0" documentId="13_ncr:1_{EEE85CAA-1D35-43E7-A242-9A9E650812E0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working" sheetId="2" r:id="rId1"/>
    <sheet name="Sheet1" sheetId="1" r:id="rId2"/>
    <sheet name="Sheet2" sheetId="3" r:id="rId3"/>
    <sheet name="Sheet3" sheetId="4" r:id="rId4"/>
  </sheets>
  <calcPr calcId="18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0" i="2" l="1"/>
  <c r="J28" i="2"/>
  <c r="J25" i="2"/>
  <c r="J27" i="2"/>
  <c r="J29" i="2"/>
  <c r="S28" i="2"/>
  <c r="S25" i="2"/>
  <c r="S27" i="2"/>
  <c r="S29" i="2"/>
  <c r="S30" i="2"/>
  <c r="X21" i="2"/>
  <c r="S17" i="2"/>
  <c r="S16" i="2"/>
  <c r="S14" i="2"/>
  <c r="G5" i="2"/>
  <c r="E18" i="2"/>
  <c r="E17" i="2"/>
  <c r="O5" i="2"/>
  <c r="M5" i="2"/>
  <c r="P5" i="2"/>
  <c r="Q5" i="2"/>
  <c r="S5" i="2"/>
  <c r="S6" i="2"/>
  <c r="W12" i="2"/>
  <c r="E19" i="2"/>
  <c r="P19" i="2"/>
  <c r="Q6" i="2"/>
  <c r="P6" i="2"/>
  <c r="O6" i="2"/>
  <c r="G6" i="2"/>
  <c r="F6" i="2"/>
  <c r="R16" i="2"/>
  <c r="N18" i="1"/>
  <c r="O18" i="1"/>
  <c r="K13" i="1"/>
  <c r="M6" i="4"/>
  <c r="K5" i="4"/>
  <c r="I5" i="4"/>
  <c r="F6" i="4"/>
  <c r="D4" i="4"/>
  <c r="I3" i="3"/>
  <c r="G3" i="3"/>
  <c r="D3" i="3"/>
  <c r="J3" i="3"/>
  <c r="K3" i="3"/>
  <c r="M3" i="3"/>
  <c r="G4" i="1"/>
  <c r="G5" i="1"/>
  <c r="E5" i="1"/>
  <c r="C5" i="1"/>
  <c r="T15" i="2"/>
</calcChain>
</file>

<file path=xl/sharedStrings.xml><?xml version="1.0" encoding="utf-8"?>
<sst xmlns="http://schemas.openxmlformats.org/spreadsheetml/2006/main" count="60" uniqueCount="53">
  <si>
    <t>SR. No.</t>
  </si>
  <si>
    <t>Type of Structure</t>
  </si>
  <si>
    <t xml:space="preserve">Year of Valuation </t>
  </si>
  <si>
    <t>Total Economical Life
(In year)</t>
  </si>
  <si>
    <t>Salvage value</t>
  </si>
  <si>
    <t>Depreciation Rate</t>
  </si>
  <si>
    <t>Gross Replacement Value
(INR)</t>
  </si>
  <si>
    <t xml:space="preserve">Depreciation
(INR) </t>
  </si>
  <si>
    <t>Depreciated Value
(INR)</t>
  </si>
  <si>
    <t>Depreciated Replacement Market Value
(INR)</t>
  </si>
  <si>
    <t>TOTAL</t>
  </si>
  <si>
    <t>Remarks:</t>
  </si>
  <si>
    <t>3. The valuation is done by considering the depreciated replacement cost approach.</t>
  </si>
  <si>
    <t>Detoration</t>
  </si>
  <si>
    <t>Boundary wall valuation</t>
  </si>
  <si>
    <t>Year of Construction</t>
  </si>
  <si>
    <r>
      <t xml:space="preserve">Total Life Consumed 
</t>
    </r>
    <r>
      <rPr>
        <b/>
        <i/>
        <sz val="10"/>
        <rFont val="Calibri"/>
        <family val="2"/>
        <scheme val="minor"/>
      </rPr>
      <t>(in years)</t>
    </r>
  </si>
  <si>
    <r>
      <t xml:space="preserve">Total Economical Life
</t>
    </r>
    <r>
      <rPr>
        <b/>
        <i/>
        <sz val="10"/>
        <rFont val="Calibri"/>
        <family val="2"/>
        <scheme val="minor"/>
      </rPr>
      <t>(in years)</t>
    </r>
  </si>
  <si>
    <t>Discounting Factor</t>
  </si>
  <si>
    <r>
      <t xml:space="preserve">Wall
</t>
    </r>
    <r>
      <rPr>
        <b/>
        <i/>
        <sz val="10"/>
        <rFont val="Calibri"/>
        <family val="2"/>
        <scheme val="minor"/>
      </rPr>
      <t>(in Running mtr.)As per approved plan approx.</t>
    </r>
  </si>
  <si>
    <r>
      <t xml:space="preserve">Plinth Area  Rate 
</t>
    </r>
    <r>
      <rPr>
        <b/>
        <i/>
        <sz val="10"/>
        <rFont val="Calibri"/>
        <family val="2"/>
        <scheme val="minor"/>
      </rPr>
      <t>(in per running mtr)</t>
    </r>
  </si>
  <si>
    <t>1/1.19</t>
  </si>
  <si>
    <t>* we have taken Rs. 6000 poer Sq.m. for boundary wall as height of boundary wall is approximately ~15 ft. and on main road side a seprate boundary wall of ~5 ft is also constructed.</t>
  </si>
  <si>
    <t>Replacement Govt. value</t>
  </si>
  <si>
    <t>Depreciation</t>
  </si>
  <si>
    <t>Depreciated value</t>
  </si>
  <si>
    <t>PLOT NO. F-42, SELAQUI INDUSTRIAL AREA, TEHSIL VIKASNAGAR, DEHRADUN, UTTARAKHAND</t>
  </si>
  <si>
    <t>Floor</t>
  </si>
  <si>
    <t>Ground Floor</t>
  </si>
  <si>
    <r>
      <t xml:space="preserve">Height
</t>
    </r>
    <r>
      <rPr>
        <b/>
        <i/>
        <sz val="10"/>
        <color theme="1"/>
        <rFont val="Calibri"/>
        <family val="2"/>
        <scheme val="minor"/>
      </rPr>
      <t>(in Feet</t>
    </r>
    <r>
      <rPr>
        <b/>
        <sz val="11"/>
        <color theme="1"/>
        <rFont val="Calibri"/>
        <family val="2"/>
        <scheme val="minor"/>
      </rPr>
      <t>)</t>
    </r>
  </si>
  <si>
    <r>
      <t xml:space="preserve">Covered area
</t>
    </r>
    <r>
      <rPr>
        <b/>
        <i/>
        <sz val="10"/>
        <color theme="1"/>
        <rFont val="Calibri"/>
        <family val="2"/>
        <scheme val="minor"/>
      </rPr>
      <t>(in sq.mtr)</t>
    </r>
  </si>
  <si>
    <r>
      <t xml:space="preserve">Covered Area 
</t>
    </r>
    <r>
      <rPr>
        <b/>
        <i/>
        <sz val="10"/>
        <color theme="1"/>
        <rFont val="Calibri"/>
        <family val="2"/>
        <scheme val="minor"/>
      </rPr>
      <t>(in sq ft)</t>
    </r>
  </si>
  <si>
    <r>
      <t xml:space="preserve">Year of Construction
</t>
    </r>
    <r>
      <rPr>
        <b/>
        <i/>
        <sz val="10"/>
        <color theme="1"/>
        <rFont val="Calibri"/>
        <family val="2"/>
        <scheme val="minor"/>
      </rPr>
      <t>(Approximately)</t>
    </r>
  </si>
  <si>
    <r>
      <t xml:space="preserve">Total Life Consumed 
</t>
    </r>
    <r>
      <rPr>
        <b/>
        <i/>
        <sz val="10"/>
        <color theme="1"/>
        <rFont val="Calibri"/>
        <family val="2"/>
        <scheme val="minor"/>
      </rPr>
      <t>(In year)</t>
    </r>
  </si>
  <si>
    <r>
      <t xml:space="preserve">Plinth Area  Rate
</t>
    </r>
    <r>
      <rPr>
        <b/>
        <i/>
        <sz val="10"/>
        <color theme="1"/>
        <rFont val="Calibri"/>
        <family val="2"/>
        <scheme val="minor"/>
      </rPr>
      <t>(In per sq ft)</t>
    </r>
  </si>
  <si>
    <t>Depreciated Replacement Market Value</t>
  </si>
  <si>
    <t>1. All the details pertaing to the building area statement such as area, floor, etc has been taken from the documents provieded to us.</t>
  </si>
  <si>
    <t>2.The subject property is constructed with Tin Shed mounted on the brick wall.</t>
  </si>
  <si>
    <t>4.Year of construction is considered as 2008 as per the discussion and information provided during the site survey.</t>
  </si>
  <si>
    <t>Tin Shed mounted on brick wall</t>
  </si>
  <si>
    <t>Stamp charges</t>
  </si>
  <si>
    <t>RV</t>
  </si>
  <si>
    <t>FV</t>
  </si>
  <si>
    <t>Plot 1</t>
  </si>
  <si>
    <t>Plot 2</t>
  </si>
  <si>
    <t>Land</t>
  </si>
  <si>
    <t>Building</t>
  </si>
  <si>
    <t>Total (Land + Building)</t>
  </si>
  <si>
    <t>Grand Total</t>
  </si>
  <si>
    <t>Value</t>
  </si>
  <si>
    <t>Final Given Value</t>
  </si>
  <si>
    <t>Area
(in sq.mtr.)</t>
  </si>
  <si>
    <t>Rate
(per sq.mtr.)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</si>
</sst>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 &quot;₹&quot;\ * #,##0.00_ ;_ &quot;₹&quot;\ * \-#,##0.00_ ;_ &quot;₹&quot;\ * &quot;-&quot;??_ ;_ @_ "/>
    <numFmt numFmtId="43" formatCode="_ * #,##0.00_ ;_ * \-#,##0.00_ ;_ * &quot;-&quot;??_ ;_ @_ "/>
    <numFmt numFmtId="164" formatCode="0.0000"/>
    <numFmt numFmtId="165" formatCode="_ &quot;₹&quot;\ * #,##0_ ;_ &quot;₹&quot;\ * \-#,##0_ ;_ &quot;₹&quot;\ * &quot;-&quot;??_ ;_ @_ "/>
    <numFmt numFmtId="166" formatCode="_ * #,##0_ ;_ * \-#,##0_ ;_ * &quot;-&quot;??_ ;_ @_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i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rgb="FF1E3661"/>
        <bgColor indexed="64"/>
      </patternFill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2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2" fillId="2" borderId="1" xfId="3" applyFont="1" applyBorder="1" applyAlignment="1">
      <alignment horizontal="center" vertical="center" wrapText="1"/>
    </xf>
    <xf numFmtId="9" fontId="2" fillId="2" borderId="1" xfId="3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5" fontId="0" fillId="0" borderId="1" xfId="1" applyNumberFormat="1" applyFont="1" applyBorder="1" applyAlignment="1">
      <alignment horizontal="center" vertical="center" wrapText="1"/>
    </xf>
    <xf numFmtId="9" fontId="0" fillId="0" borderId="1" xfId="2" applyFont="1" applyBorder="1" applyAlignment="1">
      <alignment horizontal="center" vertical="center" wrapText="1"/>
    </xf>
    <xf numFmtId="165" fontId="2" fillId="0" borderId="1" xfId="1" applyNumberFormat="1" applyFont="1" applyBorder="1" applyAlignment="1">
      <alignment horizontal="center" vertical="center" wrapText="1"/>
    </xf>
    <xf numFmtId="165" fontId="0" fillId="0" borderId="0" xfId="0" applyNumberFormat="1"/>
    <xf numFmtId="43" fontId="0" fillId="0" borderId="0" xfId="0" applyNumberFormat="1"/>
    <xf numFmtId="2" fontId="2" fillId="0" borderId="1" xfId="0" applyNumberFormat="1" applyFont="1" applyBorder="1" applyAlignment="1">
      <alignment horizontal="center" vertical="center" wrapText="1"/>
    </xf>
    <xf numFmtId="166" fontId="0" fillId="0" borderId="0" xfId="6" applyNumberFormat="1" applyFont="1"/>
    <xf numFmtId="0" fontId="6" fillId="4" borderId="1" xfId="0" applyFont="1" applyFill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5" fontId="0" fillId="0" borderId="1" xfId="1" applyNumberFormat="1" applyFont="1" applyBorder="1" applyAlignment="1">
      <alignment horizontal="center" vertical="center"/>
    </xf>
    <xf numFmtId="9" fontId="0" fillId="0" borderId="1" xfId="2" applyFont="1" applyBorder="1" applyAlignment="1">
      <alignment horizontal="center" vertical="center"/>
    </xf>
    <xf numFmtId="166" fontId="0" fillId="0" borderId="1" xfId="6" applyNumberFormat="1" applyFont="1" applyBorder="1" applyAlignment="1">
      <alignment horizontal="center" vertical="center" wrapText="1"/>
    </xf>
    <xf numFmtId="43" fontId="0" fillId="0" borderId="1" xfId="0" applyNumberFormat="1" applyBorder="1" applyAlignment="1">
      <alignment horizontal="center" vertical="center" wrapText="1"/>
    </xf>
    <xf numFmtId="166" fontId="2" fillId="2" borderId="1" xfId="6" applyNumberFormat="1" applyFont="1" applyFill="1" applyBorder="1" applyAlignment="1">
      <alignment horizontal="center" vertical="center" wrapText="1"/>
    </xf>
    <xf numFmtId="166" fontId="2" fillId="0" borderId="1" xfId="6" applyNumberFormat="1" applyFont="1" applyBorder="1" applyAlignment="1">
      <alignment horizontal="center" vertical="center" wrapText="1"/>
    </xf>
    <xf numFmtId="44" fontId="0" fillId="0" borderId="0" xfId="0" applyNumberFormat="1"/>
    <xf numFmtId="0" fontId="3" fillId="3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166" fontId="2" fillId="0" borderId="0" xfId="0" applyNumberFormat="1" applyFont="1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166" fontId="2" fillId="0" borderId="0" xfId="6" applyNumberFormat="1" applyFont="1"/>
  </cellXfs>
  <cellStyles count="7">
    <cellStyle name="40% - Accent1" xfId="3" builtinId="31"/>
    <cellStyle name="Comma" xfId="6" builtinId="3"/>
    <cellStyle name="Comma 2" xfId="4" xr:uid="{00000000-0005-0000-0000-000002000000}"/>
    <cellStyle name="Currency" xfId="1" builtinId="4"/>
    <cellStyle name="Currency 2" xfId="5" xr:uid="{00000000-0005-0000-0000-000004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X30"/>
  <sheetViews>
    <sheetView tabSelected="1" topLeftCell="A13" zoomScale="85" zoomScaleNormal="85" workbookViewId="0">
      <selection activeCell="W34" sqref="W34"/>
    </sheetView>
  </sheetViews>
  <sheetFormatPr defaultRowHeight="15" x14ac:dyDescent="0.25"/>
  <cols>
    <col min="2" max="2" width="7.28515625" customWidth="1"/>
    <col min="3" max="4" width="9" customWidth="1"/>
    <col min="5" max="5" width="18.140625" customWidth="1"/>
    <col min="6" max="6" width="10.28515625" bestFit="1" customWidth="1"/>
    <col min="7" max="7" width="8.85546875" bestFit="1" customWidth="1"/>
    <col min="8" max="8" width="15" bestFit="1" customWidth="1"/>
    <col min="9" max="9" width="11.28515625" customWidth="1"/>
    <col min="10" max="10" width="14.42578125" bestFit="1" customWidth="1"/>
    <col min="11" max="11" width="11" hidden="1" customWidth="1"/>
    <col min="12" max="12" width="7.7109375" hidden="1" customWidth="1"/>
    <col min="13" max="13" width="6.7109375" hidden="1" customWidth="1"/>
    <col min="14" max="14" width="10.28515625" bestFit="1" customWidth="1"/>
    <col min="15" max="15" width="18.42578125" hidden="1" customWidth="1"/>
    <col min="16" max="16" width="12.42578125" hidden="1" customWidth="1"/>
    <col min="17" max="17" width="17.7109375" hidden="1" customWidth="1"/>
    <col min="18" max="18" width="10.5703125" hidden="1" customWidth="1"/>
    <col min="19" max="19" width="19.85546875" bestFit="1" customWidth="1"/>
    <col min="21" max="21" width="5.85546875" bestFit="1" customWidth="1"/>
    <col min="23" max="23" width="15.85546875" bestFit="1" customWidth="1"/>
  </cols>
  <sheetData>
    <row r="3" spans="2:23" ht="48.75" customHeight="1" x14ac:dyDescent="0.25">
      <c r="B3" s="25" t="s">
        <v>26</v>
      </c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</row>
    <row r="4" spans="2:23" ht="60" x14ac:dyDescent="0.25">
      <c r="B4" s="1" t="s">
        <v>0</v>
      </c>
      <c r="C4" s="1" t="s">
        <v>27</v>
      </c>
      <c r="D4" s="1" t="s">
        <v>29</v>
      </c>
      <c r="E4" s="1" t="s">
        <v>1</v>
      </c>
      <c r="F4" s="1" t="s">
        <v>30</v>
      </c>
      <c r="G4" s="22" t="s">
        <v>31</v>
      </c>
      <c r="H4" s="1" t="s">
        <v>32</v>
      </c>
      <c r="I4" s="1" t="s">
        <v>2</v>
      </c>
      <c r="J4" s="1" t="s">
        <v>33</v>
      </c>
      <c r="K4" s="1" t="s">
        <v>3</v>
      </c>
      <c r="L4" s="1" t="s">
        <v>4</v>
      </c>
      <c r="M4" s="1" t="s">
        <v>5</v>
      </c>
      <c r="N4" s="1" t="s">
        <v>34</v>
      </c>
      <c r="O4" s="1" t="s">
        <v>6</v>
      </c>
      <c r="P4" s="1" t="s">
        <v>7</v>
      </c>
      <c r="Q4" s="1" t="s">
        <v>8</v>
      </c>
      <c r="R4" s="2" t="s">
        <v>13</v>
      </c>
      <c r="S4" s="1" t="s">
        <v>35</v>
      </c>
    </row>
    <row r="5" spans="2:23" ht="30" x14ac:dyDescent="0.25">
      <c r="B5" s="3">
        <v>1</v>
      </c>
      <c r="C5" s="3" t="s">
        <v>28</v>
      </c>
      <c r="D5" s="3">
        <v>15</v>
      </c>
      <c r="E5" s="3" t="s">
        <v>39</v>
      </c>
      <c r="F5" s="21">
        <v>204</v>
      </c>
      <c r="G5" s="20">
        <f>F5*10.764</f>
        <v>2195.8559999999998</v>
      </c>
      <c r="H5" s="3">
        <v>2008</v>
      </c>
      <c r="I5" s="3">
        <v>2023</v>
      </c>
      <c r="J5" s="3">
        <v>15</v>
      </c>
      <c r="K5" s="3">
        <v>45</v>
      </c>
      <c r="L5" s="4">
        <v>0.1</v>
      </c>
      <c r="M5" s="5">
        <f>(1-L5)/K5</f>
        <v>0.02</v>
      </c>
      <c r="N5" s="6">
        <v>1100</v>
      </c>
      <c r="O5" s="6">
        <f>N5*G5</f>
        <v>2415441.5999999996</v>
      </c>
      <c r="P5" s="6">
        <f t="shared" ref="P5" si="0">O5*M5*J5</f>
        <v>724632.48</v>
      </c>
      <c r="Q5" s="6">
        <f t="shared" ref="Q5" si="1">MAX(O5-P5,0)</f>
        <v>1690809.1199999996</v>
      </c>
      <c r="R5" s="7">
        <v>0</v>
      </c>
      <c r="S5" s="6">
        <f>IF(Q5&gt;L5*O5,Q5*(1-R5),O5*L5)</f>
        <v>1690809.1199999996</v>
      </c>
    </row>
    <row r="6" spans="2:23" x14ac:dyDescent="0.25">
      <c r="B6" s="27" t="s">
        <v>10</v>
      </c>
      <c r="C6" s="27"/>
      <c r="D6" s="27"/>
      <c r="E6" s="27"/>
      <c r="F6" s="11">
        <f>SUM(F5:F5)</f>
        <v>204</v>
      </c>
      <c r="G6" s="23">
        <f>SUM(G5:G5)</f>
        <v>2195.8559999999998</v>
      </c>
      <c r="H6" s="27"/>
      <c r="I6" s="27"/>
      <c r="J6" s="27"/>
      <c r="K6" s="27"/>
      <c r="L6" s="27"/>
      <c r="M6" s="27"/>
      <c r="N6" s="27"/>
      <c r="O6" s="8">
        <f>SUM(O5:O5)</f>
        <v>2415441.5999999996</v>
      </c>
      <c r="P6" s="8">
        <f>SUM(P5:P5)</f>
        <v>724632.48</v>
      </c>
      <c r="Q6" s="8">
        <f>SUM(Q5:Q5)</f>
        <v>1690809.1199999996</v>
      </c>
      <c r="R6" s="7"/>
      <c r="S6" s="8">
        <f>SUM(S5:S5)</f>
        <v>1690809.1199999996</v>
      </c>
    </row>
    <row r="7" spans="2:23" x14ac:dyDescent="0.25">
      <c r="B7" s="28" t="s">
        <v>11</v>
      </c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</row>
    <row r="8" spans="2:23" x14ac:dyDescent="0.25">
      <c r="B8" s="26" t="s">
        <v>36</v>
      </c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</row>
    <row r="9" spans="2:23" x14ac:dyDescent="0.25">
      <c r="B9" s="26" t="s">
        <v>37</v>
      </c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</row>
    <row r="10" spans="2:23" x14ac:dyDescent="0.25">
      <c r="B10" s="26" t="s">
        <v>12</v>
      </c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</row>
    <row r="11" spans="2:23" x14ac:dyDescent="0.25">
      <c r="B11" s="26" t="s">
        <v>38</v>
      </c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</row>
    <row r="12" spans="2:23" x14ac:dyDescent="0.25">
      <c r="W12" s="24">
        <f>S6*0.8</f>
        <v>1352647.2959999999</v>
      </c>
    </row>
    <row r="13" spans="2:23" x14ac:dyDescent="0.25">
      <c r="G13" s="10"/>
      <c r="S13">
        <v>5399310</v>
      </c>
    </row>
    <row r="14" spans="2:23" x14ac:dyDescent="0.25">
      <c r="S14" s="9">
        <f>S13+S6</f>
        <v>7090119.1199999992</v>
      </c>
    </row>
    <row r="15" spans="2:23" x14ac:dyDescent="0.25">
      <c r="S15">
        <v>7100000</v>
      </c>
      <c r="T15">
        <f>S6/G6</f>
        <v>769.99999999999989</v>
      </c>
    </row>
    <row r="16" spans="2:23" x14ac:dyDescent="0.25">
      <c r="L16" s="9"/>
      <c r="R16">
        <f>187-165</f>
        <v>22</v>
      </c>
      <c r="S16">
        <f>S15*0.85</f>
        <v>6035000</v>
      </c>
    </row>
    <row r="17" spans="3:24" x14ac:dyDescent="0.25">
      <c r="C17" t="s">
        <v>23</v>
      </c>
      <c r="E17">
        <f>1139*12000</f>
        <v>13668000</v>
      </c>
      <c r="N17" s="21"/>
      <c r="S17">
        <f>S15*0.75</f>
        <v>5325000</v>
      </c>
    </row>
    <row r="18" spans="3:24" x14ac:dyDescent="0.25">
      <c r="C18" t="s">
        <v>24</v>
      </c>
      <c r="E18">
        <f>(13668000*2*9)/(80*10)</f>
        <v>307530</v>
      </c>
    </row>
    <row r="19" spans="3:24" x14ac:dyDescent="0.25">
      <c r="C19" t="s">
        <v>25</v>
      </c>
      <c r="E19">
        <f>E17-E18</f>
        <v>13360470</v>
      </c>
      <c r="P19" s="9">
        <f>SUM(S5:S5)</f>
        <v>1690809.1199999996</v>
      </c>
      <c r="X19">
        <v>2571100</v>
      </c>
    </row>
    <row r="20" spans="3:24" x14ac:dyDescent="0.25">
      <c r="W20" t="s">
        <v>40</v>
      </c>
      <c r="X20">
        <v>157000</v>
      </c>
    </row>
    <row r="21" spans="3:24" x14ac:dyDescent="0.25">
      <c r="X21">
        <f>SUM(X19:X20)</f>
        <v>2728100</v>
      </c>
    </row>
    <row r="23" spans="3:24" x14ac:dyDescent="0.25">
      <c r="S23">
        <v>10500</v>
      </c>
    </row>
    <row r="24" spans="3:24" ht="33" customHeight="1" x14ac:dyDescent="0.25">
      <c r="H24" s="32" t="s">
        <v>51</v>
      </c>
      <c r="I24" s="32" t="s">
        <v>52</v>
      </c>
      <c r="J24" s="30" t="s">
        <v>49</v>
      </c>
      <c r="S24" s="30" t="s">
        <v>50</v>
      </c>
    </row>
    <row r="25" spans="3:24" x14ac:dyDescent="0.25">
      <c r="F25" s="31" t="s">
        <v>43</v>
      </c>
      <c r="G25" t="s">
        <v>45</v>
      </c>
      <c r="H25">
        <v>514.22</v>
      </c>
      <c r="I25">
        <v>11000</v>
      </c>
      <c r="J25" s="12">
        <f>H25*I25</f>
        <v>5656420</v>
      </c>
      <c r="S25" s="12">
        <f>S23*H25</f>
        <v>5399310</v>
      </c>
    </row>
    <row r="26" spans="3:24" x14ac:dyDescent="0.25">
      <c r="F26" s="31"/>
      <c r="G26" t="s">
        <v>46</v>
      </c>
      <c r="J26" s="12">
        <v>1690809</v>
      </c>
      <c r="S26" s="12">
        <v>1690809</v>
      </c>
    </row>
    <row r="27" spans="3:24" x14ac:dyDescent="0.25">
      <c r="F27" s="31"/>
      <c r="G27" t="s">
        <v>47</v>
      </c>
      <c r="J27" s="12">
        <f>SUM(J25:J26)</f>
        <v>7347229</v>
      </c>
      <c r="S27" s="12">
        <f>SUM(S25:S26)</f>
        <v>7090119</v>
      </c>
    </row>
    <row r="28" spans="3:24" x14ac:dyDescent="0.25">
      <c r="F28" s="31" t="s">
        <v>44</v>
      </c>
      <c r="G28" t="s">
        <v>45</v>
      </c>
      <c r="H28">
        <v>892.71</v>
      </c>
      <c r="I28">
        <v>11000</v>
      </c>
      <c r="J28" s="12">
        <f>H28*I28</f>
        <v>9819810</v>
      </c>
      <c r="S28" s="12">
        <f>S23*H28</f>
        <v>9373455</v>
      </c>
    </row>
    <row r="29" spans="3:24" x14ac:dyDescent="0.25">
      <c r="F29" s="31" t="s">
        <v>42</v>
      </c>
      <c r="G29" t="s">
        <v>48</v>
      </c>
      <c r="J29" s="29">
        <f>J28+J27</f>
        <v>17167039</v>
      </c>
      <c r="S29" s="33">
        <f>S28+S27</f>
        <v>16463574</v>
      </c>
    </row>
    <row r="30" spans="3:24" x14ac:dyDescent="0.25">
      <c r="F30" s="31" t="s">
        <v>41</v>
      </c>
      <c r="J30" s="12">
        <f>J29*0.85</f>
        <v>14591983.15</v>
      </c>
      <c r="S30" s="12">
        <f>S29*0.85</f>
        <v>13994037.9</v>
      </c>
    </row>
  </sheetData>
  <mergeCells count="8">
    <mergeCell ref="B3:S3"/>
    <mergeCell ref="B10:S10"/>
    <mergeCell ref="B11:S11"/>
    <mergeCell ref="B6:E6"/>
    <mergeCell ref="H6:N6"/>
    <mergeCell ref="B7:S7"/>
    <mergeCell ref="B8:S8"/>
    <mergeCell ref="B9:S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3:O18"/>
  <sheetViews>
    <sheetView workbookViewId="0">
      <selection activeCell="P19" sqref="P19"/>
    </sheetView>
  </sheetViews>
  <sheetFormatPr defaultRowHeight="15" x14ac:dyDescent="0.25"/>
  <cols>
    <col min="2" max="2" width="12.42578125" bestFit="1" customWidth="1"/>
    <col min="3" max="3" width="14.28515625" bestFit="1" customWidth="1"/>
    <col min="5" max="5" width="14.28515625" bestFit="1" customWidth="1"/>
    <col min="8" max="8" width="20" customWidth="1"/>
    <col min="11" max="11" width="13.5703125" customWidth="1"/>
  </cols>
  <sheetData>
    <row r="3" spans="3:14" x14ac:dyDescent="0.25">
      <c r="C3">
        <v>87120</v>
      </c>
      <c r="E3">
        <v>7943455</v>
      </c>
      <c r="G3">
        <v>36000000</v>
      </c>
    </row>
    <row r="4" spans="3:14" x14ac:dyDescent="0.25">
      <c r="C4">
        <v>500</v>
      </c>
      <c r="E4">
        <v>2</v>
      </c>
      <c r="G4">
        <f>60000</f>
        <v>60000</v>
      </c>
    </row>
    <row r="5" spans="3:14" x14ac:dyDescent="0.25">
      <c r="C5" s="12">
        <f>C4*C3</f>
        <v>43560000</v>
      </c>
      <c r="E5" s="12">
        <f>E4*E3</f>
        <v>15886910</v>
      </c>
      <c r="G5">
        <f>G3/G4</f>
        <v>600</v>
      </c>
    </row>
    <row r="12" spans="3:14" x14ac:dyDescent="0.25">
      <c r="H12">
        <v>2003</v>
      </c>
      <c r="K12">
        <v>2017</v>
      </c>
    </row>
    <row r="13" spans="3:14" x14ac:dyDescent="0.25">
      <c r="H13" s="12">
        <v>6000000</v>
      </c>
      <c r="K13">
        <f>M161</f>
        <v>0</v>
      </c>
    </row>
    <row r="16" spans="3:14" x14ac:dyDescent="0.25">
      <c r="N16" t="s">
        <v>21</v>
      </c>
    </row>
    <row r="18" spans="14:15" x14ac:dyDescent="0.25">
      <c r="N18">
        <f>1/1.19</f>
        <v>0.84033613445378152</v>
      </c>
      <c r="O18">
        <f>N18*10.764</f>
        <v>9.045378151260504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5"/>
  <sheetViews>
    <sheetView workbookViewId="0">
      <selection activeCell="I11" sqref="I11"/>
    </sheetView>
  </sheetViews>
  <sheetFormatPr defaultRowHeight="15" x14ac:dyDescent="0.25"/>
  <cols>
    <col min="1" max="2" width="8.7109375" bestFit="1" customWidth="1"/>
    <col min="3" max="3" width="8.42578125" bestFit="1" customWidth="1"/>
    <col min="5" max="5" width="8.5703125" bestFit="1" customWidth="1"/>
    <col min="6" max="6" width="7.7109375" bestFit="1" customWidth="1"/>
    <col min="7" max="7" width="9" customWidth="1"/>
    <col min="8" max="8" width="8" customWidth="1"/>
    <col min="9" max="9" width="11.5703125" customWidth="1"/>
    <col min="10" max="10" width="10.5703125" customWidth="1"/>
    <col min="11" max="11" width="11.5703125" customWidth="1"/>
    <col min="12" max="12" width="8.7109375" customWidth="1"/>
    <col min="13" max="13" width="11.5703125" bestFit="1" customWidth="1"/>
  </cols>
  <sheetData>
    <row r="1" spans="1:13" ht="15.75" x14ac:dyDescent="0.25">
      <c r="A1" s="25" t="s">
        <v>14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spans="1:13" ht="104.25" x14ac:dyDescent="0.25">
      <c r="A2" s="13" t="s">
        <v>19</v>
      </c>
      <c r="B2" s="13" t="s">
        <v>15</v>
      </c>
      <c r="C2" s="13" t="s">
        <v>2</v>
      </c>
      <c r="D2" s="13" t="s">
        <v>16</v>
      </c>
      <c r="E2" s="13" t="s">
        <v>17</v>
      </c>
      <c r="F2" s="13" t="s">
        <v>4</v>
      </c>
      <c r="G2" s="13" t="s">
        <v>5</v>
      </c>
      <c r="H2" s="13" t="s">
        <v>20</v>
      </c>
      <c r="I2" s="13" t="s">
        <v>6</v>
      </c>
      <c r="J2" s="13" t="s">
        <v>7</v>
      </c>
      <c r="K2" s="13" t="s">
        <v>8</v>
      </c>
      <c r="L2" s="13" t="s">
        <v>18</v>
      </c>
      <c r="M2" s="13" t="s">
        <v>9</v>
      </c>
    </row>
    <row r="3" spans="1:13" x14ac:dyDescent="0.25">
      <c r="A3" s="14">
        <v>290</v>
      </c>
      <c r="B3" s="15">
        <v>2021</v>
      </c>
      <c r="C3" s="15">
        <v>2023</v>
      </c>
      <c r="D3" s="15">
        <f>C3-B3</f>
        <v>2</v>
      </c>
      <c r="E3" s="15">
        <v>60</v>
      </c>
      <c r="F3" s="16">
        <v>0.1</v>
      </c>
      <c r="G3" s="17">
        <f>(1-F3)/E3</f>
        <v>1.5000000000000001E-2</v>
      </c>
      <c r="H3" s="18">
        <v>6000</v>
      </c>
      <c r="I3" s="18">
        <f>H3*A3</f>
        <v>1740000</v>
      </c>
      <c r="J3" s="18">
        <f>I3*G3*D3</f>
        <v>52200.000000000007</v>
      </c>
      <c r="K3" s="18">
        <f>MAX(I3-J3,0)</f>
        <v>1687800</v>
      </c>
      <c r="L3" s="19">
        <v>0</v>
      </c>
      <c r="M3" s="18">
        <f>IF(K3&gt;F3*I3,K3*(1-L3),I3*F3)</f>
        <v>1687800</v>
      </c>
    </row>
    <row r="5" spans="1:13" x14ac:dyDescent="0.25">
      <c r="A5" t="s">
        <v>22</v>
      </c>
    </row>
  </sheetData>
  <mergeCells count="1">
    <mergeCell ref="A1:M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D3:M6"/>
  <sheetViews>
    <sheetView workbookViewId="0">
      <selection activeCell="M6" sqref="M6"/>
    </sheetView>
  </sheetViews>
  <sheetFormatPr defaultRowHeight="15" x14ac:dyDescent="0.25"/>
  <cols>
    <col min="4" max="4" width="10" bestFit="1" customWidth="1"/>
    <col min="6" max="6" width="10" bestFit="1" customWidth="1"/>
    <col min="9" max="9" width="10" bestFit="1" customWidth="1"/>
  </cols>
  <sheetData>
    <row r="3" spans="4:13" x14ac:dyDescent="0.25">
      <c r="D3">
        <v>106500000</v>
      </c>
    </row>
    <row r="4" spans="4:13" x14ac:dyDescent="0.25">
      <c r="D4">
        <f>D3/1430</f>
        <v>74475.524475524478</v>
      </c>
      <c r="F4">
        <v>120000000</v>
      </c>
      <c r="I4">
        <v>115000000</v>
      </c>
      <c r="K4">
        <v>98500000</v>
      </c>
      <c r="M4">
        <v>94000000</v>
      </c>
    </row>
    <row r="5" spans="4:13" x14ac:dyDescent="0.25">
      <c r="F5">
        <v>1650</v>
      </c>
      <c r="I5">
        <f>I4/1340</f>
        <v>85820.895522388062</v>
      </c>
      <c r="K5">
        <f>K4/1600</f>
        <v>61562.5</v>
      </c>
      <c r="M5">
        <v>1385</v>
      </c>
    </row>
    <row r="6" spans="4:13" x14ac:dyDescent="0.25">
      <c r="F6">
        <f>F4/F5</f>
        <v>72727.272727272721</v>
      </c>
      <c r="M6">
        <f>M4/M5</f>
        <v>67870.036101083038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working</vt:lpstr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Rahul Gupta</dc:creator>
  <cp:lastModifiedBy>Manas Upmanyu</cp:lastModifiedBy>
  <dcterms:created xsi:type="dcterms:W3CDTF">2022-07-28T09:17:09Z</dcterms:created>
  <dcterms:modified xsi:type="dcterms:W3CDTF">2023-04-26T05:19:09Z</dcterms:modified>
</cp:coreProperties>
</file>