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Rahul Gupta\In progress\VIS(2022-23)-PL622-512-857\VIS(2022-23)-PL622-512-857\"/>
    </mc:Choice>
  </mc:AlternateContent>
  <bookViews>
    <workbookView xWindow="0" yWindow="0" windowWidth="20490" windowHeight="7755"/>
  </bookViews>
  <sheets>
    <sheet name="working" sheetId="2" r:id="rId1"/>
    <sheet name="Sheet2" sheetId="3" r:id="rId2"/>
    <sheet name="Sheet3"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4" l="1"/>
  <c r="I26" i="2"/>
  <c r="K24" i="2"/>
  <c r="P22" i="2"/>
  <c r="J21" i="2"/>
  <c r="U25" i="2"/>
  <c r="U24" i="2"/>
  <c r="U21" i="2"/>
  <c r="A3" i="3"/>
  <c r="Q4" i="2"/>
  <c r="Q5" i="2"/>
  <c r="Q6" i="2"/>
  <c r="Q7" i="2"/>
  <c r="Q3" i="2"/>
  <c r="AC13" i="2"/>
  <c r="AE10" i="2"/>
  <c r="C19" i="2"/>
  <c r="C20" i="2" s="1"/>
  <c r="H4" i="2"/>
  <c r="I4" i="2" s="1"/>
  <c r="H5" i="2"/>
  <c r="I5" i="2" s="1"/>
  <c r="H6" i="2"/>
  <c r="I6" i="2" s="1"/>
  <c r="H7" i="2"/>
  <c r="I7" i="2" s="1"/>
  <c r="H3" i="2"/>
  <c r="I3" i="2" s="1"/>
  <c r="G9" i="2"/>
  <c r="E22" i="2"/>
  <c r="E23" i="2" s="1"/>
  <c r="H9" i="2" l="1"/>
  <c r="AB4" i="2"/>
  <c r="AC4" i="2" s="1"/>
  <c r="AA12" i="2"/>
  <c r="H18" i="2" l="1"/>
  <c r="G23" i="2"/>
  <c r="G24" i="2" s="1"/>
  <c r="I9" i="2"/>
  <c r="I20" i="2" s="1"/>
  <c r="AB5" i="2"/>
  <c r="X7" i="2"/>
  <c r="I17" i="2" l="1"/>
  <c r="Z5" i="2"/>
  <c r="AA7" i="2" l="1"/>
  <c r="O4" i="2"/>
  <c r="O5" i="2"/>
  <c r="O6" i="2"/>
  <c r="O7" i="2"/>
  <c r="O3" i="2"/>
  <c r="L4" i="2"/>
  <c r="L5" i="2"/>
  <c r="L6" i="2"/>
  <c r="L7" i="2"/>
  <c r="L3" i="2"/>
  <c r="R6" i="2" l="1"/>
  <c r="S6" i="2" s="1"/>
  <c r="U6" i="2" s="1"/>
  <c r="R5" i="2"/>
  <c r="S5" i="2" s="1"/>
  <c r="U5" i="2" s="1"/>
  <c r="R7" i="2"/>
  <c r="S7" i="2" s="1"/>
  <c r="U7" i="2" s="1"/>
  <c r="R4" i="2"/>
  <c r="S4" i="2" s="1"/>
  <c r="U4" i="2" s="1"/>
  <c r="M6" i="4"/>
  <c r="K5" i="4"/>
  <c r="I5" i="4"/>
  <c r="F6" i="4"/>
  <c r="D4" i="4"/>
  <c r="I3" i="3" l="1"/>
  <c r="G3" i="3"/>
  <c r="D3" i="3"/>
  <c r="R3" i="2" l="1"/>
  <c r="S3" i="2" s="1"/>
  <c r="Q9" i="2"/>
  <c r="J3" i="3"/>
  <c r="K3" i="3" s="1"/>
  <c r="M3" i="3" s="1"/>
  <c r="U3" i="2" l="1"/>
  <c r="U9" i="2" s="1"/>
  <c r="S9" i="2"/>
  <c r="W9" i="2" l="1"/>
</calcChain>
</file>

<file path=xl/sharedStrings.xml><?xml version="1.0" encoding="utf-8"?>
<sst xmlns="http://schemas.openxmlformats.org/spreadsheetml/2006/main" count="62" uniqueCount="50">
  <si>
    <t>SR. No.</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</si>
  <si>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</si>
  <si>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</si>
  <si>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</si>
  <si>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</si>
  <si>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</si>
  <si>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</si>
  <si>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</si>
  <si>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</si>
  <si>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</si>
  <si>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</si>
  <si>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</si>
  <si>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</si>
  <si>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</si>
  <si>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</si>
  <si>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Details of Building</t>
  </si>
  <si>
    <t>4.We have taken the year of construction from information provided to us during the survey.</t>
  </si>
  <si>
    <t>Floor</t>
  </si>
  <si>
    <t>Ground Floor</t>
  </si>
  <si>
    <t>2.The subject property is consturcted with different type of structures..</t>
  </si>
  <si>
    <t>Boundary wall valuation</t>
  </si>
  <si>
    <r>
      <t xml:space="preserve">Wall
</t>
    </r>
    <r>
      <rPr>
        <b/>
        <i/>
        <sz val="10"/>
        <rFont val="Calibri"/>
        <family val="2"/>
        <scheme val="minor"/>
      </rPr>
      <t>(in Running ft.)As per approved plan approx.</t>
    </r>
  </si>
  <si>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</si>
  <si>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</si>
  <si>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</si>
  <si>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</si>
  <si>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</si>
  <si>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t>Height in Feet</t>
  </si>
  <si>
    <t>RCC framed pillar beam column on RCC slab</t>
  </si>
  <si>
    <t>Main Building</t>
  </si>
  <si>
    <t>First Floor</t>
  </si>
  <si>
    <t>, Iron Pillar Truss</t>
  </si>
  <si>
    <t>Iron Pillar Truss</t>
  </si>
  <si>
    <t xml:space="preserve">5.As per our site survey we have observed the maintenance of the building is average . </t>
  </si>
  <si>
    <t>No Boundary Wall considered .</t>
  </si>
  <si>
    <t xml:space="preserve">BUILDING VALUATION OF PROPERTY OF M/S. BLACK BURN AND COMPANY PRIVATE LIMITED | SITUATED AT KHASRA NO. 2041/1788, KH/KHT NOS. 325/379, VILLAGE-THANA, HB NO.192, PARGANA DHARAMPUR, TEHSIL-NALAGARH, DISTRICT SOLAN, HIMACHAL PRADESH
</t>
  </si>
  <si>
    <t>Mezzanine</t>
  </si>
  <si>
    <t>Type of Roof</t>
  </si>
  <si>
    <t>Brick wall,  Tin Shed</t>
  </si>
  <si>
    <t>FAR/NON FAR</t>
  </si>
  <si>
    <t>FAR</t>
  </si>
  <si>
    <t>NON FAR</t>
  </si>
  <si>
    <t>Total FAR</t>
  </si>
  <si>
    <t>Covered Area (in sq.ft)</t>
  </si>
  <si>
    <t>Covered Area 
(in sq mtr)</t>
  </si>
  <si>
    <t>1. All the details pertaing to the building area statement such as area, floor, etc has been taken from the measurement done at site (old Valuation Report).</t>
  </si>
  <si>
    <t>6.We have not provided the sanctioned bulding map of the plant.Therfore, As per site measurement  of the building which is under  permissible area as per building bye laws of TCP Himachal Proadesh.</t>
  </si>
  <si>
    <t xml:space="preserve">Land Developments </t>
  </si>
  <si>
    <t>Second Floor (part)</t>
  </si>
  <si>
    <t>Permissible Covered area (in sq.mtr)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</si>
</sst>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 numFmtId="167"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i/>
      <sz val="10"/>
      <name val="Calibri"/>
      <family val="2"/>
      <scheme val="minor"/>
    </font>
  </fonts>
  <fills count="6">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165"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165" fontId="0" fillId="0" borderId="0" xfId="0" applyNumberFormat="1"/>
    <xf numFmtId="43" fontId="0" fillId="0" borderId="0" xfId="0" applyNumberFormat="1"/>
    <xf numFmtId="43" fontId="0" fillId="0" borderId="1" xfId="6" applyFont="1" applyBorder="1" applyAlignment="1">
      <alignment horizontal="center" vertical="center" wrapText="1"/>
    </xf>
    <xf numFmtId="166" fontId="0" fillId="0" borderId="0" xfId="6" applyNumberFormat="1" applyFont="1"/>
    <xf numFmtId="0" fontId="6"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9" fontId="0" fillId="5" borderId="1" xfId="2" applyFont="1" applyFill="1" applyBorder="1" applyAlignment="1">
      <alignment horizontal="center" vertical="center" wrapText="1"/>
    </xf>
    <xf numFmtId="165" fontId="0" fillId="5" borderId="1" xfId="1" applyNumberFormat="1" applyFont="1" applyFill="1" applyBorder="1" applyAlignment="1">
      <alignment horizontal="center" vertical="center" wrapText="1"/>
    </xf>
    <xf numFmtId="166" fontId="0" fillId="0" borderId="1" xfId="6" applyNumberFormat="1" applyFont="1" applyBorder="1" applyAlignment="1">
      <alignment horizontal="center" vertical="center" wrapText="1"/>
    </xf>
    <xf numFmtId="166" fontId="2" fillId="0" borderId="1" xfId="6" applyNumberFormat="1" applyFont="1" applyBorder="1" applyAlignment="1">
      <alignment horizontal="right" vertical="center" wrapText="1"/>
    </xf>
    <xf numFmtId="166" fontId="2" fillId="0" borderId="1" xfId="6" applyNumberFormat="1" applyFont="1" applyBorder="1" applyAlignment="1">
      <alignment horizontal="center" vertical="center" wrapText="1"/>
    </xf>
    <xf numFmtId="166" fontId="0" fillId="0" borderId="0" xfId="0" applyNumberFormat="1"/>
    <xf numFmtId="167" fontId="0" fillId="0" borderId="0" xfId="2" applyNumberFormat="1" applyFont="1"/>
    <xf numFmtId="0" fontId="2" fillId="0" borderId="1" xfId="0" applyFont="1" applyBorder="1" applyAlignment="1">
      <alignment horizontal="center" vertical="center" wrapText="1"/>
    </xf>
    <xf numFmtId="166" fontId="0" fillId="0" borderId="0" xfId="2" applyNumberFormat="1" applyFont="1"/>
    <xf numFmtId="43" fontId="2" fillId="0" borderId="1" xfId="6"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3" fillId="3" borderId="2" xfId="0" applyFont="1" applyFill="1" applyBorder="1" applyAlignment="1">
      <alignment horizont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3" borderId="2" xfId="0" applyFont="1" applyFill="1" applyBorder="1" applyAlignment="1">
      <alignment horizontal="center" vertical="center" wrapText="1"/>
    </xf>
  </cellXfs>
  <cellStyles count="13">
    <cellStyle name="40% - Accent1" xfId="3" builtinId="31"/>
    <cellStyle name="Comma" xfId="6" builtinId="3"/>
    <cellStyle name="Comma 2" xfId="4"/>
    <cellStyle name="Comma 2 2" xfId="10"/>
    <cellStyle name="Comma 3" xfId="12"/>
    <cellStyle name="Comma 4" xfId="8"/>
    <cellStyle name="Currency" xfId="1" builtinId="4"/>
    <cellStyle name="Currency 2" xfId="5"/>
    <cellStyle name="Currency 2 2" xfId="9"/>
    <cellStyle name="Currency 3" xfId="11"/>
    <cellStyle name="Currency 4" xf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zoomScaleNormal="100" workbookViewId="0">
      <selection activeCell="P19" sqref="P19"/>
    </sheetView>
  </sheetViews>
  <sheetFormatPr defaultRowHeight="15" x14ac:dyDescent="0.25"/>
  <cols>
    <col min="1" max="1" width="7.28515625" customWidth="1"/>
    <col min="2" max="2" width="13.28515625" customWidth="1"/>
    <col min="3" max="3" width="18.140625" bestFit="1" customWidth="1"/>
    <col min="4" max="4" width="9.28515625" bestFit="1" customWidth="1"/>
    <col min="5" max="5" width="27" customWidth="1"/>
    <col min="6" max="6" width="13.5703125" hidden="1" customWidth="1"/>
    <col min="7" max="7" width="13.140625" bestFit="1" customWidth="1"/>
    <col min="8" max="8" width="13.140625" hidden="1" customWidth="1"/>
    <col min="9" max="9" width="19.5703125" hidden="1" customWidth="1"/>
    <col min="10" max="10" width="12.28515625" bestFit="1" customWidth="1"/>
    <col min="11" max="11" width="12" bestFit="1" customWidth="1"/>
    <col min="12" max="12" width="19.28515625" hidden="1" customWidth="1"/>
    <col min="13" max="13" width="19.85546875" hidden="1" customWidth="1"/>
    <col min="14" max="14" width="7.7109375" hidden="1" customWidth="1"/>
    <col min="15" max="15" width="9" hidden="1" customWidth="1"/>
    <col min="16" max="16" width="15.85546875" bestFit="1" customWidth="1"/>
    <col min="17" max="17" width="24.140625" bestFit="1" customWidth="1"/>
    <col min="18" max="18" width="12.42578125" hidden="1" customWidth="1"/>
    <col min="19" max="19" width="17.7109375" hidden="1" customWidth="1"/>
    <col min="20" max="20" width="8.28515625" hidden="1" customWidth="1"/>
    <col min="21" max="21" width="22.28515625" customWidth="1"/>
    <col min="23" max="23" width="5.85546875" bestFit="1" customWidth="1"/>
    <col min="24" max="24" width="15.7109375" bestFit="1" customWidth="1"/>
    <col min="26" max="26" width="3" bestFit="1" customWidth="1"/>
    <col min="27" max="28" width="9" bestFit="1" customWidth="1"/>
    <col min="29" max="29" width="11.5703125" bestFit="1" customWidth="1"/>
    <col min="31" max="31" width="9" bestFit="1" customWidth="1"/>
  </cols>
  <sheetData>
    <row r="1" spans="1:31" ht="48" customHeight="1" x14ac:dyDescent="0.25">
      <c r="A1" s="34" t="s">
        <v>35</v>
      </c>
      <c r="B1" s="34"/>
      <c r="C1" s="34"/>
      <c r="D1" s="34"/>
      <c r="E1" s="34"/>
      <c r="F1" s="34"/>
      <c r="G1" s="34"/>
      <c r="H1" s="34"/>
      <c r="I1" s="34"/>
      <c r="J1" s="34"/>
      <c r="K1" s="34"/>
      <c r="L1" s="34"/>
      <c r="M1" s="34"/>
      <c r="N1" s="34"/>
      <c r="O1" s="34"/>
      <c r="P1" s="34"/>
      <c r="Q1" s="34"/>
      <c r="R1" s="34"/>
      <c r="S1" s="34"/>
      <c r="T1" s="34"/>
      <c r="U1" s="34"/>
    </row>
    <row r="2" spans="1:31" ht="43.5" customHeight="1" x14ac:dyDescent="0.25">
      <c r="A2" s="1" t="s">
        <v>0</v>
      </c>
      <c r="B2" s="1" t="s">
        <v>15</v>
      </c>
      <c r="C2" s="1" t="s">
        <v>17</v>
      </c>
      <c r="D2" s="1" t="s">
        <v>27</v>
      </c>
      <c r="E2" s="1" t="s">
        <v>37</v>
      </c>
      <c r="F2" s="1" t="s">
        <v>39</v>
      </c>
      <c r="G2" s="1" t="s">
        <v>43</v>
      </c>
      <c r="H2" s="1" t="s">
        <v>44</v>
      </c>
      <c r="I2" s="1" t="s">
        <v>49</v>
      </c>
      <c r="J2" s="1" t="s">
        <v>22</v>
      </c>
      <c r="K2" s="1" t="s">
        <v>1</v>
      </c>
      <c r="L2" s="1" t="s">
        <v>2</v>
      </c>
      <c r="M2" s="1" t="s">
        <v>3</v>
      </c>
      <c r="N2" s="1" t="s">
        <v>4</v>
      </c>
      <c r="O2" s="1" t="s">
        <v>5</v>
      </c>
      <c r="P2" s="1" t="s">
        <v>6</v>
      </c>
      <c r="Q2" s="1" t="s">
        <v>7</v>
      </c>
      <c r="R2" s="1" t="s">
        <v>8</v>
      </c>
      <c r="S2" s="1" t="s">
        <v>9</v>
      </c>
      <c r="T2" s="2" t="s">
        <v>14</v>
      </c>
      <c r="U2" s="1" t="s">
        <v>10</v>
      </c>
      <c r="X2" t="s">
        <v>31</v>
      </c>
    </row>
    <row r="3" spans="1:31" ht="15" customHeight="1" x14ac:dyDescent="0.25">
      <c r="A3" s="3">
        <v>1</v>
      </c>
      <c r="B3" s="41" t="s">
        <v>29</v>
      </c>
      <c r="C3" s="3" t="s">
        <v>18</v>
      </c>
      <c r="D3" s="3">
        <v>24</v>
      </c>
      <c r="E3" s="41" t="s">
        <v>28</v>
      </c>
      <c r="F3" s="3" t="s">
        <v>40</v>
      </c>
      <c r="G3" s="12">
        <v>18032.830000000002</v>
      </c>
      <c r="H3" s="23">
        <f>G3/10.7639</f>
        <v>1675.3063480708668</v>
      </c>
      <c r="I3" s="23">
        <f>H3</f>
        <v>1675.3063480708668</v>
      </c>
      <c r="J3" s="3">
        <v>2012</v>
      </c>
      <c r="K3" s="3">
        <v>2023</v>
      </c>
      <c r="L3" s="3">
        <f t="shared" ref="L3:L7" si="0">K3-J3</f>
        <v>11</v>
      </c>
      <c r="M3" s="3">
        <v>60</v>
      </c>
      <c r="N3" s="4">
        <v>0.05</v>
      </c>
      <c r="O3" s="5">
        <f t="shared" ref="O3:O7" si="1">(1-N3)/M3</f>
        <v>1.5833333333333331E-2</v>
      </c>
      <c r="P3" s="6">
        <v>1500</v>
      </c>
      <c r="Q3" s="6">
        <f>P3*G3</f>
        <v>27049245.000000004</v>
      </c>
      <c r="R3" s="6">
        <f t="shared" ref="R3:R7" si="2">Q3*O3*L3</f>
        <v>4711076.8375000004</v>
      </c>
      <c r="S3" s="6">
        <f t="shared" ref="S3:S7" si="3">MAX(Q3-R3,0)</f>
        <v>22338168.162500001</v>
      </c>
      <c r="T3" s="21">
        <v>0</v>
      </c>
      <c r="U3" s="22">
        <f t="shared" ref="U3:U7" si="4">IF(S3&gt;N3*Q3,S3*(1-T3),Q3*N3)</f>
        <v>22338168.162500001</v>
      </c>
      <c r="X3" t="s">
        <v>32</v>
      </c>
      <c r="AB3">
        <v>1288.8800000000001</v>
      </c>
    </row>
    <row r="4" spans="1:31" ht="15" customHeight="1" x14ac:dyDescent="0.25">
      <c r="A4" s="3">
        <v>2</v>
      </c>
      <c r="B4" s="42"/>
      <c r="C4" s="3" t="s">
        <v>36</v>
      </c>
      <c r="D4" s="3">
        <v>10</v>
      </c>
      <c r="E4" s="42"/>
      <c r="F4" s="3" t="s">
        <v>41</v>
      </c>
      <c r="G4" s="12">
        <v>7690</v>
      </c>
      <c r="H4" s="23">
        <f t="shared" ref="H4:H7" si="5">G4/10.7639</f>
        <v>714.425068980574</v>
      </c>
      <c r="I4" s="23">
        <f t="shared" ref="I4:I7" si="6">H4</f>
        <v>714.425068980574</v>
      </c>
      <c r="J4" s="3">
        <v>2012</v>
      </c>
      <c r="K4" s="3">
        <v>2023</v>
      </c>
      <c r="L4" s="3">
        <f t="shared" si="0"/>
        <v>11</v>
      </c>
      <c r="M4" s="3">
        <v>60</v>
      </c>
      <c r="N4" s="4">
        <v>0.05</v>
      </c>
      <c r="O4" s="5">
        <f t="shared" si="1"/>
        <v>1.5833333333333331E-2</v>
      </c>
      <c r="P4" s="6">
        <v>1000</v>
      </c>
      <c r="Q4" s="6">
        <f t="shared" ref="Q4:Q7" si="7">P4*G4</f>
        <v>7690000</v>
      </c>
      <c r="R4" s="6">
        <f t="shared" si="2"/>
        <v>1339341.6666666665</v>
      </c>
      <c r="S4" s="6">
        <f t="shared" si="3"/>
        <v>6350658.333333334</v>
      </c>
      <c r="T4" s="21">
        <v>0</v>
      </c>
      <c r="U4" s="22">
        <f t="shared" si="4"/>
        <v>6350658.333333334</v>
      </c>
      <c r="AB4">
        <f>AB3*9</f>
        <v>11599.920000000002</v>
      </c>
      <c r="AC4">
        <f>AB4*1.5</f>
        <v>17399.880000000005</v>
      </c>
    </row>
    <row r="5" spans="1:31" ht="15" customHeight="1" x14ac:dyDescent="0.25">
      <c r="A5" s="3">
        <v>3</v>
      </c>
      <c r="B5" s="42"/>
      <c r="C5" s="3" t="s">
        <v>30</v>
      </c>
      <c r="D5" s="3">
        <v>10</v>
      </c>
      <c r="E5" s="42"/>
      <c r="F5" s="3" t="s">
        <v>40</v>
      </c>
      <c r="G5" s="12">
        <v>17160.93</v>
      </c>
      <c r="H5" s="23">
        <f t="shared" si="5"/>
        <v>1594.3041091054358</v>
      </c>
      <c r="I5" s="23">
        <f t="shared" si="6"/>
        <v>1594.3041091054358</v>
      </c>
      <c r="J5" s="3">
        <v>2012</v>
      </c>
      <c r="K5" s="3">
        <v>2023</v>
      </c>
      <c r="L5" s="3">
        <f t="shared" si="0"/>
        <v>11</v>
      </c>
      <c r="M5" s="3">
        <v>60</v>
      </c>
      <c r="N5" s="4">
        <v>0.05</v>
      </c>
      <c r="O5" s="5">
        <f t="shared" si="1"/>
        <v>1.5833333333333331E-2</v>
      </c>
      <c r="P5" s="6">
        <v>1500</v>
      </c>
      <c r="Q5" s="6">
        <f t="shared" si="7"/>
        <v>25741395</v>
      </c>
      <c r="R5" s="6">
        <f t="shared" si="2"/>
        <v>4483292.9624999994</v>
      </c>
      <c r="S5" s="6">
        <f t="shared" si="3"/>
        <v>21258102.037500001</v>
      </c>
      <c r="T5" s="21">
        <v>0</v>
      </c>
      <c r="U5" s="22">
        <f t="shared" si="4"/>
        <v>21258102.037500001</v>
      </c>
      <c r="Z5">
        <f>65-28</f>
        <v>37</v>
      </c>
      <c r="AB5">
        <f>AB4*0.6</f>
        <v>6959.9520000000011</v>
      </c>
    </row>
    <row r="6" spans="1:31" ht="15" customHeight="1" x14ac:dyDescent="0.25">
      <c r="A6" s="3">
        <v>4</v>
      </c>
      <c r="B6" s="42"/>
      <c r="C6" s="3" t="s">
        <v>48</v>
      </c>
      <c r="D6" s="3">
        <v>10</v>
      </c>
      <c r="E6" s="43"/>
      <c r="F6" s="3" t="s">
        <v>40</v>
      </c>
      <c r="G6" s="12">
        <v>221.42</v>
      </c>
      <c r="H6" s="23">
        <f t="shared" si="5"/>
        <v>20.570611023885395</v>
      </c>
      <c r="I6" s="23">
        <f t="shared" si="6"/>
        <v>20.570611023885395</v>
      </c>
      <c r="J6" s="3">
        <v>2012</v>
      </c>
      <c r="K6" s="3">
        <v>2023</v>
      </c>
      <c r="L6" s="3">
        <f t="shared" si="0"/>
        <v>11</v>
      </c>
      <c r="M6" s="3">
        <v>60</v>
      </c>
      <c r="N6" s="4">
        <v>0.05</v>
      </c>
      <c r="O6" s="5">
        <f t="shared" si="1"/>
        <v>1.5833333333333331E-2</v>
      </c>
      <c r="P6" s="6">
        <v>1500</v>
      </c>
      <c r="Q6" s="6">
        <f t="shared" si="7"/>
        <v>332130</v>
      </c>
      <c r="R6" s="6">
        <f t="shared" si="2"/>
        <v>57845.974999999991</v>
      </c>
      <c r="S6" s="6">
        <f t="shared" si="3"/>
        <v>274284.02500000002</v>
      </c>
      <c r="T6" s="21">
        <v>0</v>
      </c>
      <c r="U6" s="22">
        <f t="shared" si="4"/>
        <v>274284.02500000002</v>
      </c>
      <c r="X6">
        <v>1288.8800000000001</v>
      </c>
    </row>
    <row r="7" spans="1:31" ht="15" customHeight="1" x14ac:dyDescent="0.25">
      <c r="A7" s="3">
        <v>5</v>
      </c>
      <c r="B7" s="43"/>
      <c r="C7" s="3" t="s">
        <v>48</v>
      </c>
      <c r="D7" s="3">
        <v>12</v>
      </c>
      <c r="E7" s="3" t="s">
        <v>38</v>
      </c>
      <c r="F7" s="3" t="s">
        <v>40</v>
      </c>
      <c r="G7" s="12">
        <v>16939.509999999998</v>
      </c>
      <c r="H7" s="23">
        <f t="shared" si="5"/>
        <v>1573.7334980815504</v>
      </c>
      <c r="I7" s="23">
        <f t="shared" si="6"/>
        <v>1573.7334980815504</v>
      </c>
      <c r="J7" s="3">
        <v>2012</v>
      </c>
      <c r="K7" s="3">
        <v>2023</v>
      </c>
      <c r="L7" s="3">
        <f t="shared" si="0"/>
        <v>11</v>
      </c>
      <c r="M7" s="3">
        <v>45</v>
      </c>
      <c r="N7" s="4">
        <v>0.05</v>
      </c>
      <c r="O7" s="5">
        <f t="shared" si="1"/>
        <v>2.1111111111111112E-2</v>
      </c>
      <c r="P7" s="6">
        <v>700</v>
      </c>
      <c r="Q7" s="6">
        <f t="shared" si="7"/>
        <v>11857656.999999998</v>
      </c>
      <c r="R7" s="6">
        <f t="shared" si="2"/>
        <v>2753611.4588888884</v>
      </c>
      <c r="S7" s="6">
        <f t="shared" si="3"/>
        <v>9104045.5411111098</v>
      </c>
      <c r="T7" s="21">
        <v>0</v>
      </c>
      <c r="U7" s="22">
        <f t="shared" si="4"/>
        <v>9104045.5411111098</v>
      </c>
      <c r="X7">
        <f>X6/1.196</f>
        <v>1077.6588628762543</v>
      </c>
      <c r="AA7">
        <f>9855.44</f>
        <v>9855.44</v>
      </c>
    </row>
    <row r="8" spans="1:31" hidden="1" x14ac:dyDescent="0.25">
      <c r="A8" s="3"/>
      <c r="B8" s="3"/>
      <c r="C8" s="3"/>
      <c r="D8" s="3"/>
      <c r="E8" s="3"/>
      <c r="F8" s="3"/>
      <c r="G8" s="12"/>
      <c r="H8" s="23"/>
      <c r="I8" s="23"/>
      <c r="J8" s="3"/>
      <c r="K8" s="3"/>
      <c r="L8" s="3"/>
      <c r="M8" s="3"/>
      <c r="N8" s="4"/>
      <c r="O8" s="5"/>
      <c r="P8" s="6"/>
      <c r="Q8" s="6"/>
      <c r="R8" s="6"/>
      <c r="S8" s="6"/>
      <c r="T8" s="7"/>
      <c r="U8" s="6"/>
    </row>
    <row r="9" spans="1:31" x14ac:dyDescent="0.25">
      <c r="A9" s="39" t="s">
        <v>11</v>
      </c>
      <c r="B9" s="39"/>
      <c r="C9" s="39"/>
      <c r="D9" s="39"/>
      <c r="E9" s="39"/>
      <c r="F9" s="28"/>
      <c r="G9" s="25">
        <f>SUM(G3:G8)</f>
        <v>60044.69</v>
      </c>
      <c r="H9" s="30">
        <f>SUM(H3:H8)</f>
        <v>5578.3396352623122</v>
      </c>
      <c r="I9" s="24">
        <f>SUM(I3:I8)</f>
        <v>5578.3396352623122</v>
      </c>
      <c r="J9" s="39"/>
      <c r="K9" s="39"/>
      <c r="L9" s="39"/>
      <c r="M9" s="39"/>
      <c r="N9" s="39"/>
      <c r="O9" s="39"/>
      <c r="P9" s="39"/>
      <c r="Q9" s="8">
        <f>SUM(Q3:Q8)</f>
        <v>72670427</v>
      </c>
      <c r="R9" s="8"/>
      <c r="S9" s="8">
        <f>SUM(S3:S8)</f>
        <v>59325258.099444449</v>
      </c>
      <c r="T9" s="9"/>
      <c r="U9" s="8">
        <f>SUM(U3:U8)</f>
        <v>59325258.099444449</v>
      </c>
      <c r="W9" t="e">
        <f>U9/#REF!</f>
        <v>#REF!</v>
      </c>
    </row>
    <row r="10" spans="1:31" x14ac:dyDescent="0.25">
      <c r="A10" s="40" t="s">
        <v>12</v>
      </c>
      <c r="B10" s="40"/>
      <c r="C10" s="40"/>
      <c r="D10" s="40"/>
      <c r="E10" s="40"/>
      <c r="F10" s="40"/>
      <c r="G10" s="40"/>
      <c r="H10" s="40"/>
      <c r="I10" s="40"/>
      <c r="J10" s="40"/>
      <c r="K10" s="40"/>
      <c r="L10" s="40"/>
      <c r="M10" s="40"/>
      <c r="N10" s="40"/>
      <c r="O10" s="40"/>
      <c r="P10" s="40"/>
      <c r="Q10" s="40"/>
      <c r="R10" s="40"/>
      <c r="S10" s="40"/>
      <c r="T10" s="40"/>
      <c r="U10" s="40"/>
      <c r="AE10">
        <f>3800000*4.75</f>
        <v>18050000</v>
      </c>
    </row>
    <row r="11" spans="1:31" x14ac:dyDescent="0.25">
      <c r="A11" s="35" t="s">
        <v>45</v>
      </c>
      <c r="B11" s="35"/>
      <c r="C11" s="35"/>
      <c r="D11" s="35"/>
      <c r="E11" s="35"/>
      <c r="F11" s="35"/>
      <c r="G11" s="35"/>
      <c r="H11" s="35"/>
      <c r="I11" s="35"/>
      <c r="J11" s="35"/>
      <c r="K11" s="35"/>
      <c r="L11" s="35"/>
      <c r="M11" s="35"/>
      <c r="N11" s="35"/>
      <c r="O11" s="35"/>
      <c r="P11" s="35"/>
      <c r="Q11" s="35"/>
      <c r="R11" s="35"/>
      <c r="S11" s="35"/>
      <c r="T11" s="35"/>
      <c r="U11" s="35"/>
      <c r="AA11">
        <v>1288</v>
      </c>
    </row>
    <row r="12" spans="1:31" x14ac:dyDescent="0.25">
      <c r="A12" s="35" t="s">
        <v>19</v>
      </c>
      <c r="B12" s="35"/>
      <c r="C12" s="35"/>
      <c r="D12" s="35"/>
      <c r="E12" s="35"/>
      <c r="F12" s="35"/>
      <c r="G12" s="35"/>
      <c r="H12" s="35"/>
      <c r="I12" s="35"/>
      <c r="J12" s="35"/>
      <c r="K12" s="35"/>
      <c r="L12" s="35"/>
      <c r="M12" s="35"/>
      <c r="N12" s="35"/>
      <c r="O12" s="35"/>
      <c r="P12" s="35"/>
      <c r="Q12" s="35"/>
      <c r="R12" s="35"/>
      <c r="S12" s="35"/>
      <c r="T12" s="35"/>
      <c r="U12" s="35"/>
      <c r="AA12">
        <f>AA11*33000</f>
        <v>42504000</v>
      </c>
      <c r="AC12">
        <v>4.75</v>
      </c>
    </row>
    <row r="13" spans="1:31" x14ac:dyDescent="0.25">
      <c r="A13" s="35" t="s">
        <v>13</v>
      </c>
      <c r="B13" s="35"/>
      <c r="C13" s="35"/>
      <c r="D13" s="35"/>
      <c r="E13" s="35"/>
      <c r="F13" s="35"/>
      <c r="G13" s="35"/>
      <c r="H13" s="35"/>
      <c r="I13" s="35"/>
      <c r="J13" s="35"/>
      <c r="K13" s="35"/>
      <c r="L13" s="35"/>
      <c r="M13" s="35"/>
      <c r="N13" s="35"/>
      <c r="O13" s="35"/>
      <c r="P13" s="35"/>
      <c r="Q13" s="35"/>
      <c r="R13" s="35"/>
      <c r="S13" s="35"/>
      <c r="T13" s="35"/>
      <c r="U13" s="35"/>
      <c r="AC13" s="13">
        <f>AC12*3800000</f>
        <v>18050000</v>
      </c>
    </row>
    <row r="14" spans="1:31" x14ac:dyDescent="0.25">
      <c r="A14" s="35" t="s">
        <v>16</v>
      </c>
      <c r="B14" s="35"/>
      <c r="C14" s="35"/>
      <c r="D14" s="35"/>
      <c r="E14" s="35"/>
      <c r="F14" s="35"/>
      <c r="G14" s="35"/>
      <c r="H14" s="35"/>
      <c r="I14" s="35"/>
      <c r="J14" s="35"/>
      <c r="K14" s="35"/>
      <c r="L14" s="35"/>
      <c r="M14" s="35"/>
      <c r="N14" s="35"/>
      <c r="O14" s="35"/>
      <c r="P14" s="35"/>
      <c r="Q14" s="35"/>
      <c r="R14" s="35"/>
      <c r="S14" s="35"/>
      <c r="T14" s="35"/>
      <c r="U14" s="35"/>
    </row>
    <row r="15" spans="1:31" x14ac:dyDescent="0.25">
      <c r="A15" s="36" t="s">
        <v>33</v>
      </c>
      <c r="B15" s="37"/>
      <c r="C15" s="37"/>
      <c r="D15" s="37"/>
      <c r="E15" s="37"/>
      <c r="F15" s="37"/>
      <c r="G15" s="37"/>
      <c r="H15" s="37"/>
      <c r="I15" s="37"/>
      <c r="J15" s="37"/>
      <c r="K15" s="37"/>
      <c r="L15" s="37"/>
      <c r="M15" s="37"/>
      <c r="N15" s="37"/>
      <c r="O15" s="37"/>
      <c r="P15" s="37"/>
      <c r="Q15" s="37"/>
      <c r="R15" s="37"/>
      <c r="S15" s="37"/>
      <c r="T15" s="37"/>
      <c r="U15" s="38"/>
    </row>
    <row r="16" spans="1:31" ht="30.75" customHeight="1" x14ac:dyDescent="0.25">
      <c r="A16" s="31" t="s">
        <v>46</v>
      </c>
      <c r="B16" s="32"/>
      <c r="C16" s="32"/>
      <c r="D16" s="32"/>
      <c r="E16" s="32"/>
      <c r="F16" s="32"/>
      <c r="G16" s="32"/>
      <c r="H16" s="32"/>
      <c r="I16" s="32"/>
      <c r="J16" s="32"/>
      <c r="K16" s="32"/>
      <c r="L16" s="32"/>
      <c r="M16" s="32"/>
      <c r="N16" s="32"/>
      <c r="O16" s="32"/>
      <c r="P16" s="32"/>
      <c r="Q16" s="32"/>
      <c r="R16" s="32"/>
      <c r="S16" s="32"/>
      <c r="T16" s="32"/>
      <c r="U16" s="33"/>
    </row>
    <row r="17" spans="3:21" x14ac:dyDescent="0.25">
      <c r="I17" s="11">
        <f>I9/10.7639</f>
        <v>518.24521179705425</v>
      </c>
    </row>
    <row r="18" spans="3:21" x14ac:dyDescent="0.25">
      <c r="H18" s="29">
        <f>H9-H4</f>
        <v>4863.9145662817382</v>
      </c>
      <c r="I18" s="11"/>
      <c r="U18">
        <v>950000</v>
      </c>
    </row>
    <row r="19" spans="3:21" x14ac:dyDescent="0.25">
      <c r="C19">
        <f>24+10+12</f>
        <v>46</v>
      </c>
      <c r="E19">
        <v>1.5</v>
      </c>
      <c r="U19">
        <v>18050000</v>
      </c>
    </row>
    <row r="20" spans="3:21" x14ac:dyDescent="0.25">
      <c r="C20" s="11">
        <f>C19/3.28</f>
        <v>14.02439024390244</v>
      </c>
      <c r="I20" s="11">
        <f>I9/10.7639</f>
        <v>518.24521179705425</v>
      </c>
      <c r="J20" s="27"/>
      <c r="P20">
        <v>4.75</v>
      </c>
      <c r="U20">
        <v>59325258</v>
      </c>
    </row>
    <row r="21" spans="3:21" x14ac:dyDescent="0.25">
      <c r="E21">
        <v>3574.34</v>
      </c>
      <c r="G21">
        <v>2571</v>
      </c>
      <c r="J21" s="13">
        <f>G21*E21</f>
        <v>9189628.1400000006</v>
      </c>
      <c r="N21" s="10"/>
      <c r="P21">
        <v>3800000</v>
      </c>
      <c r="U21">
        <f>SUM(U18:U20)</f>
        <v>78325258</v>
      </c>
    </row>
    <row r="22" spans="3:21" x14ac:dyDescent="0.25">
      <c r="E22">
        <f>E21*E19</f>
        <v>5361.51</v>
      </c>
      <c r="G22" s="13"/>
      <c r="J22" s="26"/>
      <c r="P22">
        <f>P21*P20</f>
        <v>18050000</v>
      </c>
    </row>
    <row r="23" spans="3:21" x14ac:dyDescent="0.25">
      <c r="D23" t="s">
        <v>42</v>
      </c>
      <c r="E23">
        <f>E22*10.7639</f>
        <v>57710.757489000003</v>
      </c>
      <c r="F23" s="26"/>
      <c r="G23" s="11">
        <f>H9-H4</f>
        <v>4863.9145662817382</v>
      </c>
      <c r="J23" s="11"/>
      <c r="K23">
        <v>5578.34</v>
      </c>
      <c r="U23">
        <v>78000000</v>
      </c>
    </row>
    <row r="24" spans="3:21" x14ac:dyDescent="0.25">
      <c r="G24" s="11">
        <f>G23/3574.34</f>
        <v>1.3607867651879055</v>
      </c>
      <c r="I24">
        <v>9189628</v>
      </c>
      <c r="J24" s="11"/>
      <c r="K24">
        <f>K23*13854</f>
        <v>77282322.359999999</v>
      </c>
      <c r="P24">
        <v>15394</v>
      </c>
      <c r="U24">
        <f>U23*0.85</f>
        <v>66300000</v>
      </c>
    </row>
    <row r="25" spans="3:21" x14ac:dyDescent="0.25">
      <c r="I25">
        <v>77282322</v>
      </c>
      <c r="P25">
        <v>13854</v>
      </c>
      <c r="U25">
        <f>U23*0.75</f>
        <v>58500000</v>
      </c>
    </row>
    <row r="26" spans="3:21" x14ac:dyDescent="0.25">
      <c r="I26">
        <f>SUM(I24:I25)</f>
        <v>86471950</v>
      </c>
    </row>
  </sheetData>
  <mergeCells count="12">
    <mergeCell ref="A16:U16"/>
    <mergeCell ref="A1:U1"/>
    <mergeCell ref="A13:U13"/>
    <mergeCell ref="A14:U14"/>
    <mergeCell ref="A15:U15"/>
    <mergeCell ref="A9:E9"/>
    <mergeCell ref="J9:P9"/>
    <mergeCell ref="A10:U10"/>
    <mergeCell ref="A11:U11"/>
    <mergeCell ref="A12:U12"/>
    <mergeCell ref="B3:B7"/>
    <mergeCell ref="E3:E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K10" sqref="K10"/>
    </sheetView>
  </sheetViews>
  <sheetFormatPr defaultRowHeight="15" x14ac:dyDescent="0.25"/>
  <cols>
    <col min="1" max="2" width="8.7109375" bestFit="1" customWidth="1"/>
    <col min="3" max="3" width="19.28515625" bestFit="1" customWidth="1"/>
    <col min="5" max="5" width="8.5703125" bestFit="1" customWidth="1"/>
    <col min="6" max="6" width="7.7109375" bestFit="1" customWidth="1"/>
    <col min="7" max="7" width="9" bestFit="1" customWidth="1"/>
    <col min="8" max="8" width="8" bestFit="1" customWidth="1"/>
    <col min="9" max="9" width="11.5703125" bestFit="1" customWidth="1"/>
    <col min="10" max="10" width="10.5703125" bestFit="1" customWidth="1"/>
    <col min="11" max="11" width="11.5703125" bestFit="1" customWidth="1"/>
    <col min="12" max="12" width="8.7109375" bestFit="1" customWidth="1"/>
    <col min="13" max="13" width="11.5703125" bestFit="1" customWidth="1"/>
  </cols>
  <sheetData>
    <row r="1" spans="1:13" ht="15.75" x14ac:dyDescent="0.25">
      <c r="A1" s="44" t="s">
        <v>20</v>
      </c>
      <c r="B1" s="44"/>
      <c r="C1" s="44"/>
      <c r="D1" s="44"/>
      <c r="E1" s="44"/>
      <c r="F1" s="44"/>
      <c r="G1" s="44"/>
      <c r="H1" s="44"/>
      <c r="I1" s="44"/>
      <c r="J1" s="44"/>
      <c r="K1" s="44"/>
      <c r="L1" s="44"/>
      <c r="M1" s="44"/>
    </row>
    <row r="2" spans="1:13" ht="105" x14ac:dyDescent="0.25">
      <c r="A2" s="14" t="s">
        <v>21</v>
      </c>
      <c r="B2" s="14" t="s">
        <v>22</v>
      </c>
      <c r="C2" s="14" t="s">
        <v>1</v>
      </c>
      <c r="D2" s="14" t="s">
        <v>23</v>
      </c>
      <c r="E2" s="14" t="s">
        <v>24</v>
      </c>
      <c r="F2" s="14" t="s">
        <v>4</v>
      </c>
      <c r="G2" s="14" t="s">
        <v>5</v>
      </c>
      <c r="H2" s="14" t="s">
        <v>25</v>
      </c>
      <c r="I2" s="14" t="s">
        <v>7</v>
      </c>
      <c r="J2" s="14" t="s">
        <v>8</v>
      </c>
      <c r="K2" s="14" t="s">
        <v>9</v>
      </c>
      <c r="L2" s="14" t="s">
        <v>26</v>
      </c>
      <c r="M2" s="14" t="s">
        <v>10</v>
      </c>
    </row>
    <row r="3" spans="1:13" x14ac:dyDescent="0.25">
      <c r="A3" s="15">
        <f>230*3.28</f>
        <v>754.4</v>
      </c>
      <c r="B3" s="16">
        <v>2012</v>
      </c>
      <c r="C3" s="16">
        <v>2022</v>
      </c>
      <c r="D3" s="16">
        <f>C3-B3</f>
        <v>10</v>
      </c>
      <c r="E3" s="16">
        <v>60</v>
      </c>
      <c r="F3" s="17">
        <v>0.05</v>
      </c>
      <c r="G3" s="18">
        <f>(1-F3)/E3</f>
        <v>1.5833333333333331E-2</v>
      </c>
      <c r="H3" s="19">
        <v>1500</v>
      </c>
      <c r="I3" s="19">
        <f>H3*A3</f>
        <v>1131600</v>
      </c>
      <c r="J3" s="19">
        <f>I3*G3*D3</f>
        <v>179169.99999999997</v>
      </c>
      <c r="K3" s="19">
        <f>MAX(I3-J3,0)</f>
        <v>952430</v>
      </c>
      <c r="L3" s="20">
        <v>0</v>
      </c>
      <c r="M3" s="19">
        <f>IF(K3&gt;F3*I3,K3*(1-L3),I3*F3)</f>
        <v>952430</v>
      </c>
    </row>
    <row r="5" spans="1:13" x14ac:dyDescent="0.25">
      <c r="C5" t="s">
        <v>34</v>
      </c>
    </row>
    <row r="8" spans="1:13" x14ac:dyDescent="0.25">
      <c r="C8" t="s">
        <v>47</v>
      </c>
    </row>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M11"/>
  <sheetViews>
    <sheetView workbookViewId="0">
      <selection activeCell="L15" sqref="L15"/>
    </sheetView>
  </sheetViews>
  <sheetFormatPr defaultRowHeight="15" x14ac:dyDescent="0.25"/>
  <cols>
    <col min="4" max="4" width="10" bestFit="1" customWidth="1"/>
    <col min="6" max="6" width="10" bestFit="1" customWidth="1"/>
    <col min="9" max="9" width="10" bestFit="1" customWidth="1"/>
  </cols>
  <sheetData>
    <row r="3" spans="4:13" x14ac:dyDescent="0.25">
      <c r="D3">
        <v>106500000</v>
      </c>
    </row>
    <row r="4" spans="4:13" x14ac:dyDescent="0.25">
      <c r="D4">
        <f>D3/1430</f>
        <v>74475.524475524478</v>
      </c>
      <c r="F4">
        <v>120000000</v>
      </c>
      <c r="I4">
        <v>115000000</v>
      </c>
      <c r="K4">
        <v>98500000</v>
      </c>
      <c r="M4">
        <v>94000000</v>
      </c>
    </row>
    <row r="5" spans="4:13" x14ac:dyDescent="0.25">
      <c r="F5">
        <v>1650</v>
      </c>
      <c r="I5">
        <f>I4/1340</f>
        <v>85820.895522388062</v>
      </c>
      <c r="K5">
        <f>K4/1600</f>
        <v>61562.5</v>
      </c>
      <c r="M5">
        <v>1385</v>
      </c>
    </row>
    <row r="6" spans="4:13" x14ac:dyDescent="0.25">
      <c r="F6">
        <f>F4/F5</f>
        <v>72727.272727272721</v>
      </c>
      <c r="M6">
        <f>M4/M5</f>
        <v>67870.036101083038</v>
      </c>
    </row>
    <row r="9" spans="4:13" x14ac:dyDescent="0.25">
      <c r="J9">
        <v>86471950</v>
      </c>
    </row>
    <row r="10" spans="4:13" x14ac:dyDescent="0.25">
      <c r="J10">
        <v>78000000</v>
      </c>
    </row>
    <row r="11" spans="4:13" x14ac:dyDescent="0.25">
      <c r="J11">
        <f>J9/J10</f>
        <v>1.1086147435897435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2022-07-28T09:17:09Z</dcterms:created>
  <dcterms:modified xsi:type="dcterms:W3CDTF">2023-02-13T13:22:35Z</dcterms:modified>
</cp:coreProperties>
</file>