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Y:\In Progress Files\Rahul Gupta\In progress\2023-2024\VIS(2023-24)-PL020-017-017\"/>
    </mc:Choice>
  </mc:AlternateContent>
  <xr:revisionPtr revIDLastSave="0" documentId="13_ncr:1_{97736539-199F-4F7E-B04B-F02FE330AB7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working" sheetId="2" r:id="rId1"/>
    <sheet name="Sheet2" sheetId="3" r:id="rId2"/>
    <sheet name="Sheet3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3" l="1"/>
  <c r="K9" i="3"/>
  <c r="O6" i="3"/>
  <c r="O7" i="3" s="1"/>
  <c r="G9" i="3"/>
  <c r="G7" i="2"/>
  <c r="J11" i="4" l="1"/>
  <c r="I24" i="2"/>
  <c r="K22" i="2"/>
  <c r="P20" i="2"/>
  <c r="J19" i="2"/>
  <c r="U23" i="2"/>
  <c r="U22" i="2"/>
  <c r="U19" i="2"/>
  <c r="Q4" i="2"/>
  <c r="Q5" i="2"/>
  <c r="Q3" i="2"/>
  <c r="AC11" i="2"/>
  <c r="AE8" i="2"/>
  <c r="C17" i="2"/>
  <c r="C18" i="2" s="1"/>
  <c r="H4" i="2"/>
  <c r="H5" i="2"/>
  <c r="H3" i="2"/>
  <c r="E20" i="2"/>
  <c r="E21" i="2" s="1"/>
  <c r="I5" i="2" l="1"/>
  <c r="K14" i="3"/>
  <c r="L14" i="3" s="1"/>
  <c r="I4" i="2"/>
  <c r="K13" i="3"/>
  <c r="L13" i="3" s="1"/>
  <c r="I3" i="2"/>
  <c r="K12" i="3"/>
  <c r="L12" i="3" s="1"/>
  <c r="Q7" i="2"/>
  <c r="H7" i="2"/>
  <c r="AB4" i="2"/>
  <c r="AC4" i="2" s="1"/>
  <c r="AA10" i="2"/>
  <c r="L15" i="3" l="1"/>
  <c r="O15" i="3" s="1"/>
  <c r="P15" i="3" s="1"/>
  <c r="H16" i="2"/>
  <c r="G21" i="2"/>
  <c r="G22" i="2" s="1"/>
  <c r="I7" i="2"/>
  <c r="I18" i="2" s="1"/>
  <c r="AB5" i="2"/>
  <c r="I15" i="2" l="1"/>
  <c r="Z5" i="2"/>
  <c r="O4" i="2" l="1"/>
  <c r="O5" i="2"/>
  <c r="O3" i="2"/>
  <c r="L4" i="2"/>
  <c r="L5" i="2"/>
  <c r="L3" i="2"/>
  <c r="R5" i="2" l="1"/>
  <c r="S5" i="2" s="1"/>
  <c r="U5" i="2" s="1"/>
  <c r="R4" i="2"/>
  <c r="S4" i="2" s="1"/>
  <c r="U4" i="2" s="1"/>
  <c r="M6" i="4"/>
  <c r="K5" i="4"/>
  <c r="I5" i="4"/>
  <c r="F6" i="4"/>
  <c r="D4" i="4"/>
  <c r="I3" i="3" l="1"/>
  <c r="G3" i="3"/>
  <c r="D3" i="3"/>
  <c r="R3" i="2" l="1"/>
  <c r="S3" i="2" s="1"/>
  <c r="J3" i="3"/>
  <c r="K3" i="3" s="1"/>
  <c r="M3" i="3" s="1"/>
  <c r="U3" i="2" l="1"/>
  <c r="U7" i="2" s="1"/>
  <c r="S7" i="2"/>
  <c r="W7" i="2" l="1"/>
</calcChain>
</file>

<file path=xl/sharedStrings.xml><?xml version="1.0" encoding="utf-8"?>
<sst xmlns="http://schemas.openxmlformats.org/spreadsheetml/2006/main" count="63" uniqueCount="50">
  <si>
    <t>SR. No.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</si>
  <si>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</si>
  <si>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</si>
  <si>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</si>
  <si>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</si>
  <si>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</si>
  <si>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</si>
  <si>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</si>
  <si>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</si>
  <si>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</si>
  <si>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</si>
  <si>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</si>
  <si>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</si>
  <si>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</si>
  <si>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</si>
  <si>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Details of Building</t>
  </si>
  <si>
    <t>4.We have taken the year of construction from information provided to us during the survey.</t>
  </si>
  <si>
    <t>Floor</t>
  </si>
  <si>
    <t>Ground Floor</t>
  </si>
  <si>
    <t>2.The subject property is consturcted with different type of structures..</t>
  </si>
  <si>
    <t>Boundary wall valuation</t>
  </si>
  <si>
    <r>
      <t xml:space="preserve">Wall
</t>
    </r>
    <r>
      <rPr>
        <b/>
        <i/>
        <sz val="10"/>
        <rFont val="Calibri"/>
        <family val="2"/>
        <scheme val="minor"/>
      </rPr>
      <t>(in Running ft.)As per approved plan approx.</t>
    </r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</si>
  <si>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</si>
  <si>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</si>
  <si>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</si>
  <si>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</si>
  <si>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Discounting Factor</t>
  </si>
  <si>
    <t>Height in Feet</t>
  </si>
  <si>
    <t>RCC framed pillar beam column on RCC slab</t>
  </si>
  <si>
    <t>, Iron Pillar Truss</t>
  </si>
  <si>
    <t>Iron Pillar Truss</t>
  </si>
  <si>
    <t xml:space="preserve">5.As per our site survey we have observed the maintenance of the building is average . </t>
  </si>
  <si>
    <t>No Boundary Wall considered .</t>
  </si>
  <si>
    <t>Type of Roof</t>
  </si>
  <si>
    <t>FAR/NON FAR</t>
  </si>
  <si>
    <t>FAR</t>
  </si>
  <si>
    <t>Total FAR</t>
  </si>
  <si>
    <t>Covered Area (in sq.ft)</t>
  </si>
  <si>
    <t>Covered Area 
(in sq mtr)</t>
  </si>
  <si>
    <t xml:space="preserve">Land Developments </t>
  </si>
  <si>
    <t>Permissible Covered area (in sq.mtr)</t>
  </si>
  <si>
    <t xml:space="preserve">BUILDING VALUATION OF PROPERTY OF M/S. SIDHA METALS LIMITED | SITUATED AT PLOT NO E-52 AND E-53, INDUSTRIAL AREA, BAHADRABAD, TEHSIL AND DISTRCIT HARIDWAR. 
</t>
  </si>
  <si>
    <t>Production area Hall</t>
  </si>
  <si>
    <t>Guard Room</t>
  </si>
  <si>
    <t>Tin Shed</t>
  </si>
  <si>
    <t>1. All the details pertaing to the building area statement such as area, floor, etc has been taken from the measurement done at site.</t>
  </si>
  <si>
    <t>6.We have not provided the sanctioned bulding map of the plant.Therfore, As per site measurement  of the building which is under  permissible area as per building bye laws of Uttrakhand.</t>
  </si>
  <si>
    <t>govt</t>
  </si>
  <si>
    <t>circle</t>
  </si>
  <si>
    <t>Office area &amp; 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</si>
</sst>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43" fontId="0" fillId="0" borderId="1" xfId="6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9" fontId="0" fillId="5" borderId="1" xfId="2" applyFont="1" applyFill="1" applyBorder="1" applyAlignment="1">
      <alignment horizontal="center" vertical="center" wrapText="1"/>
    </xf>
    <xf numFmtId="165" fontId="0" fillId="5" borderId="1" xfId="1" applyNumberFormat="1" applyFont="1" applyFill="1" applyBorder="1" applyAlignment="1">
      <alignment horizontal="center" vertical="center" wrapText="1"/>
    </xf>
    <xf numFmtId="166" fontId="0" fillId="0" borderId="1" xfId="6" applyNumberFormat="1" applyFont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right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166" fontId="0" fillId="0" borderId="0" xfId="0" applyNumberFormat="1"/>
    <xf numFmtId="167" fontId="0" fillId="0" borderId="0" xfId="2" applyNumberFormat="1" applyFont="1"/>
    <xf numFmtId="0" fontId="2" fillId="0" borderId="1" xfId="0" applyFont="1" applyBorder="1" applyAlignment="1">
      <alignment horizontal="center" vertical="center" wrapText="1"/>
    </xf>
    <xf numFmtId="166" fontId="0" fillId="0" borderId="0" xfId="2" applyNumberFormat="1" applyFont="1"/>
    <xf numFmtId="43" fontId="2" fillId="0" borderId="1" xfId="6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2" fillId="2" borderId="1" xfId="3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6" xfId="0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13">
    <cellStyle name="40% - Accent1" xfId="3" builtinId="31"/>
    <cellStyle name="Comma" xfId="6" builtinId="3"/>
    <cellStyle name="Comma 2" xfId="4" xr:uid="{00000000-0005-0000-0000-000002000000}"/>
    <cellStyle name="Comma 2 2" xfId="10" xr:uid="{00000000-0005-0000-0000-000003000000}"/>
    <cellStyle name="Comma 3" xfId="12" xr:uid="{00000000-0005-0000-0000-000004000000}"/>
    <cellStyle name="Comma 4" xfId="8" xr:uid="{00000000-0005-0000-0000-000005000000}"/>
    <cellStyle name="Currency" xfId="1" builtinId="4"/>
    <cellStyle name="Currency 2" xfId="5" xr:uid="{00000000-0005-0000-0000-000007000000}"/>
    <cellStyle name="Currency 2 2" xfId="9" xr:uid="{00000000-0005-0000-0000-000008000000}"/>
    <cellStyle name="Currency 3" xfId="11" xr:uid="{00000000-0005-0000-0000-000009000000}"/>
    <cellStyle name="Currency 4" xfId="7" xr:uid="{00000000-0005-0000-0000-00000A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opLeftCell="A4" zoomScaleNormal="100" workbookViewId="0">
      <selection activeCell="L5" sqref="L5"/>
    </sheetView>
  </sheetViews>
  <sheetFormatPr defaultRowHeight="15" x14ac:dyDescent="0.25"/>
  <cols>
    <col min="1" max="1" width="4.140625" bestFit="1" customWidth="1"/>
    <col min="2" max="2" width="19.140625" customWidth="1"/>
    <col min="3" max="3" width="12.5703125" bestFit="1" customWidth="1"/>
    <col min="4" max="4" width="9.28515625" bestFit="1" customWidth="1"/>
    <col min="5" max="5" width="26.42578125" customWidth="1"/>
    <col min="6" max="6" width="13.5703125" hidden="1" customWidth="1"/>
    <col min="7" max="7" width="13.140625" bestFit="1" customWidth="1"/>
    <col min="8" max="8" width="13.140625" customWidth="1"/>
    <col min="9" max="9" width="19.5703125" customWidth="1"/>
    <col min="10" max="10" width="12.28515625" bestFit="1" customWidth="1"/>
    <col min="11" max="11" width="12" bestFit="1" customWidth="1"/>
    <col min="12" max="12" width="19.28515625" bestFit="1" customWidth="1"/>
    <col min="13" max="13" width="19.85546875" bestFit="1" customWidth="1"/>
    <col min="14" max="14" width="7.42578125" hidden="1" customWidth="1"/>
    <col min="15" max="15" width="9" hidden="1" customWidth="1"/>
    <col min="16" max="16" width="14.5703125" customWidth="1"/>
    <col min="17" max="17" width="16.7109375" customWidth="1"/>
    <col min="18" max="18" width="12.42578125" hidden="1" customWidth="1"/>
    <col min="19" max="19" width="17.7109375" hidden="1" customWidth="1"/>
    <col min="20" max="20" width="8.28515625" hidden="1" customWidth="1"/>
    <col min="21" max="21" width="25" customWidth="1"/>
    <col min="23" max="23" width="5.85546875" bestFit="1" customWidth="1"/>
    <col min="24" max="24" width="15.7109375" bestFit="1" customWidth="1"/>
    <col min="26" max="26" width="3" bestFit="1" customWidth="1"/>
    <col min="27" max="28" width="9" bestFit="1" customWidth="1"/>
    <col min="29" max="29" width="11.5703125" bestFit="1" customWidth="1"/>
    <col min="31" max="31" width="9" bestFit="1" customWidth="1"/>
  </cols>
  <sheetData>
    <row r="1" spans="1:31" ht="51" customHeight="1" x14ac:dyDescent="0.25">
      <c r="A1" s="38" t="s">
        <v>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31" ht="43.5" customHeight="1" x14ac:dyDescent="0.25">
      <c r="A2" s="1" t="s">
        <v>0</v>
      </c>
      <c r="B2" s="1" t="s">
        <v>15</v>
      </c>
      <c r="C2" s="1" t="s">
        <v>17</v>
      </c>
      <c r="D2" s="1" t="s">
        <v>27</v>
      </c>
      <c r="E2" s="32" t="s">
        <v>33</v>
      </c>
      <c r="F2" s="1" t="s">
        <v>34</v>
      </c>
      <c r="G2" s="1" t="s">
        <v>37</v>
      </c>
      <c r="H2" s="1" t="s">
        <v>38</v>
      </c>
      <c r="I2" s="1" t="s">
        <v>40</v>
      </c>
      <c r="J2" s="1" t="s">
        <v>22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  <c r="Q2" s="1" t="s">
        <v>7</v>
      </c>
      <c r="R2" s="1" t="s">
        <v>8</v>
      </c>
      <c r="S2" s="1" t="s">
        <v>9</v>
      </c>
      <c r="T2" s="2" t="s">
        <v>14</v>
      </c>
      <c r="U2" s="1" t="s">
        <v>10</v>
      </c>
      <c r="X2" t="s">
        <v>29</v>
      </c>
    </row>
    <row r="3" spans="1:31" ht="15" customHeight="1" x14ac:dyDescent="0.25">
      <c r="A3" s="3">
        <v>1</v>
      </c>
      <c r="B3" s="31" t="s">
        <v>42</v>
      </c>
      <c r="C3" s="3" t="s">
        <v>18</v>
      </c>
      <c r="D3" s="3">
        <v>20</v>
      </c>
      <c r="E3" s="33" t="s">
        <v>44</v>
      </c>
      <c r="F3" s="3" t="s">
        <v>35</v>
      </c>
      <c r="G3" s="12">
        <v>6740</v>
      </c>
      <c r="H3" s="23">
        <f>G3/10.7639</f>
        <v>626.16709556944977</v>
      </c>
      <c r="I3" s="23">
        <f>H3</f>
        <v>626.16709556944977</v>
      </c>
      <c r="J3" s="3">
        <v>2021</v>
      </c>
      <c r="K3" s="3">
        <v>2023</v>
      </c>
      <c r="L3" s="3">
        <f t="shared" ref="L3:L5" si="0">K3-J3</f>
        <v>2</v>
      </c>
      <c r="M3" s="3">
        <v>45</v>
      </c>
      <c r="N3" s="4">
        <v>0.1</v>
      </c>
      <c r="O3" s="5">
        <f t="shared" ref="O3:O5" si="1">(1-N3)/M3</f>
        <v>0.02</v>
      </c>
      <c r="P3" s="6">
        <v>1200</v>
      </c>
      <c r="Q3" s="6">
        <f>P3*G3</f>
        <v>8088000</v>
      </c>
      <c r="R3" s="6">
        <f t="shared" ref="R3:R5" si="2">Q3*O3*L3</f>
        <v>323520</v>
      </c>
      <c r="S3" s="6">
        <f t="shared" ref="S3:S5" si="3">MAX(Q3-R3,0)</f>
        <v>7764480</v>
      </c>
      <c r="T3" s="21">
        <v>0</v>
      </c>
      <c r="U3" s="22">
        <f t="shared" ref="U3:U5" si="4">IF(S3&gt;N3*Q3,S3*(1-T3),Q3*N3)</f>
        <v>7764480</v>
      </c>
      <c r="X3" t="s">
        <v>30</v>
      </c>
      <c r="AB3">
        <v>1288.8800000000001</v>
      </c>
    </row>
    <row r="4" spans="1:31" ht="38.25" customHeight="1" x14ac:dyDescent="0.25">
      <c r="A4" s="3">
        <v>2</v>
      </c>
      <c r="B4" s="31" t="s">
        <v>49</v>
      </c>
      <c r="C4" s="3" t="s">
        <v>18</v>
      </c>
      <c r="D4" s="3">
        <v>15</v>
      </c>
      <c r="E4" s="34" t="s">
        <v>28</v>
      </c>
      <c r="F4" s="3" t="s">
        <v>35</v>
      </c>
      <c r="G4" s="12">
        <v>1500</v>
      </c>
      <c r="H4" s="23">
        <f t="shared" ref="H4:H5" si="5">G4/10.7639</f>
        <v>139.35469485966982</v>
      </c>
      <c r="I4" s="23">
        <f t="shared" ref="I4:I5" si="6">H4</f>
        <v>139.35469485966982</v>
      </c>
      <c r="J4" s="3">
        <v>1988</v>
      </c>
      <c r="K4" s="3">
        <v>2023</v>
      </c>
      <c r="L4" s="3">
        <f t="shared" si="0"/>
        <v>35</v>
      </c>
      <c r="M4" s="3">
        <v>65</v>
      </c>
      <c r="N4" s="4">
        <v>0.1</v>
      </c>
      <c r="O4" s="5">
        <f t="shared" si="1"/>
        <v>1.3846153846153847E-2</v>
      </c>
      <c r="P4" s="6">
        <v>1500</v>
      </c>
      <c r="Q4" s="6">
        <f t="shared" ref="Q4:Q5" si="7">P4*G4</f>
        <v>2250000</v>
      </c>
      <c r="R4" s="6">
        <f t="shared" si="2"/>
        <v>1090384.6153846155</v>
      </c>
      <c r="S4" s="6">
        <f t="shared" si="3"/>
        <v>1159615.3846153845</v>
      </c>
      <c r="T4" s="21">
        <v>0</v>
      </c>
      <c r="U4" s="22">
        <f t="shared" si="4"/>
        <v>1159615.3846153845</v>
      </c>
      <c r="AB4">
        <f>AB3*9</f>
        <v>11599.920000000002</v>
      </c>
      <c r="AC4">
        <f>AB4*1.5</f>
        <v>17399.880000000005</v>
      </c>
    </row>
    <row r="5" spans="1:31" ht="28.5" customHeight="1" x14ac:dyDescent="0.25">
      <c r="A5" s="3">
        <v>3</v>
      </c>
      <c r="B5" s="31" t="s">
        <v>43</v>
      </c>
      <c r="C5" s="3" t="s">
        <v>18</v>
      </c>
      <c r="D5" s="3">
        <v>8</v>
      </c>
      <c r="E5" s="34" t="s">
        <v>28</v>
      </c>
      <c r="F5" s="3" t="s">
        <v>35</v>
      </c>
      <c r="G5" s="12">
        <v>86.4</v>
      </c>
      <c r="H5" s="23">
        <f t="shared" si="5"/>
        <v>8.0268304239169819</v>
      </c>
      <c r="I5" s="23">
        <f t="shared" si="6"/>
        <v>8.0268304239169819</v>
      </c>
      <c r="J5" s="3">
        <v>1988</v>
      </c>
      <c r="K5" s="3">
        <v>2023</v>
      </c>
      <c r="L5" s="3">
        <f t="shared" si="0"/>
        <v>35</v>
      </c>
      <c r="M5" s="3">
        <v>65</v>
      </c>
      <c r="N5" s="4">
        <v>0.1</v>
      </c>
      <c r="O5" s="5">
        <f t="shared" si="1"/>
        <v>1.3846153846153847E-2</v>
      </c>
      <c r="P5" s="6">
        <v>1200</v>
      </c>
      <c r="Q5" s="6">
        <f t="shared" si="7"/>
        <v>103680</v>
      </c>
      <c r="R5" s="6">
        <f t="shared" si="2"/>
        <v>50244.923076923078</v>
      </c>
      <c r="S5" s="6">
        <f t="shared" si="3"/>
        <v>53435.076923076922</v>
      </c>
      <c r="T5" s="21">
        <v>0</v>
      </c>
      <c r="U5" s="22">
        <f t="shared" si="4"/>
        <v>53435.076923076922</v>
      </c>
      <c r="Z5">
        <f>65-28</f>
        <v>37</v>
      </c>
      <c r="AB5">
        <f>AB4*0.6</f>
        <v>6959.9520000000011</v>
      </c>
    </row>
    <row r="6" spans="1:31" hidden="1" x14ac:dyDescent="0.25">
      <c r="A6" s="3"/>
      <c r="B6" s="3"/>
      <c r="C6" s="3"/>
      <c r="D6" s="3"/>
      <c r="E6" s="16"/>
      <c r="F6" s="3"/>
      <c r="G6" s="12"/>
      <c r="H6" s="23"/>
      <c r="I6" s="23"/>
      <c r="J6" s="3"/>
      <c r="K6" s="3"/>
      <c r="L6" s="3"/>
      <c r="M6" s="3"/>
      <c r="N6" s="4"/>
      <c r="O6" s="5"/>
      <c r="P6" s="6"/>
      <c r="Q6" s="6"/>
      <c r="R6" s="6"/>
      <c r="S6" s="6"/>
      <c r="T6" s="7"/>
      <c r="U6" s="6"/>
    </row>
    <row r="7" spans="1:31" x14ac:dyDescent="0.25">
      <c r="A7" s="43" t="s">
        <v>11</v>
      </c>
      <c r="B7" s="43"/>
      <c r="C7" s="43"/>
      <c r="D7" s="43"/>
      <c r="E7" s="43"/>
      <c r="F7" s="28"/>
      <c r="G7" s="25">
        <f>SUM(G3:G6)</f>
        <v>8326.4</v>
      </c>
      <c r="H7" s="30">
        <f>SUM(H3:H6)</f>
        <v>773.5486208530366</v>
      </c>
      <c r="I7" s="24">
        <f>SUM(I3:I6)</f>
        <v>773.5486208530366</v>
      </c>
      <c r="J7" s="43"/>
      <c r="K7" s="43"/>
      <c r="L7" s="43"/>
      <c r="M7" s="43"/>
      <c r="N7" s="43"/>
      <c r="O7" s="43"/>
      <c r="P7" s="43"/>
      <c r="Q7" s="8">
        <f>SUM(Q3:Q6)</f>
        <v>10441680</v>
      </c>
      <c r="R7" s="8"/>
      <c r="S7" s="8">
        <f>SUM(S3:S6)</f>
        <v>8977530.4615384601</v>
      </c>
      <c r="T7" s="9"/>
      <c r="U7" s="8">
        <f>SUM(U3:U6)</f>
        <v>8977530.4615384601</v>
      </c>
      <c r="W7" t="e">
        <f>U7/#REF!</f>
        <v>#REF!</v>
      </c>
    </row>
    <row r="8" spans="1:31" x14ac:dyDescent="0.25">
      <c r="A8" s="44" t="s">
        <v>12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AE8">
        <f>3800000*4.75</f>
        <v>18050000</v>
      </c>
    </row>
    <row r="9" spans="1:31" x14ac:dyDescent="0.25">
      <c r="A9" s="39" t="s">
        <v>45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AA9">
        <v>1288</v>
      </c>
    </row>
    <row r="10" spans="1:31" x14ac:dyDescent="0.25">
      <c r="A10" s="39" t="s">
        <v>19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AA10">
        <f>AA9*33000</f>
        <v>42504000</v>
      </c>
      <c r="AC10">
        <v>4.75</v>
      </c>
    </row>
    <row r="11" spans="1:31" x14ac:dyDescent="0.25">
      <c r="A11" s="39" t="s">
        <v>13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AC11" s="13">
        <f>AC10*3800000</f>
        <v>18050000</v>
      </c>
    </row>
    <row r="12" spans="1:31" x14ac:dyDescent="0.25">
      <c r="A12" s="39" t="s">
        <v>16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spans="1:31" x14ac:dyDescent="0.25">
      <c r="A13" s="40" t="s">
        <v>31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2"/>
    </row>
    <row r="14" spans="1:31" ht="22.5" customHeight="1" x14ac:dyDescent="0.25">
      <c r="A14" s="35" t="s">
        <v>46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7"/>
    </row>
    <row r="15" spans="1:31" x14ac:dyDescent="0.25">
      <c r="I15" s="11">
        <f>I7/10.7639</f>
        <v>71.86508801206223</v>
      </c>
    </row>
    <row r="16" spans="1:31" x14ac:dyDescent="0.25">
      <c r="H16" s="29">
        <f>H7-H4</f>
        <v>634.19392599336675</v>
      </c>
      <c r="I16" s="11"/>
      <c r="U16">
        <v>950000</v>
      </c>
    </row>
    <row r="17" spans="3:21" x14ac:dyDescent="0.25">
      <c r="C17">
        <f>24+10+12</f>
        <v>46</v>
      </c>
      <c r="E17">
        <v>1.5</v>
      </c>
      <c r="U17">
        <v>18050000</v>
      </c>
    </row>
    <row r="18" spans="3:21" x14ac:dyDescent="0.25">
      <c r="C18" s="11">
        <f>C17/3.28</f>
        <v>14.02439024390244</v>
      </c>
      <c r="I18" s="11">
        <f>I7/10.7639</f>
        <v>71.86508801206223</v>
      </c>
      <c r="J18" s="27"/>
      <c r="P18">
        <v>4.75</v>
      </c>
      <c r="U18">
        <v>59325258</v>
      </c>
    </row>
    <row r="19" spans="3:21" x14ac:dyDescent="0.25">
      <c r="E19">
        <v>3574.34</v>
      </c>
      <c r="G19">
        <v>2571</v>
      </c>
      <c r="J19" s="13">
        <f>G19*E19</f>
        <v>9189628.1400000006</v>
      </c>
      <c r="N19" s="10"/>
      <c r="P19">
        <v>3800000</v>
      </c>
      <c r="U19">
        <f>SUM(U16:U18)</f>
        <v>78325258</v>
      </c>
    </row>
    <row r="20" spans="3:21" x14ac:dyDescent="0.25">
      <c r="E20">
        <f>E19*E17</f>
        <v>5361.51</v>
      </c>
      <c r="G20" s="13"/>
      <c r="J20" s="26"/>
      <c r="P20">
        <f>P19*P18</f>
        <v>18050000</v>
      </c>
    </row>
    <row r="21" spans="3:21" x14ac:dyDescent="0.25">
      <c r="D21" t="s">
        <v>36</v>
      </c>
      <c r="E21">
        <f>E20*10.7639</f>
        <v>57710.757489000003</v>
      </c>
      <c r="F21" s="26"/>
      <c r="G21" s="11">
        <f>H7-H4</f>
        <v>634.19392599336675</v>
      </c>
      <c r="J21" s="11"/>
      <c r="K21">
        <v>5578.34</v>
      </c>
      <c r="U21">
        <v>78000000</v>
      </c>
    </row>
    <row r="22" spans="3:21" x14ac:dyDescent="0.25">
      <c r="G22" s="11">
        <f>G21/3574.34</f>
        <v>0.1774296586204353</v>
      </c>
      <c r="I22">
        <v>9189628</v>
      </c>
      <c r="J22" s="11"/>
      <c r="K22">
        <f>K21*13854</f>
        <v>77282322.359999999</v>
      </c>
      <c r="P22">
        <v>15394</v>
      </c>
      <c r="U22">
        <f>U21*0.85</f>
        <v>66300000</v>
      </c>
    </row>
    <row r="23" spans="3:21" x14ac:dyDescent="0.25">
      <c r="I23">
        <v>77282322</v>
      </c>
      <c r="P23">
        <v>13854</v>
      </c>
      <c r="U23">
        <f>U21*0.75</f>
        <v>58500000</v>
      </c>
    </row>
    <row r="24" spans="3:21" x14ac:dyDescent="0.25">
      <c r="I24">
        <f>SUM(I22:I23)</f>
        <v>86471950</v>
      </c>
    </row>
  </sheetData>
  <mergeCells count="10">
    <mergeCell ref="A14:U14"/>
    <mergeCell ref="A1:U1"/>
    <mergeCell ref="A11:U11"/>
    <mergeCell ref="A12:U12"/>
    <mergeCell ref="A13:U13"/>
    <mergeCell ref="A7:E7"/>
    <mergeCell ref="J7:P7"/>
    <mergeCell ref="A8:U8"/>
    <mergeCell ref="A9:U9"/>
    <mergeCell ref="A10:U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"/>
  <sheetViews>
    <sheetView tabSelected="1" workbookViewId="0">
      <selection activeCell="D3" sqref="D3"/>
    </sheetView>
  </sheetViews>
  <sheetFormatPr defaultRowHeight="15" x14ac:dyDescent="0.25"/>
  <cols>
    <col min="1" max="2" width="8.7109375" bestFit="1" customWidth="1"/>
    <col min="3" max="3" width="19.28515625" bestFit="1" customWidth="1"/>
    <col min="5" max="5" width="8.5703125" bestFit="1" customWidth="1"/>
    <col min="6" max="6" width="7.7109375" bestFit="1" customWidth="1"/>
    <col min="7" max="7" width="9" bestFit="1" customWidth="1"/>
    <col min="8" max="8" width="8" bestFit="1" customWidth="1"/>
    <col min="9" max="9" width="11.5703125" bestFit="1" customWidth="1"/>
    <col min="10" max="10" width="10.5703125" bestFit="1" customWidth="1"/>
    <col min="11" max="11" width="14.28515625" bestFit="1" customWidth="1"/>
    <col min="12" max="12" width="12.5703125" bestFit="1" customWidth="1"/>
    <col min="13" max="13" width="11.5703125" bestFit="1" customWidth="1"/>
    <col min="15" max="15" width="14.28515625" bestFit="1" customWidth="1"/>
  </cols>
  <sheetData>
    <row r="1" spans="1:16" ht="15.75" x14ac:dyDescent="0.25">
      <c r="A1" s="45" t="s">
        <v>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6" ht="105" x14ac:dyDescent="0.25">
      <c r="A2" s="14" t="s">
        <v>21</v>
      </c>
      <c r="B2" s="14" t="s">
        <v>22</v>
      </c>
      <c r="C2" s="14" t="s">
        <v>1</v>
      </c>
      <c r="D2" s="14" t="s">
        <v>23</v>
      </c>
      <c r="E2" s="14" t="s">
        <v>24</v>
      </c>
      <c r="F2" s="14" t="s">
        <v>4</v>
      </c>
      <c r="G2" s="14" t="s">
        <v>5</v>
      </c>
      <c r="H2" s="14" t="s">
        <v>25</v>
      </c>
      <c r="I2" s="14" t="s">
        <v>7</v>
      </c>
      <c r="J2" s="14" t="s">
        <v>8</v>
      </c>
      <c r="K2" s="14" t="s">
        <v>9</v>
      </c>
      <c r="L2" s="14" t="s">
        <v>26</v>
      </c>
      <c r="M2" s="14" t="s">
        <v>10</v>
      </c>
    </row>
    <row r="3" spans="1:16" x14ac:dyDescent="0.25">
      <c r="A3" s="15">
        <v>525</v>
      </c>
      <c r="B3" s="16">
        <v>1988</v>
      </c>
      <c r="C3" s="16">
        <v>2023</v>
      </c>
      <c r="D3" s="16">
        <f>C3-B3</f>
        <v>35</v>
      </c>
      <c r="E3" s="16">
        <v>60</v>
      </c>
      <c r="F3" s="17">
        <v>0.05</v>
      </c>
      <c r="G3" s="18">
        <f>(1-F3)/E3</f>
        <v>1.5833333333333331E-2</v>
      </c>
      <c r="H3" s="19">
        <v>1800</v>
      </c>
      <c r="I3" s="19">
        <f>H3*A3</f>
        <v>945000</v>
      </c>
      <c r="J3" s="19">
        <f>I3*G3*D3</f>
        <v>523687.49999999994</v>
      </c>
      <c r="K3" s="19">
        <f>MAX(I3-J3,0)</f>
        <v>421312.50000000006</v>
      </c>
      <c r="L3" s="20">
        <v>0</v>
      </c>
      <c r="M3" s="19">
        <f>IF(K3&gt;F3*I3,K3*(1-L3),I3*F3)</f>
        <v>421312.50000000006</v>
      </c>
    </row>
    <row r="5" spans="1:16" x14ac:dyDescent="0.25">
      <c r="C5" t="s">
        <v>32</v>
      </c>
      <c r="O5">
        <v>33300000</v>
      </c>
    </row>
    <row r="6" spans="1:16" x14ac:dyDescent="0.25">
      <c r="O6">
        <f>O5*0.85</f>
        <v>28305000</v>
      </c>
    </row>
    <row r="7" spans="1:16" x14ac:dyDescent="0.25">
      <c r="O7">
        <f>O6*0.75</f>
        <v>21228750</v>
      </c>
    </row>
    <row r="8" spans="1:16" x14ac:dyDescent="0.25">
      <c r="C8" t="s">
        <v>39</v>
      </c>
      <c r="J8" t="s">
        <v>47</v>
      </c>
    </row>
    <row r="9" spans="1:16" x14ac:dyDescent="0.25">
      <c r="G9">
        <f>160*3.28</f>
        <v>524.79999999999995</v>
      </c>
      <c r="K9" s="13">
        <f>1600*14000</f>
        <v>22400000</v>
      </c>
    </row>
    <row r="10" spans="1:16" x14ac:dyDescent="0.25">
      <c r="J10" t="s">
        <v>48</v>
      </c>
      <c r="K10">
        <f>774*10000</f>
        <v>7740000</v>
      </c>
    </row>
    <row r="12" spans="1:16" x14ac:dyDescent="0.25">
      <c r="K12" s="11">
        <f>working!H3*10000</f>
        <v>6261670.9556944976</v>
      </c>
      <c r="L12" s="11">
        <f>K12*0.98</f>
        <v>6136437.5365806073</v>
      </c>
    </row>
    <row r="13" spans="1:16" x14ac:dyDescent="0.25">
      <c r="K13" s="11">
        <f>working!H4*10000</f>
        <v>1393546.9485966982</v>
      </c>
      <c r="L13" s="11">
        <f>K13*0.703</f>
        <v>979663.50486347883</v>
      </c>
    </row>
    <row r="14" spans="1:16" x14ac:dyDescent="0.25">
      <c r="K14" s="11">
        <f>working!H5*10000</f>
        <v>80268.304239169825</v>
      </c>
      <c r="L14" s="11">
        <f>K14*0.703</f>
        <v>56428.617880136386</v>
      </c>
      <c r="O14">
        <v>33300000</v>
      </c>
    </row>
    <row r="15" spans="1:16" x14ac:dyDescent="0.25">
      <c r="L15" s="11">
        <f>SUM(L12:L14)</f>
        <v>7172529.6593242232</v>
      </c>
      <c r="M15">
        <v>160000</v>
      </c>
      <c r="N15">
        <v>22400000</v>
      </c>
      <c r="O15" s="11">
        <f>SUM(L15:N15)</f>
        <v>29732529.659324221</v>
      </c>
      <c r="P15" s="11">
        <f>O14/O15</f>
        <v>1.1199854294791567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M11"/>
  <sheetViews>
    <sheetView workbookViewId="0">
      <selection activeCell="L15" sqref="L15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  <row r="9" spans="4:13" x14ac:dyDescent="0.25">
      <c r="J9">
        <v>86471950</v>
      </c>
    </row>
    <row r="10" spans="4:13" x14ac:dyDescent="0.25">
      <c r="J10">
        <v>78000000</v>
      </c>
    </row>
    <row r="11" spans="4:13" x14ac:dyDescent="0.25">
      <c r="J11">
        <f>J9/J10</f>
        <v>1.1086147435897435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working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Rajani Gupta</cp:lastModifiedBy>
  <dcterms:created xsi:type="dcterms:W3CDTF">2022-07-28T09:17:09Z</dcterms:created>
  <dcterms:modified xsi:type="dcterms:W3CDTF">2023-04-24T06:50:53Z</dcterms:modified>
</cp:coreProperties>
</file>