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oordinator1\Desktop\Prateek Grand City\"/>
    </mc:Choice>
  </mc:AlternateContent>
  <xr:revisionPtr revIDLastSave="0" documentId="13_ncr:1_{0163F0D2-015C-43A3-A03D-25A84F2FCEE2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Dashboard" sheetId="4" state="hidden" r:id="rId1"/>
    <sheet name="Customer MIS " sheetId="9" r:id="rId2"/>
    <sheet name="Construction Update " sheetId="2" state="hidden" r:id="rId3"/>
    <sheet name="Construction Status" sheetId="40" state="hidden" r:id="rId4"/>
    <sheet name="Payment Details " sheetId="3" state="hidden" r:id="rId5"/>
    <sheet name="Approvals Status " sheetId="6" state="hidden" r:id="rId6"/>
    <sheet name="NOC " sheetId="7" state="hidden" r:id="rId7"/>
  </sheets>
  <definedNames>
    <definedName name="_xlnm._FilterDatabase" localSheetId="1" hidden="1">'Customer MIS '!$A$4:$FE$539</definedName>
  </definedNames>
  <calcPr calcId="181029"/>
  <fileRecoveryPr autoRecover="0"/>
</workbook>
</file>

<file path=xl/calcChain.xml><?xml version="1.0" encoding="utf-8"?>
<calcChain xmlns="http://schemas.openxmlformats.org/spreadsheetml/2006/main">
  <c r="BZ38" i="4" l="1"/>
  <c r="BZ18" i="4" l="1"/>
  <c r="BZ20" i="4" s="1"/>
  <c r="BY38" i="4" l="1"/>
  <c r="BY18" i="4" l="1"/>
  <c r="BY20" i="4" s="1"/>
  <c r="BX39" i="4" l="1"/>
  <c r="BY39" i="4" s="1"/>
  <c r="BZ39" i="4" s="1"/>
  <c r="BX38" i="4"/>
  <c r="BX18" i="4" l="1"/>
  <c r="BX20" i="4" s="1"/>
  <c r="BW18" i="4" l="1"/>
  <c r="BW20" i="4" s="1"/>
  <c r="BV18" i="4" l="1"/>
  <c r="BV20" i="4" s="1"/>
  <c r="BL9" i="4" l="1"/>
  <c r="BU9" i="4"/>
  <c r="BU18" i="4" l="1"/>
  <c r="BU20" i="4" s="1"/>
  <c r="BT18" i="4" l="1"/>
  <c r="BT20" i="4" s="1"/>
  <c r="BS18" i="4"/>
  <c r="BS20" i="4" s="1"/>
  <c r="BR18" i="4"/>
  <c r="J38" i="7" l="1"/>
  <c r="G38" i="7"/>
  <c r="F38" i="7"/>
  <c r="C99" i="3"/>
  <c r="C77" i="3"/>
  <c r="H53" i="3"/>
  <c r="C53" i="3"/>
  <c r="E15" i="3"/>
  <c r="F13" i="3"/>
  <c r="E13" i="3"/>
  <c r="D13" i="3"/>
  <c r="E12" i="3"/>
  <c r="D12" i="3"/>
  <c r="F11" i="3"/>
  <c r="E11" i="3"/>
  <c r="E18" i="3" s="1"/>
  <c r="D11" i="3"/>
  <c r="Y6" i="2"/>
  <c r="Y9" i="2" s="1"/>
  <c r="X6" i="2"/>
  <c r="X9" i="2" s="1"/>
  <c r="W6" i="2"/>
  <c r="W9" i="2" s="1"/>
  <c r="V6" i="2"/>
  <c r="V9" i="2" s="1"/>
  <c r="U6" i="2"/>
  <c r="U9" i="2" s="1"/>
  <c r="T6" i="2"/>
  <c r="T9" i="2" s="1"/>
  <c r="S6" i="2"/>
  <c r="S9" i="2" s="1"/>
  <c r="R6" i="2"/>
  <c r="R9" i="2" s="1"/>
  <c r="Q6" i="2"/>
  <c r="Q9" i="2" s="1"/>
  <c r="P6" i="2"/>
  <c r="P9" i="2" s="1"/>
  <c r="O6" i="2"/>
  <c r="O9" i="2" s="1"/>
  <c r="N6" i="2"/>
  <c r="N9" i="2" s="1"/>
  <c r="M6" i="2"/>
  <c r="M9" i="2" s="1"/>
  <c r="L6" i="2"/>
  <c r="L9" i="2" s="1"/>
  <c r="K6" i="2"/>
  <c r="K9" i="2" s="1"/>
  <c r="J6" i="2"/>
  <c r="J9" i="2" s="1"/>
  <c r="I6" i="2"/>
  <c r="I9" i="2" s="1"/>
  <c r="H6" i="2"/>
  <c r="H9" i="2" s="1"/>
  <c r="G6" i="2"/>
  <c r="G9" i="2" s="1"/>
  <c r="F6" i="2"/>
  <c r="F9" i="2" s="1"/>
  <c r="E6" i="2"/>
  <c r="E9" i="2" s="1"/>
  <c r="D6" i="2"/>
  <c r="D9" i="2" s="1"/>
  <c r="C6" i="2"/>
  <c r="C9" i="2" s="1"/>
  <c r="B6" i="2"/>
  <c r="B9" i="2" s="1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CQ3" i="9"/>
  <c r="CO3" i="9"/>
  <c r="CM3" i="9"/>
  <c r="CK3" i="9"/>
  <c r="CI3" i="9"/>
  <c r="CG3" i="9"/>
  <c r="CE3" i="9"/>
  <c r="CC3" i="9"/>
  <c r="CA3" i="9"/>
  <c r="BY3" i="9"/>
  <c r="BW3" i="9"/>
  <c r="BU3" i="9"/>
  <c r="BS3" i="9"/>
  <c r="BQ3" i="9"/>
  <c r="BO3" i="9"/>
  <c r="BM3" i="9"/>
  <c r="BK3" i="9"/>
  <c r="BI3" i="9"/>
  <c r="BG3" i="9"/>
  <c r="BE3" i="9"/>
  <c r="BC3" i="9"/>
  <c r="BA3" i="9"/>
  <c r="AY3" i="9"/>
  <c r="AW3" i="9"/>
  <c r="AV3" i="9"/>
  <c r="AU3" i="9"/>
  <c r="AS3" i="9"/>
  <c r="AR3" i="9"/>
  <c r="AQ3" i="9"/>
  <c r="AO3" i="9"/>
  <c r="AM3" i="9"/>
  <c r="AK3" i="9"/>
  <c r="AI3" i="9"/>
  <c r="AE3" i="9"/>
  <c r="AC3" i="9"/>
  <c r="AA3" i="9"/>
  <c r="Y3" i="9"/>
  <c r="W3" i="9"/>
  <c r="U3" i="9"/>
  <c r="S3" i="9"/>
  <c r="AE43" i="4"/>
  <c r="E43" i="4"/>
  <c r="BE42" i="4"/>
  <c r="BF42" i="4" s="1"/>
  <c r="BG42" i="4" s="1"/>
  <c r="BH42" i="4" s="1"/>
  <c r="BI42" i="4" s="1"/>
  <c r="BJ42" i="4" s="1"/>
  <c r="BK42" i="4" s="1"/>
  <c r="BK43" i="4" s="1"/>
  <c r="BD42" i="4"/>
  <c r="BC42" i="4"/>
  <c r="BB42" i="4"/>
  <c r="BA42" i="4"/>
  <c r="AZ42" i="4"/>
  <c r="AY42" i="4"/>
  <c r="AX42" i="4"/>
  <c r="AW42" i="4"/>
  <c r="AU42" i="4"/>
  <c r="AU43" i="4" s="1"/>
  <c r="AR42" i="4"/>
  <c r="AO42" i="4"/>
  <c r="AN42" i="4"/>
  <c r="AL42" i="4"/>
  <c r="AK42" i="4"/>
  <c r="AJ42" i="4"/>
  <c r="AI42" i="4"/>
  <c r="AH42" i="4"/>
  <c r="AF42" i="4"/>
  <c r="AB42" i="4"/>
  <c r="Y42" i="4"/>
  <c r="V42" i="4"/>
  <c r="S42" i="4"/>
  <c r="P42" i="4"/>
  <c r="M42" i="4"/>
  <c r="J42" i="4"/>
  <c r="G42" i="4"/>
  <c r="D42" i="4"/>
  <c r="BN41" i="4"/>
  <c r="BO41" i="4" s="1"/>
  <c r="BP41" i="4" s="1"/>
  <c r="BQ41" i="4" s="1"/>
  <c r="BR41" i="4" s="1"/>
  <c r="BS41" i="4" s="1"/>
  <c r="BT41" i="4" s="1"/>
  <c r="BU41" i="4" s="1"/>
  <c r="BV41" i="4" s="1"/>
  <c r="BW41" i="4" s="1"/>
  <c r="BX41" i="4" s="1"/>
  <c r="BY41" i="4" s="1"/>
  <c r="BZ41" i="4" s="1"/>
  <c r="BM41" i="4"/>
  <c r="BL41" i="4"/>
  <c r="BK41" i="4"/>
  <c r="BJ41" i="4"/>
  <c r="BI41" i="4"/>
  <c r="BH41" i="4"/>
  <c r="BG41" i="4"/>
  <c r="BF41" i="4"/>
  <c r="BE41" i="4"/>
  <c r="BD41" i="4"/>
  <c r="BC41" i="4"/>
  <c r="BC43" i="4" s="1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D41" i="4"/>
  <c r="AC41" i="4"/>
  <c r="AB41" i="4"/>
  <c r="AA41" i="4"/>
  <c r="Z41" i="4"/>
  <c r="Y41" i="4"/>
  <c r="X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M40" i="4"/>
  <c r="BN40" i="4" s="1"/>
  <c r="BO40" i="4" s="1"/>
  <c r="BP40" i="4" s="1"/>
  <c r="BQ40" i="4" s="1"/>
  <c r="BR40" i="4" s="1"/>
  <c r="BS40" i="4" s="1"/>
  <c r="BT40" i="4" s="1"/>
  <c r="BU40" i="4" s="1"/>
  <c r="BV40" i="4" s="1"/>
  <c r="BW40" i="4" s="1"/>
  <c r="BX40" i="4" s="1"/>
  <c r="BY40" i="4" s="1"/>
  <c r="BZ40" i="4" s="1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W43" i="4" s="1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G43" i="4" s="1"/>
  <c r="AF40" i="4"/>
  <c r="AE40" i="4"/>
  <c r="AD40" i="4"/>
  <c r="AC40" i="4"/>
  <c r="AB40" i="4"/>
  <c r="AA40" i="4"/>
  <c r="Z40" i="4"/>
  <c r="Y40" i="4"/>
  <c r="X40" i="4"/>
  <c r="W40" i="4"/>
  <c r="V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V38" i="4"/>
  <c r="P38" i="4"/>
  <c r="O38" i="4"/>
  <c r="O43" i="4" s="1"/>
  <c r="J38" i="4"/>
  <c r="H38" i="4"/>
  <c r="D38" i="4"/>
  <c r="C38" i="4"/>
  <c r="C43" i="4" s="1"/>
  <c r="BO37" i="4"/>
  <c r="BM37" i="4"/>
  <c r="BN37" i="4" s="1"/>
  <c r="BL37" i="4"/>
  <c r="BK37" i="4"/>
  <c r="BJ37" i="4"/>
  <c r="BI37" i="4"/>
  <c r="BH37" i="4"/>
  <c r="BG37" i="4"/>
  <c r="BF37" i="4"/>
  <c r="BE37" i="4"/>
  <c r="BE43" i="4" s="1"/>
  <c r="BD37" i="4"/>
  <c r="BC37" i="4"/>
  <c r="BB37" i="4"/>
  <c r="BA37" i="4"/>
  <c r="BA43" i="4" s="1"/>
  <c r="AZ37" i="4"/>
  <c r="AZ43" i="4" s="1"/>
  <c r="AY37" i="4"/>
  <c r="AX37" i="4"/>
  <c r="AW37" i="4"/>
  <c r="AV37" i="4"/>
  <c r="AU37" i="4"/>
  <c r="AT37" i="4"/>
  <c r="AS37" i="4"/>
  <c r="AS43" i="4" s="1"/>
  <c r="AR37" i="4"/>
  <c r="AQ37" i="4"/>
  <c r="AP37" i="4"/>
  <c r="AO37" i="4"/>
  <c r="AN37" i="4"/>
  <c r="AM37" i="4"/>
  <c r="AM43" i="4" s="1"/>
  <c r="AL37" i="4"/>
  <c r="AK37" i="4"/>
  <c r="AK43" i="4" s="1"/>
  <c r="AJ37" i="4"/>
  <c r="AJ43" i="4" s="1"/>
  <c r="AI37" i="4"/>
  <c r="AH37" i="4"/>
  <c r="AG37" i="4"/>
  <c r="AF37" i="4"/>
  <c r="AE37" i="4"/>
  <c r="AD37" i="4"/>
  <c r="AC37" i="4"/>
  <c r="AB37" i="4"/>
  <c r="AA37" i="4"/>
  <c r="Z37" i="4"/>
  <c r="Z43" i="4" s="1"/>
  <c r="Y37" i="4"/>
  <c r="X37" i="4"/>
  <c r="W37" i="4"/>
  <c r="W43" i="4" s="1"/>
  <c r="V37" i="4"/>
  <c r="S37" i="4"/>
  <c r="S43" i="4" s="1"/>
  <c r="R37" i="4"/>
  <c r="R43" i="4" s="1"/>
  <c r="Q37" i="4"/>
  <c r="P37" i="4"/>
  <c r="O37" i="4"/>
  <c r="N37" i="4"/>
  <c r="M37" i="4"/>
  <c r="L37" i="4"/>
  <c r="K37" i="4"/>
  <c r="K43" i="4" s="1"/>
  <c r="J37" i="4"/>
  <c r="I37" i="4"/>
  <c r="H37" i="4"/>
  <c r="G37" i="4"/>
  <c r="G43" i="4" s="1"/>
  <c r="F37" i="4"/>
  <c r="E37" i="4"/>
  <c r="D37" i="4"/>
  <c r="W30" i="4"/>
  <c r="X30" i="4" s="1"/>
  <c r="Y30" i="4" s="1"/>
  <c r="Z30" i="4" s="1"/>
  <c r="AA30" i="4" s="1"/>
  <c r="AB30" i="4" s="1"/>
  <c r="AC30" i="4" s="1"/>
  <c r="AD30" i="4" s="1"/>
  <c r="AE30" i="4" s="1"/>
  <c r="AF30" i="4" s="1"/>
  <c r="V30" i="4"/>
  <c r="E30" i="4"/>
  <c r="F30" i="4" s="1"/>
  <c r="G30" i="4" s="1"/>
  <c r="H30" i="4" s="1"/>
  <c r="I30" i="4" s="1"/>
  <c r="J30" i="4" s="1"/>
  <c r="K30" i="4" s="1"/>
  <c r="L30" i="4" s="1"/>
  <c r="D30" i="4"/>
  <c r="C29" i="4"/>
  <c r="C28" i="4"/>
  <c r="V27" i="4"/>
  <c r="D27" i="4"/>
  <c r="V26" i="4"/>
  <c r="V28" i="4" s="1"/>
  <c r="V33" i="4" s="1"/>
  <c r="D26" i="4"/>
  <c r="D28" i="4" s="1"/>
  <c r="D33" i="4" s="1"/>
  <c r="AV22" i="4"/>
  <c r="AV21" i="4" s="1"/>
  <c r="AU22" i="4"/>
  <c r="AS22" i="4"/>
  <c r="AS21" i="4" s="1"/>
  <c r="AR22" i="4"/>
  <c r="AR21" i="4" s="1"/>
  <c r="AQ22" i="4"/>
  <c r="AQ21" i="4" s="1"/>
  <c r="AC22" i="4"/>
  <c r="AC21" i="4" s="1"/>
  <c r="AA22" i="4"/>
  <c r="AA21" i="4" s="1"/>
  <c r="Z22" i="4"/>
  <c r="Y22" i="4"/>
  <c r="X22" i="4"/>
  <c r="X21" i="4" s="1"/>
  <c r="S22" i="4"/>
  <c r="R22" i="4"/>
  <c r="Q22" i="4"/>
  <c r="Q21" i="4" s="1"/>
  <c r="P22" i="4"/>
  <c r="P21" i="4" s="1"/>
  <c r="O22" i="4"/>
  <c r="O21" i="4" s="1"/>
  <c r="N22" i="4"/>
  <c r="M22" i="4"/>
  <c r="M21" i="4" s="1"/>
  <c r="L22" i="4"/>
  <c r="L21" i="4" s="1"/>
  <c r="K22" i="4"/>
  <c r="K21" i="4" s="1"/>
  <c r="J22" i="4"/>
  <c r="J21" i="4" s="1"/>
  <c r="I22" i="4"/>
  <c r="I21" i="4" s="1"/>
  <c r="H22" i="4"/>
  <c r="H21" i="4" s="1"/>
  <c r="G22" i="4"/>
  <c r="G21" i="4" s="1"/>
  <c r="F22" i="4"/>
  <c r="F21" i="4" s="1"/>
  <c r="E22" i="4"/>
  <c r="E21" i="4" s="1"/>
  <c r="BG21" i="4"/>
  <c r="BF21" i="4"/>
  <c r="BB21" i="4"/>
  <c r="BA21" i="4"/>
  <c r="AZ21" i="4"/>
  <c r="AY21" i="4"/>
  <c r="AX21" i="4"/>
  <c r="AW21" i="4"/>
  <c r="AU21" i="4"/>
  <c r="AT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B21" i="4"/>
  <c r="Z21" i="4"/>
  <c r="Y21" i="4"/>
  <c r="W21" i="4"/>
  <c r="V21" i="4"/>
  <c r="S21" i="4"/>
  <c r="R21" i="4"/>
  <c r="N21" i="4"/>
  <c r="BQ20" i="4"/>
  <c r="BP20" i="4"/>
  <c r="BL20" i="4"/>
  <c r="BH20" i="4"/>
  <c r="BF20" i="4"/>
  <c r="AZ20" i="4"/>
  <c r="AT20" i="4"/>
  <c r="AP20" i="4"/>
  <c r="X20" i="4"/>
  <c r="V20" i="4"/>
  <c r="AY19" i="4"/>
  <c r="AW19" i="4"/>
  <c r="AS19" i="4"/>
  <c r="AR19" i="4"/>
  <c r="AO19" i="4"/>
  <c r="AN19" i="4"/>
  <c r="AM19" i="4"/>
  <c r="AL19" i="4"/>
  <c r="AK19" i="4"/>
  <c r="AJ19" i="4"/>
  <c r="AI19" i="4"/>
  <c r="AH19" i="4"/>
  <c r="AH20" i="4" s="1"/>
  <c r="AG19" i="4"/>
  <c r="AF19" i="4"/>
  <c r="AE19" i="4"/>
  <c r="BR20" i="4"/>
  <c r="BP18" i="4"/>
  <c r="BO18" i="4"/>
  <c r="BO20" i="4" s="1"/>
  <c r="BN18" i="4"/>
  <c r="BN20" i="4" s="1"/>
  <c r="BM18" i="4"/>
  <c r="BM20" i="4" s="1"/>
  <c r="BL18" i="4"/>
  <c r="BK18" i="4"/>
  <c r="BK20" i="4" s="1"/>
  <c r="BJ18" i="4"/>
  <c r="BJ20" i="4" s="1"/>
  <c r="BI18" i="4"/>
  <c r="BI20" i="4" s="1"/>
  <c r="BH18" i="4"/>
  <c r="BG18" i="4"/>
  <c r="BG20" i="4" s="1"/>
  <c r="BF18" i="4"/>
  <c r="BE18" i="4"/>
  <c r="BE20" i="4" s="1"/>
  <c r="BD18" i="4"/>
  <c r="BD20" i="4" s="1"/>
  <c r="BC18" i="4"/>
  <c r="BC20" i="4" s="1"/>
  <c r="BB18" i="4"/>
  <c r="BB20" i="4" s="1"/>
  <c r="BA18" i="4"/>
  <c r="BA20" i="4" s="1"/>
  <c r="AZ18" i="4"/>
  <c r="AY18" i="4"/>
  <c r="AY20" i="4" s="1"/>
  <c r="AW18" i="4"/>
  <c r="AV18" i="4"/>
  <c r="AV20" i="4" s="1"/>
  <c r="AU18" i="4"/>
  <c r="AU20" i="4" s="1"/>
  <c r="AT18" i="4"/>
  <c r="AS18" i="4"/>
  <c r="AS20" i="4" s="1"/>
  <c r="AR18" i="4"/>
  <c r="AR20" i="4" s="1"/>
  <c r="AQ18" i="4"/>
  <c r="AQ20" i="4" s="1"/>
  <c r="AP18" i="4"/>
  <c r="AO18" i="4"/>
  <c r="AN18" i="4"/>
  <c r="AM18" i="4"/>
  <c r="AK18" i="4"/>
  <c r="AJ18" i="4"/>
  <c r="AI18" i="4"/>
  <c r="AI20" i="4" s="1"/>
  <c r="AH18" i="4"/>
  <c r="AG18" i="4"/>
  <c r="AG31" i="4" s="1"/>
  <c r="AF18" i="4"/>
  <c r="AE18" i="4"/>
  <c r="AD18" i="4"/>
  <c r="AD20" i="4" s="1"/>
  <c r="AA18" i="4"/>
  <c r="AA20" i="4" s="1"/>
  <c r="Z18" i="4"/>
  <c r="Z20" i="4" s="1"/>
  <c r="Y18" i="4"/>
  <c r="Y20" i="4" s="1"/>
  <c r="X18" i="4"/>
  <c r="W18" i="4"/>
  <c r="W20" i="4" s="1"/>
  <c r="V18" i="4"/>
  <c r="V31" i="4" s="1"/>
  <c r="U18" i="4"/>
  <c r="T18" i="4"/>
  <c r="S18" i="4"/>
  <c r="R18" i="4"/>
  <c r="Q18" i="4"/>
  <c r="P18" i="4"/>
  <c r="L18" i="4"/>
  <c r="K18" i="4"/>
  <c r="J18" i="4"/>
  <c r="I18" i="4"/>
  <c r="H18" i="4"/>
  <c r="G18" i="4"/>
  <c r="AB17" i="4"/>
  <c r="AB18" i="4" s="1"/>
  <c r="AB20" i="4" s="1"/>
  <c r="AX16" i="4"/>
  <c r="AX18" i="4" s="1"/>
  <c r="AX20" i="4" s="1"/>
  <c r="O16" i="4"/>
  <c r="O18" i="4" s="1"/>
  <c r="N16" i="4"/>
  <c r="N18" i="4" s="1"/>
  <c r="M16" i="4"/>
  <c r="M18" i="4" s="1"/>
  <c r="F16" i="4"/>
  <c r="F18" i="4" s="1"/>
  <c r="E16" i="4"/>
  <c r="E18" i="4" s="1"/>
  <c r="D16" i="4"/>
  <c r="D18" i="4" s="1"/>
  <c r="D31" i="4" s="1"/>
  <c r="AL15" i="4"/>
  <c r="AL18" i="4" s="1"/>
  <c r="AC15" i="4"/>
  <c r="AC18" i="4" s="1"/>
  <c r="AC20" i="4" s="1"/>
  <c r="AD14" i="4"/>
  <c r="S14" i="4"/>
  <c r="M14" i="4"/>
  <c r="AD13" i="4"/>
  <c r="BQ12" i="4"/>
  <c r="AY12" i="4"/>
  <c r="X12" i="4"/>
  <c r="S12" i="4"/>
  <c r="O11" i="4"/>
  <c r="AY9" i="4"/>
  <c r="AJ9" i="4"/>
  <c r="AG9" i="4"/>
  <c r="AA9" i="4"/>
  <c r="Z9" i="4"/>
  <c r="H9" i="4"/>
  <c r="AE20" i="4" l="1"/>
  <c r="J43" i="4"/>
  <c r="AB43" i="4"/>
  <c r="AR43" i="4"/>
  <c r="BH43" i="4"/>
  <c r="M43" i="4"/>
  <c r="Y43" i="4"/>
  <c r="AL20" i="4"/>
  <c r="AJ20" i="4"/>
  <c r="H43" i="4"/>
  <c r="AH43" i="4"/>
  <c r="AP43" i="4"/>
  <c r="AX43" i="4"/>
  <c r="BF43" i="4"/>
  <c r="AO43" i="4"/>
  <c r="D18" i="3"/>
  <c r="I43" i="4"/>
  <c r="Q43" i="4"/>
  <c r="AA43" i="4"/>
  <c r="AI43" i="4"/>
  <c r="AQ43" i="4"/>
  <c r="AY43" i="4"/>
  <c r="BG43" i="4"/>
  <c r="F18" i="3"/>
  <c r="AC43" i="4"/>
  <c r="AK20" i="4"/>
  <c r="AF20" i="4"/>
  <c r="AN20" i="4"/>
  <c r="L43" i="4"/>
  <c r="V43" i="4"/>
  <c r="AD43" i="4"/>
  <c r="AL43" i="4"/>
  <c r="AT43" i="4"/>
  <c r="BB43" i="4"/>
  <c r="AM20" i="4"/>
  <c r="BI43" i="4"/>
  <c r="AO20" i="4"/>
  <c r="E26" i="4"/>
  <c r="E28" i="4" s="1"/>
  <c r="E33" i="4" s="1"/>
  <c r="W26" i="4"/>
  <c r="E31" i="4"/>
  <c r="E32" i="4" s="1"/>
  <c r="AW20" i="4"/>
  <c r="AF32" i="4"/>
  <c r="AG30" i="4"/>
  <c r="AH30" i="4" s="1"/>
  <c r="AI30" i="4" s="1"/>
  <c r="AJ30" i="4" s="1"/>
  <c r="AK30" i="4" s="1"/>
  <c r="AL30" i="4" s="1"/>
  <c r="AM30" i="4" s="1"/>
  <c r="AN30" i="4" s="1"/>
  <c r="AO30" i="4" s="1"/>
  <c r="AP30" i="4" s="1"/>
  <c r="AQ30" i="4" s="1"/>
  <c r="AR30" i="4" s="1"/>
  <c r="M30" i="4"/>
  <c r="N30" i="4" s="1"/>
  <c r="O30" i="4" s="1"/>
  <c r="P30" i="4" s="1"/>
  <c r="Q30" i="4" s="1"/>
  <c r="R30" i="4" s="1"/>
  <c r="S30" i="4" s="1"/>
  <c r="AG20" i="4"/>
  <c r="D43" i="4"/>
  <c r="P43" i="4"/>
  <c r="BJ43" i="4"/>
  <c r="BP37" i="4"/>
  <c r="BL42" i="4"/>
  <c r="BM42" i="4" s="1"/>
  <c r="W28" i="4"/>
  <c r="W33" i="4" s="1"/>
  <c r="X26" i="4"/>
  <c r="W31" i="4"/>
  <c r="W32" i="4" s="1"/>
  <c r="W34" i="4" s="1"/>
  <c r="D29" i="4"/>
  <c r="E27" i="4"/>
  <c r="V29" i="4"/>
  <c r="W27" i="4"/>
  <c r="F43" i="4"/>
  <c r="N43" i="4"/>
  <c r="X43" i="4"/>
  <c r="AF43" i="4"/>
  <c r="AN43" i="4"/>
  <c r="AV43" i="4"/>
  <c r="BD43" i="4"/>
  <c r="BL43" i="4"/>
  <c r="CS3" i="9"/>
  <c r="AS11" i="4"/>
  <c r="AS30" i="4" s="1"/>
  <c r="AT30" i="4" s="1"/>
  <c r="AU30" i="4" s="1"/>
  <c r="AV30" i="4" s="1"/>
  <c r="AG3" i="9"/>
  <c r="AT3" i="9"/>
  <c r="AP3" i="9"/>
  <c r="AH31" i="4"/>
  <c r="D32" i="4"/>
  <c r="D34" i="4" s="1"/>
  <c r="V32" i="4"/>
  <c r="V34" i="4" s="1"/>
  <c r="Z5" i="2"/>
  <c r="Z9" i="2"/>
  <c r="Z6" i="2"/>
  <c r="E34" i="4" l="1"/>
  <c r="F26" i="4"/>
  <c r="F28" i="4" s="1"/>
  <c r="F33" i="4" s="1"/>
  <c r="AG32" i="4"/>
  <c r="F31" i="4"/>
  <c r="G31" i="4" s="1"/>
  <c r="X31" i="4"/>
  <c r="X32" i="4" s="1"/>
  <c r="X34" i="4" s="1"/>
  <c r="BQ37" i="4"/>
  <c r="E29" i="4"/>
  <c r="F27" i="4"/>
  <c r="Y26" i="4"/>
  <c r="X28" i="4"/>
  <c r="X33" i="4" s="1"/>
  <c r="W29" i="4"/>
  <c r="X27" i="4"/>
  <c r="BM43" i="4"/>
  <c r="BN42" i="4"/>
  <c r="W10" i="2"/>
  <c r="P10" i="2"/>
  <c r="T10" i="2"/>
  <c r="N10" i="2"/>
  <c r="O10" i="2"/>
  <c r="I10" i="2"/>
  <c r="D10" i="2"/>
  <c r="V10" i="2"/>
  <c r="K10" i="2"/>
  <c r="X10" i="2"/>
  <c r="J10" i="2"/>
  <c r="U10" i="2"/>
  <c r="M10" i="2"/>
  <c r="S10" i="2"/>
  <c r="E10" i="2"/>
  <c r="F10" i="2"/>
  <c r="G10" i="2"/>
  <c r="C10" i="2"/>
  <c r="H10" i="2"/>
  <c r="R10" i="2"/>
  <c r="Y10" i="2"/>
  <c r="B10" i="2"/>
  <c r="Q10" i="2"/>
  <c r="Y31" i="4"/>
  <c r="L10" i="2"/>
  <c r="AH32" i="4"/>
  <c r="AI31" i="4"/>
  <c r="AW30" i="4"/>
  <c r="F32" i="4" l="1"/>
  <c r="F34" i="4" s="1"/>
  <c r="G26" i="4"/>
  <c r="H26" i="4" s="1"/>
  <c r="F29" i="4"/>
  <c r="G27" i="4"/>
  <c r="BR37" i="4"/>
  <c r="BO42" i="4"/>
  <c r="BN43" i="4"/>
  <c r="X29" i="4"/>
  <c r="Y27" i="4"/>
  <c r="Y28" i="4"/>
  <c r="Y33" i="4" s="1"/>
  <c r="Z26" i="4"/>
  <c r="Z31" i="4"/>
  <c r="Y32" i="4"/>
  <c r="H31" i="4"/>
  <c r="G32" i="4"/>
  <c r="Z10" i="2"/>
  <c r="AX30" i="4"/>
  <c r="AI32" i="4"/>
  <c r="AJ31" i="4"/>
  <c r="G28" i="4" l="1"/>
  <c r="G33" i="4" s="1"/>
  <c r="G34" i="4" s="1"/>
  <c r="Y34" i="4"/>
  <c r="Z28" i="4"/>
  <c r="Z33" i="4" s="1"/>
  <c r="AA26" i="4"/>
  <c r="BP42" i="4"/>
  <c r="BO43" i="4"/>
  <c r="I26" i="4"/>
  <c r="H28" i="4"/>
  <c r="H33" i="4" s="1"/>
  <c r="Y29" i="4"/>
  <c r="Z27" i="4"/>
  <c r="BS37" i="4"/>
  <c r="G29" i="4"/>
  <c r="H27" i="4"/>
  <c r="H32" i="4"/>
  <c r="I31" i="4"/>
  <c r="AA31" i="4"/>
  <c r="Z32" i="4"/>
  <c r="Z34" i="4" s="1"/>
  <c r="AJ32" i="4"/>
  <c r="AK31" i="4"/>
  <c r="AY30" i="4"/>
  <c r="H34" i="4" l="1"/>
  <c r="AA27" i="4"/>
  <c r="Z29" i="4"/>
  <c r="BQ42" i="4"/>
  <c r="BP43" i="4"/>
  <c r="BT37" i="4"/>
  <c r="AA28" i="4"/>
  <c r="AA33" i="4" s="1"/>
  <c r="AB26" i="4"/>
  <c r="I27" i="4"/>
  <c r="H29" i="4"/>
  <c r="I28" i="4"/>
  <c r="I33" i="4" s="1"/>
  <c r="J26" i="4"/>
  <c r="I32" i="4"/>
  <c r="J31" i="4"/>
  <c r="AB31" i="4"/>
  <c r="AA32" i="4"/>
  <c r="AA34" i="4" s="1"/>
  <c r="AZ30" i="4"/>
  <c r="AK32" i="4"/>
  <c r="AL31" i="4"/>
  <c r="I34" i="4" l="1"/>
  <c r="BR42" i="4"/>
  <c r="BQ43" i="4"/>
  <c r="I29" i="4"/>
  <c r="J27" i="4"/>
  <c r="BU37" i="4"/>
  <c r="AA29" i="4"/>
  <c r="AB27" i="4"/>
  <c r="J28" i="4"/>
  <c r="J33" i="4" s="1"/>
  <c r="K26" i="4"/>
  <c r="AB28" i="4"/>
  <c r="AB33" i="4" s="1"/>
  <c r="AC26" i="4"/>
  <c r="J32" i="4"/>
  <c r="J34" i="4" s="1"/>
  <c r="K31" i="4"/>
  <c r="AC31" i="4"/>
  <c r="AB32" i="4"/>
  <c r="AB34" i="4" s="1"/>
  <c r="AL32" i="4"/>
  <c r="AM31" i="4"/>
  <c r="BA30" i="4"/>
  <c r="AB29" i="4" l="1"/>
  <c r="AC27" i="4"/>
  <c r="J29" i="4"/>
  <c r="K27" i="4"/>
  <c r="K28" i="4"/>
  <c r="K33" i="4" s="1"/>
  <c r="L26" i="4"/>
  <c r="AD26" i="4"/>
  <c r="AC28" i="4"/>
  <c r="AC33" i="4" s="1"/>
  <c r="BV37" i="4"/>
  <c r="BW37" i="4" s="1"/>
  <c r="BS42" i="4"/>
  <c r="BR43" i="4"/>
  <c r="K32" i="4"/>
  <c r="L31" i="4"/>
  <c r="AC32" i="4"/>
  <c r="AD31" i="4"/>
  <c r="BB30" i="4"/>
  <c r="AM32" i="4"/>
  <c r="AN31" i="4"/>
  <c r="K34" i="4" l="1"/>
  <c r="BX37" i="4"/>
  <c r="K29" i="4"/>
  <c r="L27" i="4"/>
  <c r="BT42" i="4"/>
  <c r="BS43" i="4"/>
  <c r="AD28" i="4"/>
  <c r="AD33" i="4" s="1"/>
  <c r="AE26" i="4"/>
  <c r="L28" i="4"/>
  <c r="L33" i="4" s="1"/>
  <c r="M26" i="4"/>
  <c r="AD27" i="4"/>
  <c r="AC29" i="4"/>
  <c r="AC34" i="4"/>
  <c r="L32" i="4"/>
  <c r="L34" i="4" s="1"/>
  <c r="M31" i="4"/>
  <c r="AD32" i="4"/>
  <c r="AE31" i="4"/>
  <c r="AE32" i="4" s="1"/>
  <c r="AN32" i="4"/>
  <c r="AO31" i="4"/>
  <c r="BC30" i="4"/>
  <c r="BY37" i="4" l="1"/>
  <c r="AD34" i="4"/>
  <c r="BU42" i="4"/>
  <c r="BT43" i="4"/>
  <c r="AE28" i="4"/>
  <c r="AE33" i="4" s="1"/>
  <c r="AE34" i="4" s="1"/>
  <c r="AF26" i="4"/>
  <c r="L29" i="4"/>
  <c r="M27" i="4"/>
  <c r="AD29" i="4"/>
  <c r="AE27" i="4"/>
  <c r="M28" i="4"/>
  <c r="M33" i="4" s="1"/>
  <c r="N26" i="4"/>
  <c r="N31" i="4"/>
  <c r="M32" i="4"/>
  <c r="M34" i="4" s="1"/>
  <c r="AP31" i="4"/>
  <c r="AO32" i="4"/>
  <c r="BD30" i="4"/>
  <c r="BZ37" i="4" l="1"/>
  <c r="N28" i="4"/>
  <c r="N33" i="4" s="1"/>
  <c r="O26" i="4"/>
  <c r="M29" i="4"/>
  <c r="N27" i="4"/>
  <c r="AE29" i="4"/>
  <c r="AF27" i="4"/>
  <c r="BV42" i="4"/>
  <c r="BU43" i="4"/>
  <c r="AG26" i="4"/>
  <c r="AF28" i="4"/>
  <c r="AF33" i="4" s="1"/>
  <c r="AF34" i="4" s="1"/>
  <c r="O31" i="4"/>
  <c r="N32" i="4"/>
  <c r="BE30" i="4"/>
  <c r="AP32" i="4"/>
  <c r="AQ31" i="4"/>
  <c r="N34" i="4" l="1"/>
  <c r="BV43" i="4"/>
  <c r="BW42" i="4"/>
  <c r="N29" i="4"/>
  <c r="O27" i="4"/>
  <c r="AF29" i="4"/>
  <c r="AG27" i="4"/>
  <c r="AG28" i="4"/>
  <c r="AG33" i="4" s="1"/>
  <c r="AG34" i="4" s="1"/>
  <c r="AH26" i="4"/>
  <c r="O28" i="4"/>
  <c r="O33" i="4" s="1"/>
  <c r="P26" i="4"/>
  <c r="P31" i="4"/>
  <c r="O32" i="4"/>
  <c r="AQ32" i="4"/>
  <c r="AR31" i="4"/>
  <c r="BF30" i="4"/>
  <c r="BX42" i="4" l="1"/>
  <c r="BW43" i="4"/>
  <c r="AG29" i="4"/>
  <c r="AH27" i="4"/>
  <c r="O34" i="4"/>
  <c r="AH28" i="4"/>
  <c r="AH33" i="4" s="1"/>
  <c r="AH34" i="4" s="1"/>
  <c r="AI26" i="4"/>
  <c r="O29" i="4"/>
  <c r="P27" i="4"/>
  <c r="P28" i="4"/>
  <c r="P33" i="4" s="1"/>
  <c r="Q26" i="4"/>
  <c r="Q31" i="4"/>
  <c r="P32" i="4"/>
  <c r="AR32" i="4"/>
  <c r="AS31" i="4"/>
  <c r="BG30" i="4"/>
  <c r="BY42" i="4" l="1"/>
  <c r="BX43" i="4"/>
  <c r="P34" i="4"/>
  <c r="Q27" i="4"/>
  <c r="P29" i="4"/>
  <c r="AI27" i="4"/>
  <c r="AH29" i="4"/>
  <c r="Q28" i="4"/>
  <c r="Q33" i="4" s="1"/>
  <c r="R26" i="4"/>
  <c r="AI28" i="4"/>
  <c r="AI33" i="4" s="1"/>
  <c r="AI34" i="4" s="1"/>
  <c r="AJ26" i="4"/>
  <c r="R31" i="4"/>
  <c r="Q32" i="4"/>
  <c r="BH30" i="4"/>
  <c r="AS32" i="4"/>
  <c r="AT31" i="4"/>
  <c r="BZ42" i="4" l="1"/>
  <c r="BZ43" i="4" s="1"/>
  <c r="BY43" i="4"/>
  <c r="Q34" i="4"/>
  <c r="R28" i="4"/>
  <c r="R33" i="4" s="1"/>
  <c r="S26" i="4"/>
  <c r="S28" i="4" s="1"/>
  <c r="S33" i="4" s="1"/>
  <c r="Q29" i="4"/>
  <c r="R27" i="4"/>
  <c r="AJ28" i="4"/>
  <c r="AJ33" i="4" s="1"/>
  <c r="AJ34" i="4" s="1"/>
  <c r="AK26" i="4"/>
  <c r="AI29" i="4"/>
  <c r="AJ27" i="4"/>
  <c r="S31" i="4"/>
  <c r="S32" i="4" s="1"/>
  <c r="R32" i="4"/>
  <c r="R34" i="4" s="1"/>
  <c r="AU31" i="4"/>
  <c r="AT32" i="4"/>
  <c r="BI30" i="4"/>
  <c r="S34" i="4" l="1"/>
  <c r="AL26" i="4"/>
  <c r="AK28" i="4"/>
  <c r="AK33" i="4" s="1"/>
  <c r="AK34" i="4" s="1"/>
  <c r="AJ29" i="4"/>
  <c r="AK27" i="4"/>
  <c r="R29" i="4"/>
  <c r="S27" i="4"/>
  <c r="S29" i="4" s="1"/>
  <c r="BJ30" i="4"/>
  <c r="AV31" i="4"/>
  <c r="AU32" i="4"/>
  <c r="AL27" i="4" l="1"/>
  <c r="AK29" i="4"/>
  <c r="AL28" i="4"/>
  <c r="AL33" i="4" s="1"/>
  <c r="AL34" i="4" s="1"/>
  <c r="AM26" i="4"/>
  <c r="AW31" i="4"/>
  <c r="AV32" i="4"/>
  <c r="BK30" i="4"/>
  <c r="AL29" i="4" l="1"/>
  <c r="AM27" i="4"/>
  <c r="AM28" i="4"/>
  <c r="AM33" i="4" s="1"/>
  <c r="AM34" i="4" s="1"/>
  <c r="AN26" i="4"/>
  <c r="BL30" i="4"/>
  <c r="AX31" i="4"/>
  <c r="AW32" i="4"/>
  <c r="AM29" i="4" l="1"/>
  <c r="AN27" i="4"/>
  <c r="AN28" i="4"/>
  <c r="AN33" i="4" s="1"/>
  <c r="AN34" i="4" s="1"/>
  <c r="AO26" i="4"/>
  <c r="AY31" i="4"/>
  <c r="AX32" i="4"/>
  <c r="BM30" i="4"/>
  <c r="AN29" i="4" l="1"/>
  <c r="AO27" i="4"/>
  <c r="AO28" i="4"/>
  <c r="AO33" i="4" s="1"/>
  <c r="AO34" i="4" s="1"/>
  <c r="AP26" i="4"/>
  <c r="BN30" i="4"/>
  <c r="AZ31" i="4"/>
  <c r="AY32" i="4"/>
  <c r="AO29" i="4" l="1"/>
  <c r="AP27" i="4"/>
  <c r="AP28" i="4"/>
  <c r="AP33" i="4" s="1"/>
  <c r="AP34" i="4" s="1"/>
  <c r="AQ26" i="4"/>
  <c r="BA31" i="4"/>
  <c r="AZ32" i="4"/>
  <c r="BO30" i="4"/>
  <c r="AQ27" i="4" l="1"/>
  <c r="AP29" i="4"/>
  <c r="AQ28" i="4"/>
  <c r="AQ33" i="4" s="1"/>
  <c r="AQ34" i="4" s="1"/>
  <c r="AR26" i="4"/>
  <c r="BP30" i="4"/>
  <c r="BB31" i="4"/>
  <c r="BA32" i="4"/>
  <c r="AQ29" i="4" l="1"/>
  <c r="AR27" i="4"/>
  <c r="AR28" i="4"/>
  <c r="AR33" i="4" s="1"/>
  <c r="AR34" i="4" s="1"/>
  <c r="AS26" i="4"/>
  <c r="BC31" i="4"/>
  <c r="BB32" i="4"/>
  <c r="BQ30" i="4"/>
  <c r="AR29" i="4" l="1"/>
  <c r="AS27" i="4"/>
  <c r="AT26" i="4"/>
  <c r="AS28" i="4"/>
  <c r="AS33" i="4" s="1"/>
  <c r="AS34" i="4" s="1"/>
  <c r="BR30" i="4"/>
  <c r="BS30" i="4" s="1"/>
  <c r="BT30" i="4" s="1"/>
  <c r="BU30" i="4" s="1"/>
  <c r="BV30" i="4" s="1"/>
  <c r="BW30" i="4" s="1"/>
  <c r="BX30" i="4" s="1"/>
  <c r="BY30" i="4" s="1"/>
  <c r="BZ30" i="4" s="1"/>
  <c r="BD31" i="4"/>
  <c r="BC32" i="4"/>
  <c r="AT28" i="4" l="1"/>
  <c r="AT33" i="4" s="1"/>
  <c r="AT34" i="4" s="1"/>
  <c r="AU26" i="4"/>
  <c r="AS29" i="4"/>
  <c r="AT27" i="4"/>
  <c r="BE31" i="4"/>
  <c r="BD32" i="4"/>
  <c r="AU28" i="4" l="1"/>
  <c r="AU33" i="4" s="1"/>
  <c r="AU34" i="4" s="1"/>
  <c r="AV26" i="4"/>
  <c r="AT29" i="4"/>
  <c r="AU27" i="4"/>
  <c r="BF31" i="4"/>
  <c r="BE32" i="4"/>
  <c r="AW26" i="4" l="1"/>
  <c r="AV28" i="4"/>
  <c r="AV33" i="4" s="1"/>
  <c r="AV34" i="4" s="1"/>
  <c r="AU29" i="4"/>
  <c r="AV27" i="4"/>
  <c r="BG31" i="4"/>
  <c r="BF32" i="4"/>
  <c r="AW28" i="4" l="1"/>
  <c r="AW33" i="4" s="1"/>
  <c r="AW34" i="4" s="1"/>
  <c r="AX26" i="4"/>
  <c r="AV29" i="4"/>
  <c r="AW27" i="4"/>
  <c r="BH31" i="4"/>
  <c r="BG32" i="4"/>
  <c r="AX28" i="4" l="1"/>
  <c r="AX33" i="4" s="1"/>
  <c r="AX34" i="4" s="1"/>
  <c r="AY26" i="4"/>
  <c r="AW29" i="4"/>
  <c r="AX27" i="4"/>
  <c r="BI31" i="4"/>
  <c r="BH32" i="4"/>
  <c r="AY28" i="4" l="1"/>
  <c r="AY33" i="4" s="1"/>
  <c r="AY34" i="4" s="1"/>
  <c r="AZ26" i="4"/>
  <c r="AY27" i="4"/>
  <c r="AX29" i="4"/>
  <c r="BJ31" i="4"/>
  <c r="BI32" i="4"/>
  <c r="AY29" i="4" l="1"/>
  <c r="AZ27" i="4"/>
  <c r="AZ28" i="4"/>
  <c r="AZ33" i="4" s="1"/>
  <c r="AZ34" i="4" s="1"/>
  <c r="BA26" i="4"/>
  <c r="BK31" i="4"/>
  <c r="BJ32" i="4"/>
  <c r="AZ29" i="4" l="1"/>
  <c r="BA27" i="4"/>
  <c r="BB26" i="4"/>
  <c r="BA28" i="4"/>
  <c r="BA33" i="4" s="1"/>
  <c r="BA34" i="4" s="1"/>
  <c r="BL31" i="4"/>
  <c r="BK32" i="4"/>
  <c r="BB28" i="4" l="1"/>
  <c r="BB33" i="4" s="1"/>
  <c r="BB34" i="4" s="1"/>
  <c r="BC26" i="4"/>
  <c r="BB27" i="4"/>
  <c r="BA29" i="4"/>
  <c r="BM31" i="4"/>
  <c r="BL32" i="4"/>
  <c r="BB29" i="4" l="1"/>
  <c r="BC27" i="4"/>
  <c r="BC28" i="4"/>
  <c r="BC33" i="4" s="1"/>
  <c r="BC34" i="4" s="1"/>
  <c r="BD26" i="4"/>
  <c r="BN31" i="4"/>
  <c r="BM32" i="4"/>
  <c r="BC29" i="4" l="1"/>
  <c r="BD27" i="4"/>
  <c r="BE26" i="4"/>
  <c r="BD28" i="4"/>
  <c r="BD33" i="4" s="1"/>
  <c r="BD34" i="4" s="1"/>
  <c r="BO31" i="4"/>
  <c r="BN32" i="4"/>
  <c r="BE28" i="4" l="1"/>
  <c r="BE33" i="4" s="1"/>
  <c r="BE34" i="4" s="1"/>
  <c r="BF26" i="4"/>
  <c r="BD29" i="4"/>
  <c r="BE27" i="4"/>
  <c r="BP31" i="4"/>
  <c r="BO32" i="4"/>
  <c r="BF28" i="4" l="1"/>
  <c r="BF33" i="4" s="1"/>
  <c r="BF34" i="4" s="1"/>
  <c r="BG26" i="4"/>
  <c r="BE29" i="4"/>
  <c r="BF27" i="4"/>
  <c r="BQ31" i="4"/>
  <c r="BP32" i="4"/>
  <c r="BG27" i="4" l="1"/>
  <c r="BF29" i="4"/>
  <c r="BG28" i="4"/>
  <c r="BG33" i="4" s="1"/>
  <c r="BG34" i="4" s="1"/>
  <c r="BH26" i="4"/>
  <c r="BR31" i="4"/>
  <c r="BQ32" i="4"/>
  <c r="BH28" i="4" l="1"/>
  <c r="BH33" i="4" s="1"/>
  <c r="BH34" i="4" s="1"/>
  <c r="BI26" i="4"/>
  <c r="BG29" i="4"/>
  <c r="BH27" i="4"/>
  <c r="BR32" i="4"/>
  <c r="BS31" i="4"/>
  <c r="BJ26" i="4" l="1"/>
  <c r="BI28" i="4"/>
  <c r="BI33" i="4" s="1"/>
  <c r="BI34" i="4" s="1"/>
  <c r="BH29" i="4"/>
  <c r="BI27" i="4"/>
  <c r="BS32" i="4"/>
  <c r="BT31" i="4"/>
  <c r="BJ28" i="4" l="1"/>
  <c r="BJ33" i="4" s="1"/>
  <c r="BJ34" i="4" s="1"/>
  <c r="BK26" i="4"/>
  <c r="BJ27" i="4"/>
  <c r="BI29" i="4"/>
  <c r="BT32" i="4"/>
  <c r="BU31" i="4"/>
  <c r="BJ29" i="4" l="1"/>
  <c r="BK27" i="4"/>
  <c r="BK28" i="4"/>
  <c r="BK33" i="4" s="1"/>
  <c r="BK34" i="4" s="1"/>
  <c r="BL26" i="4"/>
  <c r="BU32" i="4"/>
  <c r="BV31" i="4"/>
  <c r="BV32" i="4" l="1"/>
  <c r="BW31" i="4"/>
  <c r="BL28" i="4"/>
  <c r="BL33" i="4" s="1"/>
  <c r="BL34" i="4" s="1"/>
  <c r="BM26" i="4"/>
  <c r="BL27" i="4"/>
  <c r="BK29" i="4"/>
  <c r="BW32" i="4" l="1"/>
  <c r="BX31" i="4"/>
  <c r="BM28" i="4"/>
  <c r="BM33" i="4" s="1"/>
  <c r="BM34" i="4" s="1"/>
  <c r="BN26" i="4"/>
  <c r="BL29" i="4"/>
  <c r="BM27" i="4"/>
  <c r="BX32" i="4" l="1"/>
  <c r="BY31" i="4"/>
  <c r="BM29" i="4"/>
  <c r="BN27" i="4"/>
  <c r="BO26" i="4"/>
  <c r="BN28" i="4"/>
  <c r="BN33" i="4" s="1"/>
  <c r="BN34" i="4" s="1"/>
  <c r="BY32" i="4" l="1"/>
  <c r="BZ31" i="4"/>
  <c r="BZ32" i="4" s="1"/>
  <c r="BP26" i="4"/>
  <c r="BO28" i="4"/>
  <c r="BO33" i="4" s="1"/>
  <c r="BO34" i="4" s="1"/>
  <c r="BO27" i="4"/>
  <c r="BN29" i="4"/>
  <c r="BP28" i="4" l="1"/>
  <c r="BP33" i="4" s="1"/>
  <c r="BP34" i="4" s="1"/>
  <c r="BQ26" i="4"/>
  <c r="BO29" i="4"/>
  <c r="BP27" i="4"/>
  <c r="BP29" i="4" l="1"/>
  <c r="BQ27" i="4"/>
  <c r="BQ28" i="4"/>
  <c r="BQ33" i="4" s="1"/>
  <c r="BQ34" i="4" s="1"/>
  <c r="BR26" i="4"/>
  <c r="BS26" i="4" l="1"/>
  <c r="BR28" i="4"/>
  <c r="BR33" i="4" s="1"/>
  <c r="BR34" i="4" s="1"/>
  <c r="BR27" i="4"/>
  <c r="BQ29" i="4"/>
  <c r="BS28" i="4" l="1"/>
  <c r="BS33" i="4" s="1"/>
  <c r="BS34" i="4" s="1"/>
  <c r="BT26" i="4"/>
  <c r="BR29" i="4"/>
  <c r="BS27" i="4"/>
  <c r="BT27" i="4" l="1"/>
  <c r="BS29" i="4"/>
  <c r="BT28" i="4"/>
  <c r="BT33" i="4" s="1"/>
  <c r="BT34" i="4" s="1"/>
  <c r="BU26" i="4"/>
  <c r="BT29" i="4" l="1"/>
  <c r="BU27" i="4"/>
  <c r="BU28" i="4"/>
  <c r="BU33" i="4" s="1"/>
  <c r="BU34" i="4" s="1"/>
  <c r="BV26" i="4"/>
  <c r="BV28" i="4" l="1"/>
  <c r="BV33" i="4" s="1"/>
  <c r="BV34" i="4" s="1"/>
  <c r="BW26" i="4"/>
  <c r="BU29" i="4"/>
  <c r="BV27" i="4"/>
  <c r="BW28" i="4" l="1"/>
  <c r="BW33" i="4" s="1"/>
  <c r="BW34" i="4" s="1"/>
  <c r="BX26" i="4"/>
  <c r="BV29" i="4"/>
  <c r="BW27" i="4"/>
  <c r="BX28" i="4" l="1"/>
  <c r="BY26" i="4"/>
  <c r="BW29" i="4"/>
  <c r="BX27" i="4"/>
  <c r="BX29" i="4" l="1"/>
  <c r="BY27" i="4"/>
  <c r="BY28" i="4"/>
  <c r="BY33" i="4" s="1"/>
  <c r="BY34" i="4" s="1"/>
  <c r="BZ26" i="4"/>
  <c r="BZ28" i="4" s="1"/>
  <c r="BZ33" i="4" s="1"/>
  <c r="BZ34" i="4" s="1"/>
  <c r="BX33" i="4"/>
  <c r="BX34" i="4" s="1"/>
  <c r="BY29" i="4" l="1"/>
  <c r="BZ27" i="4"/>
  <c r="BZ29" i="4" s="1"/>
</calcChain>
</file>

<file path=xl/sharedStrings.xml><?xml version="1.0" encoding="utf-8"?>
<sst xmlns="http://schemas.openxmlformats.org/spreadsheetml/2006/main" count="2370" uniqueCount="923">
  <si>
    <t>CUSTOMER</t>
  </si>
  <si>
    <t>AREA</t>
  </si>
  <si>
    <t>COST OF CAR PARK</t>
  </si>
  <si>
    <t>BASIC COST</t>
  </si>
  <si>
    <t>Sold or Unsold</t>
  </si>
  <si>
    <t>IFMS</t>
  </si>
  <si>
    <t xml:space="preserve">EXTRA CHARGES </t>
  </si>
  <si>
    <t>Total Sales Consideration</t>
  </si>
  <si>
    <t xml:space="preserve">Construction Update </t>
  </si>
  <si>
    <t>Customer MIS</t>
  </si>
  <si>
    <t>Dashboard</t>
  </si>
  <si>
    <t xml:space="preserve">Total Area in Project </t>
  </si>
  <si>
    <t>Sq Ft</t>
  </si>
  <si>
    <t xml:space="preserve">Units </t>
  </si>
  <si>
    <t xml:space="preserve">Sales In the Month </t>
  </si>
  <si>
    <t>Area</t>
  </si>
  <si>
    <t>Value of Sold Area</t>
  </si>
  <si>
    <t>Rs. Cr</t>
  </si>
  <si>
    <t>Cancellations (if any)</t>
  </si>
  <si>
    <t xml:space="preserve">Value of Cancellations </t>
  </si>
  <si>
    <t>Collections from old sales</t>
  </si>
  <si>
    <t>Collections from fresh sales (this month)</t>
  </si>
  <si>
    <t xml:space="preserve">Escrow Account Balance </t>
  </si>
  <si>
    <t xml:space="preserve">Other Existing Bank Escrow (If Any ) Balance </t>
  </si>
  <si>
    <t>Cumulative sold</t>
  </si>
  <si>
    <t xml:space="preserve">Sq Ft </t>
  </si>
  <si>
    <t>units</t>
  </si>
  <si>
    <t>Area unsold</t>
  </si>
  <si>
    <t>Units unsold</t>
  </si>
  <si>
    <t xml:space="preserve">Cumulative Collections </t>
  </si>
  <si>
    <t>Receivables book (total sold but not received)</t>
  </si>
  <si>
    <t>Value of unsold (as per business plan)</t>
  </si>
  <si>
    <t>Receivables + value of unsold</t>
  </si>
  <si>
    <t>Construction Cost Paid</t>
  </si>
  <si>
    <t xml:space="preserve">Total Cost As Per B Plan </t>
  </si>
  <si>
    <t>Marketing &amp; Selling overheads</t>
  </si>
  <si>
    <t>Admin Cost including taxes</t>
  </si>
  <si>
    <t xml:space="preserve">Cost </t>
  </si>
  <si>
    <t xml:space="preserve">Start Date </t>
  </si>
  <si>
    <t xml:space="preserve">Target End Date </t>
  </si>
  <si>
    <t xml:space="preserve">Discription Of Status  : 
Any Major Issues: </t>
  </si>
  <si>
    <t>Nature of payment</t>
  </si>
  <si>
    <t>Due date</t>
  </si>
  <si>
    <t>Amount paid</t>
  </si>
  <si>
    <t>Date paid</t>
  </si>
  <si>
    <t>Remarks</t>
  </si>
  <si>
    <t>Interest</t>
  </si>
  <si>
    <t xml:space="preserve">S No. </t>
  </si>
  <si>
    <t>Processing Fee</t>
  </si>
  <si>
    <t xml:space="preserve">Gross Amount </t>
  </si>
  <si>
    <t>Amount due (Net Of TDS)</t>
  </si>
  <si>
    <t>Payment Details</t>
  </si>
  <si>
    <t xml:space="preserve">Total </t>
  </si>
  <si>
    <t xml:space="preserve">FD Details </t>
  </si>
  <si>
    <t xml:space="preserve">FD No. </t>
  </si>
  <si>
    <t xml:space="preserve">Amount </t>
  </si>
  <si>
    <t xml:space="preserve">Tenor </t>
  </si>
  <si>
    <t xml:space="preserve">End Date </t>
  </si>
  <si>
    <t>Maturity Amount</t>
  </si>
  <si>
    <t xml:space="preserve">Status  ( Active / Closed) </t>
  </si>
  <si>
    <t xml:space="preserve">Purpose 
(ISRA / Interest) </t>
  </si>
  <si>
    <t xml:space="preserve">Disbursement </t>
  </si>
  <si>
    <t xml:space="preserve">Amount  </t>
  </si>
  <si>
    <t xml:space="preserve">Date </t>
  </si>
  <si>
    <t>Tranche 1</t>
  </si>
  <si>
    <t>Tranche 2</t>
  </si>
  <si>
    <t>Tranche 3</t>
  </si>
  <si>
    <t>Tranche 4</t>
  </si>
  <si>
    <t>Tranche 5</t>
  </si>
  <si>
    <t>Tranche 6</t>
  </si>
  <si>
    <t>Tranche 7</t>
  </si>
  <si>
    <t>Tranche 8</t>
  </si>
  <si>
    <t>Tranche 9</t>
  </si>
  <si>
    <t>Tranche 10</t>
  </si>
  <si>
    <t>Tranche 11</t>
  </si>
  <si>
    <t>Tranche 12</t>
  </si>
  <si>
    <t>Tranche 13</t>
  </si>
  <si>
    <t>Tranche 14</t>
  </si>
  <si>
    <t>Tranche 15</t>
  </si>
  <si>
    <t>Tranche 16</t>
  </si>
  <si>
    <t>Tranche 17</t>
  </si>
  <si>
    <t>Tranche 18</t>
  </si>
  <si>
    <t>Tranche 19</t>
  </si>
  <si>
    <t xml:space="preserve">Prepayment </t>
  </si>
  <si>
    <t xml:space="preserve">Sold Receivables </t>
  </si>
  <si>
    <t xml:space="preserve">Area </t>
  </si>
  <si>
    <t>Total Area</t>
  </si>
  <si>
    <t xml:space="preserve">Sold Area </t>
  </si>
  <si>
    <t xml:space="preserve">Name of Approval </t>
  </si>
  <si>
    <t xml:space="preserve">Receiving Date </t>
  </si>
  <si>
    <t xml:space="preserve">Valid Till </t>
  </si>
  <si>
    <t xml:space="preserve">Remarks </t>
  </si>
  <si>
    <t xml:space="preserve">Approval Status </t>
  </si>
  <si>
    <t xml:space="preserve">Customer Name </t>
  </si>
  <si>
    <t xml:space="preserve">Unit No. </t>
  </si>
  <si>
    <t xml:space="preserve">Tower No. </t>
  </si>
  <si>
    <t>Total Sales Consideration (Exculting IFMS and Service Tax)</t>
  </si>
  <si>
    <t>Price (Per Sqft)</t>
  </si>
  <si>
    <t>MSP per sqft</t>
  </si>
  <si>
    <t>Shortfall (If any)</t>
  </si>
  <si>
    <t xml:space="preserve">NOC Date </t>
  </si>
  <si>
    <t xml:space="preserve">Date Of Booking </t>
  </si>
  <si>
    <t xml:space="preserve">Sales NOC </t>
  </si>
  <si>
    <t>5 Years</t>
  </si>
  <si>
    <t>On time</t>
  </si>
  <si>
    <t>Sold Units</t>
  </si>
  <si>
    <t>Land Cost (Including Interest)</t>
  </si>
  <si>
    <t>Financing Cost (Interest on Loan)</t>
  </si>
  <si>
    <t>ISRA</t>
  </si>
  <si>
    <t>Active</t>
  </si>
  <si>
    <t>50300149302812</t>
  </si>
  <si>
    <t>HDFC Escrow Balance + Operating A/c</t>
  </si>
  <si>
    <t>50300149303087</t>
  </si>
  <si>
    <t>Date of Booking</t>
  </si>
  <si>
    <t>Demand Raised in Dec 2016</t>
  </si>
  <si>
    <t xml:space="preserve">Collection in Dec 2016 </t>
  </si>
  <si>
    <t>Total Received till Nov 30, 2016</t>
  </si>
  <si>
    <t>C1</t>
  </si>
  <si>
    <t>C1-1701</t>
  </si>
  <si>
    <t>C1-1803</t>
  </si>
  <si>
    <t>C1-2103</t>
  </si>
  <si>
    <t>C2</t>
  </si>
  <si>
    <t>C2-1005</t>
  </si>
  <si>
    <t>C2-1105</t>
  </si>
  <si>
    <t>C2-2103</t>
  </si>
  <si>
    <t>C3</t>
  </si>
  <si>
    <t>C3-506</t>
  </si>
  <si>
    <t>C3-1204</t>
  </si>
  <si>
    <t>C3-1502</t>
  </si>
  <si>
    <t>C4</t>
  </si>
  <si>
    <t>C4-8</t>
  </si>
  <si>
    <t>C4-1104</t>
  </si>
  <si>
    <t>C4-2004</t>
  </si>
  <si>
    <t>C5</t>
  </si>
  <si>
    <t>C5-2</t>
  </si>
  <si>
    <t>C5-103</t>
  </si>
  <si>
    <t>C5-1101</t>
  </si>
  <si>
    <t>C5-1104</t>
  </si>
  <si>
    <t>C5-1608</t>
  </si>
  <si>
    <t>C6</t>
  </si>
  <si>
    <t>C6-102</t>
  </si>
  <si>
    <t>C6-106</t>
  </si>
  <si>
    <t>C6-1105</t>
  </si>
  <si>
    <t>C7</t>
  </si>
  <si>
    <t>C7-4</t>
  </si>
  <si>
    <t>C7-803</t>
  </si>
  <si>
    <t>C7-902</t>
  </si>
  <si>
    <t>C7-1001</t>
  </si>
  <si>
    <t>C7-1102</t>
  </si>
  <si>
    <t>C9</t>
  </si>
  <si>
    <t>C9-2103</t>
  </si>
  <si>
    <t>C10</t>
  </si>
  <si>
    <t>C10-101</t>
  </si>
  <si>
    <t>C12</t>
  </si>
  <si>
    <t>C12-102</t>
  </si>
  <si>
    <t>C12-202</t>
  </si>
  <si>
    <t>C12-401</t>
  </si>
  <si>
    <t>C12-1002</t>
  </si>
  <si>
    <t>C16</t>
  </si>
  <si>
    <t>C16-806</t>
  </si>
  <si>
    <t>C16-907</t>
  </si>
  <si>
    <t>C16-1201</t>
  </si>
  <si>
    <t>C16-1204</t>
  </si>
  <si>
    <t>C16-2302</t>
  </si>
  <si>
    <t>C14</t>
  </si>
  <si>
    <t>C15</t>
  </si>
  <si>
    <t>P1</t>
  </si>
  <si>
    <t>P2</t>
  </si>
  <si>
    <t>P3</t>
  </si>
  <si>
    <t>P4</t>
  </si>
  <si>
    <t>P5</t>
  </si>
  <si>
    <t>P7</t>
  </si>
  <si>
    <t>P6</t>
  </si>
  <si>
    <t>P8</t>
  </si>
  <si>
    <t>P9</t>
  </si>
  <si>
    <t>C1-2404</t>
  </si>
  <si>
    <t>C1-2802</t>
  </si>
  <si>
    <t>C1-2803</t>
  </si>
  <si>
    <t>C1-2804</t>
  </si>
  <si>
    <t>C1-107</t>
  </si>
  <si>
    <t>C1-1907</t>
  </si>
  <si>
    <t>C1-2007</t>
  </si>
  <si>
    <t>C1-2108</t>
  </si>
  <si>
    <t>C1-2605</t>
  </si>
  <si>
    <t>C1-2608</t>
  </si>
  <si>
    <t>C1-2705</t>
  </si>
  <si>
    <t>C1-2706</t>
  </si>
  <si>
    <t>C1-2805</t>
  </si>
  <si>
    <t>C1-2806</t>
  </si>
  <si>
    <t>C1-2807</t>
  </si>
  <si>
    <t>C1-2808</t>
  </si>
  <si>
    <t>C2-2502</t>
  </si>
  <si>
    <t>C2-2601</t>
  </si>
  <si>
    <t>C2-2602</t>
  </si>
  <si>
    <t>C2-2603</t>
  </si>
  <si>
    <t>C2-106</t>
  </si>
  <si>
    <t>C2-1506</t>
  </si>
  <si>
    <t>C2-2306</t>
  </si>
  <si>
    <t>C2-2606</t>
  </si>
  <si>
    <t>C2-2607</t>
  </si>
  <si>
    <t>C2-2608</t>
  </si>
  <si>
    <t>C3-1104</t>
  </si>
  <si>
    <t>C3-1904</t>
  </si>
  <si>
    <t>C3-2604</t>
  </si>
  <si>
    <t>C3-2605</t>
  </si>
  <si>
    <t>C3-2606</t>
  </si>
  <si>
    <t>C3-2607</t>
  </si>
  <si>
    <t>C4-1002</t>
  </si>
  <si>
    <t>C4-101</t>
  </si>
  <si>
    <t>C4-103</t>
  </si>
  <si>
    <t>C4-1401</t>
  </si>
  <si>
    <t>C4-1402</t>
  </si>
  <si>
    <t>C4-1502</t>
  </si>
  <si>
    <t>C4-1601</t>
  </si>
  <si>
    <t>C4-1603</t>
  </si>
  <si>
    <t>C4-1701</t>
  </si>
  <si>
    <t>C4-1803</t>
  </si>
  <si>
    <t>C4-1901</t>
  </si>
  <si>
    <t>C4-2</t>
  </si>
  <si>
    <t>C4-2001</t>
  </si>
  <si>
    <t>C4-203</t>
  </si>
  <si>
    <t>C4-2103</t>
  </si>
  <si>
    <t>C4-2203</t>
  </si>
  <si>
    <t>C4-2301</t>
  </si>
  <si>
    <t>C4-2303</t>
  </si>
  <si>
    <t>C4-2503</t>
  </si>
  <si>
    <t>C4-2603</t>
  </si>
  <si>
    <t>C4-2804</t>
  </si>
  <si>
    <t>C4-3</t>
  </si>
  <si>
    <t>C4-601</t>
  </si>
  <si>
    <t>C4-801</t>
  </si>
  <si>
    <t>C4-802</t>
  </si>
  <si>
    <t>C4-2807</t>
  </si>
  <si>
    <t>C5-104</t>
  </si>
  <si>
    <t>C5-1202</t>
  </si>
  <si>
    <t>C5-1402</t>
  </si>
  <si>
    <t>C5-1403</t>
  </si>
  <si>
    <t>C5-1404</t>
  </si>
  <si>
    <t>C5-1503</t>
  </si>
  <si>
    <t>C5-1602</t>
  </si>
  <si>
    <t>C5-1603</t>
  </si>
  <si>
    <t>C5-1604</t>
  </si>
  <si>
    <t>C5-1702</t>
  </si>
  <si>
    <t>C5-1802</t>
  </si>
  <si>
    <t>C5-1804</t>
  </si>
  <si>
    <t>C5-1902</t>
  </si>
  <si>
    <t>C5-1903</t>
  </si>
  <si>
    <t>C5-1904</t>
  </si>
  <si>
    <t>C5-2003</t>
  </si>
  <si>
    <t>C5-2004</t>
  </si>
  <si>
    <t>C5-202</t>
  </si>
  <si>
    <t>C5-204</t>
  </si>
  <si>
    <t>C5-2102</t>
  </si>
  <si>
    <t>C5-2104</t>
  </si>
  <si>
    <t>C5-2202</t>
  </si>
  <si>
    <t>C5-2402</t>
  </si>
  <si>
    <t>C5-2502</t>
  </si>
  <si>
    <t>C5-2602</t>
  </si>
  <si>
    <t>C5-3</t>
  </si>
  <si>
    <t>C5-302</t>
  </si>
  <si>
    <t>C5-303</t>
  </si>
  <si>
    <t>C5-402</t>
  </si>
  <si>
    <t>C5-403</t>
  </si>
  <si>
    <t>C5-404</t>
  </si>
  <si>
    <t>C5-503</t>
  </si>
  <si>
    <t>C5-504</t>
  </si>
  <si>
    <t>C5-602</t>
  </si>
  <si>
    <t>C5-603</t>
  </si>
  <si>
    <t>C5-604</t>
  </si>
  <si>
    <t>C5-803</t>
  </si>
  <si>
    <t>C5-2606</t>
  </si>
  <si>
    <t>C5-2607</t>
  </si>
  <si>
    <t>C6-101</t>
  </si>
  <si>
    <t>C6-103</t>
  </si>
  <si>
    <t>C6-104</t>
  </si>
  <si>
    <t>C6-1102</t>
  </si>
  <si>
    <t>C6-1103</t>
  </si>
  <si>
    <t>C6-1502</t>
  </si>
  <si>
    <t>C6-1503</t>
  </si>
  <si>
    <t>C6-1504</t>
  </si>
  <si>
    <t>C6-1601</t>
  </si>
  <si>
    <t>C6-1602</t>
  </si>
  <si>
    <t>C6-1603</t>
  </si>
  <si>
    <t>C6-1604</t>
  </si>
  <si>
    <t>C6-1701</t>
  </si>
  <si>
    <t>C6-1703</t>
  </si>
  <si>
    <t>C6-1704</t>
  </si>
  <si>
    <t>C6-1801</t>
  </si>
  <si>
    <t>C6-1802</t>
  </si>
  <si>
    <t>C6-1803</t>
  </si>
  <si>
    <t>C6-1804</t>
  </si>
  <si>
    <t>C6-1901</t>
  </si>
  <si>
    <t>C6-1902</t>
  </si>
  <si>
    <t>C6-1903</t>
  </si>
  <si>
    <t>C6-1904</t>
  </si>
  <si>
    <t>C6-2001</t>
  </si>
  <si>
    <t>C6-2002</t>
  </si>
  <si>
    <t>C6-2003</t>
  </si>
  <si>
    <t>C6-2004</t>
  </si>
  <si>
    <t>C6-201</t>
  </si>
  <si>
    <t>C6-202</t>
  </si>
  <si>
    <t>C6-2101</t>
  </si>
  <si>
    <t>C6-2102</t>
  </si>
  <si>
    <t>C6-2103</t>
  </si>
  <si>
    <t>C6-2201</t>
  </si>
  <si>
    <t>C6-2203</t>
  </si>
  <si>
    <t>C6-2204</t>
  </si>
  <si>
    <t>C6-2301</t>
  </si>
  <si>
    <t>C6-2302</t>
  </si>
  <si>
    <t>C6-2303</t>
  </si>
  <si>
    <t>C6-2304</t>
  </si>
  <si>
    <t>C6-2402</t>
  </si>
  <si>
    <t>C6-2403</t>
  </si>
  <si>
    <t>C6-2503</t>
  </si>
  <si>
    <t>C6-2504</t>
  </si>
  <si>
    <t>C6-2603</t>
  </si>
  <si>
    <t>C6-2604</t>
  </si>
  <si>
    <t>C6-2703</t>
  </si>
  <si>
    <t>C6-2802</t>
  </si>
  <si>
    <t>C6-2803</t>
  </si>
  <si>
    <t>C6-301</t>
  </si>
  <si>
    <t>C6-302</t>
  </si>
  <si>
    <t>C6-304</t>
  </si>
  <si>
    <t>C6-401</t>
  </si>
  <si>
    <t>C6-402</t>
  </si>
  <si>
    <t>C6-403</t>
  </si>
  <si>
    <t>C6-404</t>
  </si>
  <si>
    <t>C6-501</t>
  </si>
  <si>
    <t>C6-502</t>
  </si>
  <si>
    <t>C6-504</t>
  </si>
  <si>
    <t>C6-601</t>
  </si>
  <si>
    <t>C6-602</t>
  </si>
  <si>
    <t>C6-603</t>
  </si>
  <si>
    <t>C6-604</t>
  </si>
  <si>
    <t>C6-902</t>
  </si>
  <si>
    <t>C6-904</t>
  </si>
  <si>
    <t>C6-2806</t>
  </si>
  <si>
    <t>C7-101</t>
  </si>
  <si>
    <t>C7-102</t>
  </si>
  <si>
    <t>C7-103</t>
  </si>
  <si>
    <t>C7-1401</t>
  </si>
  <si>
    <t>C7-1402</t>
  </si>
  <si>
    <t>C7-1403</t>
  </si>
  <si>
    <t>C7-1601</t>
  </si>
  <si>
    <t>C7-1602</t>
  </si>
  <si>
    <t>C7-1603</t>
  </si>
  <si>
    <t>C7-1701</t>
  </si>
  <si>
    <t>C7-1702</t>
  </si>
  <si>
    <t>C7-1801</t>
  </si>
  <si>
    <t>C7-1802</t>
  </si>
  <si>
    <t>C7-1803</t>
  </si>
  <si>
    <t>C7-1901</t>
  </si>
  <si>
    <t>C7-1902</t>
  </si>
  <si>
    <t>C7-1903</t>
  </si>
  <si>
    <t>C7-2</t>
  </si>
  <si>
    <t>C7-2001</t>
  </si>
  <si>
    <t>C7-2002</t>
  </si>
  <si>
    <t>C7-2003</t>
  </si>
  <si>
    <t>C7-2004</t>
  </si>
  <si>
    <t>C7-201</t>
  </si>
  <si>
    <t>C7-202</t>
  </si>
  <si>
    <t>C7-203</t>
  </si>
  <si>
    <t>C7-2101</t>
  </si>
  <si>
    <t>C7-2102</t>
  </si>
  <si>
    <t>C7-2201</t>
  </si>
  <si>
    <t>C7-2301</t>
  </si>
  <si>
    <t>C7-2302</t>
  </si>
  <si>
    <t>C7-2304</t>
  </si>
  <si>
    <t>C7-2401</t>
  </si>
  <si>
    <t>C7-2402</t>
  </si>
  <si>
    <t>C7-2403</t>
  </si>
  <si>
    <t>C7-2501</t>
  </si>
  <si>
    <t>C7-2502</t>
  </si>
  <si>
    <t>C7-2503</t>
  </si>
  <si>
    <t>C7-2601</t>
  </si>
  <si>
    <t>C7-2602</t>
  </si>
  <si>
    <t>C7-2603</t>
  </si>
  <si>
    <t>C7-3</t>
  </si>
  <si>
    <t>C7-301</t>
  </si>
  <si>
    <t>C7-302</t>
  </si>
  <si>
    <t>C7-401</t>
  </si>
  <si>
    <t>C7-402</t>
  </si>
  <si>
    <t>C7-403</t>
  </si>
  <si>
    <t>C7-501</t>
  </si>
  <si>
    <t>C7-502</t>
  </si>
  <si>
    <t>C7-503</t>
  </si>
  <si>
    <t>C7-601</t>
  </si>
  <si>
    <t>C7-603</t>
  </si>
  <si>
    <t>C7-2207</t>
  </si>
  <si>
    <t>C7-2306</t>
  </si>
  <si>
    <t>C7-2406</t>
  </si>
  <si>
    <t>C7-2407</t>
  </si>
  <si>
    <t>C7-2505</t>
  </si>
  <si>
    <t>C7-2507</t>
  </si>
  <si>
    <t>C7-2605</t>
  </si>
  <si>
    <t>C7-2606</t>
  </si>
  <si>
    <t>C7-2607</t>
  </si>
  <si>
    <t>C7-2608</t>
  </si>
  <si>
    <t>C8-1003</t>
  </si>
  <si>
    <t>C8-1103</t>
  </si>
  <si>
    <t>C8-1202</t>
  </si>
  <si>
    <t>C8-1203</t>
  </si>
  <si>
    <t>C8-1402</t>
  </si>
  <si>
    <t>C8-1403</t>
  </si>
  <si>
    <t>C8-1502</t>
  </si>
  <si>
    <t>C8-1602</t>
  </si>
  <si>
    <t>C8-1702</t>
  </si>
  <si>
    <t>C8-1802</t>
  </si>
  <si>
    <t>C8-1803</t>
  </si>
  <si>
    <t>C8-1902</t>
  </si>
  <si>
    <t>C8-2</t>
  </si>
  <si>
    <t>C8-2002</t>
  </si>
  <si>
    <t>C8-2003</t>
  </si>
  <si>
    <t>C8-203</t>
  </si>
  <si>
    <t>C8-2103</t>
  </si>
  <si>
    <t>C8-2203</t>
  </si>
  <si>
    <t>C8-2302</t>
  </si>
  <si>
    <t>C8-2303</t>
  </si>
  <si>
    <t>C8-2502</t>
  </si>
  <si>
    <t>C8-2503</t>
  </si>
  <si>
    <t>C8-2504</t>
  </si>
  <si>
    <t>C8-302</t>
  </si>
  <si>
    <t>C8-303</t>
  </si>
  <si>
    <t>C8-403</t>
  </si>
  <si>
    <t>C8-502</t>
  </si>
  <si>
    <t>C8-503</t>
  </si>
  <si>
    <t>C8-603</t>
  </si>
  <si>
    <t>C8-702</t>
  </si>
  <si>
    <t>C8-802</t>
  </si>
  <si>
    <t>C8-803</t>
  </si>
  <si>
    <t>C8-1006</t>
  </si>
  <si>
    <t>C8-1007</t>
  </si>
  <si>
    <t>C8-106</t>
  </si>
  <si>
    <t>C8-107</t>
  </si>
  <si>
    <t>C8-1106</t>
  </si>
  <si>
    <t>C8-1107</t>
  </si>
  <si>
    <t>C8-1207</t>
  </si>
  <si>
    <t>C8-1406</t>
  </si>
  <si>
    <t>C8-1407</t>
  </si>
  <si>
    <t>C8-1506</t>
  </si>
  <si>
    <t>C8-1606</t>
  </si>
  <si>
    <t>C8-1607</t>
  </si>
  <si>
    <t>C8-1706</t>
  </si>
  <si>
    <t>C8-1707</t>
  </si>
  <si>
    <t>C8-1906</t>
  </si>
  <si>
    <t>C8-1907</t>
  </si>
  <si>
    <t>C8-2007</t>
  </si>
  <si>
    <t>C8-206</t>
  </si>
  <si>
    <t>C8-207</t>
  </si>
  <si>
    <t>C8-2105</t>
  </si>
  <si>
    <t>C8-2106</t>
  </si>
  <si>
    <t>C8-2107</t>
  </si>
  <si>
    <t>C8-2206</t>
  </si>
  <si>
    <t>C8-2207</t>
  </si>
  <si>
    <t>C8-2307</t>
  </si>
  <si>
    <t>C8-2406</t>
  </si>
  <si>
    <t>C8-2407</t>
  </si>
  <si>
    <t>C8-2506</t>
  </si>
  <si>
    <t>C8-2507</t>
  </si>
  <si>
    <t>C8-2508</t>
  </si>
  <si>
    <t>C8-307</t>
  </si>
  <si>
    <t>C8-406</t>
  </si>
  <si>
    <t>C8-407</t>
  </si>
  <si>
    <t>C8-506</t>
  </si>
  <si>
    <t>C8-507</t>
  </si>
  <si>
    <t>C8-606</t>
  </si>
  <si>
    <t>C8-607</t>
  </si>
  <si>
    <t>C8-706</t>
  </si>
  <si>
    <t>C8-707</t>
  </si>
  <si>
    <t>C8-806</t>
  </si>
  <si>
    <t>C8-807</t>
  </si>
  <si>
    <t>C8-906</t>
  </si>
  <si>
    <t>C8-907</t>
  </si>
  <si>
    <t>C9-2801</t>
  </si>
  <si>
    <t>C9-2901</t>
  </si>
  <si>
    <t>C9-2902</t>
  </si>
  <si>
    <t>C9-1604</t>
  </si>
  <si>
    <t>C9-1804</t>
  </si>
  <si>
    <t>C9-1904</t>
  </si>
  <si>
    <t>C9-2004</t>
  </si>
  <si>
    <t>C9-2304</t>
  </si>
  <si>
    <t>C9-2404</t>
  </si>
  <si>
    <t>C9-2504</t>
  </si>
  <si>
    <t>C9-2604</t>
  </si>
  <si>
    <t>C9-2704</t>
  </si>
  <si>
    <t>C9-2804</t>
  </si>
  <si>
    <t>C9-2904</t>
  </si>
  <si>
    <t>C10-2501</t>
  </si>
  <si>
    <t>C10-2602</t>
  </si>
  <si>
    <t>C10-1903</t>
  </si>
  <si>
    <t>C10-2003</t>
  </si>
  <si>
    <t>C10-2403</t>
  </si>
  <si>
    <t>C10-2503</t>
  </si>
  <si>
    <t>C10-2603</t>
  </si>
  <si>
    <t>C10-2604</t>
  </si>
  <si>
    <t>C12-1503</t>
  </si>
  <si>
    <t>C12-1602</t>
  </si>
  <si>
    <t>C12-1802</t>
  </si>
  <si>
    <t>C12-1803</t>
  </si>
  <si>
    <t>C12-1902</t>
  </si>
  <si>
    <t>C12-1903</t>
  </si>
  <si>
    <t>C12-2102</t>
  </si>
  <si>
    <t>C12-2103</t>
  </si>
  <si>
    <t>C12-2203</t>
  </si>
  <si>
    <t>C12-2302</t>
  </si>
  <si>
    <t>C12-2303</t>
  </si>
  <si>
    <t>C12-2304</t>
  </si>
  <si>
    <t>C12-2402</t>
  </si>
  <si>
    <t>C12-2403</t>
  </si>
  <si>
    <t>C12-2502</t>
  </si>
  <si>
    <t>C12-2503</t>
  </si>
  <si>
    <t>C12-2504</t>
  </si>
  <si>
    <t>C12-2602</t>
  </si>
  <si>
    <t>C12-2603</t>
  </si>
  <si>
    <t>C12-2604</t>
  </si>
  <si>
    <t>C12-2702</t>
  </si>
  <si>
    <t>C12-2703</t>
  </si>
  <si>
    <t>C12-2704</t>
  </si>
  <si>
    <t>C12-2801</t>
  </si>
  <si>
    <t>C12-2802</t>
  </si>
  <si>
    <t>C12-2803</t>
  </si>
  <si>
    <t>C12-2804</t>
  </si>
  <si>
    <t>C12-3</t>
  </si>
  <si>
    <t>C12-302</t>
  </si>
  <si>
    <t>C12-303</t>
  </si>
  <si>
    <t>C12-502</t>
  </si>
  <si>
    <t>C12-503</t>
  </si>
  <si>
    <t>C12-601</t>
  </si>
  <si>
    <t>C12-602</t>
  </si>
  <si>
    <t>C12-703</t>
  </si>
  <si>
    <t>C12-803</t>
  </si>
  <si>
    <t>C12-903</t>
  </si>
  <si>
    <t>C12-1005</t>
  </si>
  <si>
    <t>C12-107</t>
  </si>
  <si>
    <t>C12-1105</t>
  </si>
  <si>
    <t>C12-1107</t>
  </si>
  <si>
    <t>C12-1205</t>
  </si>
  <si>
    <t>C12-1207</t>
  </si>
  <si>
    <t>C12-1208</t>
  </si>
  <si>
    <t>C12-1405</t>
  </si>
  <si>
    <t>C12-1407</t>
  </si>
  <si>
    <t>C12-1408</t>
  </si>
  <si>
    <t>C12-1507</t>
  </si>
  <si>
    <t>C12-1508</t>
  </si>
  <si>
    <t>C12-1605</t>
  </si>
  <si>
    <t>C12-1607</t>
  </si>
  <si>
    <t>C12-1707</t>
  </si>
  <si>
    <t>C12-1805</t>
  </si>
  <si>
    <t>C12-1807</t>
  </si>
  <si>
    <t>C12-1907</t>
  </si>
  <si>
    <t>C12-2005</t>
  </si>
  <si>
    <t>C12-2007</t>
  </si>
  <si>
    <t>C12-207</t>
  </si>
  <si>
    <t>C12-2107</t>
  </si>
  <si>
    <t>C12-2205</t>
  </si>
  <si>
    <t>C12-2305</t>
  </si>
  <si>
    <t>C12-2308</t>
  </si>
  <si>
    <t>C12-2406</t>
  </si>
  <si>
    <t>C12-2407</t>
  </si>
  <si>
    <t>C12-2505</t>
  </si>
  <si>
    <t>C12-2507</t>
  </si>
  <si>
    <t>C12-2508</t>
  </si>
  <si>
    <t>C12-2605</t>
  </si>
  <si>
    <t>C12-2606</t>
  </si>
  <si>
    <t>C12-2607</t>
  </si>
  <si>
    <t>C12-2608</t>
  </si>
  <si>
    <t>C12-2705</t>
  </si>
  <si>
    <t>C12-2707</t>
  </si>
  <si>
    <t>C12-2708</t>
  </si>
  <si>
    <t>C12-2805</t>
  </si>
  <si>
    <t>C12-2807</t>
  </si>
  <si>
    <t>C12-2808</t>
  </si>
  <si>
    <t>C12-407</t>
  </si>
  <si>
    <t>C12-605</t>
  </si>
  <si>
    <t>C12-606</t>
  </si>
  <si>
    <t>C12-607</t>
  </si>
  <si>
    <t>C12-706</t>
  </si>
  <si>
    <t>C12-707</t>
  </si>
  <si>
    <t>C12-708</t>
  </si>
  <si>
    <t>C12-805</t>
  </si>
  <si>
    <t>C12-807</t>
  </si>
  <si>
    <t>C12-905</t>
  </si>
  <si>
    <t>C12-907</t>
  </si>
  <si>
    <t>C16-2403</t>
  </si>
  <si>
    <t>C16-2503</t>
  </si>
  <si>
    <t>C16-2601</t>
  </si>
  <si>
    <t>C16-2602</t>
  </si>
  <si>
    <t>C16-2603</t>
  </si>
  <si>
    <t>C16-2604</t>
  </si>
  <si>
    <t>C16-903</t>
  </si>
  <si>
    <t>C16-1406</t>
  </si>
  <si>
    <t>C16-2407</t>
  </si>
  <si>
    <t>C16-2605</t>
  </si>
  <si>
    <t>C16-608</t>
  </si>
  <si>
    <t>C14-1004</t>
  </si>
  <si>
    <t>C14-1604</t>
  </si>
  <si>
    <t>C14-1804</t>
  </si>
  <si>
    <t>C14-1904</t>
  </si>
  <si>
    <t>C14-2004</t>
  </si>
  <si>
    <t>C14-2104</t>
  </si>
  <si>
    <t>C14-2404</t>
  </si>
  <si>
    <t>C14-2504</t>
  </si>
  <si>
    <t>C14-2703</t>
  </si>
  <si>
    <t>C14-2704</t>
  </si>
  <si>
    <t>C14-2803</t>
  </si>
  <si>
    <t>C14-2804</t>
  </si>
  <si>
    <t>C14-2904</t>
  </si>
  <si>
    <t>C14-4</t>
  </si>
  <si>
    <t>C14-1001</t>
  </si>
  <si>
    <t>C14-2001</t>
  </si>
  <si>
    <t>C14-2301</t>
  </si>
  <si>
    <t>C14-2501</t>
  </si>
  <si>
    <t>C14-2601</t>
  </si>
  <si>
    <t>C14-2701</t>
  </si>
  <si>
    <t>C14-2702</t>
  </si>
  <si>
    <t>C14-2901</t>
  </si>
  <si>
    <t>C11-1001</t>
  </si>
  <si>
    <t>C11-1002</t>
  </si>
  <si>
    <t>C11-1401</t>
  </si>
  <si>
    <t>C11-1402</t>
  </si>
  <si>
    <t>C11-1601</t>
  </si>
  <si>
    <t>C11-1901</t>
  </si>
  <si>
    <t>C11-2501</t>
  </si>
  <si>
    <t>C11-2601</t>
  </si>
  <si>
    <t>C11-2602</t>
  </si>
  <si>
    <t>C11-2604</t>
  </si>
  <si>
    <t>C11-1006</t>
  </si>
  <si>
    <t>C11-107</t>
  </si>
  <si>
    <t>C11-1406</t>
  </si>
  <si>
    <t>C11-1507</t>
  </si>
  <si>
    <t>C11-1607</t>
  </si>
  <si>
    <t>C11-1706</t>
  </si>
  <si>
    <t>C11-1707</t>
  </si>
  <si>
    <t>C11-2006</t>
  </si>
  <si>
    <t>C11-2106</t>
  </si>
  <si>
    <t>C11-2107</t>
  </si>
  <si>
    <t>C11-2407</t>
  </si>
  <si>
    <t>C11-2506</t>
  </si>
  <si>
    <t>C11-2507</t>
  </si>
  <si>
    <t>C11-2508</t>
  </si>
  <si>
    <t>C11-2605</t>
  </si>
  <si>
    <t>C11-2606</t>
  </si>
  <si>
    <t>C11-2607</t>
  </si>
  <si>
    <t>C11-2608</t>
  </si>
  <si>
    <t>C11-607</t>
  </si>
  <si>
    <t>C11-807</t>
  </si>
  <si>
    <t>C15-1503</t>
  </si>
  <si>
    <t>C15-2003</t>
  </si>
  <si>
    <t>C15-2103</t>
  </si>
  <si>
    <t>C15-2203</t>
  </si>
  <si>
    <t>C15-2503</t>
  </si>
  <si>
    <t>C15-2603</t>
  </si>
  <si>
    <t>C15-2604</t>
  </si>
  <si>
    <t>C15-2502</t>
  </si>
  <si>
    <t>C15-2601</t>
  </si>
  <si>
    <t>C15-2602</t>
  </si>
  <si>
    <t>unsold</t>
  </si>
  <si>
    <t>C8</t>
  </si>
  <si>
    <t>C11</t>
  </si>
  <si>
    <t>Attached</t>
  </si>
  <si>
    <t>Demand Raised in Jan 2017</t>
  </si>
  <si>
    <t>Collection in jan 2017</t>
  </si>
  <si>
    <t>Total Sold area</t>
  </si>
  <si>
    <t>50300180854290</t>
  </si>
  <si>
    <t>INTEREST</t>
  </si>
  <si>
    <t>Demand Raised in Feb 2017</t>
  </si>
  <si>
    <t>Collection in Feb 2017</t>
  </si>
  <si>
    <t>50300184540450</t>
  </si>
  <si>
    <t>Demand Raised in Mar 2017</t>
  </si>
  <si>
    <t>Collection in Mar 2017</t>
  </si>
  <si>
    <t>Closed</t>
  </si>
  <si>
    <t>Demand Raised in Apr 2017</t>
  </si>
  <si>
    <t>Collection in Apr 2017</t>
  </si>
  <si>
    <t>C5-1601</t>
  </si>
  <si>
    <t>50300194439781</t>
  </si>
  <si>
    <t>59 Days</t>
  </si>
  <si>
    <t>50300194582671</t>
  </si>
  <si>
    <t>63 Days</t>
  </si>
  <si>
    <t>Demand Raised in May 2017</t>
  </si>
  <si>
    <t>Collection in May 2017</t>
  </si>
  <si>
    <t>50300196862016</t>
  </si>
  <si>
    <t>45 Days</t>
  </si>
  <si>
    <t>50300197118478</t>
  </si>
  <si>
    <t>48 Days</t>
  </si>
  <si>
    <t>50300199524202</t>
  </si>
  <si>
    <t>29 Days</t>
  </si>
  <si>
    <t>Demand Raised in June 2017</t>
  </si>
  <si>
    <t>Collection in June 2017</t>
  </si>
  <si>
    <t>TOTAL TAX</t>
  </si>
  <si>
    <t>TOWER</t>
  </si>
  <si>
    <t>CURRENT STATUS</t>
  </si>
  <si>
    <t>50300200189328</t>
  </si>
  <si>
    <t>24 Days</t>
  </si>
  <si>
    <t xml:space="preserve">50300203763827          </t>
  </si>
  <si>
    <t>Demand Raised in July 2017</t>
  </si>
  <si>
    <t>Collection in July 2017</t>
  </si>
  <si>
    <t>Demand Raised in Aug 2017</t>
  </si>
  <si>
    <t>Collection in Aug 2017</t>
  </si>
  <si>
    <t>Demand Raised in Sep 2017</t>
  </si>
  <si>
    <t>Collection in Sep 2017</t>
  </si>
  <si>
    <t>Tower</t>
  </si>
  <si>
    <t xml:space="preserve">50300213075129         </t>
  </si>
  <si>
    <t>28 Days</t>
  </si>
  <si>
    <t>Demand Raised in Oct 2017</t>
  </si>
  <si>
    <t>Collection in Oct 2017</t>
  </si>
  <si>
    <t>50300221155663</t>
  </si>
  <si>
    <t>58 Days</t>
  </si>
  <si>
    <t>Collection in Nov 2017</t>
  </si>
  <si>
    <t>41 Days</t>
  </si>
  <si>
    <t>Collection in Dec 2017</t>
  </si>
  <si>
    <t>CASTING OF OVER HEAD WATER TANK</t>
  </si>
  <si>
    <t>50300223979705</t>
  </si>
  <si>
    <t>50300229031880</t>
  </si>
  <si>
    <t>2 Years</t>
  </si>
  <si>
    <t>Collection in Jan-18</t>
  </si>
  <si>
    <t>50300233308497</t>
  </si>
  <si>
    <t>67 Days</t>
  </si>
  <si>
    <t>Collection in Feb-18</t>
  </si>
  <si>
    <t>50300238328357</t>
  </si>
  <si>
    <t>3 Days</t>
  </si>
  <si>
    <t>Collection in April-18</t>
  </si>
  <si>
    <t>Collection in May-18</t>
  </si>
  <si>
    <t>Collection in June-18</t>
  </si>
  <si>
    <t>PRATEEK GRAND CITY</t>
  </si>
  <si>
    <t>TARGET (1-15)</t>
  </si>
  <si>
    <t>TOP FLOOR ROOF SLAB</t>
  </si>
  <si>
    <t>50300247804271</t>
  </si>
  <si>
    <t>64 days</t>
  </si>
  <si>
    <t>50300250024112</t>
  </si>
  <si>
    <t>54 days</t>
  </si>
  <si>
    <t>50300254696218</t>
  </si>
  <si>
    <t>31 days</t>
  </si>
  <si>
    <t>Collection in July-18</t>
  </si>
  <si>
    <t xml:space="preserve">Total Area Launch in Project </t>
  </si>
  <si>
    <t xml:space="preserve">Total Units Launch in Project </t>
  </si>
  <si>
    <t>50300266236609</t>
  </si>
  <si>
    <t>3 Years</t>
  </si>
  <si>
    <t>50300260815966</t>
  </si>
  <si>
    <t>Demand Raised in July 2018</t>
  </si>
  <si>
    <t>Demand Raised in Aug 2018</t>
  </si>
  <si>
    <t>Collection in Aug-18</t>
  </si>
  <si>
    <t>50300269265631</t>
  </si>
  <si>
    <t>50300273803763</t>
  </si>
  <si>
    <t>51 days</t>
  </si>
  <si>
    <t>30 days</t>
  </si>
  <si>
    <t>Demand Raised in Sept 2018</t>
  </si>
  <si>
    <t>Collection in Sept-18</t>
  </si>
  <si>
    <t>PRATEEK REALTORS INDIA PVT. LTD.</t>
  </si>
  <si>
    <t>SR. NO.</t>
  </si>
  <si>
    <t>TOP ELEVATION WORK</t>
  </si>
  <si>
    <t>EWS/LIG/NTA</t>
  </si>
  <si>
    <t>Demand Raised in Oct 2018</t>
  </si>
  <si>
    <t>Collection in Oct-18</t>
  </si>
  <si>
    <t>MUMTY MACHINE ROOM CASTING</t>
  </si>
  <si>
    <t>50300286448072</t>
  </si>
  <si>
    <t>Demand Raised in Nov 2018</t>
  </si>
  <si>
    <t>Collection in Nov-18</t>
  </si>
  <si>
    <t>Flat No.</t>
  </si>
  <si>
    <t>58 days</t>
  </si>
  <si>
    <t>50300288526971</t>
  </si>
  <si>
    <t>Demand Raised in Dec 2018</t>
  </si>
  <si>
    <t>Collection in Dec-18</t>
  </si>
  <si>
    <t>Demand Raised in Jan-19</t>
  </si>
  <si>
    <t>Collection in Jan-19</t>
  </si>
  <si>
    <t>50300306726276</t>
  </si>
  <si>
    <t>50300308675373</t>
  </si>
  <si>
    <t>68 Days</t>
  </si>
  <si>
    <t>Collection in Feb-19</t>
  </si>
  <si>
    <t>Demand Raised in Feb-19</t>
  </si>
  <si>
    <t>Before Time</t>
  </si>
  <si>
    <t>Demand Raised in Mar-19</t>
  </si>
  <si>
    <t>Collection in Mar-19</t>
  </si>
  <si>
    <t>Collection in April-19</t>
  </si>
  <si>
    <t>Demand Raised in April-19</t>
  </si>
  <si>
    <t>C12-1</t>
  </si>
  <si>
    <t>Demand Raised in May-19</t>
  </si>
  <si>
    <t>Collection in May-19</t>
  </si>
  <si>
    <t>Demand Raised in June-19</t>
  </si>
  <si>
    <t>Collection in June-19</t>
  </si>
  <si>
    <t>Demand Raised in July-19</t>
  </si>
  <si>
    <t>Collection in July-19</t>
  </si>
  <si>
    <t>TYPE</t>
  </si>
  <si>
    <t>CARPET AREA</t>
  </si>
  <si>
    <t>Demand Raised in Aug-19</t>
  </si>
  <si>
    <t>Collection in Aug-19</t>
  </si>
  <si>
    <t>TARGET (16-30)</t>
  </si>
  <si>
    <t>TERRACE FLOOR</t>
  </si>
  <si>
    <t>Payment Plan</t>
  </si>
  <si>
    <t>Home Loan Taken ( Yes/ NO)</t>
  </si>
  <si>
    <t>Name of lender</t>
  </si>
  <si>
    <t>Demand Raised in Sep-19</t>
  </si>
  <si>
    <t>Collection in Sep-19</t>
  </si>
  <si>
    <t>C8-306</t>
  </si>
  <si>
    <t>C12-1003</t>
  </si>
  <si>
    <t>GST Rebate, Subvention Interest and TDS</t>
  </si>
  <si>
    <t>Collection in MAR-18</t>
  </si>
  <si>
    <t xml:space="preserve">TERRACE FLOOR </t>
  </si>
  <si>
    <t>16TH  FLOOR ROOF SLAB</t>
  </si>
  <si>
    <t>TERRACE FLOOR  ROOF SLAB</t>
  </si>
  <si>
    <t>TOWER RAFT CASTING</t>
  </si>
  <si>
    <t xml:space="preserve"> NON TOWER ZONE - I , II &amp; III + COMMERCIAL. + STP + WTP</t>
  </si>
  <si>
    <t>Demand Raised in Oct-19</t>
  </si>
  <si>
    <t>Collection in Oct-19</t>
  </si>
  <si>
    <t xml:space="preserve">Cumulative Value of Sold </t>
  </si>
  <si>
    <t>27th FLOOR ROOF SLAB</t>
  </si>
  <si>
    <t>17TH  FLOOR ROOF SLAB</t>
  </si>
  <si>
    <t>Demand Raised in Nov-19</t>
  </si>
  <si>
    <t>Collection in Nov-19</t>
  </si>
  <si>
    <t>Collection in Dec-19</t>
  </si>
  <si>
    <t>Demand Raised in Dec-19</t>
  </si>
  <si>
    <t>Demand Raised in Jan-2020</t>
  </si>
  <si>
    <t>Collection in Jan-2020</t>
  </si>
  <si>
    <t>Receivables</t>
  </si>
  <si>
    <t>CONSTRUCTION PROGRAMME FOR THE MONTH OF FEBRUARY - 2020</t>
  </si>
  <si>
    <t>PARAPET/MUMTY MACHINE ROOM</t>
  </si>
  <si>
    <t xml:space="preserve">10TH FLOOR ROOF SLAB </t>
  </si>
  <si>
    <t>11TH FLOOR ROOF  SLAB</t>
  </si>
  <si>
    <t>12TH FLOOR ROOF  SLAB</t>
  </si>
  <si>
    <t>TERRACE FLOOR ROOF SLAB / PARAPET / MUMTY MACHINE ROOM</t>
  </si>
  <si>
    <t xml:space="preserve">PARAPET / MUMTY MACHINE ROOM </t>
  </si>
  <si>
    <t>15TH  FLOOR ROOF SLAB</t>
  </si>
  <si>
    <t>17TH FLOOR ROOF SLAB</t>
  </si>
  <si>
    <t>18TH  FLOOR ROOF SLAB</t>
  </si>
  <si>
    <t>19TH  FLOOR ROOF SLAB</t>
  </si>
  <si>
    <t>12TH FLOOR ROOF SLAB</t>
  </si>
  <si>
    <t>13TH FLOOR ROOF SLAB</t>
  </si>
  <si>
    <t>14TH FLOOR ROOF SLAB</t>
  </si>
  <si>
    <t>20TH  FLOOR ROOF SLAB</t>
  </si>
  <si>
    <t>21ST  FLOOR ROOF SLAB</t>
  </si>
  <si>
    <t>18TH FLOOR ROOF SLAB</t>
  </si>
  <si>
    <t>Demand Raised in Feb-2020</t>
  </si>
  <si>
    <t>Collection in Feb-2020</t>
  </si>
  <si>
    <t>Total Cost</t>
  </si>
  <si>
    <t>Collection in Mar-2020</t>
  </si>
  <si>
    <t>Collection in Apr-2020</t>
  </si>
  <si>
    <t>Demand Raised in May-2020</t>
  </si>
  <si>
    <t>Collection in May-2020</t>
  </si>
  <si>
    <t>Demand Raised in June-2020</t>
  </si>
  <si>
    <t>Collection in June-2020</t>
  </si>
  <si>
    <t>Total Sale Value</t>
  </si>
  <si>
    <t>Collection in July-2020</t>
  </si>
  <si>
    <t>Demand Raised in July-2020</t>
  </si>
  <si>
    <t>Demand Raised in Aug-2020</t>
  </si>
  <si>
    <t>Collection in Aug-2020</t>
  </si>
  <si>
    <t>Demand Raised in Sep-2020</t>
  </si>
  <si>
    <t>Collection in Sep-2020</t>
  </si>
  <si>
    <t>C6-1003</t>
  </si>
  <si>
    <t>Collection in Oct-2020</t>
  </si>
  <si>
    <t>Demand Raised in Oct-2020</t>
  </si>
  <si>
    <t>Demand Raised in Nov-2020</t>
  </si>
  <si>
    <t>Collection in Nov-2020</t>
  </si>
  <si>
    <t>Demand Raised in Dec-2020</t>
  </si>
  <si>
    <t>Collection in Dec-2020</t>
  </si>
  <si>
    <t>Collection in Jan-2021</t>
  </si>
  <si>
    <t>Demand Raised in Jan-2021</t>
  </si>
  <si>
    <t>Demand Raised in Feb-2021</t>
  </si>
  <si>
    <t>Collection in Feb-2021</t>
  </si>
  <si>
    <t>Demand Raised in Mar-2021</t>
  </si>
  <si>
    <t>Collection in Mar-2021</t>
  </si>
  <si>
    <t>Demand Raised in Apr-2021</t>
  </si>
  <si>
    <t>Collection in Apr-2021</t>
  </si>
  <si>
    <t>Demand Raised in May-2021</t>
  </si>
  <si>
    <t>Collection in May-2021</t>
  </si>
  <si>
    <t>Demand Raised in June-2021</t>
  </si>
  <si>
    <t>Collection in June-2021</t>
  </si>
  <si>
    <t>Demand Raised in July-2021</t>
  </si>
  <si>
    <t>Collection in July-2021</t>
  </si>
  <si>
    <t>Demand Raised in August-2021</t>
  </si>
  <si>
    <t>Collection in August-2021</t>
  </si>
  <si>
    <t>Demand Raised in September-2021</t>
  </si>
  <si>
    <t>Collection in September-2021</t>
  </si>
  <si>
    <t>Net Collection (in Bank)</t>
  </si>
  <si>
    <t>Total Collection (customer/Allotees)</t>
  </si>
  <si>
    <t>Demand Raised in October-2021</t>
  </si>
  <si>
    <t>Collection in October-2021</t>
  </si>
  <si>
    <t>Demand Raised in November-2021</t>
  </si>
  <si>
    <t>Collection in November-2021</t>
  </si>
  <si>
    <t>Demand Raised in December-2021</t>
  </si>
  <si>
    <t>Collection in December-2021</t>
  </si>
  <si>
    <t>Demand Raised in January-2022</t>
  </si>
  <si>
    <t>Collection in January-2022</t>
  </si>
  <si>
    <t>Demand Raised in February-2022</t>
  </si>
  <si>
    <t>Collection in February-2022</t>
  </si>
  <si>
    <t>Demand Raised in March-2022</t>
  </si>
  <si>
    <t>Collection in March-2022</t>
  </si>
  <si>
    <t>Demand Raised in April-2022</t>
  </si>
  <si>
    <t>Collection in April-2022</t>
  </si>
  <si>
    <t>C6-2</t>
  </si>
  <si>
    <t>C6-3</t>
  </si>
  <si>
    <t>C6-4</t>
  </si>
  <si>
    <t>C6-303</t>
  </si>
  <si>
    <t>C12-5</t>
  </si>
  <si>
    <t>C12-205</t>
  </si>
  <si>
    <t>C12-405</t>
  </si>
  <si>
    <t>C12-505</t>
  </si>
  <si>
    <t>Demand Raised in May-2022</t>
  </si>
  <si>
    <t>Collection in May-2022</t>
  </si>
  <si>
    <t>Demand Raised in June -2022</t>
  </si>
  <si>
    <t>Collection in June -2022</t>
  </si>
  <si>
    <t>C4-2701</t>
  </si>
  <si>
    <t>C4-2801</t>
  </si>
  <si>
    <t>C4-2002</t>
  </si>
  <si>
    <t>C4-501</t>
  </si>
  <si>
    <t>Demand Raised in JULY -2022</t>
  </si>
  <si>
    <t>Collection in JULY -2022</t>
  </si>
  <si>
    <t>Demand Raised in AUGUST -2022</t>
  </si>
  <si>
    <t>Collection in AUGUST -2022</t>
  </si>
  <si>
    <t>Refunds/Cancellations / Forfeited  (if any)/</t>
  </si>
  <si>
    <t>Demand Raised in SEPTEMBER -2022</t>
  </si>
  <si>
    <t>Collection in SEPTEMBER -2022</t>
  </si>
  <si>
    <t>Demand Raised in OCTOBER -2022</t>
  </si>
  <si>
    <t>Collection in OCTOBER -2022</t>
  </si>
  <si>
    <t>Demand Raised in NOVEMBER -2022</t>
  </si>
  <si>
    <t>Collection in NOVEMBER-2022</t>
  </si>
  <si>
    <t>Demand Raised in December -2022</t>
  </si>
  <si>
    <t>Collection in December-2022</t>
  </si>
  <si>
    <t>C4-1602</t>
  </si>
  <si>
    <t>Land Cost (Other Exp.)</t>
  </si>
  <si>
    <t>Demand Raised in January -2023</t>
  </si>
  <si>
    <t>Collection in January-2023</t>
  </si>
  <si>
    <t>Demand Raised in February -2023</t>
  </si>
  <si>
    <t>Collection in February-2023</t>
  </si>
  <si>
    <t>FLAT HANDOVER  UPTO 15.03.2023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</si>
</sst>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7">
    <numFmt numFmtId="41" formatCode="_ * #,##0_ ;_ * \-#,##0_ ;_ * &quot;-&quot;_ ;_ @_ "/>
    <numFmt numFmtId="43" formatCode="_ * #,##0.00_ ;_ * \-#,##0.00_ ;_ * &quot;-&quot;??_ ;_ @_ "/>
    <numFmt numFmtId="164" formatCode="&quot;£&quot;#,##0;[Red]\-&quot;£&quot;#,##0"/>
    <numFmt numFmtId="165" formatCode="_-&quot;£&quot;* #,##0_-;\-&quot;£&quot;* #,##0_-;_-&quot;£&quot;* &quot;-&quot;_-;_-@_-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&quot;$&quot;#,##0_);\(&quot;$&quot;#,##0\)"/>
    <numFmt numFmtId="170" formatCode="&quot;$&quot;#,##0_);[Red]\(&quot;$&quot;#,##0\)"/>
    <numFmt numFmtId="171" formatCode="_(* #,##0_);_(* \(#,##0\);_(* &quot;-&quot;_);_(@_)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_-;\-* #,##0_-;_-* &quot;-&quot;??_-;_-@_-"/>
    <numFmt numFmtId="175" formatCode="[$-409]mmm/yy;@"/>
    <numFmt numFmtId="176" formatCode="_(* #,##0_);_(* \(#,##0\);_(* &quot;-&quot;??_);_(@_)"/>
    <numFmt numFmtId="177" formatCode="\$#,##0.0_);\(\$###0.0\)_)"/>
    <numFmt numFmtId="178" formatCode="#,##0.0\x_);\(#,##0.0\)"/>
    <numFmt numFmtId="179" formatCode="_-&quot;$&quot;* #,##0_-;\-&quot;$&quot;* #,##0_-;_-&quot;$&quot;* &quot;-&quot;_-;_-@_-"/>
    <numFmt numFmtId="180" formatCode="&quot;\&quot;#,##0.00;[Red]&quot;\&quot;\-#,##0.00"/>
    <numFmt numFmtId="181" formatCode="&quot;?&quot;#,##0;&quot;?&quot;\-#,##0"/>
    <numFmt numFmtId="182" formatCode="&quot;α&quot;\ #,##0_);[Red]\(&quot;α&quot;\ #,##0\)"/>
    <numFmt numFmtId="183" formatCode="&quot;功&quot;\ #,##0_);[Red]\(&quot;功&quot;\ #,##0\)"/>
    <numFmt numFmtId="184" formatCode="\\\ #,##0_);[Red]\(\\\ #,##0\)"/>
    <numFmt numFmtId="185" formatCode="0.0_)\%;\(0.0\)\%;0.0_)\%;@_)_%"/>
    <numFmt numFmtId="186" formatCode="#,##0.0_)_%;\(#,##0.0\)_%;0.0_)_%;@_)_%"/>
    <numFmt numFmtId="187" formatCode="#,##0.0_);\(#,##0.0\);#,##0.0_);@_)"/>
    <numFmt numFmtId="188" formatCode="#,##0.0_);\(#,##0.0\)"/>
    <numFmt numFmtId="189" formatCode="&quot;\&quot;_(#,##0.00_);&quot;\&quot;\(#,##0.00\);&quot;\&quot;_(0.00_);@_)"/>
    <numFmt numFmtId="190" formatCode="&quot;$&quot;_(#,##0.00_);&quot;$&quot;\(#,##0.00\);&quot;$&quot;_(0.00_);@_)"/>
    <numFmt numFmtId="191" formatCode="&quot;\&quot;_(#,##0.00_);&quot;\&quot;\(#,##0.00\)"/>
    <numFmt numFmtId="192" formatCode="&quot;$&quot;_(#,##0.00_);&quot;$&quot;\(#,##0.00\)"/>
    <numFmt numFmtId="193" formatCode="#,##0\ &quot;F&quot;;[Red]\-#,##0\ &quot;F&quot;"/>
    <numFmt numFmtId="194" formatCode="mmm\-yy_)"/>
    <numFmt numFmtId="195" formatCode="#,##0.00_);\(#,##0.00\);0.00_);@_)"/>
    <numFmt numFmtId="196" formatCode="\€_(#,##0.00_);\€\(#,##0.00\);\€_(0.00_);@_)"/>
    <numFmt numFmtId="197" formatCode="&quot;€&quot;_(#,##0.00_);&quot;€&quot;\(#,##0.00\);&quot;€&quot;_(0.00_);@_)"/>
    <numFmt numFmtId="198" formatCode="#,##0_)\x;\(#,##0\)\x;0_)\x;@_)_x"/>
    <numFmt numFmtId="199" formatCode="#,##0.0_)\x;\(#,##0.0\)\x"/>
    <numFmt numFmtId="200" formatCode="#,##0.0_)\x;\(#,##0.0\)\x;0.0_)\x;@_)_x"/>
    <numFmt numFmtId="201" formatCode="#,##0.00\ &quot;F&quot;;\-#,##0.00\ &quot;F&quot;"/>
    <numFmt numFmtId="202" formatCode="0.0%"/>
    <numFmt numFmtId="203" formatCode="#,##0_)_x;\(#,##0\)_x;0_)_x;@_)_x"/>
    <numFmt numFmtId="204" formatCode="#,##0.0_)_x;\(#,##0.0\)_x"/>
    <numFmt numFmtId="205" formatCode="#,##0.0_)_x;\(#,##0.0\)_x;0.0_)_x;@_)_x"/>
    <numFmt numFmtId="206" formatCode="#,##0.00\ &quot;F&quot;;[Red]\-#,##0.00\ &quot;F&quot;"/>
    <numFmt numFmtId="207" formatCode="0.0"/>
    <numFmt numFmtId="208" formatCode="0.0_)\%;\(0.0\)\%"/>
    <numFmt numFmtId="209" formatCode="_-* #,##0\ &quot;F&quot;_-;\-* #,##0\ &quot;F&quot;_-;_-* &quot;-&quot;\ &quot;F&quot;_-;_-@_-"/>
    <numFmt numFmtId="210" formatCode=";;;"/>
    <numFmt numFmtId="211" formatCode="#,##0.0_)_%;\(#,##0.0\)_%"/>
    <numFmt numFmtId="212" formatCode="_-* #,##0\ _F_-;\-* #,##0\ _F_-;_-* &quot;-&quot;\ _F_-;_-@_-"/>
    <numFmt numFmtId="213" formatCode="mm/dd/yy_)"/>
    <numFmt numFmtId="214" formatCode="&quot;£&quot;\ #,##0_);[Red]\(&quot;£&quot;\ #,##0\)"/>
    <numFmt numFmtId="215" formatCode="&quot;￡&quot;\ #,##0_);[Red]\(&quot;￡&quot;\ #,##0\)"/>
    <numFmt numFmtId="216" formatCode="&quot;\&quot;#,##0.0_);\(&quot;\&quot;#,##0.0\)_)"/>
    <numFmt numFmtId="217" formatCode="m/yy"/>
    <numFmt numFmtId="218" formatCode="_ &quot;\&quot;* #,##0_ ;_ &quot;\&quot;* \-#,##0_ ;_ &quot;\&quot;* &quot;-&quot;_ ;_ @_ "/>
    <numFmt numFmtId="219" formatCode="_ &quot;\&quot;* #,##0.00_ ;_ &quot;\&quot;* \-#,##0.00_ ;_ &quot;\&quot;* &quot;-&quot;??_ ;_ @_ "/>
    <numFmt numFmtId="220" formatCode="&quot;$&quot;&quot; &quot;#,##0_);\(&quot;$&quot;&quot; &quot;#,##0\);\-_)"/>
    <numFmt numFmtId="221" formatCode="0%_);\(0%\);\-_)"/>
    <numFmt numFmtId="222" formatCode="#,##0_);\(#,##0\);\-_)"/>
    <numFmt numFmtId="223" formatCode="&quot;$&quot;&quot; &quot;#,##0.0_);\(&quot;$&quot;&quot; &quot;#,##0.0\);\-_)"/>
    <numFmt numFmtId="224" formatCode="0.0%_);\(0.0%\);\-_)"/>
    <numFmt numFmtId="225" formatCode="#,##0.0_);\(#,##0.0\);\-_)"/>
    <numFmt numFmtId="226" formatCode="&quot;$&quot;&quot; &quot;#,##0.00_);\(&quot;$&quot;&quot; &quot;#,##0.00\);\-_)"/>
    <numFmt numFmtId="227" formatCode="0.00%_);\(0.00%\);\-_)"/>
    <numFmt numFmtId="228" formatCode="#,##0.00_);\(#,##0.00\);\-_)"/>
    <numFmt numFmtId="229" formatCode="0.0000000%"/>
    <numFmt numFmtId="230" formatCode="0.000000%"/>
    <numFmt numFmtId="231" formatCode="0.00000%"/>
    <numFmt numFmtId="232" formatCode="0.00&quot;x&quot;"/>
    <numFmt numFmtId="233" formatCode="_(&quot;$&quot;* #,##0.0_);_(&quot;$&quot;* \(#,##0.0\);_(&quot;$&quot;* &quot;-&quot;??_);_(@_)"/>
    <numFmt numFmtId="234" formatCode="&quot;&quot;\ \ @"/>
    <numFmt numFmtId="235" formatCode="mm/dd"/>
    <numFmt numFmtId="236" formatCode="000"/>
    <numFmt numFmtId="237" formatCode="&quot;$&quot;#,##0.000"/>
    <numFmt numFmtId="238" formatCode="_(* #,##0.0_);_(* \(#,##0.0\);_(* &quot;-&quot;?_);_(@_)"/>
    <numFmt numFmtId="239" formatCode="000000000"/>
    <numFmt numFmtId="240" formatCode="0.00_);[Red]\(0.00\)"/>
    <numFmt numFmtId="241" formatCode="0.000_)"/>
    <numFmt numFmtId="242" formatCode="#,##0.000_);\(#,##0.000\)"/>
    <numFmt numFmtId="243" formatCode="_(&quot;Rs.&quot;* #,##0.00_);_(&quot;Rs.&quot;* \(#,##0.00\);_(&quot;Rs.&quot;* &quot;-&quot;??_);_(@_)"/>
    <numFmt numFmtId="244" formatCode="dd/mm/yy;@"/>
    <numFmt numFmtId="245" formatCode="[$-409]d\-mmm\-yyyy;@"/>
    <numFmt numFmtId="246" formatCode="[$-F800]dddd\,\ mmmm\ dd\,\ yyyy"/>
    <numFmt numFmtId="247" formatCode="&quot;&quot;0.00"/>
    <numFmt numFmtId="248" formatCode="0_);\(0\)"/>
    <numFmt numFmtId="249" formatCode="0.000%"/>
    <numFmt numFmtId="250" formatCode="#,##0;\(#,##0\)"/>
    <numFmt numFmtId="251" formatCode="&quot;$&quot;&quot; &quot;#,##0.0_);\(&quot;$&quot;&quot; &quot;#,##0.0\)"/>
    <numFmt numFmtId="252" formatCode="&quot;$&quot;&quot; &quot;#,##0.00_);\(&quot;$&quot;&quot; &quot;#,##0.00\)"/>
    <numFmt numFmtId="253" formatCode="&quot;$&quot;&quot; &quot;#,##0.000_);\(&quot;$&quot;&quot; &quot;#,##0.000\)"/>
    <numFmt numFmtId="254" formatCode="\$#,##0_);[Red]\(\$#,##0\)"/>
    <numFmt numFmtId="255" formatCode="\$#,##0.00_);\(\$#,##0.00\)"/>
    <numFmt numFmtId="256" formatCode="&quot;\&quot;#,##0;&quot;\&quot;\-#,##0"/>
    <numFmt numFmtId="257" formatCode="\$#,##0\ ;\(\$#,##0\)"/>
    <numFmt numFmtId="258" formatCode="dd\-mmm\-yy_)"/>
    <numFmt numFmtId="259" formatCode="0.00_)"/>
    <numFmt numFmtId="260" formatCode="General_)"/>
    <numFmt numFmtId="261" formatCode="d\-mmm\-yy_)"/>
    <numFmt numFmtId="262" formatCode="m/d/yy_)"/>
    <numFmt numFmtId="263" formatCode="m/yy_)"/>
    <numFmt numFmtId="264" formatCode="mmm\-yy&quot; &quot;"/>
    <numFmt numFmtId="265" formatCode="0.00000&quot;  &quot;"/>
    <numFmt numFmtId="266" formatCode="m/d/yy\ h:mm"/>
    <numFmt numFmtId="267" formatCode="* #,##0_%;* \-#,##0_%;* #,##0_%;@_%"/>
    <numFmt numFmtId="268" formatCode="_(* #,##0.0_);_(* \(#,##0.00\);_(* &quot;-&quot;??_);_(@_)"/>
    <numFmt numFmtId="269" formatCode="&quot;$&quot;#,\);\(&quot;$&quot;#,##0\)"/>
    <numFmt numFmtId="270" formatCode="_-* #,##0.00\ &quot;€&quot;_-;\-* #,##0.00\ &quot;€&quot;_-;_-* &quot;-&quot;??\ &quot;€&quot;_-;_-@_-"/>
    <numFmt numFmtId="271" formatCode="#\ 0/0_)"/>
    <numFmt numFmtId="272" formatCode="#\ 0/8_)"/>
    <numFmt numFmtId="273" formatCode="#\ ?/?_)"/>
    <numFmt numFmtId="274" formatCode="_-* #,##0.00\ _F_-;\-* #,##0.00\ _F_-;_-* &quot;-&quot;??\ _F_-;_-@_-"/>
    <numFmt numFmtId="275" formatCode="_-* #,##0\ &quot;DM&quot;_-;\-* #,##0\ &quot;DM&quot;_-;_-* &quot;-&quot;\ &quot;DM&quot;_-;_-@_-"/>
    <numFmt numFmtId="276" formatCode="_-* #,##0.00\ &quot;DM&quot;_-;\-* #,##0.00\ &quot;DM&quot;_-;_-* &quot;-&quot;??\ &quot;DM&quot;_-;_-@_-"/>
    <numFmt numFmtId="277" formatCode="#,##0.0\x_);\(#,##0.0\x\);#,##0.0\x_);@_)"/>
    <numFmt numFmtId="278" formatCode="_(\･* #,##0.00_);_(\･* \(#,##0.00\);_(\･* &quot;-&quot;??_);_(@_)"/>
    <numFmt numFmtId="279" formatCode="\･#,##0.00_);[Red]\(\･#,##0.00\)"/>
    <numFmt numFmtId="280" formatCode="_(&quot;･&quot;* #,##0.00_);_(&quot;･&quot;* \(#,##0.00\);_(&quot;･&quot;* &quot;-&quot;??_);_(@_)"/>
    <numFmt numFmtId="281" formatCode="\60\4\7\:"/>
    <numFmt numFmtId="282" formatCode="0.0%_);\(0.0%\)"/>
    <numFmt numFmtId="283" formatCode="#,##0.00&quot; x&quot;"/>
    <numFmt numFmtId="284" formatCode="#,##0.0\%_);\(#,##0.0\%\);#,##0.0\%_);@_)"/>
    <numFmt numFmtId="285" formatCode="mm/dd/yy"/>
    <numFmt numFmtId="286" formatCode="#,##0.00\ &quot;€&quot;;[Red]\-#,##0.00\ &quot;€&quot;"/>
    <numFmt numFmtId="287" formatCode="&quot;$&quot;#,\);\(&quot;$&quot;#,\)"/>
    <numFmt numFmtId="288" formatCode="&quot;$&quot;#,;\(&quot;$&quot;#,\)"/>
    <numFmt numFmtId="289" formatCode="#,##0&quot;x&quot;_);\(#,##0&quot;x&quot;\)"/>
    <numFmt numFmtId="290" formatCode="#,##0.0&quot;x&quot;_);\(#,##0.0&quot;x&quot;\)"/>
    <numFmt numFmtId="291" formatCode="#,##0.00&quot;x&quot;_);\(#,##0.00&quot;x&quot;\)"/>
    <numFmt numFmtId="292" formatCode="\-_)\ "/>
    <numFmt numFmtId="293" formatCode="&quot;\&quot;#,##0;[Red]&quot;\&quot;\-#,##0"/>
    <numFmt numFmtId="294" formatCode="_(* #,##0.0_);_(* \(#,##0.0\);_(* &quot;-&quot;??_);_(@_)"/>
    <numFmt numFmtId="295" formatCode="###0;\(###0\)"/>
    <numFmt numFmtId="296" formatCode="_-&quot;$&quot;* #,##0.00_-;\-&quot;$&quot;* #,##0.00_-;_-&quot;$&quot;* &quot;-&quot;??_-;_-@_-"/>
    <numFmt numFmtId="297" formatCode="0%\ ;\-0%"/>
    <numFmt numFmtId="298" formatCode="&quot;$&quot;#,##0;[Red]\-&quot;$&quot;#,##0"/>
  </numFmts>
  <fonts count="2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Helv"/>
      <charset val="204"/>
    </font>
    <font>
      <sz val="11"/>
      <name val="Times New Roman"/>
      <family val="1"/>
    </font>
    <font>
      <sz val="12"/>
      <name val="VNtimes new roman"/>
    </font>
    <font>
      <sz val="11"/>
      <name val="MS P????"/>
      <family val="3"/>
    </font>
    <font>
      <sz val="11"/>
      <name val="??"/>
      <family val="3"/>
    </font>
    <font>
      <sz val="14"/>
      <name val="?? ??"/>
      <family val="1"/>
    </font>
    <font>
      <u/>
      <sz val="8.4"/>
      <color indexed="12"/>
      <name val="Arial"/>
      <family val="2"/>
    </font>
    <font>
      <sz val="12"/>
      <name val="????"/>
      <charset val="136"/>
    </font>
    <font>
      <sz val="12"/>
      <name val="???"/>
      <family val="3"/>
    </font>
    <font>
      <sz val="10"/>
      <color indexed="8"/>
      <name val="MS P????"/>
      <family val="3"/>
      <charset val="128"/>
    </font>
    <font>
      <sz val="11"/>
      <name val="?l?r ?o?S?V?b?N"/>
      <family val="3"/>
    </font>
    <font>
      <sz val="12"/>
      <name val="Times New Roman"/>
      <family val="1"/>
    </font>
    <font>
      <sz val="11"/>
      <name val="?l?r ?S?V?b?N"/>
      <family val="3"/>
    </font>
    <font>
      <sz val="11"/>
      <name val="??l"/>
      <family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Arial"/>
      <family val="2"/>
      <charset val="238"/>
    </font>
    <font>
      <sz val="11"/>
      <name val="ＭＳ Ｐゴシック"/>
      <family val="2"/>
      <charset val="128"/>
    </font>
    <font>
      <b/>
      <sz val="22"/>
      <color indexed="18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Arial"/>
      <family val="2"/>
      <charset val="163"/>
    </font>
    <font>
      <sz val="12"/>
      <name val="ＭＳ Ｐゴシック"/>
      <family val="3"/>
      <charset val="128"/>
    </font>
    <font>
      <sz val="11"/>
      <name val="‚l‚r ‚oƒSƒVƒbƒN"/>
      <family val="3"/>
      <charset val="128"/>
    </font>
    <font>
      <b/>
      <u/>
      <sz val="14"/>
      <color indexed="8"/>
      <name val=".VnBook-AntiquaH"/>
      <family val="2"/>
    </font>
    <font>
      <sz val="10"/>
      <name val="Book Antiqua"/>
      <family val="1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Geneva"/>
      <family val="2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0"/>
      <name val="Vogue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sz val="12"/>
      <name val="Tms Rmn"/>
    </font>
    <font>
      <b/>
      <sz val="12"/>
      <name val="Times New Roman"/>
      <family val="1"/>
    </font>
    <font>
      <b/>
      <sz val="8"/>
      <name val="TimesNewRomanPS"/>
      <family val="1"/>
    </font>
    <font>
      <b/>
      <sz val="10"/>
      <name val="MS Sans Serif"/>
      <family val="2"/>
    </font>
    <font>
      <sz val="12"/>
      <name val="µ¸¿òÃ¼"/>
      <family val="3"/>
      <charset val="129"/>
    </font>
    <font>
      <sz val="11"/>
      <name val="?? ?????"/>
      <family val="3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0"/>
      <name val="VNI-Aptima"/>
    </font>
    <font>
      <sz val="11"/>
      <name val="Tms Rmn"/>
      <family val="1"/>
    </font>
    <font>
      <sz val="11"/>
      <color theme="1"/>
      <name val="Garamond"/>
      <family val="2"/>
    </font>
    <font>
      <sz val="12"/>
      <color indexed="8"/>
      <name val="Times New Roman"/>
      <family val="2"/>
    </font>
    <font>
      <b/>
      <sz val="9.85"/>
      <color indexed="8"/>
      <name val="Draft 12cpi"/>
    </font>
    <font>
      <sz val="11"/>
      <color indexed="8"/>
      <name val="Garamond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2"/>
    </font>
    <font>
      <sz val="8"/>
      <name val="Tahoma"/>
      <family val="2"/>
    </font>
    <font>
      <sz val="14"/>
      <name val="AngsanaUPC"/>
      <family val="1"/>
      <charset val="222"/>
    </font>
    <font>
      <sz val="10"/>
      <name val="ＭＳ Ｐゴシック"/>
      <family val="3"/>
      <charset val="128"/>
    </font>
    <font>
      <sz val="10"/>
      <name val="BERNHARD"/>
      <family val="1"/>
    </font>
    <font>
      <sz val="10"/>
      <name val="Helv"/>
      <family val="2"/>
    </font>
    <font>
      <b/>
      <sz val="10"/>
      <color indexed="50"/>
      <name val="Arial"/>
      <family val="2"/>
    </font>
    <font>
      <sz val="10"/>
      <name val="MS Serif"/>
      <family val="1"/>
    </font>
    <font>
      <b/>
      <sz val="10"/>
      <color indexed="48"/>
      <name val="Arial"/>
      <family val="2"/>
    </font>
    <font>
      <sz val="10"/>
      <name val="MS Sans Serif"/>
      <family val="2"/>
    </font>
    <font>
      <b/>
      <sz val="10"/>
      <color indexed="10"/>
      <name val="Arial"/>
      <family val="2"/>
    </font>
    <font>
      <b/>
      <sz val="10"/>
      <color indexed="8"/>
      <name val="Courier New"/>
      <family val="3"/>
    </font>
    <font>
      <sz val="9"/>
      <name val="Times New Roman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.VnBook-AntiquaH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.VnTime"/>
      <family val="2"/>
    </font>
    <font>
      <u/>
      <sz val="11"/>
      <color theme="10"/>
      <name val="Calibri"/>
      <family val="2"/>
    </font>
    <font>
      <b/>
      <sz val="10"/>
      <name val="Times New Roman"/>
      <family val="1"/>
    </font>
    <font>
      <sz val="11"/>
      <color indexed="62"/>
      <name val="Calibri"/>
      <family val="2"/>
    </font>
    <font>
      <sz val="10"/>
      <color indexed="10"/>
      <name val="Arial"/>
      <family val="2"/>
    </font>
    <font>
      <sz val="11"/>
      <color indexed="52"/>
      <name val="Calibri"/>
      <family val="2"/>
    </font>
    <font>
      <sz val="8"/>
      <name val="Microsoft Sans Serif"/>
      <family val="2"/>
    </font>
    <font>
      <b/>
      <sz val="11"/>
      <name val="Helv"/>
    </font>
    <font>
      <sz val="8"/>
      <name val="Palatino"/>
      <family val="1"/>
    </font>
    <font>
      <sz val="11"/>
      <color indexed="60"/>
      <name val="Calibri"/>
      <family val="2"/>
    </font>
    <font>
      <sz val="8"/>
      <color indexed="8"/>
      <name val="Arial"/>
      <family val="2"/>
    </font>
    <font>
      <sz val="7"/>
      <name val="Small Fonts"/>
      <family val="2"/>
    </font>
    <font>
      <sz val="14"/>
      <name val="ＭＳ 明朝"/>
      <family val="3"/>
      <charset val="128"/>
    </font>
    <font>
      <b/>
      <sz val="12"/>
      <name val="VN-NTime"/>
    </font>
    <font>
      <sz val="8"/>
      <color indexed="8"/>
      <name val="MS Sans Serif"/>
      <family val="2"/>
    </font>
    <font>
      <b/>
      <i/>
      <sz val="16"/>
      <name val="Helv"/>
    </font>
    <font>
      <sz val="12"/>
      <name val="바탕체"/>
      <family val="1"/>
      <charset val="129"/>
    </font>
    <font>
      <sz val="10"/>
      <color indexed="8"/>
      <name val="MS Sans Serif"/>
      <family val="2"/>
    </font>
    <font>
      <sz val="12"/>
      <color theme="1"/>
      <name val="Book Antiqua"/>
      <family val="2"/>
    </font>
    <font>
      <sz val="12"/>
      <color indexed="8"/>
      <name val="Book Antiqua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name val="Verdana"/>
      <family val="2"/>
    </font>
    <font>
      <sz val="12"/>
      <name val="Helv"/>
      <family val="2"/>
    </font>
    <font>
      <sz val="8"/>
      <color indexed="16"/>
      <name val="Century Schoolbook"/>
      <family val="1"/>
    </font>
    <font>
      <sz val="8"/>
      <name val="Helv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9"/>
      <name val="Arial"/>
      <family val="2"/>
    </font>
    <font>
      <b/>
      <i/>
      <sz val="10"/>
      <name val="Times New Roman"/>
      <family val="1"/>
    </font>
    <font>
      <b/>
      <sz val="9"/>
      <color indexed="48"/>
      <name val="Arial"/>
      <family val="2"/>
    </font>
    <font>
      <b/>
      <sz val="9"/>
      <color indexed="10"/>
      <name val="Arial"/>
      <family val="2"/>
    </font>
    <font>
      <b/>
      <sz val="9"/>
      <color indexed="50"/>
      <name val="Arial"/>
      <family val="2"/>
    </font>
    <font>
      <b/>
      <sz val="18"/>
      <color indexed="8"/>
      <name val="Cambria"/>
      <family val="1"/>
    </font>
    <font>
      <b/>
      <sz val="9"/>
      <color indexed="8"/>
      <name val="Arial"/>
      <family val="2"/>
    </font>
    <font>
      <sz val="10"/>
      <color indexed="8"/>
      <name val="Garamond"/>
      <family val="1"/>
    </font>
    <font>
      <sz val="8"/>
      <color indexed="8"/>
      <name val="Tahoma"/>
      <family val="2"/>
    </font>
    <font>
      <b/>
      <i/>
      <sz val="8"/>
      <color indexed="8"/>
      <name val="Tahoma"/>
      <family val="2"/>
    </font>
    <font>
      <b/>
      <sz val="16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63"/>
      <name val="Tahoma"/>
      <family val="2"/>
    </font>
    <font>
      <b/>
      <sz val="11"/>
      <name val="Helv"/>
      <family val="2"/>
    </font>
    <font>
      <sz val="7"/>
      <name val="Times New Roman"/>
      <family val="1"/>
    </font>
    <font>
      <sz val="12"/>
      <name val="VNTime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Times New Roman"/>
      <family val="1"/>
    </font>
    <font>
      <sz val="10"/>
      <name val="VNtimes new roman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Arial Cyr"/>
      <charset val="204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宋体"/>
      <charset val="134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Times New Roman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Courier"/>
      <family val="3"/>
    </font>
    <font>
      <u/>
      <sz val="16.5"/>
      <color indexed="36"/>
      <name val="Arial Narrow"/>
      <family val="2"/>
    </font>
    <font>
      <b/>
      <sz val="11"/>
      <color indexed="8"/>
      <name val="ＭＳ Ｐゴシック"/>
      <family val="3"/>
      <charset val="128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u/>
      <sz val="1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4"/>
      </patternFill>
    </fill>
    <fill>
      <patternFill patternType="solid">
        <fgColor indexed="26"/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9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24"/>
        <bgColor indexed="64"/>
      </patternFill>
    </fill>
    <fill>
      <patternFill patternType="solid">
        <fgColor rgb="FFFFE5F8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96">
    <xf numFmtId="0" fontId="0" fillId="0" borderId="0"/>
    <xf numFmtId="168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" applyNumberFormat="0" applyFill="0" applyAlignment="0" applyProtection="0"/>
    <xf numFmtId="0" fontId="63" fillId="0" borderId="2" applyNumberFormat="0" applyFill="0" applyAlignment="0" applyProtection="0"/>
    <xf numFmtId="0" fontId="64" fillId="0" borderId="3" applyNumberFormat="0" applyFill="0" applyAlignment="0" applyProtection="0"/>
    <xf numFmtId="0" fontId="64" fillId="0" borderId="0" applyNumberFormat="0" applyFill="0" applyBorder="0" applyAlignment="0" applyProtection="0"/>
    <xf numFmtId="0" fontId="65" fillId="2" borderId="0" applyNumberFormat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4" applyNumberFormat="0" applyAlignment="0" applyProtection="0"/>
    <xf numFmtId="0" fontId="69" fillId="6" borderId="5" applyNumberFormat="0" applyAlignment="0" applyProtection="0"/>
    <xf numFmtId="0" fontId="70" fillId="6" borderId="4" applyNumberFormat="0" applyAlignment="0" applyProtection="0"/>
    <xf numFmtId="0" fontId="71" fillId="0" borderId="6" applyNumberFormat="0" applyFill="0" applyAlignment="0" applyProtection="0"/>
    <xf numFmtId="0" fontId="72" fillId="7" borderId="7" applyNumberFormat="0" applyAlignment="0" applyProtection="0"/>
    <xf numFmtId="0" fontId="73" fillId="0" borderId="0" applyNumberFormat="0" applyFill="0" applyBorder="0" applyAlignment="0" applyProtection="0"/>
    <xf numFmtId="0" fontId="60" fillId="8" borderId="8" applyNumberFormat="0" applyFont="0" applyAlignment="0" applyProtection="0"/>
    <xf numFmtId="0" fontId="74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76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76" fillId="32" borderId="0" applyNumberFormat="0" applyBorder="0" applyAlignment="0" applyProtection="0"/>
    <xf numFmtId="0" fontId="59" fillId="0" borderId="0"/>
    <xf numFmtId="173" fontId="59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>
      <alignment horizontal="center"/>
    </xf>
    <xf numFmtId="0" fontId="88" fillId="0" borderId="0"/>
    <xf numFmtId="177" fontId="89" fillId="0" borderId="0"/>
    <xf numFmtId="178" fontId="87" fillId="0" borderId="0"/>
    <xf numFmtId="176" fontId="90" fillId="0" borderId="23" applyFont="0" applyBorder="0"/>
    <xf numFmtId="179" fontId="78" fillId="0" borderId="0" applyFont="0" applyFill="0" applyBorder="0" applyAlignment="0" applyProtection="0"/>
    <xf numFmtId="180" fontId="91" fillId="0" borderId="0" applyFont="0" applyFill="0" applyBorder="0" applyAlignment="0" applyProtection="0"/>
    <xf numFmtId="181" fontId="92" fillId="0" borderId="0" applyFont="0" applyFill="0" applyBorder="0" applyAlignment="0" applyProtection="0"/>
    <xf numFmtId="179" fontId="78" fillId="0" borderId="0" applyFont="0" applyFill="0" applyBorder="0" applyAlignment="0" applyProtection="0"/>
    <xf numFmtId="1" fontId="93" fillId="0" borderId="0"/>
    <xf numFmtId="40" fontId="91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38" fontId="91" fillId="0" borderId="0" applyFont="0" applyFill="0" applyBorder="0" applyAlignment="0" applyProtection="0"/>
    <xf numFmtId="166" fontId="95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182" fontId="99" fillId="0" borderId="0" applyFont="0" applyFill="0" applyBorder="0" applyAlignment="0" applyProtection="0"/>
    <xf numFmtId="183" fontId="99" fillId="0" borderId="0" applyFont="0" applyFill="0" applyBorder="0" applyAlignment="0" applyProtection="0"/>
    <xf numFmtId="0" fontId="100" fillId="0" borderId="0"/>
    <xf numFmtId="0" fontId="101" fillId="0" borderId="0"/>
    <xf numFmtId="184" fontId="99" fillId="0" borderId="0" applyFont="0" applyFill="0" applyBorder="0" applyAlignment="0" applyProtection="0"/>
    <xf numFmtId="185" fontId="102" fillId="0" borderId="0" applyFont="0" applyFill="0" applyBorder="0" applyAlignment="0" applyProtection="0"/>
    <xf numFmtId="186" fontId="102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187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187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8" fontId="102" fillId="0" borderId="0" applyFont="0" applyFill="0" applyBorder="0" applyAlignment="0" applyProtection="0"/>
    <xf numFmtId="188" fontId="78" fillId="0" borderId="0" applyFont="0" applyFill="0" applyBorder="0" applyAlignment="0" applyProtection="0"/>
    <xf numFmtId="188" fontId="105" fillId="0" borderId="0" applyFont="0" applyFill="0" applyBorder="0" applyAlignment="0" applyProtection="0"/>
    <xf numFmtId="187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8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7" fontId="102" fillId="0" borderId="0" applyFont="0" applyFill="0" applyBorder="0" applyAlignment="0" applyProtection="0"/>
    <xf numFmtId="189" fontId="102" fillId="0" borderId="0" applyFont="0" applyFill="0" applyBorder="0" applyAlignment="0" applyProtection="0"/>
    <xf numFmtId="190" fontId="102" fillId="0" borderId="0" applyFont="0" applyFill="0" applyBorder="0" applyAlignment="0" applyProtection="0"/>
    <xf numFmtId="190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90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89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89" fontId="78" fillId="0" borderId="0" applyFont="0" applyFill="0" applyBorder="0" applyAlignment="0" applyProtection="0"/>
    <xf numFmtId="189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93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0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90" fontId="102" fillId="0" borderId="0" applyFont="0" applyFill="0" applyBorder="0" applyAlignment="0" applyProtection="0"/>
    <xf numFmtId="192" fontId="78" fillId="0" borderId="0" applyFont="0" applyFill="0" applyBorder="0" applyAlignment="0" applyProtection="0"/>
    <xf numFmtId="190" fontId="102" fillId="0" borderId="0" applyFont="0" applyFill="0" applyBorder="0" applyAlignment="0" applyProtection="0"/>
    <xf numFmtId="192" fontId="78" fillId="0" borderId="0" applyFont="0" applyFill="0" applyBorder="0" applyAlignment="0" applyProtection="0"/>
    <xf numFmtId="194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94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91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89" fontId="102" fillId="0" borderId="0" applyFont="0" applyFill="0" applyBorder="0" applyAlignment="0" applyProtection="0"/>
    <xf numFmtId="192" fontId="78" fillId="0" borderId="0" applyFont="0" applyFill="0" applyBorder="0" applyAlignment="0" applyProtection="0"/>
    <xf numFmtId="189" fontId="102" fillId="0" borderId="0" applyFont="0" applyFill="0" applyBorder="0" applyAlignment="0" applyProtection="0"/>
    <xf numFmtId="190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92" fontId="78" fillId="0" borderId="0" applyFont="0" applyFill="0" applyBorder="0" applyAlignment="0" applyProtection="0"/>
    <xf numFmtId="190" fontId="102" fillId="0" borderId="0" applyFont="0" applyFill="0" applyBorder="0" applyAlignment="0" applyProtection="0"/>
    <xf numFmtId="191" fontId="105" fillId="0" borderId="0" applyFont="0" applyFill="0" applyBorder="0" applyAlignment="0" applyProtection="0"/>
    <xf numFmtId="189" fontId="102" fillId="0" borderId="0" applyFont="0" applyFill="0" applyBorder="0" applyAlignment="0" applyProtection="0"/>
    <xf numFmtId="189" fontId="102" fillId="0" borderId="0" applyFont="0" applyFill="0" applyBorder="0" applyAlignment="0" applyProtection="0"/>
    <xf numFmtId="191" fontId="102" fillId="0" borderId="0" applyFont="0" applyFill="0" applyBorder="0" applyAlignment="0" applyProtection="0"/>
    <xf numFmtId="189" fontId="102" fillId="0" borderId="0" applyFont="0" applyFill="0" applyBorder="0" applyAlignment="0" applyProtection="0"/>
    <xf numFmtId="189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39" fontId="78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39" fontId="102" fillId="0" borderId="0" applyFont="0" applyFill="0" applyBorder="0" applyAlignment="0" applyProtection="0"/>
    <xf numFmtId="39" fontId="78" fillId="0" borderId="0" applyFont="0" applyFill="0" applyBorder="0" applyAlignment="0" applyProtection="0"/>
    <xf numFmtId="39" fontId="105" fillId="0" borderId="0" applyFont="0" applyFill="0" applyBorder="0" applyAlignment="0" applyProtection="0"/>
    <xf numFmtId="195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39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195" fontId="102" fillId="0" borderId="0" applyFont="0" applyFill="0" applyBorder="0" applyAlignment="0" applyProtection="0"/>
    <xf numFmtId="196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6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197" fontId="105" fillId="0" borderId="0" applyFont="0" applyFill="0" applyBorder="0" applyAlignment="0" applyProtection="0"/>
    <xf numFmtId="0" fontId="87" fillId="0" borderId="0"/>
    <xf numFmtId="0" fontId="104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2" fillId="39" borderId="0" applyNumberFormat="0" applyFont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78" fillId="0" borderId="0"/>
    <xf numFmtId="0" fontId="78" fillId="0" borderId="0"/>
    <xf numFmtId="0" fontId="108" fillId="0" borderId="0">
      <alignment vertical="top"/>
    </xf>
    <xf numFmtId="198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200" fontId="78" fillId="0" borderId="0" applyFont="0" applyFill="0" applyBorder="0" applyAlignment="0" applyProtection="0"/>
    <xf numFmtId="199" fontId="78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102" fillId="0" borderId="0" applyFont="0" applyFill="0" applyBorder="0" applyAlignment="0" applyProtection="0"/>
    <xf numFmtId="201" fontId="78" fillId="0" borderId="0" applyFont="0" applyFill="0" applyBorder="0" applyAlignment="0" applyProtection="0"/>
    <xf numFmtId="201" fontId="78" fillId="0" borderId="0" applyFont="0" applyFill="0" applyBorder="0" applyAlignment="0" applyProtection="0"/>
    <xf numFmtId="201" fontId="78" fillId="0" borderId="0" applyFont="0" applyFill="0" applyBorder="0" applyAlignment="0" applyProtection="0"/>
    <xf numFmtId="198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78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78" fillId="0" borderId="0" applyFont="0" applyFill="0" applyBorder="0" applyAlignment="0" applyProtection="0"/>
    <xf numFmtId="202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02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99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102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105" fillId="0" borderId="0" applyFont="0" applyFill="0" applyBorder="0" applyAlignment="0" applyProtection="0"/>
    <xf numFmtId="198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3" fontId="102" fillId="0" borderId="0" applyFont="0" applyFill="0" applyBorder="0" applyProtection="0">
      <alignment horizontal="right"/>
    </xf>
    <xf numFmtId="203" fontId="102" fillId="0" borderId="0" applyFont="0" applyFill="0" applyBorder="0" applyProtection="0">
      <alignment horizontal="right"/>
    </xf>
    <xf numFmtId="204" fontId="102" fillId="0" borderId="0" applyFont="0" applyFill="0" applyBorder="0" applyAlignment="0" applyProtection="0"/>
    <xf numFmtId="205" fontId="78" fillId="0" borderId="0" applyFont="0" applyFill="0" applyBorder="0" applyAlignment="0" applyProtection="0"/>
    <xf numFmtId="204" fontId="78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4" fontId="102" fillId="0" borderId="0" applyFont="0" applyFill="0" applyBorder="0" applyAlignment="0" applyProtection="0"/>
    <xf numFmtId="204" fontId="102" fillId="0" borderId="0" applyFont="0" applyFill="0" applyBorder="0" applyAlignment="0" applyProtection="0"/>
    <xf numFmtId="0" fontId="78" fillId="0" borderId="0" applyFont="0" applyFill="0" applyBorder="0" applyAlignment="0" applyProtection="0"/>
    <xf numFmtId="204" fontId="102" fillId="0" borderId="0" applyFont="0" applyFill="0" applyBorder="0" applyAlignment="0" applyProtection="0"/>
    <xf numFmtId="206" fontId="78" fillId="0" borderId="0" applyFont="0" applyFill="0" applyBorder="0" applyAlignment="0" applyProtection="0"/>
    <xf numFmtId="206" fontId="78" fillId="0" borderId="0" applyFont="0" applyFill="0" applyBorder="0" applyAlignment="0" applyProtection="0"/>
    <xf numFmtId="206" fontId="78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0" fontId="78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4" fontId="78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4" fontId="78" fillId="0" borderId="0" applyFont="0" applyFill="0" applyBorder="0" applyAlignment="0" applyProtection="0"/>
    <xf numFmtId="207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07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04" fontId="102" fillId="0" borderId="0" applyFont="0" applyFill="0" applyBorder="0" applyAlignment="0" applyProtection="0"/>
    <xf numFmtId="204" fontId="102" fillId="0" borderId="0" applyFont="0" applyFill="0" applyBorder="0" applyAlignment="0" applyProtection="0"/>
    <xf numFmtId="204" fontId="102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4" fontId="78" fillId="0" borderId="0" applyFont="0" applyFill="0" applyBorder="0" applyAlignment="0" applyProtection="0"/>
    <xf numFmtId="204" fontId="102" fillId="0" borderId="0" applyFont="0" applyFill="0" applyBorder="0" applyAlignment="0" applyProtection="0"/>
    <xf numFmtId="204" fontId="78" fillId="0" borderId="0" applyFont="0" applyFill="0" applyBorder="0" applyAlignment="0" applyProtection="0"/>
    <xf numFmtId="204" fontId="105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3" fontId="102" fillId="0" borderId="0" applyFont="0" applyFill="0" applyBorder="0" applyProtection="0">
      <alignment horizontal="right"/>
    </xf>
    <xf numFmtId="204" fontId="102" fillId="0" borderId="0" applyFont="0" applyFill="0" applyBorder="0" applyAlignment="0" applyProtection="0"/>
    <xf numFmtId="203" fontId="102" fillId="0" borderId="0" applyFont="0" applyFill="0" applyBorder="0" applyProtection="0">
      <alignment horizontal="right"/>
    </xf>
    <xf numFmtId="203" fontId="102" fillId="0" borderId="0" applyFont="0" applyFill="0" applyBorder="0" applyProtection="0">
      <alignment horizontal="right"/>
    </xf>
    <xf numFmtId="0" fontId="78" fillId="0" borderId="0"/>
    <xf numFmtId="0" fontId="78" fillId="0" borderId="0"/>
    <xf numFmtId="208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185" fontId="78" fillId="0" borderId="0" applyFont="0" applyFill="0" applyBorder="0" applyAlignment="0" applyProtection="0"/>
    <xf numFmtId="20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208" fontId="102" fillId="0" borderId="0" applyFont="0" applyFill="0" applyBorder="0" applyAlignment="0" applyProtection="0"/>
    <xf numFmtId="209" fontId="78" fillId="0" borderId="0" applyFont="0" applyFill="0" applyBorder="0" applyAlignment="0" applyProtection="0"/>
    <xf numFmtId="209" fontId="78" fillId="0" borderId="0" applyFont="0" applyFill="0" applyBorder="0" applyAlignment="0" applyProtection="0"/>
    <xf numFmtId="209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21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1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08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208" fontId="78" fillId="0" borderId="0" applyFont="0" applyFill="0" applyBorder="0" applyAlignment="0" applyProtection="0"/>
    <xf numFmtId="208" fontId="105" fillId="0" borderId="0" applyFont="0" applyFill="0" applyBorder="0" applyAlignment="0" applyProtection="0"/>
    <xf numFmtId="211" fontId="102" fillId="0" borderId="0" applyFont="0" applyFill="0" applyBorder="0" applyAlignment="0" applyProtection="0"/>
    <xf numFmtId="211" fontId="102" fillId="0" borderId="0" applyFont="0" applyFill="0" applyBorder="0" applyAlignment="0" applyProtection="0"/>
    <xf numFmtId="186" fontId="78" fillId="0" borderId="0" applyFont="0" applyFill="0" applyBorder="0" applyAlignment="0" applyProtection="0"/>
    <xf numFmtId="211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211" fontId="102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213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13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11" fontId="102" fillId="0" borderId="0" applyFont="0" applyFill="0" applyBorder="0" applyAlignment="0" applyProtection="0"/>
    <xf numFmtId="211" fontId="102" fillId="0" borderId="0" applyFont="0" applyFill="0" applyBorder="0" applyAlignment="0" applyProtection="0"/>
    <xf numFmtId="211" fontId="102" fillId="0" borderId="0" applyFont="0" applyFill="0" applyBorder="0" applyAlignment="0" applyProtection="0"/>
    <xf numFmtId="211" fontId="78" fillId="0" borderId="0" applyFont="0" applyFill="0" applyBorder="0" applyAlignment="0" applyProtection="0"/>
    <xf numFmtId="211" fontId="105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78" fillId="0" borderId="0"/>
    <xf numFmtId="0" fontId="78" fillId="0" borderId="0"/>
    <xf numFmtId="0" fontId="87" fillId="0" borderId="0"/>
    <xf numFmtId="0" fontId="87" fillId="0" borderId="0"/>
    <xf numFmtId="0" fontId="109" fillId="0" borderId="0" applyNumberFormat="0" applyFill="0" applyBorder="0" applyProtection="0">
      <alignment vertical="top"/>
    </xf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110" fillId="0" borderId="24" applyNumberFormat="0" applyFill="0" applyAlignment="0" applyProtection="0"/>
    <xf numFmtId="0" fontId="79" fillId="0" borderId="26" applyNumberFormat="0" applyFill="0" applyProtection="0">
      <alignment horizontal="center"/>
    </xf>
    <xf numFmtId="0" fontId="79" fillId="0" borderId="26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111" fillId="0" borderId="0" applyNumberFormat="0" applyFill="0" applyBorder="0" applyProtection="0">
      <alignment horizontal="centerContinuous"/>
    </xf>
    <xf numFmtId="0" fontId="88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214" fontId="99" fillId="0" borderId="0" applyFont="0" applyFill="0" applyBorder="0" applyAlignment="0" applyProtection="0"/>
    <xf numFmtId="215" fontId="99" fillId="0" borderId="0" applyFont="0" applyFill="0" applyBorder="0" applyAlignment="0" applyProtection="0"/>
    <xf numFmtId="216" fontId="89" fillId="0" borderId="0"/>
    <xf numFmtId="176" fontId="112" fillId="0" borderId="27"/>
    <xf numFmtId="0" fontId="99" fillId="0" borderId="0" applyNumberFormat="0" applyFill="0" applyBorder="0" applyAlignment="0" applyProtection="0"/>
    <xf numFmtId="0" fontId="113" fillId="0" borderId="0"/>
    <xf numFmtId="0" fontId="113" fillId="0" borderId="0"/>
    <xf numFmtId="0" fontId="78" fillId="0" borderId="0"/>
    <xf numFmtId="0" fontId="114" fillId="0" borderId="0"/>
    <xf numFmtId="0" fontId="115" fillId="40" borderId="0"/>
    <xf numFmtId="0" fontId="78" fillId="0" borderId="0"/>
    <xf numFmtId="0" fontId="116" fillId="0" borderId="28" applyNumberFormat="0" applyFont="0" applyFill="0" applyBorder="0" applyAlignment="0"/>
    <xf numFmtId="0" fontId="117" fillId="40" borderId="0"/>
    <xf numFmtId="0" fontId="118" fillId="41" borderId="0" applyNumberFormat="0" applyBorder="0" applyAlignment="0" applyProtection="0"/>
    <xf numFmtId="0" fontId="118" fillId="41" borderId="0" applyNumberFormat="0" applyBorder="0" applyAlignment="0" applyProtection="0"/>
    <xf numFmtId="0" fontId="118" fillId="41" borderId="0" applyNumberFormat="0" applyBorder="0" applyAlignment="0" applyProtection="0"/>
    <xf numFmtId="0" fontId="118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2" borderId="0" applyNumberFormat="0" applyBorder="0" applyAlignment="0" applyProtection="0"/>
    <xf numFmtId="0" fontId="118" fillId="42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118" fillId="43" borderId="0" applyNumberFormat="0" applyBorder="0" applyAlignment="0" applyProtection="0"/>
    <xf numFmtId="0" fontId="118" fillId="43" borderId="0" applyNumberFormat="0" applyBorder="0" applyAlignment="0" applyProtection="0"/>
    <xf numFmtId="0" fontId="118" fillId="43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9" fillId="41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3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19" fillId="45" borderId="0" applyNumberFormat="0" applyBorder="0" applyAlignment="0" applyProtection="0">
      <alignment vertical="center"/>
    </xf>
    <xf numFmtId="0" fontId="119" fillId="46" borderId="0" applyNumberFormat="0" applyBorder="0" applyAlignment="0" applyProtection="0">
      <alignment vertical="center"/>
    </xf>
    <xf numFmtId="0" fontId="120" fillId="40" borderId="0"/>
    <xf numFmtId="0" fontId="121" fillId="0" borderId="0">
      <alignment wrapText="1"/>
    </xf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8" borderId="0" applyNumberFormat="0" applyBorder="0" applyAlignment="0" applyProtection="0"/>
    <xf numFmtId="0" fontId="118" fillId="48" borderId="0" applyNumberFormat="0" applyBorder="0" applyAlignment="0" applyProtection="0"/>
    <xf numFmtId="0" fontId="118" fillId="48" borderId="0" applyNumberFormat="0" applyBorder="0" applyAlignment="0" applyProtection="0"/>
    <xf numFmtId="0" fontId="118" fillId="48" borderId="0" applyNumberFormat="0" applyBorder="0" applyAlignment="0" applyProtection="0"/>
    <xf numFmtId="0" fontId="118" fillId="49" borderId="0" applyNumberFormat="0" applyBorder="0" applyAlignment="0" applyProtection="0"/>
    <xf numFmtId="0" fontId="118" fillId="49" borderId="0" applyNumberFormat="0" applyBorder="0" applyAlignment="0" applyProtection="0"/>
    <xf numFmtId="0" fontId="118" fillId="49" borderId="0" applyNumberFormat="0" applyBorder="0" applyAlignment="0" applyProtection="0"/>
    <xf numFmtId="0" fontId="118" fillId="49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50" borderId="0" applyNumberFormat="0" applyBorder="0" applyAlignment="0" applyProtection="0"/>
    <xf numFmtId="0" fontId="118" fillId="50" borderId="0" applyNumberFormat="0" applyBorder="0" applyAlignment="0" applyProtection="0"/>
    <xf numFmtId="0" fontId="118" fillId="50" borderId="0" applyNumberFormat="0" applyBorder="0" applyAlignment="0" applyProtection="0"/>
    <xf numFmtId="0" fontId="118" fillId="50" borderId="0" applyNumberFormat="0" applyBorder="0" applyAlignment="0" applyProtection="0"/>
    <xf numFmtId="0" fontId="119" fillId="47" borderId="0" applyNumberFormat="0" applyBorder="0" applyAlignment="0" applyProtection="0">
      <alignment vertical="center"/>
    </xf>
    <xf numFmtId="0" fontId="119" fillId="48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19" fillId="47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217" fontId="122" fillId="0" borderId="0">
      <alignment horizontal="center"/>
    </xf>
    <xf numFmtId="0" fontId="123" fillId="51" borderId="0" applyNumberFormat="0" applyBorder="0" applyAlignment="0" applyProtection="0"/>
    <xf numFmtId="0" fontId="123" fillId="51" borderId="0" applyNumberFormat="0" applyBorder="0" applyAlignment="0" applyProtection="0"/>
    <xf numFmtId="0" fontId="123" fillId="51" borderId="0" applyNumberFormat="0" applyBorder="0" applyAlignment="0" applyProtection="0"/>
    <xf numFmtId="0" fontId="123" fillId="51" borderId="0" applyNumberFormat="0" applyBorder="0" applyAlignment="0" applyProtection="0"/>
    <xf numFmtId="0" fontId="123" fillId="48" borderId="0" applyNumberFormat="0" applyBorder="0" applyAlignment="0" applyProtection="0"/>
    <xf numFmtId="0" fontId="123" fillId="48" borderId="0" applyNumberFormat="0" applyBorder="0" applyAlignment="0" applyProtection="0"/>
    <xf numFmtId="0" fontId="123" fillId="48" borderId="0" applyNumberFormat="0" applyBorder="0" applyAlignment="0" applyProtection="0"/>
    <xf numFmtId="0" fontId="123" fillId="48" borderId="0" applyNumberFormat="0" applyBorder="0" applyAlignment="0" applyProtection="0"/>
    <xf numFmtId="0" fontId="123" fillId="49" borderId="0" applyNumberFormat="0" applyBorder="0" applyAlignment="0" applyProtection="0"/>
    <xf numFmtId="0" fontId="123" fillId="49" borderId="0" applyNumberFormat="0" applyBorder="0" applyAlignment="0" applyProtection="0"/>
    <xf numFmtId="0" fontId="123" fillId="49" borderId="0" applyNumberFormat="0" applyBorder="0" applyAlignment="0" applyProtection="0"/>
    <xf numFmtId="0" fontId="123" fillId="49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4" borderId="0" applyNumberFormat="0" applyBorder="0" applyAlignment="0" applyProtection="0"/>
    <xf numFmtId="0" fontId="123" fillId="54" borderId="0" applyNumberFormat="0" applyBorder="0" applyAlignment="0" applyProtection="0"/>
    <xf numFmtId="0" fontId="123" fillId="54" borderId="0" applyNumberFormat="0" applyBorder="0" applyAlignment="0" applyProtection="0"/>
    <xf numFmtId="0" fontId="123" fillId="54" borderId="0" applyNumberFormat="0" applyBorder="0" applyAlignment="0" applyProtection="0"/>
    <xf numFmtId="0" fontId="124" fillId="51" borderId="0" applyNumberFormat="0" applyBorder="0" applyAlignment="0" applyProtection="0">
      <alignment vertical="center"/>
    </xf>
    <xf numFmtId="0" fontId="124" fillId="48" borderId="0" applyNumberFormat="0" applyBorder="0" applyAlignment="0" applyProtection="0">
      <alignment vertical="center"/>
    </xf>
    <xf numFmtId="0" fontId="124" fillId="49" borderId="0" applyNumberFormat="0" applyBorder="0" applyAlignment="0" applyProtection="0">
      <alignment vertical="center"/>
    </xf>
    <xf numFmtId="0" fontId="124" fillId="52" borderId="0" applyNumberFormat="0" applyBorder="0" applyAlignment="0" applyProtection="0">
      <alignment vertical="center"/>
    </xf>
    <xf numFmtId="0" fontId="124" fillId="53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78" fillId="0" borderId="0"/>
    <xf numFmtId="0" fontId="123" fillId="55" borderId="0" applyNumberFormat="0" applyBorder="0" applyAlignment="0" applyProtection="0"/>
    <xf numFmtId="0" fontId="123" fillId="55" borderId="0" applyNumberFormat="0" applyBorder="0" applyAlignment="0" applyProtection="0"/>
    <xf numFmtId="0" fontId="123" fillId="55" borderId="0" applyNumberFormat="0" applyBorder="0" applyAlignment="0" applyProtection="0"/>
    <xf numFmtId="0" fontId="123" fillId="55" borderId="0" applyNumberFormat="0" applyBorder="0" applyAlignment="0" applyProtection="0"/>
    <xf numFmtId="0" fontId="123" fillId="56" borderId="0" applyNumberFormat="0" applyBorder="0" applyAlignment="0" applyProtection="0"/>
    <xf numFmtId="0" fontId="123" fillId="56" borderId="0" applyNumberFormat="0" applyBorder="0" applyAlignment="0" applyProtection="0"/>
    <xf numFmtId="0" fontId="123" fillId="56" borderId="0" applyNumberFormat="0" applyBorder="0" applyAlignment="0" applyProtection="0"/>
    <xf numFmtId="0" fontId="123" fillId="56" borderId="0" applyNumberFormat="0" applyBorder="0" applyAlignment="0" applyProtection="0"/>
    <xf numFmtId="0" fontId="123" fillId="57" borderId="0" applyNumberFormat="0" applyBorder="0" applyAlignment="0" applyProtection="0"/>
    <xf numFmtId="0" fontId="123" fillId="57" borderId="0" applyNumberFormat="0" applyBorder="0" applyAlignment="0" applyProtection="0"/>
    <xf numFmtId="0" fontId="123" fillId="57" borderId="0" applyNumberFormat="0" applyBorder="0" applyAlignment="0" applyProtection="0"/>
    <xf numFmtId="0" fontId="123" fillId="57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2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3" borderId="0" applyNumberFormat="0" applyBorder="0" applyAlignment="0" applyProtection="0"/>
    <xf numFmtId="0" fontId="123" fillId="58" borderId="0" applyNumberFormat="0" applyBorder="0" applyAlignment="0" applyProtection="0"/>
    <xf numFmtId="0" fontId="123" fillId="58" borderId="0" applyNumberFormat="0" applyBorder="0" applyAlignment="0" applyProtection="0"/>
    <xf numFmtId="0" fontId="123" fillId="58" borderId="0" applyNumberFormat="0" applyBorder="0" applyAlignment="0" applyProtection="0"/>
    <xf numFmtId="0" fontId="123" fillId="58" borderId="0" applyNumberFormat="0" applyBorder="0" applyAlignment="0" applyProtection="0"/>
    <xf numFmtId="218" fontId="125" fillId="0" borderId="0" applyFont="0" applyFill="0" applyBorder="0" applyAlignment="0" applyProtection="0"/>
    <xf numFmtId="0" fontId="126" fillId="0" borderId="0" applyFont="0" applyFill="0" applyBorder="0" applyAlignment="0" applyProtection="0"/>
    <xf numFmtId="219" fontId="125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127" fillId="0" borderId="0">
      <alignment horizontal="justify" vertical="top" wrapText="1"/>
    </xf>
    <xf numFmtId="41" fontId="125" fillId="0" borderId="0" applyFont="0" applyFill="0" applyBorder="0" applyAlignment="0" applyProtection="0"/>
    <xf numFmtId="0" fontId="126" fillId="0" borderId="0" applyFont="0" applyFill="0" applyBorder="0" applyAlignment="0" applyProtection="0"/>
    <xf numFmtId="43" fontId="125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128" fillId="42" borderId="0" applyNumberFormat="0" applyBorder="0" applyAlignment="0" applyProtection="0"/>
    <xf numFmtId="0" fontId="128" fillId="42" borderId="0" applyNumberFormat="0" applyBorder="0" applyAlignment="0" applyProtection="0"/>
    <xf numFmtId="0" fontId="128" fillId="42" borderId="0" applyNumberFormat="0" applyBorder="0" applyAlignment="0" applyProtection="0"/>
    <xf numFmtId="0" fontId="128" fillId="42" borderId="0" applyNumberFormat="0" applyBorder="0" applyAlignment="0" applyProtection="0"/>
    <xf numFmtId="220" fontId="87" fillId="0" borderId="0" applyFont="0" applyFill="0" applyBorder="0" applyAlignment="0" applyProtection="0"/>
    <xf numFmtId="221" fontId="87" fillId="0" borderId="0" applyFont="0" applyFill="0" applyBorder="0" applyAlignment="0" applyProtection="0"/>
    <xf numFmtId="222" fontId="87" fillId="0" borderId="0" applyFont="0" applyFill="0" applyBorder="0" applyAlignment="0" applyProtection="0"/>
    <xf numFmtId="223" fontId="87" fillId="0" borderId="0" applyFont="0" applyFill="0" applyBorder="0" applyAlignment="0" applyProtection="0"/>
    <xf numFmtId="224" fontId="87" fillId="0" borderId="0" applyFont="0" applyFill="0" applyBorder="0" applyAlignment="0" applyProtection="0"/>
    <xf numFmtId="225" fontId="87" fillId="0" borderId="0" applyFont="0" applyFill="0" applyBorder="0" applyAlignment="0" applyProtection="0"/>
    <xf numFmtId="226" fontId="87" fillId="0" borderId="0" applyFont="0" applyFill="0" applyBorder="0" applyAlignment="0" applyProtection="0"/>
    <xf numFmtId="227" fontId="87" fillId="0" borderId="0" applyFont="0" applyFill="0" applyBorder="0" applyAlignment="0" applyProtection="0"/>
    <xf numFmtId="228" fontId="87" fillId="0" borderId="0" applyFont="0" applyFill="0" applyBorder="0" applyAlignment="0" applyProtection="0"/>
    <xf numFmtId="229" fontId="78" fillId="0" borderId="0" applyFont="0" applyFill="0" applyBorder="0" applyAlignment="0" applyProtection="0"/>
    <xf numFmtId="230" fontId="78" fillId="0" borderId="0" applyFont="0" applyFill="0" applyBorder="0" applyAlignment="0" applyProtection="0"/>
    <xf numFmtId="231" fontId="78" fillId="0" borderId="0" applyFont="0" applyFill="0" applyBorder="0" applyAlignment="0" applyProtection="0"/>
    <xf numFmtId="232" fontId="78" fillId="0" borderId="0" applyFont="0" applyFill="0" applyBorder="0" applyAlignment="0" applyProtection="0">
      <alignment horizontal="right"/>
    </xf>
    <xf numFmtId="233" fontId="78" fillId="0" borderId="0" applyFont="0" applyFill="0" applyBorder="0" applyAlignment="0" applyProtection="0"/>
    <xf numFmtId="0" fontId="129" fillId="0" borderId="0"/>
    <xf numFmtId="171" fontId="129" fillId="0" borderId="0"/>
    <xf numFmtId="0" fontId="130" fillId="0" borderId="0" applyNumberFormat="0" applyFill="0" applyBorder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1" fontId="132" fillId="0" borderId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169" fontId="133" fillId="0" borderId="18" applyAlignment="0" applyProtection="0"/>
    <xf numFmtId="0" fontId="107" fillId="0" borderId="29" applyNumberFormat="0" applyFont="0" applyFill="0" applyAlignment="0" applyProtection="0"/>
    <xf numFmtId="0" fontId="107" fillId="0" borderId="30" applyNumberFormat="0" applyFont="0" applyFill="0" applyAlignment="0" applyProtection="0"/>
    <xf numFmtId="169" fontId="133" fillId="0" borderId="18" applyAlignment="0" applyProtection="0"/>
    <xf numFmtId="234" fontId="99" fillId="0" borderId="0" applyFont="0" applyFill="0" applyBorder="0" applyAlignment="0" applyProtection="0"/>
    <xf numFmtId="0" fontId="126" fillId="0" borderId="0"/>
    <xf numFmtId="0" fontId="134" fillId="0" borderId="0"/>
    <xf numFmtId="0" fontId="126" fillId="0" borderId="0"/>
    <xf numFmtId="0" fontId="86" fillId="0" borderId="0" applyFill="0" applyBorder="0" applyAlignment="0"/>
    <xf numFmtId="0" fontId="86" fillId="0" borderId="0" applyFill="0" applyBorder="0" applyAlignment="0"/>
    <xf numFmtId="235" fontId="78" fillId="0" borderId="0" applyFill="0" applyBorder="0" applyAlignment="0"/>
    <xf numFmtId="235" fontId="78" fillId="0" borderId="0" applyFill="0" applyBorder="0" applyAlignment="0"/>
    <xf numFmtId="236" fontId="135" fillId="0" borderId="0" applyFill="0" applyBorder="0" applyAlignment="0"/>
    <xf numFmtId="236" fontId="135" fillId="0" borderId="0" applyFill="0" applyBorder="0" applyAlignment="0"/>
    <xf numFmtId="237" fontId="135" fillId="0" borderId="0" applyFill="0" applyBorder="0" applyAlignment="0"/>
    <xf numFmtId="237" fontId="135" fillId="0" borderId="0" applyFill="0" applyBorder="0" applyAlignment="0"/>
    <xf numFmtId="238" fontId="99" fillId="0" borderId="0" applyFill="0" applyBorder="0" applyAlignment="0"/>
    <xf numFmtId="238" fontId="99" fillId="0" borderId="0" applyFill="0" applyBorder="0" applyAlignment="0"/>
    <xf numFmtId="239" fontId="135" fillId="0" borderId="0" applyFill="0" applyBorder="0" applyAlignment="0"/>
    <xf numFmtId="239" fontId="135" fillId="0" borderId="0" applyFill="0" applyBorder="0" applyAlignment="0"/>
    <xf numFmtId="240" fontId="135" fillId="0" borderId="0" applyFill="0" applyBorder="0" applyAlignment="0"/>
    <xf numFmtId="240" fontId="135" fillId="0" borderId="0" applyFill="0" applyBorder="0" applyAlignment="0"/>
    <xf numFmtId="235" fontId="78" fillId="0" borderId="0" applyFill="0" applyBorder="0" applyAlignment="0"/>
    <xf numFmtId="235" fontId="78" fillId="0" borderId="0" applyFill="0" applyBorder="0" applyAlignment="0"/>
    <xf numFmtId="0" fontId="136" fillId="59" borderId="31" applyNumberFormat="0" applyAlignment="0" applyProtection="0"/>
    <xf numFmtId="0" fontId="136" fillId="59" borderId="31" applyNumberFormat="0" applyAlignment="0" applyProtection="0"/>
    <xf numFmtId="0" fontId="136" fillId="59" borderId="31" applyNumberFormat="0" applyAlignment="0" applyProtection="0"/>
    <xf numFmtId="0" fontId="136" fillId="59" borderId="31" applyNumberFormat="0" applyAlignment="0" applyProtection="0"/>
    <xf numFmtId="0" fontId="137" fillId="0" borderId="0"/>
    <xf numFmtId="0" fontId="138" fillId="60" borderId="32" applyNumberFormat="0" applyAlignment="0" applyProtection="0"/>
    <xf numFmtId="0" fontId="138" fillId="60" borderId="32" applyNumberFormat="0" applyAlignment="0" applyProtection="0"/>
    <xf numFmtId="0" fontId="138" fillId="60" borderId="32" applyNumberFormat="0" applyAlignment="0" applyProtection="0"/>
    <xf numFmtId="0" fontId="138" fillId="60" borderId="32" applyNumberFormat="0" applyAlignment="0" applyProtection="0"/>
    <xf numFmtId="1" fontId="139" fillId="0" borderId="22" applyBorder="0"/>
    <xf numFmtId="241" fontId="140" fillId="0" borderId="0"/>
    <xf numFmtId="241" fontId="140" fillId="0" borderId="0"/>
    <xf numFmtId="241" fontId="140" fillId="0" borderId="0"/>
    <xf numFmtId="241" fontId="140" fillId="0" borderId="0"/>
    <xf numFmtId="241" fontId="140" fillId="0" borderId="0"/>
    <xf numFmtId="241" fontId="140" fillId="0" borderId="0"/>
    <xf numFmtId="241" fontId="140" fillId="0" borderId="0"/>
    <xf numFmtId="241" fontId="140" fillId="0" borderId="0"/>
    <xf numFmtId="171" fontId="87" fillId="0" borderId="0" applyFont="0" applyFill="0" applyBorder="0" applyAlignment="0" applyProtection="0"/>
    <xf numFmtId="239" fontId="135" fillId="0" borderId="0" applyFont="0" applyFill="0" applyBorder="0" applyAlignment="0" applyProtection="0"/>
    <xf numFmtId="239" fontId="135" fillId="0" borderId="0" applyFont="0" applyFill="0" applyBorder="0" applyAlignment="0" applyProtection="0"/>
    <xf numFmtId="188" fontId="87" fillId="0" borderId="0" applyFont="0" applyFill="0" applyBorder="0" applyAlignment="0" applyProtection="0"/>
    <xf numFmtId="39" fontId="87" fillId="0" borderId="0" applyFont="0" applyFill="0" applyBorder="0" applyAlignment="0" applyProtection="0"/>
    <xf numFmtId="242" fontId="87" fillId="0" borderId="0" applyFont="0" applyFill="0" applyBorder="0" applyAlignment="0" applyProtection="0"/>
    <xf numFmtId="243" fontId="141" fillId="0" borderId="0" applyFont="0" applyFill="0" applyBorder="0" applyAlignment="0" applyProtection="0"/>
    <xf numFmtId="244" fontId="142" fillId="0" borderId="0" applyFont="0" applyFill="0" applyBorder="0" applyAlignment="0" applyProtection="0"/>
    <xf numFmtId="173" fontId="87" fillId="0" borderId="0" applyFont="0" applyFill="0" applyBorder="0" applyAlignment="0" applyProtection="0"/>
    <xf numFmtId="245" fontId="143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18" fillId="0" borderId="0" applyFont="0" applyFill="0" applyBorder="0" applyAlignment="0" applyProtection="0"/>
    <xf numFmtId="173" fontId="141" fillId="0" borderId="0" applyFont="0" applyFill="0" applyBorder="0" applyAlignment="0" applyProtection="0"/>
    <xf numFmtId="173" fontId="144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41" fillId="0" borderId="0" applyFont="0" applyFill="0" applyBorder="0" applyAlignment="0" applyProtection="0"/>
    <xf numFmtId="173" fontId="141" fillId="0" borderId="0" applyFont="0" applyFill="0" applyBorder="0" applyAlignment="0" applyProtection="0"/>
    <xf numFmtId="173" fontId="144" fillId="0" borderId="0" applyFont="0" applyFill="0" applyBorder="0" applyAlignment="0" applyProtection="0"/>
    <xf numFmtId="0" fontId="78" fillId="0" borderId="0" applyFill="0" applyBorder="0" applyAlignment="0" applyProtection="0"/>
    <xf numFmtId="173" fontId="144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246" fontId="143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246" fontId="143" fillId="0" borderId="0" applyFont="0" applyFill="0" applyBorder="0" applyAlignment="0" applyProtection="0"/>
    <xf numFmtId="246" fontId="143" fillId="0" borderId="0" applyFont="0" applyFill="0" applyBorder="0" applyAlignment="0" applyProtection="0"/>
    <xf numFmtId="166" fontId="143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87" fillId="0" borderId="0" applyFont="0" applyFill="0" applyBorder="0" applyAlignment="0" applyProtection="0"/>
    <xf numFmtId="173" fontId="141" fillId="0" borderId="0" applyFont="0" applyFill="0" applyBorder="0" applyAlignment="0" applyProtection="0"/>
    <xf numFmtId="173" fontId="144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87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11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7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247" fontId="142" fillId="0" borderId="0" applyFont="0" applyFill="0" applyBorder="0" applyAlignment="0" applyProtection="0"/>
    <xf numFmtId="173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68" fontId="143" fillId="0" borderId="0" applyFont="0" applyFill="0" applyBorder="0" applyAlignment="0" applyProtection="0"/>
    <xf numFmtId="248" fontId="78" fillId="0" borderId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45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41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1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118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118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249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118" fillId="0" borderId="0" applyFont="0" applyFill="0" applyBorder="0" applyAlignment="0" applyProtection="0"/>
    <xf numFmtId="0" fontId="78" fillId="0" borderId="0" applyFont="0" applyFill="0" applyBorder="0" applyAlignment="0" applyProtection="0"/>
    <xf numFmtId="173" fontId="146" fillId="0" borderId="0" applyFont="0" applyFill="0" applyBorder="0" applyAlignment="0" applyProtection="0"/>
    <xf numFmtId="173" fontId="142" fillId="0" borderId="0" applyFont="0" applyFill="0" applyBorder="0" applyAlignment="0" applyProtection="0"/>
    <xf numFmtId="173" fontId="59" fillId="0" borderId="0" applyFont="0" applyFill="0" applyBorder="0" applyAlignment="0" applyProtection="0"/>
    <xf numFmtId="168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1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42" fillId="0" borderId="0" applyFont="0" applyFill="0" applyBorder="0" applyAlignment="0" applyProtection="0"/>
    <xf numFmtId="173" fontId="87" fillId="0" borderId="0" applyFont="0" applyFill="0" applyBorder="0" applyAlignment="0" applyProtection="0"/>
    <xf numFmtId="173" fontId="87" fillId="0" borderId="0" applyFont="0" applyFill="0" applyBorder="0" applyAlignment="0" applyProtection="0"/>
    <xf numFmtId="173" fontId="142" fillId="0" borderId="0" applyFont="0" applyFill="0" applyBorder="0" applyAlignment="0" applyProtection="0"/>
    <xf numFmtId="0" fontId="147" fillId="0" borderId="0"/>
    <xf numFmtId="201" fontId="148" fillId="0" borderId="0"/>
    <xf numFmtId="37" fontId="149" fillId="0" borderId="0" applyFont="0" applyFill="0" applyBorder="0" applyAlignment="0" applyProtection="0"/>
    <xf numFmtId="39" fontId="149" fillId="0" borderId="0" applyFont="0" applyFill="0" applyBorder="0" applyAlignment="0" applyProtection="0"/>
    <xf numFmtId="3" fontId="78" fillId="0" borderId="0" applyFont="0" applyFill="0" applyBorder="0" applyAlignment="0" applyProtection="0"/>
    <xf numFmtId="0" fontId="150" fillId="0" borderId="0"/>
    <xf numFmtId="0" fontId="151" fillId="0" borderId="0"/>
    <xf numFmtId="3" fontId="78" fillId="0" borderId="0" applyFont="0" applyFill="0" applyBorder="0" applyAlignment="0" applyProtection="0"/>
    <xf numFmtId="0" fontId="150" fillId="0" borderId="0"/>
    <xf numFmtId="0" fontId="151" fillId="0" borderId="0"/>
    <xf numFmtId="250" fontId="152" fillId="0" borderId="10" applyBorder="0"/>
    <xf numFmtId="236" fontId="135" fillId="0" borderId="0">
      <alignment horizontal="center"/>
    </xf>
    <xf numFmtId="0" fontId="153" fillId="0" borderId="0" applyNumberFormat="0" applyAlignment="0">
      <alignment horizontal="left"/>
    </xf>
    <xf numFmtId="235" fontId="78" fillId="0" borderId="0" applyFont="0" applyFill="0" applyBorder="0" applyAlignment="0" applyProtection="0"/>
    <xf numFmtId="235" fontId="78" fillId="0" borderId="0" applyFont="0" applyFill="0" applyBorder="0" applyAlignment="0" applyProtection="0"/>
    <xf numFmtId="251" fontId="87" fillId="0" borderId="0" applyFont="0" applyFill="0" applyBorder="0" applyAlignment="0" applyProtection="0"/>
    <xf numFmtId="252" fontId="87" fillId="0" borderId="0" applyFont="0" applyFill="0" applyBorder="0" applyAlignment="0" applyProtection="0"/>
    <xf numFmtId="253" fontId="87" fillId="0" borderId="0" applyFont="0" applyFill="0" applyBorder="0" applyAlignment="0" applyProtection="0"/>
    <xf numFmtId="172" fontId="78" fillId="0" borderId="0" applyFont="0" applyFill="0" applyBorder="0" applyAlignment="0" applyProtection="0"/>
    <xf numFmtId="243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2" fontId="78" fillId="0" borderId="0" applyFont="0" applyFill="0" applyBorder="0" applyAlignment="0" applyProtection="0"/>
    <xf numFmtId="254" fontId="149" fillId="0" borderId="0" applyFont="0" applyFill="0" applyBorder="0" applyAlignment="0" applyProtection="0"/>
    <xf numFmtId="255" fontId="149" fillId="0" borderId="0" applyFont="0" applyFill="0" applyBorder="0" applyAlignment="0" applyProtection="0"/>
    <xf numFmtId="256" fontId="149" fillId="0" borderId="0" applyFont="0" applyFill="0" applyBorder="0" applyAlignment="0" applyProtection="0"/>
    <xf numFmtId="257" fontId="78" fillId="0" borderId="0" applyFont="0" applyFill="0" applyBorder="0" applyAlignment="0" applyProtection="0"/>
    <xf numFmtId="258" fontId="148" fillId="0" borderId="0"/>
    <xf numFmtId="259" fontId="78" fillId="0" borderId="0"/>
    <xf numFmtId="0" fontId="99" fillId="0" borderId="0" applyFont="0" applyFill="0" applyBorder="0" applyAlignment="0" applyProtection="0"/>
    <xf numFmtId="250" fontId="154" fillId="0" borderId="0">
      <protection locked="0"/>
    </xf>
    <xf numFmtId="260" fontId="107" fillId="0" borderId="0" applyFont="0" applyFill="0" applyBorder="0" applyProtection="0">
      <alignment horizontal="right"/>
    </xf>
    <xf numFmtId="261" fontId="87" fillId="0" borderId="0" applyFont="0" applyFill="0" applyBorder="0" applyAlignment="0" applyProtection="0"/>
    <xf numFmtId="262" fontId="87" fillId="0" borderId="0" applyFont="0" applyFill="0" applyBorder="0" applyAlignment="0" applyProtection="0"/>
    <xf numFmtId="263" fontId="87" fillId="0" borderId="0" applyFont="0" applyFill="0" applyBorder="0" applyAlignment="0" applyProtection="0"/>
    <xf numFmtId="264" fontId="78" fillId="0" borderId="0" applyFont="0" applyFill="0" applyBorder="0" applyAlignment="0" applyProtection="0"/>
    <xf numFmtId="265" fontId="78" fillId="0" borderId="0">
      <protection locked="0"/>
    </xf>
    <xf numFmtId="14" fontId="108" fillId="0" borderId="0" applyFill="0" applyBorder="0" applyAlignment="0"/>
    <xf numFmtId="260" fontId="107" fillId="0" borderId="0" applyFont="0" applyFill="0" applyBorder="0" applyProtection="0">
      <alignment horizontal="right"/>
    </xf>
    <xf numFmtId="266" fontId="78" fillId="0" borderId="0" applyFont="0" applyFill="0" applyBorder="0" applyAlignment="0" applyProtection="0"/>
    <xf numFmtId="38" fontId="155" fillId="0" borderId="33">
      <alignment vertical="center"/>
    </xf>
    <xf numFmtId="166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267" fontId="78" fillId="0" borderId="0"/>
    <xf numFmtId="202" fontId="148" fillId="0" borderId="0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250" fontId="156" fillId="0" borderId="18"/>
    <xf numFmtId="173" fontId="78" fillId="0" borderId="0" applyFont="0" applyFill="0" applyBorder="0" applyAlignment="0" applyProtection="0"/>
    <xf numFmtId="260" fontId="157" fillId="61" borderId="0" applyBorder="0" applyAlignment="0" applyProtection="0"/>
    <xf numFmtId="260" fontId="157" fillId="62" borderId="0" applyBorder="0" applyAlignment="0" applyProtection="0"/>
    <xf numFmtId="260" fontId="157" fillId="62" borderId="0" applyBorder="0" applyAlignment="0" applyProtection="0"/>
    <xf numFmtId="268" fontId="158" fillId="0" borderId="0" applyFill="0" applyBorder="0" applyAlignment="0"/>
    <xf numFmtId="260" fontId="158" fillId="0" borderId="0" applyFill="0" applyBorder="0" applyAlignment="0"/>
    <xf numFmtId="268" fontId="158" fillId="0" borderId="0" applyFill="0" applyBorder="0" applyAlignment="0"/>
    <xf numFmtId="269" fontId="159" fillId="0" borderId="0" applyFill="0" applyBorder="0" applyAlignment="0"/>
    <xf numFmtId="260" fontId="158" fillId="0" borderId="0" applyFill="0" applyBorder="0" applyAlignment="0"/>
    <xf numFmtId="0" fontId="160" fillId="0" borderId="0" applyNumberFormat="0" applyAlignment="0">
      <alignment horizontal="left"/>
    </xf>
    <xf numFmtId="0" fontId="158" fillId="0" borderId="0">
      <alignment horizontal="left"/>
    </xf>
    <xf numFmtId="27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58" fillId="0" borderId="0" applyFill="0" applyBorder="0">
      <alignment horizontal="left" vertical="top"/>
    </xf>
    <xf numFmtId="0" fontId="162" fillId="0" borderId="0">
      <protection locked="0"/>
    </xf>
    <xf numFmtId="0" fontId="162" fillId="0" borderId="0">
      <protection locked="0"/>
    </xf>
    <xf numFmtId="0" fontId="163" fillId="0" borderId="0">
      <protection locked="0"/>
    </xf>
    <xf numFmtId="0" fontId="162" fillId="0" borderId="0">
      <protection locked="0"/>
    </xf>
    <xf numFmtId="0" fontId="162" fillId="0" borderId="0">
      <protection locked="0"/>
    </xf>
    <xf numFmtId="0" fontId="162" fillId="0" borderId="0">
      <protection locked="0"/>
    </xf>
    <xf numFmtId="0" fontId="163" fillId="0" borderId="0">
      <protection locked="0"/>
    </xf>
    <xf numFmtId="265" fontId="78" fillId="0" borderId="0">
      <protection locked="0"/>
    </xf>
    <xf numFmtId="265" fontId="78" fillId="0" borderId="0">
      <protection locked="0"/>
    </xf>
    <xf numFmtId="11" fontId="78" fillId="0" borderId="0" applyFont="0" applyFill="0" applyBorder="0" applyAlignment="0" applyProtection="0"/>
    <xf numFmtId="176" fontId="164" fillId="0" borderId="0" applyFill="0" applyBorder="0" applyAlignment="0" applyProtection="0">
      <alignment vertical="top"/>
      <protection locked="0"/>
    </xf>
    <xf numFmtId="271" fontId="87" fillId="0" borderId="0" applyFont="0" applyFill="0" applyBorder="0" applyAlignment="0" applyProtection="0"/>
    <xf numFmtId="272" fontId="87" fillId="0" borderId="0" applyFont="0" applyFill="0" applyBorder="0" applyAlignment="0" applyProtection="0"/>
    <xf numFmtId="273" fontId="87" fillId="0" borderId="0" applyFont="0" applyFill="0" applyBorder="0" applyAlignment="0" applyProtection="0"/>
    <xf numFmtId="0" fontId="165" fillId="43" borderId="0" applyNumberFormat="0" applyBorder="0" applyAlignment="0" applyProtection="0"/>
    <xf numFmtId="0" fontId="165" fillId="43" borderId="0" applyNumberFormat="0" applyBorder="0" applyAlignment="0" applyProtection="0"/>
    <xf numFmtId="0" fontId="165" fillId="43" borderId="0" applyNumberFormat="0" applyBorder="0" applyAlignment="0" applyProtection="0"/>
    <xf numFmtId="0" fontId="165" fillId="43" borderId="0" applyNumberFormat="0" applyBorder="0" applyAlignment="0" applyProtection="0"/>
    <xf numFmtId="38" fontId="166" fillId="40" borderId="0" applyNumberFormat="0" applyBorder="0" applyAlignment="0" applyProtection="0"/>
    <xf numFmtId="0" fontId="167" fillId="0" borderId="0" applyNumberFormat="0" applyFont="0" applyBorder="0" applyAlignment="0">
      <alignment horizontal="left" vertical="center"/>
    </xf>
    <xf numFmtId="0" fontId="168" fillId="0" borderId="0">
      <alignment horizontal="left"/>
    </xf>
    <xf numFmtId="0" fontId="81" fillId="0" borderId="34" applyNumberFormat="0" applyAlignment="0" applyProtection="0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81" fillId="0" borderId="16">
      <alignment horizontal="left" vertical="center"/>
    </xf>
    <xf numFmtId="0" fontId="169" fillId="0" borderId="35" applyNumberFormat="0" applyFill="0" applyAlignment="0" applyProtection="0"/>
    <xf numFmtId="0" fontId="169" fillId="0" borderId="35" applyNumberFormat="0" applyFill="0" applyAlignment="0" applyProtection="0"/>
    <xf numFmtId="0" fontId="169" fillId="0" borderId="35" applyNumberFormat="0" applyFill="0" applyAlignment="0" applyProtection="0"/>
    <xf numFmtId="0" fontId="169" fillId="0" borderId="35" applyNumberFormat="0" applyFill="0" applyAlignment="0" applyProtection="0"/>
    <xf numFmtId="0" fontId="170" fillId="0" borderId="36" applyNumberFormat="0" applyFill="0" applyAlignment="0" applyProtection="0"/>
    <xf numFmtId="0" fontId="170" fillId="0" borderId="36" applyNumberFormat="0" applyFill="0" applyAlignment="0" applyProtection="0"/>
    <xf numFmtId="0" fontId="170" fillId="0" borderId="36" applyNumberFormat="0" applyFill="0" applyAlignment="0" applyProtection="0"/>
    <xf numFmtId="0" fontId="170" fillId="0" borderId="36" applyNumberFormat="0" applyFill="0" applyAlignment="0" applyProtection="0"/>
    <xf numFmtId="0" fontId="171" fillId="0" borderId="37" applyNumberFormat="0" applyFill="0" applyAlignment="0" applyProtection="0"/>
    <xf numFmtId="0" fontId="171" fillId="0" borderId="37" applyNumberFormat="0" applyFill="0" applyAlignment="0" applyProtection="0"/>
    <xf numFmtId="0" fontId="171" fillId="0" borderId="37" applyNumberFormat="0" applyFill="0" applyAlignment="0" applyProtection="0"/>
    <xf numFmtId="0" fontId="171" fillId="0" borderId="37" applyNumberFormat="0" applyFill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265" fontId="78" fillId="0" borderId="0">
      <protection locked="0"/>
    </xf>
    <xf numFmtId="265" fontId="78" fillId="0" borderId="0">
      <protection locked="0"/>
    </xf>
    <xf numFmtId="169" fontId="172" fillId="63" borderId="10" applyNumberFormat="0" applyAlignment="0">
      <alignment horizontal="left" vertical="top"/>
    </xf>
    <xf numFmtId="222" fontId="78" fillId="0" borderId="0" applyFont="0" applyFill="0" applyBorder="0" applyAlignment="0" applyProtection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38">
      <alignment vertical="top"/>
    </xf>
    <xf numFmtId="10" fontId="166" fillId="64" borderId="10" applyNumberFormat="0" applyBorder="0" applyAlignment="0" applyProtection="0"/>
    <xf numFmtId="0" fontId="175" fillId="46" borderId="31" applyNumberFormat="0" applyAlignment="0" applyProtection="0"/>
    <xf numFmtId="0" fontId="175" fillId="46" borderId="31" applyNumberFormat="0" applyAlignment="0" applyProtection="0"/>
    <xf numFmtId="0" fontId="175" fillId="46" borderId="31" applyNumberFormat="0" applyAlignment="0" applyProtection="0"/>
    <xf numFmtId="0" fontId="175" fillId="46" borderId="31" applyNumberFormat="0" applyAlignment="0" applyProtection="0"/>
    <xf numFmtId="0" fontId="129" fillId="0" borderId="0" applyNumberFormat="0" applyFill="0" applyBorder="0" applyAlignment="0">
      <protection locked="0"/>
    </xf>
    <xf numFmtId="169" fontId="176" fillId="0" borderId="0" applyNumberFormat="0" applyFill="0" applyBorder="0" applyAlignment="0" applyProtection="0"/>
    <xf numFmtId="268" fontId="158" fillId="0" borderId="0" applyFill="0" applyBorder="0" applyAlignment="0"/>
    <xf numFmtId="260" fontId="158" fillId="0" borderId="0" applyFill="0" applyBorder="0" applyAlignment="0"/>
    <xf numFmtId="268" fontId="158" fillId="0" borderId="0" applyFill="0" applyBorder="0" applyAlignment="0"/>
    <xf numFmtId="269" fontId="159" fillId="0" borderId="0" applyFill="0" applyBorder="0" applyAlignment="0"/>
    <xf numFmtId="260" fontId="158" fillId="0" borderId="0" applyFill="0" applyBorder="0" applyAlignment="0"/>
    <xf numFmtId="0" fontId="177" fillId="0" borderId="39" applyNumberFormat="0" applyFill="0" applyAlignment="0" applyProtection="0"/>
    <xf numFmtId="0" fontId="177" fillId="0" borderId="39" applyNumberFormat="0" applyFill="0" applyAlignment="0" applyProtection="0"/>
    <xf numFmtId="0" fontId="177" fillId="0" borderId="39" applyNumberFormat="0" applyFill="0" applyAlignment="0" applyProtection="0"/>
    <xf numFmtId="0" fontId="177" fillId="0" borderId="39" applyNumberFormat="0" applyFill="0" applyAlignment="0" applyProtection="0"/>
    <xf numFmtId="38" fontId="87" fillId="0" borderId="0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4" fillId="1" borderId="17"/>
    <xf numFmtId="38" fontId="178" fillId="65" borderId="0"/>
    <xf numFmtId="168" fontId="78" fillId="0" borderId="0" applyFont="0" applyFill="0" applyBorder="0" applyAlignment="0" applyProtection="0"/>
    <xf numFmtId="171" fontId="78" fillId="0" borderId="0" applyFont="0" applyFill="0" applyBorder="0" applyAlignment="0" applyProtection="0"/>
    <xf numFmtId="274" fontId="78" fillId="0" borderId="0" applyFont="0" applyFill="0" applyBorder="0" applyAlignment="0" applyProtection="0"/>
    <xf numFmtId="0" fontId="179" fillId="0" borderId="29"/>
    <xf numFmtId="275" fontId="78" fillId="0" borderId="0" applyFont="0" applyFill="0" applyBorder="0" applyAlignment="0" applyProtection="0"/>
    <xf numFmtId="276" fontId="78" fillId="0" borderId="0" applyFont="0" applyFill="0" applyBorder="0" applyAlignment="0" applyProtection="0"/>
    <xf numFmtId="277" fontId="180" fillId="0" borderId="0" applyFont="0" applyFill="0" applyBorder="0" applyProtection="0">
      <alignment horizontal="right"/>
    </xf>
    <xf numFmtId="0" fontId="83" fillId="0" borderId="0" applyNumberFormat="0" applyFont="0" applyFill="0" applyAlignment="0"/>
    <xf numFmtId="0" fontId="181" fillId="39" borderId="0" applyNumberFormat="0" applyBorder="0" applyAlignment="0" applyProtection="0"/>
    <xf numFmtId="0" fontId="181" fillId="39" borderId="0" applyNumberFormat="0" applyBorder="0" applyAlignment="0" applyProtection="0"/>
    <xf numFmtId="0" fontId="181" fillId="39" borderId="0" applyNumberFormat="0" applyBorder="0" applyAlignment="0" applyProtection="0"/>
    <xf numFmtId="0" fontId="181" fillId="39" borderId="0" applyNumberFormat="0" applyBorder="0" applyAlignment="0" applyProtection="0"/>
    <xf numFmtId="278" fontId="78" fillId="0" borderId="0" applyFont="0" applyFill="0" applyBorder="0" applyAlignment="0" applyProtection="0"/>
    <xf numFmtId="279" fontId="182" fillId="0" borderId="40">
      <alignment horizontal="left"/>
    </xf>
    <xf numFmtId="0" fontId="87" fillId="0" borderId="0"/>
    <xf numFmtId="280" fontId="78" fillId="0" borderId="0" applyFont="0" applyFill="0" applyBorder="0" applyAlignment="0" applyProtection="0"/>
    <xf numFmtId="37" fontId="183" fillId="0" borderId="0"/>
    <xf numFmtId="0" fontId="184" fillId="0" borderId="0"/>
    <xf numFmtId="0" fontId="185" fillId="0" borderId="10" applyNumberFormat="0" applyFont="0" applyFill="0" applyBorder="0" applyAlignment="0">
      <alignment horizontal="center"/>
    </xf>
    <xf numFmtId="0" fontId="78" fillId="0" borderId="0"/>
    <xf numFmtId="37" fontId="186" fillId="0" borderId="10"/>
    <xf numFmtId="230" fontId="87" fillId="0" borderId="0"/>
    <xf numFmtId="259" fontId="187" fillId="0" borderId="0"/>
    <xf numFmtId="0" fontId="18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8" fillId="0" borderId="0"/>
    <xf numFmtId="0" fontId="14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89" fillId="0" borderId="0"/>
    <xf numFmtId="0" fontId="59" fillId="0" borderId="0"/>
    <xf numFmtId="0" fontId="59" fillId="0" borderId="0"/>
    <xf numFmtId="0" fontId="59" fillId="0" borderId="0"/>
    <xf numFmtId="0" fontId="18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78" fillId="0" borderId="0"/>
    <xf numFmtId="0" fontId="141" fillId="0" borderId="0"/>
    <xf numFmtId="0" fontId="141" fillId="0" borderId="0"/>
    <xf numFmtId="0" fontId="14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2" fillId="0" borderId="0"/>
    <xf numFmtId="0" fontId="8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87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9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90" fillId="0" borderId="0"/>
    <xf numFmtId="39" fontId="159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78" fillId="0" borderId="0"/>
    <xf numFmtId="0" fontId="78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4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18" fillId="0" borderId="0"/>
    <xf numFmtId="0" fontId="78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8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18" fillId="0" borderId="0"/>
    <xf numFmtId="0" fontId="141" fillId="0" borderId="0"/>
    <xf numFmtId="0" fontId="78" fillId="0" borderId="0"/>
    <xf numFmtId="39" fontId="159" fillId="0" borderId="0"/>
    <xf numFmtId="0" fontId="78" fillId="0" borderId="0"/>
    <xf numFmtId="39" fontId="78" fillId="0" borderId="0"/>
    <xf numFmtId="39" fontId="159" fillId="0" borderId="0"/>
    <xf numFmtId="0" fontId="78" fillId="0" borderId="0"/>
    <xf numFmtId="0" fontId="146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1" fillId="0" borderId="0"/>
    <xf numFmtId="0" fontId="78" fillId="0" borderId="0"/>
    <xf numFmtId="0" fontId="14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78" fillId="0" borderId="0"/>
    <xf numFmtId="0" fontId="78" fillId="0" borderId="0"/>
    <xf numFmtId="39" fontId="1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78" fillId="0" borderId="0"/>
    <xf numFmtId="0" fontId="146" fillId="0" borderId="0"/>
    <xf numFmtId="0" fontId="14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6" fillId="0" borderId="0"/>
    <xf numFmtId="0" fontId="7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78" fillId="0" borderId="0"/>
    <xf numFmtId="0" fontId="142" fillId="0" borderId="0"/>
    <xf numFmtId="0" fontId="19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8" fillId="0" borderId="0"/>
    <xf numFmtId="0" fontId="145" fillId="0" borderId="0"/>
    <xf numFmtId="0" fontId="59" fillId="0" borderId="0"/>
    <xf numFmtId="0" fontId="78" fillId="0" borderId="0"/>
    <xf numFmtId="0" fontId="78" fillId="0" borderId="0"/>
    <xf numFmtId="0" fontId="87" fillId="0" borderId="0"/>
    <xf numFmtId="0" fontId="118" fillId="66" borderId="41" applyNumberFormat="0" applyFont="0" applyAlignment="0" applyProtection="0"/>
    <xf numFmtId="0" fontId="118" fillId="66" borderId="41" applyNumberFormat="0" applyFont="0" applyAlignment="0" applyProtection="0"/>
    <xf numFmtId="0" fontId="118" fillId="66" borderId="41" applyNumberFormat="0" applyFont="0" applyAlignment="0" applyProtection="0"/>
    <xf numFmtId="0" fontId="118" fillId="66" borderId="41" applyNumberFormat="0" applyFont="0" applyAlignment="0" applyProtection="0"/>
    <xf numFmtId="173" fontId="83" fillId="0" borderId="0" applyFont="0" applyFill="0" applyBorder="0" applyAlignment="0" applyProtection="0"/>
    <xf numFmtId="171" fontId="7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37" fontId="192" fillId="0" borderId="0">
      <protection locked="0"/>
    </xf>
    <xf numFmtId="0" fontId="193" fillId="59" borderId="42" applyNumberFormat="0" applyAlignment="0" applyProtection="0"/>
    <xf numFmtId="0" fontId="193" fillId="59" borderId="42" applyNumberFormat="0" applyAlignment="0" applyProtection="0"/>
    <xf numFmtId="0" fontId="193" fillId="59" borderId="42" applyNumberFormat="0" applyAlignment="0" applyProtection="0"/>
    <xf numFmtId="0" fontId="193" fillId="59" borderId="42" applyNumberFormat="0" applyAlignment="0" applyProtection="0"/>
    <xf numFmtId="0" fontId="194" fillId="0" borderId="0" applyFill="0" applyBorder="0" applyProtection="0">
      <alignment horizontal="left"/>
    </xf>
    <xf numFmtId="0" fontId="195" fillId="0" borderId="0" applyFill="0" applyBorder="0" applyProtection="0">
      <alignment horizontal="left"/>
    </xf>
    <xf numFmtId="242" fontId="159" fillId="0" borderId="0" applyFont="0" applyFill="0" applyBorder="0" applyAlignment="0" applyProtection="0"/>
    <xf numFmtId="281" fontId="158" fillId="0" borderId="0" applyFont="0" applyFill="0" applyBorder="0" applyAlignment="0" applyProtection="0"/>
    <xf numFmtId="282" fontId="87" fillId="0" borderId="0" applyFont="0" applyFill="0" applyBorder="0" applyAlignment="0" applyProtection="0"/>
    <xf numFmtId="10" fontId="78" fillId="0" borderId="0" applyFont="0" applyFill="0" applyBorder="0" applyAlignment="0" applyProtection="0"/>
    <xf numFmtId="10" fontId="78" fillId="0" borderId="0" applyFont="0" applyFill="0" applyBorder="0" applyAlignment="0" applyProtection="0"/>
    <xf numFmtId="283" fontId="78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87" fillId="0" borderId="0" applyFont="0" applyFill="0" applyBorder="0" applyAlignment="0" applyProtection="0"/>
    <xf numFmtId="284" fontId="107" fillId="0" borderId="0" applyFont="0" applyFill="0" applyBorder="0" applyProtection="0">
      <alignment horizontal="right"/>
    </xf>
    <xf numFmtId="9" fontId="149" fillId="0" borderId="0" applyFont="0" applyFill="0" applyBorder="0" applyAlignment="0" applyProtection="0"/>
    <xf numFmtId="10" fontId="149" fillId="0" borderId="0" applyFont="0" applyFill="0" applyBorder="0" applyAlignment="0" applyProtection="0"/>
    <xf numFmtId="268" fontId="158" fillId="0" borderId="0" applyFill="0" applyBorder="0" applyAlignment="0"/>
    <xf numFmtId="260" fontId="158" fillId="0" borderId="0" applyFill="0" applyBorder="0" applyAlignment="0"/>
    <xf numFmtId="268" fontId="158" fillId="0" borderId="0" applyFill="0" applyBorder="0" applyAlignment="0"/>
    <xf numFmtId="269" fontId="159" fillId="0" borderId="0" applyFill="0" applyBorder="0" applyAlignment="0"/>
    <xf numFmtId="260" fontId="158" fillId="0" borderId="0" applyFill="0" applyBorder="0" applyAlignment="0"/>
    <xf numFmtId="4" fontId="158" fillId="0" borderId="0">
      <alignment horizontal="right"/>
    </xf>
    <xf numFmtId="0" fontId="197" fillId="0" borderId="0"/>
    <xf numFmtId="0" fontId="155" fillId="0" borderId="0" applyNumberFormat="0" applyFont="0" applyFill="0" applyBorder="0" applyAlignment="0" applyProtection="0">
      <alignment horizontal="left"/>
    </xf>
    <xf numFmtId="15" fontId="155" fillId="0" borderId="0" applyFont="0" applyFill="0" applyBorder="0" applyAlignment="0" applyProtection="0"/>
    <xf numFmtId="4" fontId="155" fillId="0" borderId="0" applyFont="0" applyFill="0" applyBorder="0" applyAlignment="0" applyProtection="0"/>
    <xf numFmtId="0" fontId="133" fillId="0" borderId="29">
      <alignment horizontal="center"/>
    </xf>
    <xf numFmtId="3" fontId="155" fillId="0" borderId="0" applyFont="0" applyFill="0" applyBorder="0" applyAlignment="0" applyProtection="0"/>
    <xf numFmtId="0" fontId="155" fillId="67" borderId="0" applyNumberFormat="0" applyFont="0" applyBorder="0" applyAlignment="0" applyProtection="0"/>
    <xf numFmtId="1" fontId="112" fillId="0" borderId="27" applyNumberFormat="0" applyFill="0" applyAlignment="0" applyProtection="0">
      <alignment horizontal="center" vertical="center"/>
    </xf>
    <xf numFmtId="4" fontId="198" fillId="0" borderId="0">
      <alignment horizontal="right"/>
    </xf>
    <xf numFmtId="285" fontId="199" fillId="0" borderId="0" applyNumberFormat="0" applyFill="0" applyBorder="0" applyAlignment="0" applyProtection="0">
      <alignment horizontal="left"/>
    </xf>
    <xf numFmtId="285" fontId="199" fillId="0" borderId="0" applyNumberFormat="0" applyFill="0" applyBorder="0" applyAlignment="0" applyProtection="0">
      <alignment horizontal="left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108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200" fillId="68" borderId="42" applyNumberFormat="0" applyProtection="0">
      <alignment vertical="center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4" fontId="108" fillId="68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0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1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2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3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4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5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6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7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108" fillId="78" borderId="42" applyNumberFormat="0" applyProtection="0">
      <alignment horizontal="right" vertical="center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201" fillId="79" borderId="42" applyNumberFormat="0" applyProtection="0">
      <alignment horizontal="left" vertical="center" indent="1"/>
    </xf>
    <xf numFmtId="4" fontId="108" fillId="80" borderId="43" applyNumberFormat="0" applyProtection="0">
      <alignment horizontal="left" vertical="center" indent="1"/>
    </xf>
    <xf numFmtId="4" fontId="202" fillId="81" borderId="0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0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4" fontId="10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2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83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40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108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200" fillId="64" borderId="42" applyNumberFormat="0" applyProtection="0">
      <alignment vertical="center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64" borderId="42" applyNumberFormat="0" applyProtection="0">
      <alignment horizontal="left" vertical="center" indent="1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108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4" fontId="200" fillId="80" borderId="42" applyNumberFormat="0" applyProtection="0">
      <alignment horizontal="right" vertical="center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78" fillId="69" borderId="42" applyNumberFormat="0" applyProtection="0">
      <alignment horizontal="left" vertical="center" indent="1"/>
    </xf>
    <xf numFmtId="0" fontId="203" fillId="0" borderId="0"/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4" fontId="176" fillId="80" borderId="42" applyNumberFormat="0" applyProtection="0">
      <alignment horizontal="right" vertical="center"/>
    </xf>
    <xf numFmtId="0" fontId="192" fillId="0" borderId="0"/>
    <xf numFmtId="0" fontId="204" fillId="0" borderId="0"/>
    <xf numFmtId="0" fontId="192" fillId="0" borderId="0"/>
    <xf numFmtId="0" fontId="205" fillId="0" borderId="0">
      <alignment horizontal="left"/>
    </xf>
    <xf numFmtId="37" fontId="206" fillId="0" borderId="0">
      <protection locked="0"/>
    </xf>
    <xf numFmtId="0" fontId="207" fillId="59" borderId="0"/>
    <xf numFmtId="0" fontId="204" fillId="0" borderId="0"/>
    <xf numFmtId="0" fontId="208" fillId="0" borderId="0"/>
    <xf numFmtId="37" fontId="206" fillId="0" borderId="0">
      <protection locked="0"/>
    </xf>
    <xf numFmtId="0" fontId="87" fillId="84" borderId="0" applyNumberFormat="0" applyFont="0" applyBorder="0" applyAlignment="0" applyProtection="0"/>
    <xf numFmtId="260" fontId="209" fillId="0" borderId="0" applyFill="0" applyBorder="0" applyAlignment="0" applyProtection="0"/>
    <xf numFmtId="0" fontId="210" fillId="0" borderId="0"/>
    <xf numFmtId="0" fontId="207" fillId="59" borderId="0"/>
    <xf numFmtId="0" fontId="204" fillId="0" borderId="0"/>
    <xf numFmtId="0" fontId="204" fillId="0" borderId="0"/>
    <xf numFmtId="49" fontId="192" fillId="0" borderId="0"/>
    <xf numFmtId="0" fontId="78" fillId="85" borderId="0"/>
    <xf numFmtId="0" fontId="88" fillId="0" borderId="0"/>
    <xf numFmtId="0" fontId="211" fillId="0" borderId="0"/>
    <xf numFmtId="0" fontId="86" fillId="0" borderId="0" applyFont="0" applyFill="0" applyBorder="0" applyAlignment="0" applyProtection="0"/>
    <xf numFmtId="0" fontId="212" fillId="0" borderId="10" applyNumberFormat="0" applyFill="0" applyProtection="0">
      <alignment horizontal="right"/>
    </xf>
    <xf numFmtId="17" fontId="212" fillId="0" borderId="10" applyFill="0" applyAlignment="0" applyProtection="0"/>
    <xf numFmtId="0" fontId="212" fillId="0" borderId="10" applyNumberFormat="0" applyFill="0" applyProtection="0">
      <alignment horizontal="left" wrapText="1"/>
    </xf>
    <xf numFmtId="0" fontId="213" fillId="86" borderId="0" applyNumberFormat="0" applyBorder="0" applyAlignment="0" applyProtection="0"/>
    <xf numFmtId="0" fontId="213" fillId="72" borderId="0" applyNumberFormat="0" applyBorder="0" applyAlignment="0" applyProtection="0"/>
    <xf numFmtId="286" fontId="212" fillId="0" borderId="0" applyFill="0" applyBorder="0" applyAlignment="0" applyProtection="0"/>
    <xf numFmtId="0" fontId="214" fillId="0" borderId="0" applyNumberFormat="0" applyFill="0" applyBorder="0" applyAlignment="0" applyProtection="0"/>
    <xf numFmtId="0" fontId="215" fillId="0" borderId="10" applyNumberFormat="0" applyFill="0" applyAlignment="0" applyProtection="0"/>
    <xf numFmtId="0" fontId="216" fillId="87" borderId="44" applyNumberFormat="0" applyProtection="0">
      <alignment horizontal="center" vertical="center" wrapText="1"/>
    </xf>
    <xf numFmtId="0" fontId="216" fillId="87" borderId="0" applyNumberFormat="0" applyProtection="0">
      <alignment horizontal="right" vertical="center" wrapText="1"/>
    </xf>
    <xf numFmtId="0" fontId="215" fillId="88" borderId="0" applyNumberFormat="0" applyBorder="0" applyProtection="0">
      <alignment horizontal="center" vertical="center"/>
    </xf>
    <xf numFmtId="0" fontId="217" fillId="0" borderId="0"/>
    <xf numFmtId="0" fontId="217" fillId="0" borderId="0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38" fontId="87" fillId="0" borderId="18"/>
    <xf numFmtId="0" fontId="204" fillId="0" borderId="0" applyFill="0" applyBorder="0" applyProtection="0">
      <alignment horizontal="center" vertical="center"/>
    </xf>
    <xf numFmtId="0" fontId="204" fillId="0" borderId="0" applyFill="0" applyBorder="0" applyProtection="0"/>
    <xf numFmtId="0" fontId="77" fillId="0" borderId="0" applyFill="0" applyBorder="0" applyProtection="0">
      <alignment horizontal="left"/>
    </xf>
    <xf numFmtId="0" fontId="218" fillId="0" borderId="0" applyFill="0" applyBorder="0" applyProtection="0">
      <alignment horizontal="left" vertical="top"/>
    </xf>
    <xf numFmtId="225" fontId="78" fillId="0" borderId="0" applyFont="0" applyFill="0" applyBorder="0" applyAlignment="0" applyProtection="0"/>
    <xf numFmtId="225" fontId="78" fillId="0" borderId="0" applyFont="0" applyFill="0" applyBorder="0" applyAlignment="0" applyProtection="0"/>
    <xf numFmtId="261" fontId="78" fillId="0" borderId="0" applyFont="0" applyFill="0" applyBorder="0" applyAlignment="0" applyProtection="0"/>
    <xf numFmtId="49" fontId="108" fillId="0" borderId="0" applyFill="0" applyBorder="0" applyAlignment="0"/>
    <xf numFmtId="287" fontId="159" fillId="0" borderId="0" applyFill="0" applyBorder="0" applyAlignment="0"/>
    <xf numFmtId="288" fontId="159" fillId="0" borderId="0" applyFill="0" applyBorder="0" applyAlignment="0"/>
    <xf numFmtId="0" fontId="219" fillId="0" borderId="45"/>
    <xf numFmtId="0" fontId="80" fillId="0" borderId="0" applyNumberFormat="0" applyFill="0" applyBorder="0" applyAlignment="0" applyProtection="0"/>
    <xf numFmtId="289" fontId="87" fillId="0" borderId="0" applyFont="0" applyFill="0" applyBorder="0" applyAlignment="0" applyProtection="0"/>
    <xf numFmtId="290" fontId="87" fillId="0" borderId="0" applyFont="0" applyFill="0" applyBorder="0" applyAlignment="0" applyProtection="0"/>
    <xf numFmtId="291" fontId="87" fillId="0" borderId="0" applyFont="0" applyFill="0" applyBorder="0" applyAlignment="0" applyProtection="0"/>
    <xf numFmtId="40" fontId="220" fillId="0" borderId="0"/>
    <xf numFmtId="0" fontId="221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2" fillId="0" borderId="46" applyNumberFormat="0" applyFill="0" applyAlignment="0" applyProtection="0"/>
    <xf numFmtId="0" fontId="222" fillId="0" borderId="46" applyNumberFormat="0" applyFill="0" applyAlignment="0" applyProtection="0"/>
    <xf numFmtId="0" fontId="222" fillId="0" borderId="46" applyNumberFormat="0" applyFill="0" applyAlignment="0" applyProtection="0"/>
    <xf numFmtId="0" fontId="222" fillId="0" borderId="46" applyNumberFormat="0" applyFill="0" applyAlignment="0" applyProtection="0"/>
    <xf numFmtId="0" fontId="223" fillId="0" borderId="0" applyAlignment="0">
      <alignment wrapText="1"/>
    </xf>
    <xf numFmtId="0" fontId="174" fillId="40" borderId="0">
      <alignment vertical="top"/>
    </xf>
    <xf numFmtId="173" fontId="78" fillId="0" borderId="0" applyFont="0" applyFill="0" applyBorder="0" applyAlignment="0" applyProtection="0"/>
    <xf numFmtId="173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0" fontId="224" fillId="0" borderId="0"/>
    <xf numFmtId="0" fontId="224" fillId="0" borderId="0"/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169" fontId="225" fillId="80" borderId="21">
      <alignment vertical="top"/>
    </xf>
    <xf numFmtId="0" fontId="226" fillId="89" borderId="10">
      <alignment horizontal="left" vertical="center"/>
    </xf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70" fontId="227" fillId="90" borderId="21"/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169" fontId="172" fillId="0" borderId="21">
      <alignment horizontal="left" vertical="top"/>
    </xf>
    <xf numFmtId="0" fontId="228" fillId="91" borderId="0">
      <alignment horizontal="left" vertical="center"/>
    </xf>
    <xf numFmtId="169" fontId="229" fillId="0" borderId="27">
      <alignment horizontal="left" vertical="top"/>
    </xf>
    <xf numFmtId="0" fontId="230" fillId="0" borderId="27">
      <alignment horizontal="left" vertical="center"/>
    </xf>
    <xf numFmtId="0" fontId="77" fillId="40" borderId="0">
      <alignment horizontal="center"/>
    </xf>
    <xf numFmtId="165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260" fontId="107" fillId="0" borderId="0" applyFont="0" applyFill="0" applyBorder="0" applyProtection="0">
      <alignment horizontal="right"/>
    </xf>
    <xf numFmtId="292" fontId="89" fillId="0" borderId="0">
      <alignment horizontal="right"/>
    </xf>
    <xf numFmtId="0" fontId="233" fillId="0" borderId="0"/>
    <xf numFmtId="173" fontId="78" fillId="0" borderId="0" applyFont="0" applyFill="0" applyBorder="0" applyAlignment="0" applyProtection="0"/>
    <xf numFmtId="0" fontId="124" fillId="55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7" borderId="0" applyNumberFormat="0" applyBorder="0" applyAlignment="0" applyProtection="0">
      <alignment vertical="center"/>
    </xf>
    <xf numFmtId="0" fontId="124" fillId="52" borderId="0" applyNumberFormat="0" applyBorder="0" applyAlignment="0" applyProtection="0">
      <alignment vertical="center"/>
    </xf>
    <xf numFmtId="0" fontId="124" fillId="53" borderId="0" applyNumberFormat="0" applyBorder="0" applyAlignment="0" applyProtection="0">
      <alignment vertical="center"/>
    </xf>
    <xf numFmtId="0" fontId="124" fillId="58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234" fillId="0" borderId="0" applyNumberFormat="0" applyFill="0" applyBorder="0" applyAlignment="0" applyProtection="0">
      <alignment vertical="center"/>
    </xf>
    <xf numFmtId="0" fontId="235" fillId="60" borderId="32" applyNumberFormat="0" applyAlignment="0" applyProtection="0">
      <alignment vertical="center"/>
    </xf>
    <xf numFmtId="0" fontId="236" fillId="39" borderId="0" applyNumberFormat="0" applyBorder="0" applyAlignment="0" applyProtection="0">
      <alignment vertical="center"/>
    </xf>
    <xf numFmtId="0" fontId="102" fillId="0" borderId="0" applyNumberFormat="0" applyBorder="0" applyAlignment="0"/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102" fillId="66" borderId="41" applyNumberFormat="0" applyFont="0" applyAlignment="0" applyProtection="0">
      <alignment vertical="center"/>
    </xf>
    <xf numFmtId="0" fontId="237" fillId="0" borderId="39" applyNumberFormat="0" applyFill="0" applyAlignment="0" applyProtection="0">
      <alignment vertical="center"/>
    </xf>
    <xf numFmtId="0" fontId="238" fillId="0" borderId="0" applyFont="0" applyFill="0" applyBorder="0" applyAlignment="0" applyProtection="0"/>
    <xf numFmtId="0" fontId="238" fillId="0" borderId="0" applyFont="0" applyFill="0" applyBorder="0" applyAlignment="0" applyProtection="0"/>
    <xf numFmtId="0" fontId="99" fillId="0" borderId="0">
      <alignment vertical="center"/>
    </xf>
    <xf numFmtId="40" fontId="239" fillId="0" borderId="0" applyFont="0" applyFill="0" applyBorder="0" applyAlignment="0" applyProtection="0"/>
    <xf numFmtId="38" fontId="239" fillId="0" borderId="0" applyFont="0" applyFill="0" applyBorder="0" applyAlignment="0" applyProtection="0"/>
    <xf numFmtId="0" fontId="239" fillId="0" borderId="0" applyFont="0" applyFill="0" applyBorder="0" applyAlignment="0" applyProtection="0"/>
    <xf numFmtId="0" fontId="239" fillId="0" borderId="0" applyFont="0" applyFill="0" applyBorder="0" applyAlignment="0" applyProtection="0"/>
    <xf numFmtId="9" fontId="240" fillId="0" borderId="0" applyFont="0" applyFill="0" applyBorder="0" applyAlignment="0" applyProtection="0"/>
    <xf numFmtId="0" fontId="241" fillId="0" borderId="0"/>
    <xf numFmtId="0" fontId="24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166" fontId="243" fillId="0" borderId="0" applyFont="0" applyFill="0" applyBorder="0" applyAlignment="0" applyProtection="0"/>
    <xf numFmtId="168" fontId="243" fillId="0" borderId="0" applyFont="0" applyFill="0" applyBorder="0" applyAlignment="0" applyProtection="0"/>
    <xf numFmtId="180" fontId="188" fillId="0" borderId="0" applyFont="0" applyFill="0" applyBorder="0" applyAlignment="0" applyProtection="0"/>
    <xf numFmtId="293" fontId="188" fillId="0" borderId="0" applyFont="0" applyFill="0" applyBorder="0" applyAlignment="0" applyProtection="0"/>
    <xf numFmtId="0" fontId="244" fillId="0" borderId="0"/>
    <xf numFmtId="0" fontId="83" fillId="0" borderId="0"/>
    <xf numFmtId="0" fontId="102" fillId="0" borderId="47"/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5" fillId="46" borderId="31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0" fontId="246" fillId="59" borderId="42" applyNumberFormat="0" applyAlignment="0" applyProtection="0">
      <alignment vertical="center"/>
    </xf>
    <xf numFmtId="3" fontId="247" fillId="0" borderId="48" applyFill="0" applyProtection="0">
      <protection locked="0"/>
    </xf>
    <xf numFmtId="41" fontId="248" fillId="0" borderId="0" applyFont="0" applyFill="0" applyBorder="0" applyAlignment="0" applyProtection="0">
      <alignment vertical="center"/>
    </xf>
    <xf numFmtId="43" fontId="248" fillId="0" borderId="0" applyFont="0" applyFill="0" applyBorder="0" applyAlignment="0" applyProtection="0"/>
    <xf numFmtId="166" fontId="192" fillId="0" borderId="0" applyFont="0" applyFill="0" applyBorder="0" applyAlignment="0" applyProtection="0"/>
    <xf numFmtId="168" fontId="192" fillId="0" borderId="0" applyFont="0" applyFill="0" applyBorder="0" applyAlignment="0" applyProtection="0"/>
    <xf numFmtId="0" fontId="166" fillId="0" borderId="0" applyAlignment="0">
      <alignment vertical="top" wrapText="1"/>
      <protection locked="0"/>
    </xf>
    <xf numFmtId="0" fontId="249" fillId="42" borderId="0" applyNumberFormat="0" applyBorder="0" applyAlignment="0" applyProtection="0">
      <alignment vertical="center"/>
    </xf>
    <xf numFmtId="0" fontId="250" fillId="0" borderId="0"/>
    <xf numFmtId="294" fontId="251" fillId="92" borderId="27" applyFont="0" applyFill="0" applyBorder="0"/>
    <xf numFmtId="173" fontId="78" fillId="0" borderId="0" applyFont="0" applyFill="0" applyBorder="0" applyAlignment="0" applyProtection="0"/>
    <xf numFmtId="171" fontId="78" fillId="0" borderId="0" applyFont="0" applyFill="0" applyBorder="0" applyAlignment="0" applyProtection="0"/>
    <xf numFmtId="295" fontId="78" fillId="0" borderId="0"/>
    <xf numFmtId="0" fontId="78" fillId="0" borderId="0"/>
    <xf numFmtId="9" fontId="248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252" fillId="43" borderId="0" applyNumberFormat="0" applyBorder="0" applyAlignment="0" applyProtection="0">
      <alignment vertical="center"/>
    </xf>
    <xf numFmtId="0" fontId="253" fillId="0" borderId="35" applyNumberFormat="0" applyFill="0" applyAlignment="0" applyProtection="0">
      <alignment vertical="center"/>
    </xf>
    <xf numFmtId="0" fontId="254" fillId="0" borderId="36" applyNumberFormat="0" applyFill="0" applyAlignment="0" applyProtection="0">
      <alignment vertical="center"/>
    </xf>
    <xf numFmtId="0" fontId="255" fillId="0" borderId="37" applyNumberFormat="0" applyFill="0" applyAlignment="0" applyProtection="0">
      <alignment vertical="center"/>
    </xf>
    <xf numFmtId="0" fontId="255" fillId="0" borderId="0" applyNumberFormat="0" applyFill="0" applyBorder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6" fillId="59" borderId="31" applyNumberFormat="0" applyAlignment="0" applyProtection="0">
      <alignment vertical="center"/>
    </xf>
    <xf numFmtId="0" fontId="257" fillId="0" borderId="0" applyNumberFormat="0" applyFill="0" applyBorder="0" applyAlignment="0" applyProtection="0">
      <alignment vertical="center"/>
    </xf>
    <xf numFmtId="0" fontId="258" fillId="0" borderId="0" applyNumberFormat="0" applyFill="0" applyBorder="0" applyAlignment="0" applyProtection="0">
      <alignment vertical="center"/>
    </xf>
    <xf numFmtId="179" fontId="192" fillId="0" borderId="0" applyFont="0" applyFill="0" applyBorder="0" applyAlignment="0" applyProtection="0"/>
    <xf numFmtId="170" fontId="259" fillId="0" borderId="0" applyFont="0" applyFill="0" applyBorder="0" applyAlignment="0" applyProtection="0"/>
    <xf numFmtId="296" fontId="192" fillId="0" borderId="0" applyFont="0" applyFill="0" applyBorder="0" applyAlignment="0" applyProtection="0"/>
    <xf numFmtId="172" fontId="78" fillId="0" borderId="0" applyFont="0" applyFill="0" applyBorder="0" applyAlignment="0" applyProtection="0"/>
    <xf numFmtId="297" fontId="87" fillId="0" borderId="0"/>
    <xf numFmtId="298" fontId="102" fillId="0" borderId="0" applyFont="0" applyFill="0" applyBorder="0" applyAlignment="0" applyProtection="0"/>
    <xf numFmtId="0" fontId="260" fillId="0" borderId="0" applyNumberFormat="0" applyFill="0" applyBorder="0" applyAlignment="0" applyProtection="0">
      <alignment vertical="top"/>
      <protection locked="0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261" fillId="0" borderId="46" applyNumberFormat="0" applyFill="0" applyAlignment="0" applyProtection="0">
      <alignment vertical="center"/>
    </xf>
    <xf numFmtId="0" fontId="58" fillId="0" borderId="0"/>
    <xf numFmtId="168" fontId="57" fillId="0" borderId="0" applyFont="0" applyFill="0" applyBorder="0" applyAlignment="0" applyProtection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168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0" borderId="0"/>
    <xf numFmtId="17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24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1" fillId="0" borderId="0"/>
    <xf numFmtId="168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5" fillId="0" borderId="0"/>
    <xf numFmtId="0" fontId="23" fillId="0" borderId="0"/>
    <xf numFmtId="9" fontId="275" fillId="0" borderId="0" applyFont="0" applyFill="0" applyBorder="0" applyAlignment="0" applyProtection="0"/>
    <xf numFmtId="0" fontId="276" fillId="0" borderId="0"/>
    <xf numFmtId="0" fontId="277" fillId="0" borderId="0">
      <alignment vertical="center"/>
    </xf>
  </cellStyleXfs>
  <cellXfs count="273">
    <xf numFmtId="0" fontId="0" fillId="0" borderId="0" xfId="0"/>
    <xf numFmtId="0" fontId="0" fillId="0" borderId="10" xfId="0" applyBorder="1"/>
    <xf numFmtId="0" fontId="82" fillId="36" borderId="0" xfId="0" applyFont="1" applyFill="1" applyAlignment="1">
      <alignment horizontal="left" vertical="center"/>
    </xf>
    <xf numFmtId="0" fontId="0" fillId="36" borderId="0" xfId="0" applyFill="1"/>
    <xf numFmtId="0" fontId="0" fillId="36" borderId="0" xfId="0" applyFill="1" applyAlignment="1">
      <alignment horizontal="center" vertical="center"/>
    </xf>
    <xf numFmtId="0" fontId="81" fillId="34" borderId="10" xfId="0" applyFont="1" applyFill="1" applyBorder="1" applyAlignment="1">
      <alignment horizontal="center" vertical="center"/>
    </xf>
    <xf numFmtId="0" fontId="81" fillId="34" borderId="10" xfId="0" applyFont="1" applyFill="1" applyBorder="1" applyAlignment="1">
      <alignment horizontal="center"/>
    </xf>
    <xf numFmtId="17" fontId="81" fillId="0" borderId="10" xfId="0" applyNumberFormat="1" applyFont="1" applyBorder="1" applyAlignment="1">
      <alignment horizontal="center" vertical="center"/>
    </xf>
    <xf numFmtId="0" fontId="83" fillId="0" borderId="10" xfId="0" applyFont="1" applyBorder="1"/>
    <xf numFmtId="0" fontId="83" fillId="0" borderId="10" xfId="0" applyFont="1" applyBorder="1" applyAlignment="1">
      <alignment horizontal="center" vertical="center"/>
    </xf>
    <xf numFmtId="0" fontId="84" fillId="36" borderId="10" xfId="43" applyFont="1" applyFill="1" applyBorder="1"/>
    <xf numFmtId="0" fontId="75" fillId="33" borderId="10" xfId="43" applyFont="1" applyFill="1" applyBorder="1"/>
    <xf numFmtId="173" fontId="84" fillId="36" borderId="10" xfId="44" applyFont="1" applyFill="1" applyBorder="1"/>
    <xf numFmtId="0" fontId="75" fillId="0" borderId="10" xfId="43" applyFont="1" applyBorder="1"/>
    <xf numFmtId="173" fontId="85" fillId="36" borderId="10" xfId="44" applyFont="1" applyFill="1" applyBorder="1"/>
    <xf numFmtId="0" fontId="75" fillId="0" borderId="10" xfId="43" applyFont="1" applyBorder="1" applyAlignment="1">
      <alignment horizontal="left"/>
    </xf>
    <xf numFmtId="17" fontId="75" fillId="38" borderId="21" xfId="43" applyNumberFormat="1" applyFont="1" applyFill="1" applyBorder="1" applyAlignment="1">
      <alignment horizontal="center" vertical="center"/>
    </xf>
    <xf numFmtId="0" fontId="75" fillId="0" borderId="0" xfId="43" applyFont="1"/>
    <xf numFmtId="17" fontId="75" fillId="0" borderId="0" xfId="43" applyNumberFormat="1" applyFont="1"/>
    <xf numFmtId="0" fontId="78" fillId="0" borderId="10" xfId="0" applyFont="1" applyBorder="1"/>
    <xf numFmtId="0" fontId="81" fillId="0" borderId="10" xfId="0" quotePrefix="1" applyFont="1" applyBorder="1" applyAlignment="1">
      <alignment vertical="center" wrapText="1"/>
    </xf>
    <xf numFmtId="0" fontId="81" fillId="93" borderId="10" xfId="0" applyFont="1" applyFill="1" applyBorder="1" applyAlignment="1">
      <alignment horizontal="center"/>
    </xf>
    <xf numFmtId="0" fontId="81" fillId="93" borderId="10" xfId="0" applyFont="1" applyFill="1" applyBorder="1" applyAlignment="1">
      <alignment horizontal="left" vertical="center"/>
    </xf>
    <xf numFmtId="0" fontId="81" fillId="93" borderId="10" xfId="0" applyFont="1" applyFill="1" applyBorder="1" applyAlignment="1">
      <alignment horizontal="left" vertical="center" wrapText="1"/>
    </xf>
    <xf numFmtId="0" fontId="263" fillId="34" borderId="10" xfId="0" applyFont="1" applyFill="1" applyBorder="1"/>
    <xf numFmtId="0" fontId="263" fillId="0" borderId="10" xfId="0" applyFont="1" applyBorder="1"/>
    <xf numFmtId="0" fontId="263" fillId="34" borderId="10" xfId="0" applyFont="1" applyFill="1" applyBorder="1" applyAlignment="1">
      <alignment horizontal="center"/>
    </xf>
    <xf numFmtId="0" fontId="263" fillId="0" borderId="10" xfId="0" applyFont="1" applyBorder="1" applyAlignment="1">
      <alignment horizontal="center"/>
    </xf>
    <xf numFmtId="15" fontId="263" fillId="0" borderId="10" xfId="0" applyNumberFormat="1" applyFont="1" applyBorder="1" applyAlignment="1">
      <alignment horizontal="center"/>
    </xf>
    <xf numFmtId="0" fontId="264" fillId="36" borderId="0" xfId="0" applyFont="1" applyFill="1" applyAlignment="1">
      <alignment horizontal="left"/>
    </xf>
    <xf numFmtId="0" fontId="0" fillId="0" borderId="10" xfId="0" applyBorder="1" applyAlignment="1">
      <alignment horizontal="center"/>
    </xf>
    <xf numFmtId="0" fontId="75" fillId="34" borderId="11" xfId="0" applyFont="1" applyFill="1" applyBorder="1"/>
    <xf numFmtId="0" fontId="75" fillId="34" borderId="16" xfId="0" applyFont="1" applyFill="1" applyBorder="1"/>
    <xf numFmtId="0" fontId="263" fillId="34" borderId="16" xfId="0" applyFont="1" applyFill="1" applyBorder="1"/>
    <xf numFmtId="0" fontId="263" fillId="34" borderId="19" xfId="0" applyFont="1" applyFill="1" applyBorder="1"/>
    <xf numFmtId="0" fontId="266" fillId="34" borderId="22" xfId="0" applyFont="1" applyFill="1" applyBorder="1" applyAlignment="1">
      <alignment horizontal="center" vertical="center"/>
    </xf>
    <xf numFmtId="0" fontId="75" fillId="34" borderId="22" xfId="0" applyFont="1" applyFill="1" applyBorder="1" applyAlignment="1">
      <alignment vertical="center"/>
    </xf>
    <xf numFmtId="0" fontId="75" fillId="34" borderId="22" xfId="0" applyFont="1" applyFill="1" applyBorder="1" applyAlignment="1">
      <alignment horizontal="center" vertical="center"/>
    </xf>
    <xf numFmtId="0" fontId="75" fillId="34" borderId="22" xfId="0" applyFont="1" applyFill="1" applyBorder="1" applyAlignment="1">
      <alignment vertical="center" wrapText="1"/>
    </xf>
    <xf numFmtId="0" fontId="75" fillId="34" borderId="12" xfId="0" applyFont="1" applyFill="1" applyBorder="1"/>
    <xf numFmtId="0" fontId="75" fillId="34" borderId="20" xfId="0" applyFont="1" applyFill="1" applyBorder="1" applyAlignment="1">
      <alignment horizontal="center"/>
    </xf>
    <xf numFmtId="0" fontId="75" fillId="34" borderId="13" xfId="0" applyFont="1" applyFill="1" applyBorder="1" applyAlignment="1">
      <alignment horizontal="center"/>
    </xf>
    <xf numFmtId="0" fontId="0" fillId="0" borderId="14" xfId="0" applyBorder="1"/>
    <xf numFmtId="3" fontId="0" fillId="0" borderId="10" xfId="778" applyNumberFormat="1" applyFont="1" applyBorder="1" applyAlignment="1">
      <alignment horizontal="center"/>
    </xf>
    <xf numFmtId="15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0" fontId="75" fillId="0" borderId="49" xfId="0" applyFont="1" applyBorder="1"/>
    <xf numFmtId="3" fontId="75" fillId="0" borderId="50" xfId="0" applyNumberFormat="1" applyFont="1" applyBorder="1"/>
    <xf numFmtId="0" fontId="75" fillId="0" borderId="51" xfId="0" applyFont="1" applyBorder="1" applyAlignment="1">
      <alignment horizontal="center"/>
    </xf>
    <xf numFmtId="0" fontId="264" fillId="93" borderId="0" xfId="0" applyFont="1" applyFill="1"/>
    <xf numFmtId="0" fontId="265" fillId="34" borderId="10" xfId="0" applyFont="1" applyFill="1" applyBorder="1"/>
    <xf numFmtId="0" fontId="265" fillId="34" borderId="10" xfId="0" applyFont="1" applyFill="1" applyBorder="1" applyAlignment="1">
      <alignment vertical="center" wrapText="1"/>
    </xf>
    <xf numFmtId="0" fontId="262" fillId="33" borderId="10" xfId="0" applyFont="1" applyFill="1" applyBorder="1"/>
    <xf numFmtId="0" fontId="265" fillId="34" borderId="10" xfId="0" applyFont="1" applyFill="1" applyBorder="1" applyAlignment="1">
      <alignment horizontal="center" vertical="center" wrapText="1"/>
    </xf>
    <xf numFmtId="0" fontId="262" fillId="33" borderId="10" xfId="0" applyFont="1" applyFill="1" applyBorder="1" applyAlignment="1">
      <alignment horizontal="center"/>
    </xf>
    <xf numFmtId="0" fontId="267" fillId="0" borderId="10" xfId="0" applyFont="1" applyBorder="1" applyAlignment="1">
      <alignment vertical="center"/>
    </xf>
    <xf numFmtId="0" fontId="267" fillId="0" borderId="10" xfId="0" applyFont="1" applyBorder="1" applyAlignment="1">
      <alignment horizontal="center" vertical="center"/>
    </xf>
    <xf numFmtId="14" fontId="267" fillId="0" borderId="10" xfId="0" applyNumberFormat="1" applyFont="1" applyBorder="1" applyAlignment="1">
      <alignment horizontal="center" vertical="center"/>
    </xf>
    <xf numFmtId="168" fontId="75" fillId="0" borderId="21" xfId="1" applyFont="1" applyFill="1" applyBorder="1"/>
    <xf numFmtId="168" fontId="263" fillId="0" borderId="10" xfId="1" applyFont="1" applyBorder="1"/>
    <xf numFmtId="174" fontId="0" fillId="0" borderId="10" xfId="1" applyNumberFormat="1" applyFont="1" applyBorder="1"/>
    <xf numFmtId="0" fontId="0" fillId="0" borderId="10" xfId="0" quotePrefix="1" applyBorder="1"/>
    <xf numFmtId="0" fontId="82" fillId="0" borderId="10" xfId="0" applyFont="1" applyBorder="1"/>
    <xf numFmtId="168" fontId="84" fillId="36" borderId="10" xfId="3413" applyFont="1" applyFill="1" applyBorder="1"/>
    <xf numFmtId="0" fontId="75" fillId="34" borderId="10" xfId="0" applyFont="1" applyFill="1" applyBorder="1" applyAlignment="1">
      <alignment horizontal="center" vertical="center" wrapText="1"/>
    </xf>
    <xf numFmtId="15" fontId="0" fillId="0" borderId="10" xfId="0" applyNumberFormat="1" applyBorder="1"/>
    <xf numFmtId="168" fontId="81" fillId="93" borderId="10" xfId="1" applyFont="1" applyFill="1" applyBorder="1" applyAlignment="1">
      <alignment horizontal="center"/>
    </xf>
    <xf numFmtId="168" fontId="81" fillId="93" borderId="10" xfId="1" applyFont="1" applyFill="1" applyBorder="1" applyAlignment="1">
      <alignment horizontal="center" vertical="center"/>
    </xf>
    <xf numFmtId="168" fontId="75" fillId="0" borderId="10" xfId="1" applyFont="1" applyBorder="1"/>
    <xf numFmtId="168" fontId="0" fillId="0" borderId="0" xfId="0" applyNumberFormat="1"/>
    <xf numFmtId="0" fontId="78" fillId="0" borderId="10" xfId="0" quotePrefix="1" applyFont="1" applyBorder="1"/>
    <xf numFmtId="0" fontId="75" fillId="33" borderId="10" xfId="3443" applyFont="1" applyFill="1" applyBorder="1"/>
    <xf numFmtId="173" fontId="84" fillId="36" borderId="10" xfId="3444" applyFont="1" applyFill="1" applyBorder="1"/>
    <xf numFmtId="168" fontId="84" fillId="36" borderId="10" xfId="4855" applyFont="1" applyFill="1" applyBorder="1"/>
    <xf numFmtId="173" fontId="85" fillId="36" borderId="10" xfId="3444" applyFont="1" applyFill="1" applyBorder="1"/>
    <xf numFmtId="0" fontId="0" fillId="94" borderId="0" xfId="0" applyFill="1" applyAlignment="1">
      <alignment horizontal="center" vertical="center"/>
    </xf>
    <xf numFmtId="168" fontId="78" fillId="36" borderId="0" xfId="1" applyFont="1" applyFill="1" applyAlignment="1">
      <alignment horizontal="right"/>
    </xf>
    <xf numFmtId="0" fontId="81" fillId="0" borderId="0" xfId="0" applyFont="1" applyAlignment="1">
      <alignment horizontal="center"/>
    </xf>
    <xf numFmtId="15" fontId="263" fillId="0" borderId="10" xfId="0" applyNumberFormat="1" applyFont="1" applyBorder="1" applyAlignment="1">
      <alignment horizontal="left"/>
    </xf>
    <xf numFmtId="168" fontId="263" fillId="0" borderId="10" xfId="1" applyFont="1" applyFill="1" applyBorder="1" applyAlignment="1"/>
    <xf numFmtId="168" fontId="263" fillId="0" borderId="10" xfId="1" applyFont="1" applyFill="1" applyBorder="1"/>
    <xf numFmtId="168" fontId="263" fillId="0" borderId="10" xfId="1" applyFont="1" applyFill="1" applyBorder="1" applyAlignment="1">
      <alignment horizontal="right"/>
    </xf>
    <xf numFmtId="168" fontId="263" fillId="0" borderId="11" xfId="1" applyFont="1" applyFill="1" applyBorder="1" applyAlignment="1">
      <alignment horizontal="right"/>
    </xf>
    <xf numFmtId="0" fontId="263" fillId="0" borderId="19" xfId="0" applyFont="1" applyBorder="1"/>
    <xf numFmtId="174" fontId="263" fillId="0" borderId="10" xfId="1" applyNumberFormat="1" applyFont="1" applyFill="1" applyBorder="1" applyAlignment="1">
      <alignment horizontal="right"/>
    </xf>
    <xf numFmtId="168" fontId="263" fillId="0" borderId="10" xfId="4853" applyFont="1" applyBorder="1"/>
    <xf numFmtId="173" fontId="263" fillId="0" borderId="10" xfId="44" applyFont="1" applyBorder="1"/>
    <xf numFmtId="173" fontId="263" fillId="0" borderId="10" xfId="3444" applyFont="1" applyBorder="1"/>
    <xf numFmtId="176" fontId="263" fillId="0" borderId="10" xfId="3444" applyNumberFormat="1" applyFont="1" applyBorder="1"/>
    <xf numFmtId="176" fontId="263" fillId="0" borderId="10" xfId="44" applyNumberFormat="1" applyFont="1" applyBorder="1"/>
    <xf numFmtId="168" fontId="266" fillId="37" borderId="10" xfId="1" applyFont="1" applyFill="1" applyBorder="1" applyAlignment="1">
      <alignment horizontal="center" vertical="center" wrapText="1"/>
    </xf>
    <xf numFmtId="174" fontId="263" fillId="0" borderId="10" xfId="1" applyNumberFormat="1" applyFont="1" applyFill="1" applyBorder="1" applyAlignment="1"/>
    <xf numFmtId="174" fontId="263" fillId="0" borderId="10" xfId="1" applyNumberFormat="1" applyFont="1" applyFill="1" applyBorder="1"/>
    <xf numFmtId="168" fontId="85" fillId="36" borderId="10" xfId="1" applyFont="1" applyFill="1" applyBorder="1"/>
    <xf numFmtId="174" fontId="263" fillId="0" borderId="22" xfId="1" applyNumberFormat="1" applyFont="1" applyFill="1" applyBorder="1" applyAlignment="1">
      <alignment horizontal="right"/>
    </xf>
    <xf numFmtId="0" fontId="26" fillId="36" borderId="0" xfId="43" applyFont="1" applyFill="1" applyAlignment="1">
      <alignment horizontal="center"/>
    </xf>
    <xf numFmtId="168" fontId="26" fillId="36" borderId="0" xfId="1" applyFont="1" applyFill="1"/>
    <xf numFmtId="0" fontId="26" fillId="38" borderId="21" xfId="43" applyFont="1" applyFill="1" applyBorder="1" applyAlignment="1">
      <alignment vertical="center"/>
    </xf>
    <xf numFmtId="175" fontId="26" fillId="38" borderId="21" xfId="43" applyNumberFormat="1" applyFont="1" applyFill="1" applyBorder="1" applyAlignment="1">
      <alignment horizontal="center" vertical="center"/>
    </xf>
    <xf numFmtId="168" fontId="26" fillId="38" borderId="21" xfId="1" applyFont="1" applyFill="1" applyBorder="1" applyAlignment="1">
      <alignment vertical="center"/>
    </xf>
    <xf numFmtId="175" fontId="26" fillId="0" borderId="0" xfId="43" applyNumberFormat="1" applyFont="1" applyAlignment="1">
      <alignment horizontal="center"/>
    </xf>
    <xf numFmtId="168" fontId="26" fillId="0" borderId="0" xfId="1" applyFont="1" applyFill="1" applyBorder="1"/>
    <xf numFmtId="168" fontId="26" fillId="34" borderId="10" xfId="1" applyFont="1" applyFill="1" applyBorder="1"/>
    <xf numFmtId="0" fontId="26" fillId="0" borderId="10" xfId="43" applyFont="1" applyBorder="1" applyAlignment="1">
      <alignment horizontal="center"/>
    </xf>
    <xf numFmtId="0" fontId="26" fillId="0" borderId="10" xfId="43" applyFont="1" applyBorder="1"/>
    <xf numFmtId="174" fontId="26" fillId="34" borderId="10" xfId="1" applyNumberFormat="1" applyFont="1" applyFill="1" applyBorder="1"/>
    <xf numFmtId="168" fontId="26" fillId="0" borderId="10" xfId="1" applyFont="1" applyBorder="1"/>
    <xf numFmtId="0" fontId="26" fillId="33" borderId="10" xfId="43" applyFont="1" applyFill="1" applyBorder="1" applyAlignment="1">
      <alignment horizontal="center"/>
    </xf>
    <xf numFmtId="168" fontId="26" fillId="33" borderId="10" xfId="1" applyFont="1" applyFill="1" applyBorder="1"/>
    <xf numFmtId="0" fontId="26" fillId="0" borderId="10" xfId="43" applyFont="1" applyBorder="1" applyAlignment="1">
      <alignment horizontal="left" indent="1"/>
    </xf>
    <xf numFmtId="168" fontId="26" fillId="0" borderId="10" xfId="1" applyFont="1" applyFill="1" applyBorder="1"/>
    <xf numFmtId="176" fontId="26" fillId="0" borderId="10" xfId="44" applyNumberFormat="1" applyFont="1" applyBorder="1"/>
    <xf numFmtId="168" fontId="26" fillId="0" borderId="10" xfId="4853" applyFont="1" applyBorder="1"/>
    <xf numFmtId="174" fontId="26" fillId="0" borderId="10" xfId="1" applyNumberFormat="1" applyFont="1" applyBorder="1"/>
    <xf numFmtId="174" fontId="26" fillId="0" borderId="10" xfId="4853" applyNumberFormat="1" applyFont="1" applyBorder="1"/>
    <xf numFmtId="173" fontId="26" fillId="0" borderId="10" xfId="43" applyNumberFormat="1" applyFont="1" applyBorder="1"/>
    <xf numFmtId="173" fontId="26" fillId="0" borderId="10" xfId="3873" applyNumberFormat="1" applyFont="1" applyBorder="1"/>
    <xf numFmtId="0" fontId="26" fillId="0" borderId="10" xfId="43" applyFont="1" applyBorder="1" applyAlignment="1">
      <alignment horizontal="left"/>
    </xf>
    <xf numFmtId="168" fontId="26" fillId="0" borderId="10" xfId="4853" applyFont="1" applyFill="1" applyBorder="1"/>
    <xf numFmtId="168" fontId="26" fillId="0" borderId="10" xfId="3413" applyFont="1" applyFill="1" applyBorder="1"/>
    <xf numFmtId="168" fontId="26" fillId="0" borderId="10" xfId="4855" applyFont="1" applyFill="1" applyBorder="1"/>
    <xf numFmtId="173" fontId="26" fillId="0" borderId="10" xfId="44" applyFont="1" applyFill="1" applyBorder="1"/>
    <xf numFmtId="0" fontId="26" fillId="0" borderId="11" xfId="43" applyFont="1" applyBorder="1" applyAlignment="1">
      <alignment horizontal="center"/>
    </xf>
    <xf numFmtId="168" fontId="26" fillId="35" borderId="10" xfId="1" applyFont="1" applyFill="1" applyBorder="1"/>
    <xf numFmtId="173" fontId="26" fillId="36" borderId="10" xfId="44" applyFont="1" applyFill="1" applyBorder="1"/>
    <xf numFmtId="173" fontId="26" fillId="36" borderId="10" xfId="3444" applyFont="1" applyFill="1" applyBorder="1"/>
    <xf numFmtId="168" fontId="26" fillId="36" borderId="10" xfId="1" applyFont="1" applyFill="1" applyBorder="1"/>
    <xf numFmtId="173" fontId="26" fillId="36" borderId="10" xfId="43" applyNumberFormat="1" applyFont="1" applyFill="1" applyBorder="1"/>
    <xf numFmtId="168" fontId="26" fillId="0" borderId="0" xfId="43" applyNumberFormat="1" applyFont="1"/>
    <xf numFmtId="173" fontId="26" fillId="0" borderId="0" xfId="43" applyNumberFormat="1" applyFont="1"/>
    <xf numFmtId="0" fontId="75" fillId="36" borderId="0" xfId="43" applyFont="1" applyFill="1"/>
    <xf numFmtId="0" fontId="263" fillId="0" borderId="0" xfId="0" applyFont="1"/>
    <xf numFmtId="173" fontId="263" fillId="33" borderId="10" xfId="44" applyFont="1" applyFill="1" applyBorder="1"/>
    <xf numFmtId="174" fontId="26" fillId="0" borderId="10" xfId="1" applyNumberFormat="1" applyFont="1" applyFill="1" applyBorder="1" applyAlignment="1">
      <alignment horizontal="right"/>
    </xf>
    <xf numFmtId="2" fontId="26" fillId="0" borderId="10" xfId="0" applyNumberFormat="1" applyFont="1" applyBorder="1" applyAlignment="1">
      <alignment horizontal="right"/>
    </xf>
    <xf numFmtId="174" fontId="26" fillId="0" borderId="10" xfId="1" applyNumberFormat="1" applyFont="1" applyFill="1" applyBorder="1" applyAlignment="1">
      <alignment horizontal="right" vertical="top"/>
    </xf>
    <xf numFmtId="0" fontId="78" fillId="0" borderId="0" xfId="0" applyFont="1"/>
    <xf numFmtId="0" fontId="26" fillId="0" borderId="10" xfId="0" applyFont="1" applyBorder="1"/>
    <xf numFmtId="168" fontId="26" fillId="0" borderId="10" xfId="1" applyFont="1" applyFill="1" applyBorder="1" applyAlignment="1">
      <alignment horizontal="right"/>
    </xf>
    <xf numFmtId="0" fontId="273" fillId="0" borderId="0" xfId="4891" applyFont="1"/>
    <xf numFmtId="0" fontId="270" fillId="0" borderId="14" xfId="4891" applyFont="1" applyBorder="1" applyAlignment="1">
      <alignment horizontal="center" vertical="center"/>
    </xf>
    <xf numFmtId="0" fontId="270" fillId="0" borderId="10" xfId="4891" applyFont="1" applyBorder="1" applyAlignment="1">
      <alignment horizontal="center" vertical="center"/>
    </xf>
    <xf numFmtId="0" fontId="270" fillId="0" borderId="15" xfId="4891" applyFont="1" applyBorder="1" applyAlignment="1">
      <alignment horizontal="center" vertical="center"/>
    </xf>
    <xf numFmtId="0" fontId="271" fillId="0" borderId="10" xfId="4891" applyFont="1" applyBorder="1" applyAlignment="1">
      <alignment horizontal="center" vertical="center"/>
    </xf>
    <xf numFmtId="0" fontId="270" fillId="0" borderId="52" xfId="4891" applyFont="1" applyBorder="1" applyAlignment="1">
      <alignment horizontal="center" vertical="center"/>
    </xf>
    <xf numFmtId="0" fontId="25" fillId="0" borderId="0" xfId="4891"/>
    <xf numFmtId="2" fontId="26" fillId="0" borderId="10" xfId="0" applyNumberFormat="1" applyFont="1" applyBorder="1" applyAlignment="1">
      <alignment horizontal="center"/>
    </xf>
    <xf numFmtId="2" fontId="26" fillId="0" borderId="22" xfId="0" applyNumberFormat="1" applyFont="1" applyBorder="1" applyAlignment="1">
      <alignment horizontal="center"/>
    </xf>
    <xf numFmtId="2" fontId="84" fillId="36" borderId="10" xfId="43" applyNumberFormat="1" applyFont="1" applyFill="1" applyBorder="1"/>
    <xf numFmtId="0" fontId="266" fillId="37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8" fontId="77" fillId="36" borderId="0" xfId="1" applyFont="1" applyFill="1" applyAlignment="1">
      <alignment horizontal="right"/>
    </xf>
    <xf numFmtId="0" fontId="77" fillId="0" borderId="0" xfId="0" applyFont="1"/>
    <xf numFmtId="168" fontId="263" fillId="0" borderId="0" xfId="0" applyNumberFormat="1" applyFont="1"/>
    <xf numFmtId="0" fontId="270" fillId="0" borderId="10" xfId="0" applyFont="1" applyBorder="1" applyAlignment="1">
      <alignment horizontal="center" vertical="center"/>
    </xf>
    <xf numFmtId="0" fontId="271" fillId="0" borderId="10" xfId="0" applyFont="1" applyBorder="1" applyAlignment="1">
      <alignment horizontal="center" vertical="center"/>
    </xf>
    <xf numFmtId="0" fontId="271" fillId="0" borderId="15" xfId="0" applyFont="1" applyBorder="1" applyAlignment="1">
      <alignment horizontal="center" vertical="center"/>
    </xf>
    <xf numFmtId="0" fontId="271" fillId="0" borderId="53" xfId="0" applyFont="1" applyBorder="1" applyAlignment="1">
      <alignment horizontal="center" vertical="center"/>
    </xf>
    <xf numFmtId="0" fontId="263" fillId="0" borderId="11" xfId="0" applyFont="1" applyBorder="1"/>
    <xf numFmtId="0" fontId="84" fillId="36" borderId="11" xfId="43" applyFont="1" applyFill="1" applyBorder="1"/>
    <xf numFmtId="2" fontId="84" fillId="36" borderId="11" xfId="43" applyNumberFormat="1" applyFont="1" applyFill="1" applyBorder="1"/>
    <xf numFmtId="173" fontId="263" fillId="33" borderId="11" xfId="44" applyFont="1" applyFill="1" applyBorder="1"/>
    <xf numFmtId="168" fontId="26" fillId="0" borderId="11" xfId="1" applyFont="1" applyBorder="1"/>
    <xf numFmtId="176" fontId="26" fillId="0" borderId="11" xfId="44" applyNumberFormat="1" applyFont="1" applyBorder="1"/>
    <xf numFmtId="176" fontId="263" fillId="0" borderId="11" xfId="3444" applyNumberFormat="1" applyFont="1" applyBorder="1"/>
    <xf numFmtId="173" fontId="84" fillId="36" borderId="11" xfId="44" applyFont="1" applyFill="1" applyBorder="1"/>
    <xf numFmtId="173" fontId="26" fillId="0" borderId="11" xfId="43" applyNumberFormat="1" applyFont="1" applyBorder="1"/>
    <xf numFmtId="168" fontId="84" fillId="36" borderId="11" xfId="3413" applyFont="1" applyFill="1" applyBorder="1"/>
    <xf numFmtId="168" fontId="26" fillId="0" borderId="11" xfId="3413" applyFont="1" applyFill="1" applyBorder="1"/>
    <xf numFmtId="168" fontId="85" fillId="36" borderId="11" xfId="1" applyFont="1" applyFill="1" applyBorder="1"/>
    <xf numFmtId="168" fontId="26" fillId="36" borderId="11" xfId="1" applyFont="1" applyFill="1" applyBorder="1"/>
    <xf numFmtId="175" fontId="26" fillId="0" borderId="10" xfId="43" applyNumberFormat="1" applyFont="1" applyBorder="1" applyAlignment="1">
      <alignment horizontal="center"/>
    </xf>
    <xf numFmtId="0" fontId="24" fillId="0" borderId="10" xfId="43" applyFont="1" applyBorder="1"/>
    <xf numFmtId="0" fontId="270" fillId="0" borderId="53" xfId="0" applyFont="1" applyBorder="1" applyAlignment="1">
      <alignment horizontal="center" vertical="center"/>
    </xf>
    <xf numFmtId="0" fontId="270" fillId="0" borderId="20" xfId="0" applyFont="1" applyBorder="1" applyAlignment="1">
      <alignment horizontal="center" vertical="center"/>
    </xf>
    <xf numFmtId="0" fontId="84" fillId="36" borderId="21" xfId="43" applyFont="1" applyFill="1" applyBorder="1"/>
    <xf numFmtId="0" fontId="263" fillId="0" borderId="22" xfId="0" applyFont="1" applyBorder="1"/>
    <xf numFmtId="0" fontId="26" fillId="0" borderId="21" xfId="43" applyFont="1" applyBorder="1" applyAlignment="1">
      <alignment horizontal="left" indent="1"/>
    </xf>
    <xf numFmtId="0" fontId="26" fillId="0" borderId="21" xfId="43" applyFont="1" applyBorder="1" applyAlignment="1">
      <alignment horizontal="center"/>
    </xf>
    <xf numFmtId="168" fontId="26" fillId="0" borderId="21" xfId="1" applyFont="1" applyFill="1" applyBorder="1"/>
    <xf numFmtId="0" fontId="84" fillId="36" borderId="57" xfId="43" applyFont="1" applyFill="1" applyBorder="1"/>
    <xf numFmtId="0" fontId="75" fillId="33" borderId="22" xfId="43" applyFont="1" applyFill="1" applyBorder="1"/>
    <xf numFmtId="0" fontId="26" fillId="33" borderId="22" xfId="43" applyFont="1" applyFill="1" applyBorder="1" applyAlignment="1">
      <alignment horizontal="center"/>
    </xf>
    <xf numFmtId="168" fontId="26" fillId="33" borderId="22" xfId="1" applyFont="1" applyFill="1" applyBorder="1"/>
    <xf numFmtId="0" fontId="26" fillId="33" borderId="22" xfId="43" applyFont="1" applyFill="1" applyBorder="1"/>
    <xf numFmtId="0" fontId="263" fillId="0" borderId="48" xfId="0" applyFont="1" applyBorder="1"/>
    <xf numFmtId="0" fontId="263" fillId="0" borderId="16" xfId="0" applyFont="1" applyBorder="1"/>
    <xf numFmtId="168" fontId="26" fillId="0" borderId="16" xfId="1" applyFont="1" applyFill="1" applyBorder="1"/>
    <xf numFmtId="0" fontId="271" fillId="0" borderId="20" xfId="0" applyFont="1" applyBorder="1" applyAlignment="1">
      <alignment horizontal="center" vertical="center"/>
    </xf>
    <xf numFmtId="0" fontId="271" fillId="0" borderId="20" xfId="0" applyFont="1" applyBorder="1" applyAlignment="1">
      <alignment horizontal="center" vertical="center" wrapText="1"/>
    </xf>
    <xf numFmtId="0" fontId="271" fillId="0" borderId="13" xfId="0" applyFont="1" applyBorder="1" applyAlignment="1">
      <alignment horizontal="center" vertical="center" wrapText="1"/>
    </xf>
    <xf numFmtId="173" fontId="0" fillId="0" borderId="0" xfId="0" applyNumberFormat="1"/>
    <xf numFmtId="0" fontId="75" fillId="0" borderId="10" xfId="43" applyFont="1" applyBorder="1" applyAlignment="1">
      <alignment horizontal="center"/>
    </xf>
    <xf numFmtId="168" fontId="75" fillId="0" borderId="10" xfId="4873" applyFont="1" applyBorder="1"/>
    <xf numFmtId="168" fontId="75" fillId="0" borderId="11" xfId="4873" applyFont="1" applyBorder="1"/>
    <xf numFmtId="0" fontId="266" fillId="0" borderId="0" xfId="0" applyFont="1"/>
    <xf numFmtId="174" fontId="0" fillId="0" borderId="10" xfId="4893" applyNumberFormat="1" applyFont="1" applyFill="1" applyBorder="1"/>
    <xf numFmtId="173" fontId="263" fillId="0" borderId="10" xfId="44" applyFont="1" applyFill="1" applyBorder="1"/>
    <xf numFmtId="168" fontId="22" fillId="36" borderId="10" xfId="1" applyFont="1" applyFill="1" applyBorder="1"/>
    <xf numFmtId="173" fontId="263" fillId="0" borderId="0" xfId="0" applyNumberFormat="1" applyFont="1"/>
    <xf numFmtId="0" fontId="84" fillId="0" borderId="10" xfId="43" applyFont="1" applyBorder="1"/>
    <xf numFmtId="0" fontId="266" fillId="37" borderId="19" xfId="0" applyFont="1" applyFill="1" applyBorder="1" applyAlignment="1">
      <alignment horizontal="center" vertical="center" wrapText="1"/>
    </xf>
    <xf numFmtId="174" fontId="263" fillId="0" borderId="22" xfId="1" applyNumberFormat="1" applyFont="1" applyFill="1" applyBorder="1" applyAlignment="1"/>
    <xf numFmtId="0" fontId="268" fillId="0" borderId="10" xfId="0" applyFont="1" applyBorder="1" applyAlignment="1">
      <alignment horizontal="left" vertical="top"/>
    </xf>
    <xf numFmtId="0" fontId="268" fillId="0" borderId="10" xfId="0" applyFont="1" applyBorder="1" applyAlignment="1">
      <alignment horizontal="left" vertical="top" wrapText="1"/>
    </xf>
    <xf numFmtId="174" fontId="17" fillId="0" borderId="10" xfId="1" applyNumberFormat="1" applyFont="1" applyFill="1" applyBorder="1" applyAlignment="1">
      <alignment horizontal="right"/>
    </xf>
    <xf numFmtId="168" fontId="16" fillId="36" borderId="10" xfId="1" applyFont="1" applyFill="1" applyBorder="1"/>
    <xf numFmtId="168" fontId="263" fillId="0" borderId="22" xfId="1" applyFont="1" applyFill="1" applyBorder="1" applyAlignment="1"/>
    <xf numFmtId="168" fontId="15" fillId="36" borderId="10" xfId="1" applyFont="1" applyFill="1" applyBorder="1"/>
    <xf numFmtId="168" fontId="78" fillId="36" borderId="0" xfId="1" applyFont="1" applyFill="1" applyAlignment="1">
      <alignment horizontal="center"/>
    </xf>
    <xf numFmtId="168" fontId="77" fillId="36" borderId="0" xfId="1" applyFont="1" applyFill="1" applyAlignment="1">
      <alignment horizontal="center"/>
    </xf>
    <xf numFmtId="168" fontId="26" fillId="0" borderId="10" xfId="1" applyFont="1" applyFill="1" applyBorder="1" applyAlignment="1">
      <alignment horizontal="center"/>
    </xf>
    <xf numFmtId="168" fontId="263" fillId="0" borderId="10" xfId="1" applyFont="1" applyFill="1" applyBorder="1" applyAlignment="1">
      <alignment horizontal="center"/>
    </xf>
    <xf numFmtId="49" fontId="268" fillId="0" borderId="10" xfId="0" applyNumberFormat="1" applyFont="1" applyBorder="1" applyAlignment="1">
      <alignment horizontal="center" vertical="top" wrapText="1"/>
    </xf>
    <xf numFmtId="49" fontId="268" fillId="0" borderId="10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7" fillId="0" borderId="0" xfId="0" applyFont="1" applyAlignment="1">
      <alignment horizontal="center"/>
    </xf>
    <xf numFmtId="0" fontId="77" fillId="38" borderId="10" xfId="0" applyFont="1" applyFill="1" applyBorder="1" applyAlignment="1">
      <alignment horizontal="center" vertical="center" wrapText="1"/>
    </xf>
    <xf numFmtId="168" fontId="14" fillId="36" borderId="10" xfId="1" applyFont="1" applyFill="1" applyBorder="1"/>
    <xf numFmtId="14" fontId="263" fillId="0" borderId="10" xfId="0" applyNumberFormat="1" applyFont="1" applyBorder="1" applyAlignment="1">
      <alignment horizontal="center"/>
    </xf>
    <xf numFmtId="14" fontId="26" fillId="0" borderId="10" xfId="0" applyNumberFormat="1" applyFont="1" applyBorder="1" applyAlignment="1">
      <alignment horizontal="center"/>
    </xf>
    <xf numFmtId="168" fontId="13" fillId="0" borderId="10" xfId="1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168" fontId="12" fillId="0" borderId="10" xfId="1" applyFont="1" applyFill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168" fontId="11" fillId="0" borderId="10" xfId="1" applyFont="1" applyFill="1" applyBorder="1" applyAlignment="1">
      <alignment horizontal="center"/>
    </xf>
    <xf numFmtId="168" fontId="10" fillId="0" borderId="10" xfId="1" applyFont="1" applyFill="1" applyBorder="1" applyAlignment="1">
      <alignment horizontal="center"/>
    </xf>
    <xf numFmtId="168" fontId="9" fillId="0" borderId="10" xfId="1" applyFont="1" applyFill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168" fontId="8" fillId="0" borderId="10" xfId="1" applyFont="1" applyFill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168" fontId="7" fillId="0" borderId="10" xfId="1" applyFont="1" applyFill="1" applyBorder="1" applyAlignment="1">
      <alignment horizontal="center"/>
    </xf>
    <xf numFmtId="0" fontId="7" fillId="0" borderId="10" xfId="0" applyFont="1" applyBorder="1"/>
    <xf numFmtId="0" fontId="6" fillId="0" borderId="10" xfId="43" applyFont="1" applyBorder="1"/>
    <xf numFmtId="168" fontId="0" fillId="0" borderId="0" xfId="1" applyFont="1" applyFill="1"/>
    <xf numFmtId="168" fontId="0" fillId="0" borderId="0" xfId="1" applyFont="1"/>
    <xf numFmtId="168" fontId="5" fillId="0" borderId="10" xfId="1" applyFont="1" applyFill="1" applyBorder="1" applyAlignment="1">
      <alignment horizontal="center"/>
    </xf>
    <xf numFmtId="168" fontId="4" fillId="0" borderId="10" xfId="1" applyFont="1" applyFill="1" applyBorder="1" applyAlignment="1">
      <alignment horizontal="center"/>
    </xf>
    <xf numFmtId="0" fontId="26" fillId="0" borderId="10" xfId="1" applyNumberFormat="1" applyFont="1" applyFill="1" applyBorder="1" applyAlignment="1">
      <alignment horizontal="right"/>
    </xf>
    <xf numFmtId="0" fontId="276" fillId="0" borderId="10" xfId="1" applyNumberFormat="1" applyFont="1" applyBorder="1"/>
    <xf numFmtId="0" fontId="0" fillId="0" borderId="10" xfId="1" applyNumberFormat="1" applyFont="1" applyBorder="1"/>
    <xf numFmtId="0" fontId="4" fillId="0" borderId="10" xfId="1" applyNumberFormat="1" applyFont="1" applyFill="1" applyBorder="1" applyAlignment="1">
      <alignment horizontal="right"/>
    </xf>
    <xf numFmtId="0" fontId="26" fillId="0" borderId="10" xfId="3413" applyNumberFormat="1" applyFont="1" applyFill="1" applyBorder="1" applyAlignment="1">
      <alignment horizontal="right"/>
    </xf>
    <xf numFmtId="0" fontId="21" fillId="0" borderId="10" xfId="1" applyNumberFormat="1" applyFont="1" applyFill="1" applyBorder="1" applyAlignment="1">
      <alignment horizontal="right"/>
    </xf>
    <xf numFmtId="0" fontId="20" fillId="0" borderId="10" xfId="1" applyNumberFormat="1" applyFont="1" applyFill="1" applyBorder="1" applyAlignment="1">
      <alignment horizontal="right"/>
    </xf>
    <xf numFmtId="0" fontId="19" fillId="0" borderId="10" xfId="1" applyNumberFormat="1" applyFont="1" applyFill="1" applyBorder="1" applyAlignment="1">
      <alignment horizontal="right"/>
    </xf>
    <xf numFmtId="0" fontId="18" fillId="0" borderId="10" xfId="1" applyNumberFormat="1" applyFont="1" applyFill="1" applyBorder="1" applyAlignment="1">
      <alignment horizontal="right"/>
    </xf>
    <xf numFmtId="168" fontId="3" fillId="0" borderId="10" xfId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8" fontId="274" fillId="0" borderId="0" xfId="1" applyFont="1" applyFill="1" applyAlignment="1">
      <alignment horizontal="left"/>
    </xf>
    <xf numFmtId="168" fontId="266" fillId="0" borderId="10" xfId="1" applyFont="1" applyFill="1" applyBorder="1" applyAlignment="1">
      <alignment horizontal="center" vertical="center" wrapText="1"/>
    </xf>
    <xf numFmtId="0" fontId="2" fillId="0" borderId="10" xfId="43" applyFont="1" applyBorder="1"/>
    <xf numFmtId="0" fontId="2" fillId="0" borderId="10" xfId="43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8" fontId="1" fillId="0" borderId="10" xfId="1" applyFont="1" applyFill="1" applyBorder="1" applyAlignment="1">
      <alignment horizontal="center"/>
    </xf>
    <xf numFmtId="0" fontId="271" fillId="0" borderId="10" xfId="4891" applyFont="1" applyBorder="1" applyAlignment="1">
      <alignment horizontal="center" vertical="center"/>
    </xf>
    <xf numFmtId="0" fontId="271" fillId="0" borderId="15" xfId="4891" applyFont="1" applyBorder="1" applyAlignment="1">
      <alignment horizontal="center" vertical="center"/>
    </xf>
    <xf numFmtId="0" fontId="272" fillId="0" borderId="12" xfId="4891" applyFont="1" applyBorder="1" applyAlignment="1">
      <alignment horizontal="center" vertical="center"/>
    </xf>
    <xf numFmtId="0" fontId="272" fillId="0" borderId="20" xfId="4891" applyFont="1" applyBorder="1" applyAlignment="1">
      <alignment horizontal="center" vertical="center"/>
    </xf>
    <xf numFmtId="0" fontId="272" fillId="0" borderId="13" xfId="4891" applyFont="1" applyBorder="1" applyAlignment="1">
      <alignment horizontal="center" vertical="center"/>
    </xf>
    <xf numFmtId="0" fontId="272" fillId="0" borderId="14" xfId="4891" applyFont="1" applyBorder="1" applyAlignment="1">
      <alignment horizontal="center" vertical="center"/>
    </xf>
    <xf numFmtId="0" fontId="272" fillId="0" borderId="10" xfId="4891" applyFont="1" applyBorder="1" applyAlignment="1">
      <alignment horizontal="center" vertical="center"/>
    </xf>
    <xf numFmtId="0" fontId="272" fillId="0" borderId="15" xfId="4891" applyFont="1" applyBorder="1" applyAlignment="1">
      <alignment horizontal="center" vertical="center"/>
    </xf>
    <xf numFmtId="0" fontId="269" fillId="0" borderId="0" xfId="0" applyFont="1" applyAlignment="1">
      <alignment horizontal="center" vertical="center"/>
    </xf>
    <xf numFmtId="0" fontId="271" fillId="0" borderId="55" xfId="0" applyFont="1" applyBorder="1" applyAlignment="1">
      <alignment horizontal="center" vertical="center"/>
    </xf>
    <xf numFmtId="0" fontId="271" fillId="0" borderId="56" xfId="0" applyFont="1" applyBorder="1" applyAlignment="1">
      <alignment horizontal="center" vertical="center"/>
    </xf>
    <xf numFmtId="0" fontId="271" fillId="0" borderId="11" xfId="0" applyFont="1" applyBorder="1" applyAlignment="1">
      <alignment horizontal="center" vertical="center"/>
    </xf>
    <xf numFmtId="0" fontId="271" fillId="0" borderId="54" xfId="0" applyFont="1" applyBorder="1" applyAlignment="1">
      <alignment horizontal="center" vertical="center"/>
    </xf>
    <xf numFmtId="0" fontId="271" fillId="0" borderId="10" xfId="0" applyFont="1" applyBorder="1" applyAlignment="1">
      <alignment horizontal="center" vertical="center"/>
    </xf>
    <xf numFmtId="0" fontId="271" fillId="0" borderId="15" xfId="0" applyFont="1" applyBorder="1" applyAlignment="1">
      <alignment horizontal="center" vertical="center"/>
    </xf>
    <xf numFmtId="0" fontId="271" fillId="0" borderId="20" xfId="0" applyFont="1" applyBorder="1" applyAlignment="1">
      <alignment horizontal="center" vertical="center"/>
    </xf>
    <xf numFmtId="0" fontId="271" fillId="0" borderId="13" xfId="0" applyFont="1" applyBorder="1" applyAlignment="1">
      <alignment horizontal="center" vertical="center"/>
    </xf>
  </cellXfs>
  <cellStyles count="4896">
    <cellStyle name="_xffff__x0005__xffff_" xfId="45" xr:uid="{00000000-0005-0000-0000-000000000000}"/>
    <cellStyle name="-" xfId="46" xr:uid="{00000000-0005-0000-0000-000001000000}"/>
    <cellStyle name=" 1" xfId="47" xr:uid="{00000000-0005-0000-0000-000002000000}"/>
    <cellStyle name="$横付け" xfId="48" xr:uid="{00000000-0005-0000-0000-000003000000}"/>
    <cellStyle name="% Dilution" xfId="49" xr:uid="{00000000-0005-0000-0000-000004000000}"/>
    <cellStyle name="." xfId="50" xr:uid="{00000000-0005-0000-0000-000005000000}"/>
    <cellStyle name="??" xfId="51" xr:uid="{00000000-0005-0000-0000-000006000000}"/>
    <cellStyle name="?? [0.00]_Analysis of Loans" xfId="52" xr:uid="{00000000-0005-0000-0000-000007000000}"/>
    <cellStyle name="?? [0]" xfId="53" xr:uid="{00000000-0005-0000-0000-000008000000}"/>
    <cellStyle name="?? 2" xfId="54" xr:uid="{00000000-0005-0000-0000-000009000000}"/>
    <cellStyle name="???" xfId="55" xr:uid="{00000000-0005-0000-0000-00000A000000}"/>
    <cellStyle name="???? [0.00]_Analysis of Loans" xfId="56" xr:uid="{00000000-0005-0000-0000-00000B000000}"/>
    <cellStyle name="?????_VERA" xfId="57" xr:uid="{00000000-0005-0000-0000-00000C000000}"/>
    <cellStyle name="????_Analysis of Loans" xfId="58" xr:uid="{00000000-0005-0000-0000-00000D000000}"/>
    <cellStyle name="???[0]_ÿÿÿÿÿ" xfId="59" xr:uid="{00000000-0005-0000-0000-00000E000000}"/>
    <cellStyle name="???_95" xfId="60" xr:uid="{00000000-0005-0000-0000-00000F000000}"/>
    <cellStyle name="??_#01 Akaska1" xfId="61" xr:uid="{00000000-0005-0000-0000-000010000000}"/>
    <cellStyle name="?・a??e [0.00]_Book2" xfId="62" xr:uid="{00000000-0005-0000-0000-000011000000}"/>
    <cellStyle name="?・a??e_Book2]_" xfId="63" xr:uid="{00000000-0005-0000-0000-000012000000}"/>
    <cellStyle name="?…?a唇?e [0.00]_Book2" xfId="64" xr:uid="{00000000-0005-0000-0000-000013000000}"/>
    <cellStyle name="?…?a唇?e_Book2]_" xfId="65" xr:uid="{00000000-0005-0000-0000-000014000000}"/>
    <cellStyle name="?BP" xfId="66" xr:uid="{00000000-0005-0000-0000-000015000000}"/>
    <cellStyle name="?JY" xfId="67" xr:uid="{00000000-0005-0000-0000-000016000000}"/>
    <cellStyle name="?W?_?f??^ (2)\?" xfId="68" xr:uid="{00000000-0005-0000-0000-000017000000}"/>
    <cellStyle name="?W準_?f?o‘O‰n香EAL_B" xfId="69" xr:uid="{00000000-0005-0000-0000-000018000000}"/>
    <cellStyle name="\ JY" xfId="70" xr:uid="{00000000-0005-0000-0000-000019000000}"/>
    <cellStyle name="_%(SignOnly)" xfId="71" xr:uid="{00000000-0005-0000-0000-00001A000000}"/>
    <cellStyle name="_%(SignSpaceOnly)" xfId="72" xr:uid="{00000000-0005-0000-0000-00001B000000}"/>
    <cellStyle name="_1表紙～ｺﾝｾﾌﾟﾄ" xfId="73" xr:uid="{00000000-0005-0000-0000-00001C000000}"/>
    <cellStyle name="_1表紙～ｺﾝｾﾌﾟﾄ.xls グラフ 16" xfId="74" xr:uid="{00000000-0005-0000-0000-00001D000000}"/>
    <cellStyle name="_1表紙～ｺﾝｾﾌﾟﾄ.xls グラフ 16_1" xfId="75" xr:uid="{00000000-0005-0000-0000-00001E000000}"/>
    <cellStyle name="_1表紙～ｺﾝｾﾌﾟﾄ.xls グラフ 16_2" xfId="76" xr:uid="{00000000-0005-0000-0000-00001F000000}"/>
    <cellStyle name="_1表紙～ｺﾝｾﾌﾟﾄ.xls グラフ 16_3" xfId="77" xr:uid="{00000000-0005-0000-0000-000020000000}"/>
    <cellStyle name="_1表紙～ｺﾝｾﾌﾟﾄ_1" xfId="78" xr:uid="{00000000-0005-0000-0000-000021000000}"/>
    <cellStyle name="_1表紙～ｺﾝｾﾌﾟﾄ_2" xfId="79" xr:uid="{00000000-0005-0000-0000-000022000000}"/>
    <cellStyle name="_1表紙～ｺﾝｾﾌﾟﾄ_3" xfId="80" xr:uid="{00000000-0005-0000-0000-000023000000}"/>
    <cellStyle name="_２管理提案（目次）" xfId="81" xr:uid="{00000000-0005-0000-0000-000024000000}"/>
    <cellStyle name="_２管理提案（目次）_1" xfId="82" xr:uid="{00000000-0005-0000-0000-000025000000}"/>
    <cellStyle name="_２管理提案（目次）_2" xfId="83" xr:uid="{00000000-0005-0000-0000-000026000000}"/>
    <cellStyle name="_２管理提案（目次）_3" xfId="84" xr:uid="{00000000-0005-0000-0000-000027000000}"/>
    <cellStyle name="_４管理提案（ｺﾝｾﾌﾟﾄ）" xfId="85" xr:uid="{00000000-0005-0000-0000-000028000000}"/>
    <cellStyle name="_４管理提案（ｺﾝｾﾌﾟﾄ）_1" xfId="86" xr:uid="{00000000-0005-0000-0000-000029000000}"/>
    <cellStyle name="_４管理提案（ｺﾝｾﾌﾟﾄ）_2" xfId="87" xr:uid="{00000000-0005-0000-0000-00002A000000}"/>
    <cellStyle name="_４管理提案（ｺﾝｾﾌﾟﾄ）_3" xfId="88" xr:uid="{00000000-0005-0000-0000-00002B000000}"/>
    <cellStyle name="_５管理提案（教育体制）" xfId="89" xr:uid="{00000000-0005-0000-0000-00002C000000}"/>
    <cellStyle name="_５管理提案（教育体制）_1" xfId="90" xr:uid="{00000000-0005-0000-0000-00002D000000}"/>
    <cellStyle name="_５管理提案（教育体制）_2" xfId="91" xr:uid="{00000000-0005-0000-0000-00002E000000}"/>
    <cellStyle name="_５管理提案（教育体制）_3" xfId="92" xr:uid="{00000000-0005-0000-0000-00002F000000}"/>
    <cellStyle name="_６管理提案（年間計画）" xfId="93" xr:uid="{00000000-0005-0000-0000-000030000000}"/>
    <cellStyle name="_６管理提案（年間計画）_1" xfId="94" xr:uid="{00000000-0005-0000-0000-000031000000}"/>
    <cellStyle name="_６管理提案（年間計画）_2" xfId="95" xr:uid="{00000000-0005-0000-0000-000032000000}"/>
    <cellStyle name="_６管理提案（年間計画）_3" xfId="96" xr:uid="{00000000-0005-0000-0000-000033000000}"/>
    <cellStyle name="_７管理提案（ﾊﾞｯｸｱｯﾌﾟ）" xfId="97" xr:uid="{00000000-0005-0000-0000-000034000000}"/>
    <cellStyle name="_７管理提案（ﾊﾞｯｸｱｯﾌﾟ）_1" xfId="98" xr:uid="{00000000-0005-0000-0000-000035000000}"/>
    <cellStyle name="_７管理提案（ﾊﾞｯｸｱｯﾌﾟ）_2" xfId="99" xr:uid="{00000000-0005-0000-0000-000036000000}"/>
    <cellStyle name="_７管理提案（ﾊﾞｯｸｱｯﾌﾟ）_3" xfId="100" xr:uid="{00000000-0005-0000-0000-000037000000}"/>
    <cellStyle name="_８管理提案（長期１）" xfId="101" xr:uid="{00000000-0005-0000-0000-000038000000}"/>
    <cellStyle name="_８管理提案（長期１）_1" xfId="102" xr:uid="{00000000-0005-0000-0000-000039000000}"/>
    <cellStyle name="_８管理提案（長期１）_2" xfId="103" xr:uid="{00000000-0005-0000-0000-00003A000000}"/>
    <cellStyle name="_８管理提案（長期１）_3" xfId="104" xr:uid="{00000000-0005-0000-0000-00003B000000}"/>
    <cellStyle name="_８管理提案(長期２)" xfId="105" xr:uid="{00000000-0005-0000-0000-00003C000000}"/>
    <cellStyle name="_９管理提案（管理方式）" xfId="106" xr:uid="{00000000-0005-0000-0000-00003D000000}"/>
    <cellStyle name="_９管理提案（管理方式）_1" xfId="107" xr:uid="{00000000-0005-0000-0000-00003E000000}"/>
    <cellStyle name="_９管理提案（管理方式）_2" xfId="108" xr:uid="{00000000-0005-0000-0000-00003F000000}"/>
    <cellStyle name="_９管理提案（管理方式）_3" xfId="109" xr:uid="{00000000-0005-0000-0000-000040000000}"/>
    <cellStyle name="_asia pacific Global P  Ls (3)" xfId="110" xr:uid="{00000000-0005-0000-0000-000041000000}"/>
    <cellStyle name="_China - Segementwise P&amp;L July'07" xfId="111" xr:uid="{00000000-0005-0000-0000-000042000000}"/>
    <cellStyle name="_China asia pacific Global P - June07" xfId="112" xr:uid="{00000000-0005-0000-0000-000043000000}"/>
    <cellStyle name="_Comma" xfId="113" xr:uid="{00000000-0005-0000-0000-000044000000}"/>
    <cellStyle name="_Comma_061026　物件リスト" xfId="114" xr:uid="{00000000-0005-0000-0000-000045000000}"/>
    <cellStyle name="_Comma_061115　物件鑑定等（NSC送付）" xfId="115" xr:uid="{00000000-0005-0000-0000-000046000000}"/>
    <cellStyle name="_Comma_070711 JP Kokura Bldg Asset Plan(draft)" xfId="116" xr:uid="{00000000-0005-0000-0000-000047000000}"/>
    <cellStyle name="_Comma_2001.7.16_J-REIT - All Assets" xfId="117" xr:uid="{00000000-0005-0000-0000-000048000000}"/>
    <cellStyle name="_Comma_3_CF_Hiroshima_Sanei_2" xfId="118" xr:uid="{00000000-0005-0000-0000-000049000000}"/>
    <cellStyle name="_Comma_30パレス経堂（テンプレート：9.18）" xfId="119" xr:uid="{00000000-0005-0000-0000-00004A000000}"/>
    <cellStyle name="_Comma_6_cf_Tsukushino 1" xfId="120" xr:uid="{00000000-0005-0000-0000-00004B000000}"/>
    <cellStyle name="_Comma_Bulk Sale AIG (03.27.02)" xfId="121" xr:uid="{00000000-0005-0000-0000-00004C000000}"/>
    <cellStyle name="_Comma_CF_Original_12" xfId="122" xr:uid="{00000000-0005-0000-0000-00004D000000}"/>
    <cellStyle name="_Comma_Chiyoda Rollup (7.31.01)" xfId="123" xr:uid="{00000000-0005-0000-0000-00004E000000}"/>
    <cellStyle name="_Comma_Chiyoda Rollup Sum (9.15.01) - 15 Assets to REIT" xfId="124" xr:uid="{00000000-0005-0000-0000-00004F000000}"/>
    <cellStyle name="_Comma_Chiyoda Rollup Sum (9.15.01) - BP Hold" xfId="125" xr:uid="{00000000-0005-0000-0000-000050000000}"/>
    <cellStyle name="_Comma_Cypress Budget and All in Cost" xfId="126" xr:uid="{00000000-0005-0000-0000-000051000000}"/>
    <cellStyle name="_Comma_FUND Roll (8.30.01)" xfId="127" xr:uid="{00000000-0005-0000-0000-000052000000}"/>
    <cellStyle name="_Comma_Gotanda" xfId="128" xr:uid="{00000000-0005-0000-0000-000053000000}"/>
    <cellStyle name="_Comma_Hotel Baden Roppongi UW Final" xfId="129" xr:uid="{00000000-0005-0000-0000-000054000000}"/>
    <cellStyle name="_Comma_Ishin Narita 2nd" xfId="130" xr:uid="{00000000-0005-0000-0000-000055000000}"/>
    <cellStyle name="_Comma_Kyoto Royal Hotel Final" xfId="131" xr:uid="{00000000-0005-0000-0000-000056000000}"/>
    <cellStyle name="_Comma_MMYY Rent Report - Building, City" xfId="132" xr:uid="{00000000-0005-0000-0000-000057000000}"/>
    <cellStyle name="_Comma_MMYY Rent Report - Parakou" xfId="133" xr:uid="{00000000-0005-0000-0000-000058000000}"/>
    <cellStyle name="_Comma_MMYY Tenancy Schedule - Building, City" xfId="134" xr:uid="{00000000-0005-0000-0000-000059000000}"/>
    <cellStyle name="_Comma_parakou budget 2007" xfId="135" xr:uid="{00000000-0005-0000-0000-00005A000000}"/>
    <cellStyle name="_Comma_REIT Anal (3.27.01)" xfId="136" xr:uid="{00000000-0005-0000-0000-00005B000000}"/>
    <cellStyle name="_Comma_Sensitivity" xfId="137" xr:uid="{00000000-0005-0000-0000-00005C000000}"/>
    <cellStyle name="_Comma_Shinbashi Atagoyama Tokyu Inn Uw" xfId="138" xr:uid="{00000000-0005-0000-0000-00005D000000}"/>
    <cellStyle name="_Comma_Takadanobaba Cashflow_19 Jul 07" xfId="139" xr:uid="{00000000-0005-0000-0000-00005E000000}"/>
    <cellStyle name="_Comma_Tokyu2002_portfolio_2" xfId="140" xr:uid="{00000000-0005-0000-0000-00005F000000}"/>
    <cellStyle name="_Comma_ﾄｰﾒﾝ富山（試算)" xfId="141" xr:uid="{00000000-0005-0000-0000-000060000000}"/>
    <cellStyle name="_Comma_三軒茶屋(試算)" xfId="142" xr:uid="{00000000-0005-0000-0000-000061000000}"/>
    <cellStyle name="_Comma_査定書ホリイビル(修正版）" xfId="143" xr:uid="{00000000-0005-0000-0000-000062000000}"/>
    <cellStyle name="_Comma_要町（試算)" xfId="144" xr:uid="{00000000-0005-0000-0000-000063000000}"/>
    <cellStyle name="_Currency" xfId="145" xr:uid="{00000000-0005-0000-0000-000064000000}"/>
    <cellStyle name="_Currency_061026　物件リスト" xfId="146" xr:uid="{00000000-0005-0000-0000-000065000000}"/>
    <cellStyle name="_Currency_061115　物件鑑定等（NSC送付）" xfId="147" xr:uid="{00000000-0005-0000-0000-000066000000}"/>
    <cellStyle name="_Currency_070711 JP Kokura Bldg Asset Plan(draft)" xfId="148" xr:uid="{00000000-0005-0000-0000-000067000000}"/>
    <cellStyle name="_Currency_081707 Asset Plan - Parakou Building Singapore" xfId="149" xr:uid="{00000000-0005-0000-0000-000068000000}"/>
    <cellStyle name="_Currency_2001.7.16_J-REIT - All Assets" xfId="150" xr:uid="{00000000-0005-0000-0000-000069000000}"/>
    <cellStyle name="_Currency_3_CF_Hiroshima_Sanei_2" xfId="151" xr:uid="{00000000-0005-0000-0000-00006A000000}"/>
    <cellStyle name="_Currency_30パレス経堂（テンプレート：9.18）" xfId="152" xr:uid="{00000000-0005-0000-0000-00006B000000}"/>
    <cellStyle name="_Currency_6_cf_Tsukushino 1" xfId="153" xr:uid="{00000000-0005-0000-0000-00006C000000}"/>
    <cellStyle name="_Currency_Asset List" xfId="154" xr:uid="{00000000-0005-0000-0000-00006D000000}"/>
    <cellStyle name="_Currency_Book1" xfId="155" xr:uid="{00000000-0005-0000-0000-00006E000000}"/>
    <cellStyle name="_Currency_Bulk Sale AIG (03.27.02)" xfId="156" xr:uid="{00000000-0005-0000-0000-00006F000000}"/>
    <cellStyle name="_Currency_Cap DSCR  Mar 1" xfId="157" xr:uid="{00000000-0005-0000-0000-000070000000}"/>
    <cellStyle name="_Currency_CF_Original_12" xfId="158" xr:uid="{00000000-0005-0000-0000-000071000000}"/>
    <cellStyle name="_Currency_Chiyoda Rollup (7.31.01)" xfId="159" xr:uid="{00000000-0005-0000-0000-000072000000}"/>
    <cellStyle name="_Currency_Chiyoda Rollup Sum (9.15.01) - 15 Assets to REIT" xfId="160" xr:uid="{00000000-0005-0000-0000-000073000000}"/>
    <cellStyle name="_Currency_Chiyoda Rollup Sum (9.15.01) - BP Hold" xfId="161" xr:uid="{00000000-0005-0000-0000-000074000000}"/>
    <cellStyle name="_Currency_Cypress Budget and All in Cost" xfId="162" xr:uid="{00000000-0005-0000-0000-000075000000}"/>
    <cellStyle name="_Currency_FUND Roll (8.30.01)" xfId="163" xr:uid="{00000000-0005-0000-0000-000076000000}"/>
    <cellStyle name="_Currency_Gotanda" xfId="164" xr:uid="{00000000-0005-0000-0000-000077000000}"/>
    <cellStyle name="_Currency_Hotel Baden Roppongi UW Final" xfId="165" xr:uid="{00000000-0005-0000-0000-000078000000}"/>
    <cellStyle name="_Currency_Ishin Narita 2nd" xfId="166" xr:uid="{00000000-0005-0000-0000-000079000000}"/>
    <cellStyle name="_Currency_Kyoto Royal Hotel Final" xfId="167" xr:uid="{00000000-0005-0000-0000-00007A000000}"/>
    <cellStyle name="_Currency_MDL (Delaware) LLC" xfId="168" xr:uid="{00000000-0005-0000-0000-00007B000000}"/>
    <cellStyle name="_Currency_MDL (Delaware) LLC_070711 JP Kokura Bldg Asset Plan(draft)" xfId="169" xr:uid="{00000000-0005-0000-0000-00007C000000}"/>
    <cellStyle name="_Currency_MDL (Delaware) LLC_CF_Original_12" xfId="170" xr:uid="{00000000-0005-0000-0000-00007D000000}"/>
    <cellStyle name="_Currency_MDL (Delaware) LLC_Chiyoda Rollup (7.31.01)" xfId="171" xr:uid="{00000000-0005-0000-0000-00007E000000}"/>
    <cellStyle name="_Currency_MDL (Delaware) LLC_FUND Roll (8.30.01)" xfId="172" xr:uid="{00000000-0005-0000-0000-00007F000000}"/>
    <cellStyle name="_Currency_MDL (Delaware) LLC_MMYY Rent Report - Building, City" xfId="173" xr:uid="{00000000-0005-0000-0000-000080000000}"/>
    <cellStyle name="_Currency_MDL (Delaware) LLC_MMYY Rent Report - Parakou" xfId="174" xr:uid="{00000000-0005-0000-0000-000081000000}"/>
    <cellStyle name="_Currency_MDL (Delaware) LLC_MMYY Tenancy Schedule - Building, City" xfId="175" xr:uid="{00000000-0005-0000-0000-000082000000}"/>
    <cellStyle name="_Currency_MDL (Delaware) LLC_Takadanobaba Cashflow_19 Jul 07" xfId="176" xr:uid="{00000000-0005-0000-0000-000083000000}"/>
    <cellStyle name="_Currency_MMYY Rent Report - Building, City" xfId="177" xr:uid="{00000000-0005-0000-0000-000084000000}"/>
    <cellStyle name="_Currency_MMYY Rent Report - Parakou" xfId="178" xr:uid="{00000000-0005-0000-0000-000085000000}"/>
    <cellStyle name="_Currency_MMYY Tenancy Schedule - Building, City" xfId="179" xr:uid="{00000000-0005-0000-0000-000086000000}"/>
    <cellStyle name="_Currency_parakou budget 2007" xfId="180" xr:uid="{00000000-0005-0000-0000-000087000000}"/>
    <cellStyle name="_Currency_REIT Anal (3.27.01)" xfId="181" xr:uid="{00000000-0005-0000-0000-000088000000}"/>
    <cellStyle name="_Currency_Rent roll 6  31" xfId="182" xr:uid="{00000000-0005-0000-0000-000089000000}"/>
    <cellStyle name="_Currency_Roll Up Import" xfId="183" xr:uid="{00000000-0005-0000-0000-00008A000000}"/>
    <cellStyle name="_Currency_Sensitivity" xfId="184" xr:uid="{00000000-0005-0000-0000-00008B000000}"/>
    <cellStyle name="_Currency_Shinbashi Atagoyama Tokyu Inn Uw" xfId="185" xr:uid="{00000000-0005-0000-0000-00008C000000}"/>
    <cellStyle name="_Currency_StackingPlan（浜松町）" xfId="186" xr:uid="{00000000-0005-0000-0000-00008D000000}"/>
    <cellStyle name="_Currency_Takadanobaba Cashflow_19 Jul 07" xfId="187" xr:uid="{00000000-0005-0000-0000-00008E000000}"/>
    <cellStyle name="_Currency_Tokyu2002_portfolio_2" xfId="188" xr:uid="{00000000-0005-0000-0000-00008F000000}"/>
    <cellStyle name="_Currency_ﾄｰﾒﾝ富山（試算)" xfId="189" xr:uid="{00000000-0005-0000-0000-000090000000}"/>
    <cellStyle name="_Currency_三軒茶屋(試算)" xfId="190" xr:uid="{00000000-0005-0000-0000-000091000000}"/>
    <cellStyle name="_Currency_査定書ホリイビル(修正版）" xfId="191" xr:uid="{00000000-0005-0000-0000-000092000000}"/>
    <cellStyle name="_Currency_要町（試算)" xfId="192" xr:uid="{00000000-0005-0000-0000-000093000000}"/>
    <cellStyle name="_CurrencySpace" xfId="193" xr:uid="{00000000-0005-0000-0000-000094000000}"/>
    <cellStyle name="_CurrencySpace_061026　物件リスト" xfId="194" xr:uid="{00000000-0005-0000-0000-000095000000}"/>
    <cellStyle name="_CurrencySpace_061115　物件鑑定等（NSC送付）" xfId="195" xr:uid="{00000000-0005-0000-0000-000096000000}"/>
    <cellStyle name="_CurrencySpace_070711 JP Kokura Bldg Asset Plan(draft)" xfId="196" xr:uid="{00000000-0005-0000-0000-000097000000}"/>
    <cellStyle name="_CurrencySpace_2001.7.16_J-REIT - All Assets" xfId="197" xr:uid="{00000000-0005-0000-0000-000098000000}"/>
    <cellStyle name="_CurrencySpace_3_CF_Hiroshima_Sanei_2" xfId="198" xr:uid="{00000000-0005-0000-0000-000099000000}"/>
    <cellStyle name="_CurrencySpace_30パレス経堂（テンプレート：9.18）" xfId="199" xr:uid="{00000000-0005-0000-0000-00009A000000}"/>
    <cellStyle name="_CurrencySpace_6_cf_Tsukushino 1" xfId="200" xr:uid="{00000000-0005-0000-0000-00009B000000}"/>
    <cellStyle name="_CurrencySpace_Bulk Sale AIG (03.27.02)" xfId="201" xr:uid="{00000000-0005-0000-0000-00009C000000}"/>
    <cellStyle name="_CurrencySpace_CF_Original_12" xfId="202" xr:uid="{00000000-0005-0000-0000-00009D000000}"/>
    <cellStyle name="_CurrencySpace_Chiyoda Rollup Sum (9.15.01) - 15 Assets to REIT" xfId="203" xr:uid="{00000000-0005-0000-0000-00009E000000}"/>
    <cellStyle name="_CurrencySpace_Chiyoda Rollup Sum (9.15.01) - BP Hold" xfId="204" xr:uid="{00000000-0005-0000-0000-00009F000000}"/>
    <cellStyle name="_CurrencySpace_Cypress Budget and All in Cost" xfId="205" xr:uid="{00000000-0005-0000-0000-0000A0000000}"/>
    <cellStyle name="_CurrencySpace_FUND Roll (8.30.01)" xfId="206" xr:uid="{00000000-0005-0000-0000-0000A1000000}"/>
    <cellStyle name="_CurrencySpace_Gotanda" xfId="207" xr:uid="{00000000-0005-0000-0000-0000A2000000}"/>
    <cellStyle name="_CurrencySpace_Hotel Baden Roppongi UW Final" xfId="208" xr:uid="{00000000-0005-0000-0000-0000A3000000}"/>
    <cellStyle name="_CurrencySpace_Ishin Narita 2nd" xfId="209" xr:uid="{00000000-0005-0000-0000-0000A4000000}"/>
    <cellStyle name="_CurrencySpace_Kyoto Royal Hotel Final" xfId="210" xr:uid="{00000000-0005-0000-0000-0000A5000000}"/>
    <cellStyle name="_CurrencySpace_MMYY Rent Report - Building, City" xfId="211" xr:uid="{00000000-0005-0000-0000-0000A6000000}"/>
    <cellStyle name="_CurrencySpace_MMYY Rent Report - Parakou" xfId="212" xr:uid="{00000000-0005-0000-0000-0000A7000000}"/>
    <cellStyle name="_CurrencySpace_MMYY Tenancy Schedule - Building, City" xfId="213" xr:uid="{00000000-0005-0000-0000-0000A8000000}"/>
    <cellStyle name="_CurrencySpace_parakou budget 2007" xfId="214" xr:uid="{00000000-0005-0000-0000-0000A9000000}"/>
    <cellStyle name="_CurrencySpace_REIT Anal (3.27.01)" xfId="215" xr:uid="{00000000-0005-0000-0000-0000AA000000}"/>
    <cellStyle name="_CurrencySpace_Sensitivity" xfId="216" xr:uid="{00000000-0005-0000-0000-0000AB000000}"/>
    <cellStyle name="_CurrencySpace_Shinbashi Atagoyama Tokyu Inn Uw" xfId="217" xr:uid="{00000000-0005-0000-0000-0000AC000000}"/>
    <cellStyle name="_CurrencySpace_Takadanobaba Cashflow_19 Jul 07" xfId="218" xr:uid="{00000000-0005-0000-0000-0000AD000000}"/>
    <cellStyle name="_CurrencySpace_Tokyu2002_portfolio_2" xfId="219" xr:uid="{00000000-0005-0000-0000-0000AE000000}"/>
    <cellStyle name="_CurrencySpace_ﾄｰﾒﾝ富山（試算)" xfId="220" xr:uid="{00000000-0005-0000-0000-0000AF000000}"/>
    <cellStyle name="_CurrencySpace_三軒茶屋(試算)" xfId="221" xr:uid="{00000000-0005-0000-0000-0000B0000000}"/>
    <cellStyle name="_CurrencySpace_査定書ホリイビル(修正版）" xfId="222" xr:uid="{00000000-0005-0000-0000-0000B1000000}"/>
    <cellStyle name="_CurrencySpace_要町（試算)" xfId="223" xr:uid="{00000000-0005-0000-0000-0000B2000000}"/>
    <cellStyle name="_Euro" xfId="224" xr:uid="{00000000-0005-0000-0000-0000B3000000}"/>
    <cellStyle name="_Euro_6 Finance Reports - Jun 07 (Rev)" xfId="225" xr:uid="{00000000-0005-0000-0000-0000B4000000}"/>
    <cellStyle name="_Euro_Cash Book -0907" xfId="226" xr:uid="{00000000-0005-0000-0000-0000B5000000}"/>
    <cellStyle name="_Euro_Cash Book -0907 (3)" xfId="227" xr:uid="{00000000-0005-0000-0000-0000B6000000}"/>
    <cellStyle name="_Euro_Cash Book -1007" xfId="228" xr:uid="{00000000-0005-0000-0000-0000B7000000}"/>
    <cellStyle name="_Euro_Copy of Notes to Account - 0907" xfId="229" xr:uid="{00000000-0005-0000-0000-0000B8000000}"/>
    <cellStyle name="_Euro_Finance Reports - Apr 07" xfId="230" xr:uid="{00000000-0005-0000-0000-0000B9000000}"/>
    <cellStyle name="_Euro_Finance Reports - Jun 07 (Rev) (2)" xfId="231" xr:uid="{00000000-0005-0000-0000-0000BA000000}"/>
    <cellStyle name="_Euro_FINANCIAL REPORT - MAY 07" xfId="232" xr:uid="{00000000-0005-0000-0000-0000BB000000}"/>
    <cellStyle name="_Euro_Monthly Report JUNE  07" xfId="233" xr:uid="{00000000-0005-0000-0000-0000BC000000}"/>
    <cellStyle name="_Euro_Monthly Report MAR 07 (55 Market Street)" xfId="234" xr:uid="{00000000-0005-0000-0000-0000BD000000}"/>
    <cellStyle name="_Euro_Notes to Account - 0707" xfId="235" xr:uid="{00000000-0005-0000-0000-0000BE000000}"/>
    <cellStyle name="_Euro_Notes to Account - 1007" xfId="236" xr:uid="{00000000-0005-0000-0000-0000BF000000}"/>
    <cellStyle name="_Euro_Takadanobaba Cashflow_19 Jul 07" xfId="237" xr:uid="{00000000-0005-0000-0000-0000C0000000}"/>
    <cellStyle name="_FOBO AGEING DEL MAR-06" xfId="238" xr:uid="{00000000-0005-0000-0000-0000C1000000}"/>
    <cellStyle name="_Format - Top15 Products" xfId="239" xr:uid="{00000000-0005-0000-0000-0000C2000000}"/>
    <cellStyle name="_G_CSF schedule_Sept'08" xfId="240" xr:uid="{00000000-0005-0000-0000-0000C3000000}"/>
    <cellStyle name="_G_CSF schedule_Sept'08_RLL_SEBI_One pager_Mar 2010" xfId="241" xr:uid="{00000000-0005-0000-0000-0000C4000000}"/>
    <cellStyle name="_G_CSF schedule_Sept'08_RLL_SEBI_One pager_Mar 2010_RLL Standalone results 10 August 2010 - Final" xfId="242" xr:uid="{00000000-0005-0000-0000-0000C5000000}"/>
    <cellStyle name="_G_CSF schedule_Sept'08_SEBI_Standalone_Sep 30 2009 (4)" xfId="243" xr:uid="{00000000-0005-0000-0000-0000C6000000}"/>
    <cellStyle name="_G_CSF schedule_Sept'08_SEBI_Standalone_Sep 30 2009 (4)_RLL Standalone results 10 August 2010 - Final" xfId="244" xr:uid="{00000000-0005-0000-0000-0000C7000000}"/>
    <cellStyle name="_Heading" xfId="245" xr:uid="{00000000-0005-0000-0000-0000C8000000}"/>
    <cellStyle name="_Highlight" xfId="246" xr:uid="{00000000-0005-0000-0000-0000C9000000}"/>
    <cellStyle name="_kanri" xfId="247" xr:uid="{00000000-0005-0000-0000-0000CA000000}"/>
    <cellStyle name="_kanri_1" xfId="248" xr:uid="{00000000-0005-0000-0000-0000CB000000}"/>
    <cellStyle name="_kanri_2" xfId="249" xr:uid="{00000000-0005-0000-0000-0000CC000000}"/>
    <cellStyle name="_kanri_3" xfId="250" xr:uid="{00000000-0005-0000-0000-0000CD000000}"/>
    <cellStyle name="_Loan- subsidiaries" xfId="251" xr:uid="{00000000-0005-0000-0000-0000CE000000}"/>
    <cellStyle name="_Malaysia - Top Products WC - QIII QIV'07" xfId="252" xr:uid="{00000000-0005-0000-0000-0000CF000000}"/>
    <cellStyle name="_Malaysia - Top Products WC - QIII QIV'07_RLL Standalone results 10 August 2010 - Final" xfId="253" xr:uid="{00000000-0005-0000-0000-0000D0000000}"/>
    <cellStyle name="_Mobilisation Advance and advance to vendors_January 2009" xfId="254" xr:uid="{00000000-0005-0000-0000-0000D1000000}"/>
    <cellStyle name="_Multiple" xfId="255" xr:uid="{00000000-0005-0000-0000-0000D2000000}"/>
    <cellStyle name="_Multiple_061026　物件リスト" xfId="256" xr:uid="{00000000-0005-0000-0000-0000D3000000}"/>
    <cellStyle name="_Multiple_061115　物件鑑定等（NSC送付）" xfId="257" xr:uid="{00000000-0005-0000-0000-0000D4000000}"/>
    <cellStyle name="_Multiple_070711 JP Kokura Bldg Asset Plan(draft)" xfId="258" xr:uid="{00000000-0005-0000-0000-0000D5000000}"/>
    <cellStyle name="_Multiple_081707 Asset Plan - Parakou Building Singapore" xfId="259" xr:uid="{00000000-0005-0000-0000-0000D6000000}"/>
    <cellStyle name="_Multiple_2001.7.16_J-REIT - All Assets" xfId="260" xr:uid="{00000000-0005-0000-0000-0000D7000000}"/>
    <cellStyle name="_Multiple_3_CF_Hiroshima_Sanei_2" xfId="261" xr:uid="{00000000-0005-0000-0000-0000D8000000}"/>
    <cellStyle name="_Multiple_30パレス経堂（テンプレート：9.18）" xfId="262" xr:uid="{00000000-0005-0000-0000-0000D9000000}"/>
    <cellStyle name="_Multiple_6_cf_Tsukushino 1" xfId="263" xr:uid="{00000000-0005-0000-0000-0000DA000000}"/>
    <cellStyle name="_Multiple_Bulk Sale AIG (03.27.02)" xfId="264" xr:uid="{00000000-0005-0000-0000-0000DB000000}"/>
    <cellStyle name="_Multiple_CF_Original_12" xfId="265" xr:uid="{00000000-0005-0000-0000-0000DC000000}"/>
    <cellStyle name="_Multiple_Chiyoda Rollup (7.31.01)" xfId="266" xr:uid="{00000000-0005-0000-0000-0000DD000000}"/>
    <cellStyle name="_Multiple_Chiyoda Rollup Sum (9.15.01) - 15 Assets to REIT" xfId="267" xr:uid="{00000000-0005-0000-0000-0000DE000000}"/>
    <cellStyle name="_Multiple_Chiyoda Rollup Sum (9.15.01) - BP Hold" xfId="268" xr:uid="{00000000-0005-0000-0000-0000DF000000}"/>
    <cellStyle name="_Multiple_Cypress Budget and All in Cost" xfId="269" xr:uid="{00000000-0005-0000-0000-0000E0000000}"/>
    <cellStyle name="_Multiple_FUND Roll (8.30.01)" xfId="270" xr:uid="{00000000-0005-0000-0000-0000E1000000}"/>
    <cellStyle name="_Multiple_Gotanda" xfId="271" xr:uid="{00000000-0005-0000-0000-0000E2000000}"/>
    <cellStyle name="_Multiple_Hotel Baden Roppongi UW Final" xfId="272" xr:uid="{00000000-0005-0000-0000-0000E3000000}"/>
    <cellStyle name="_Multiple_Ishin Narita 2nd" xfId="273" xr:uid="{00000000-0005-0000-0000-0000E4000000}"/>
    <cellStyle name="_Multiple_Kyoto Royal Hotel Final" xfId="274" xr:uid="{00000000-0005-0000-0000-0000E5000000}"/>
    <cellStyle name="_Multiple_MDL (Delaware) LLC" xfId="275" xr:uid="{00000000-0005-0000-0000-0000E6000000}"/>
    <cellStyle name="_Multiple_MDL (Delaware) LLC_070711 JP Kokura Bldg Asset Plan(draft)" xfId="276" xr:uid="{00000000-0005-0000-0000-0000E7000000}"/>
    <cellStyle name="_Multiple_MDL (Delaware) LLC_CF_Original_12" xfId="277" xr:uid="{00000000-0005-0000-0000-0000E8000000}"/>
    <cellStyle name="_Multiple_MDL (Delaware) LLC_Chiyoda Rollup (7.31.01)" xfId="278" xr:uid="{00000000-0005-0000-0000-0000E9000000}"/>
    <cellStyle name="_Multiple_MDL (Delaware) LLC_FUND Roll (8.30.01)" xfId="279" xr:uid="{00000000-0005-0000-0000-0000EA000000}"/>
    <cellStyle name="_Multiple_MDL (Delaware) LLC_MMYY Rent Report - Building, City" xfId="280" xr:uid="{00000000-0005-0000-0000-0000EB000000}"/>
    <cellStyle name="_Multiple_MDL (Delaware) LLC_MMYY Rent Report - Parakou" xfId="281" xr:uid="{00000000-0005-0000-0000-0000EC000000}"/>
    <cellStyle name="_Multiple_MDL (Delaware) LLC_MMYY Tenancy Schedule - Building, City" xfId="282" xr:uid="{00000000-0005-0000-0000-0000ED000000}"/>
    <cellStyle name="_Multiple_MDL (Delaware) LLC_Takadanobaba Cashflow_19 Jul 07" xfId="283" xr:uid="{00000000-0005-0000-0000-0000EE000000}"/>
    <cellStyle name="_Multiple_MMYY Rent Report - Building, City" xfId="284" xr:uid="{00000000-0005-0000-0000-0000EF000000}"/>
    <cellStyle name="_Multiple_MMYY Rent Report - Parakou" xfId="285" xr:uid="{00000000-0005-0000-0000-0000F0000000}"/>
    <cellStyle name="_Multiple_MMYY Tenancy Schedule - Building, City" xfId="286" xr:uid="{00000000-0005-0000-0000-0000F1000000}"/>
    <cellStyle name="_Multiple_parakou budget 2007" xfId="287" xr:uid="{00000000-0005-0000-0000-0000F2000000}"/>
    <cellStyle name="_Multiple_REIT Anal (3.27.01)" xfId="288" xr:uid="{00000000-0005-0000-0000-0000F3000000}"/>
    <cellStyle name="_Multiple_Sensitivity" xfId="289" xr:uid="{00000000-0005-0000-0000-0000F4000000}"/>
    <cellStyle name="_Multiple_Shinbashi Atagoyama Tokyu Inn Uw" xfId="290" xr:uid="{00000000-0005-0000-0000-0000F5000000}"/>
    <cellStyle name="_Multiple_Takadanobaba Cashflow_19 Jul 07" xfId="291" xr:uid="{00000000-0005-0000-0000-0000F6000000}"/>
    <cellStyle name="_Multiple_Tokyu2002_portfolio_2" xfId="292" xr:uid="{00000000-0005-0000-0000-0000F7000000}"/>
    <cellStyle name="_Multiple_ﾄｰﾒﾝ富山（試算)" xfId="293" xr:uid="{00000000-0005-0000-0000-0000F8000000}"/>
    <cellStyle name="_Multiple_三軒茶屋(試算)" xfId="294" xr:uid="{00000000-0005-0000-0000-0000F9000000}"/>
    <cellStyle name="_Multiple_査定書ホリイビル(修正版）" xfId="295" xr:uid="{00000000-0005-0000-0000-0000FA000000}"/>
    <cellStyle name="_Multiple_要町（試算)" xfId="296" xr:uid="{00000000-0005-0000-0000-0000FB000000}"/>
    <cellStyle name="_MultipleSpace" xfId="297" xr:uid="{00000000-0005-0000-0000-0000FC000000}"/>
    <cellStyle name="_MultipleSpace_061026　物件リスト" xfId="298" xr:uid="{00000000-0005-0000-0000-0000FD000000}"/>
    <cellStyle name="_MultipleSpace_061115　物件鑑定等（NSC送付）" xfId="299" xr:uid="{00000000-0005-0000-0000-0000FE000000}"/>
    <cellStyle name="_MultipleSpace_070711 JP Kokura Bldg Asset Plan(draft)" xfId="300" xr:uid="{00000000-0005-0000-0000-0000FF000000}"/>
    <cellStyle name="_MultipleSpace_081707 Asset Plan - Parakou Building Singapore" xfId="301" xr:uid="{00000000-0005-0000-0000-000000010000}"/>
    <cellStyle name="_MultipleSpace_2001.7.16_J-REIT - All Assets" xfId="302" xr:uid="{00000000-0005-0000-0000-000001010000}"/>
    <cellStyle name="_MultipleSpace_3_CF_Hiroshima_Sanei_2" xfId="303" xr:uid="{00000000-0005-0000-0000-000002010000}"/>
    <cellStyle name="_MultipleSpace_30パレス経堂（テンプレート：9.18）" xfId="304" xr:uid="{00000000-0005-0000-0000-000003010000}"/>
    <cellStyle name="_MultipleSpace_6_cf_Tsukushino 1" xfId="305" xr:uid="{00000000-0005-0000-0000-000004010000}"/>
    <cellStyle name="_MultipleSpace_Bulk Sale AIG (03.27.02)" xfId="306" xr:uid="{00000000-0005-0000-0000-000005010000}"/>
    <cellStyle name="_MultipleSpace_CF_Original_12" xfId="307" xr:uid="{00000000-0005-0000-0000-000006010000}"/>
    <cellStyle name="_MultipleSpace_Chiyoda Rollup (7.31.01)" xfId="308" xr:uid="{00000000-0005-0000-0000-000007010000}"/>
    <cellStyle name="_MultipleSpace_Chiyoda Rollup Sum (9.15.01) - 15 Assets to REIT" xfId="309" xr:uid="{00000000-0005-0000-0000-000008010000}"/>
    <cellStyle name="_MultipleSpace_Chiyoda Rollup Sum (9.15.01) - BP Hold" xfId="310" xr:uid="{00000000-0005-0000-0000-000009010000}"/>
    <cellStyle name="_MultipleSpace_Cypress Budget and All in Cost" xfId="311" xr:uid="{00000000-0005-0000-0000-00000A010000}"/>
    <cellStyle name="_MultipleSpace_FUND Roll (8.30.01)" xfId="312" xr:uid="{00000000-0005-0000-0000-00000B010000}"/>
    <cellStyle name="_MultipleSpace_Gotanda" xfId="313" xr:uid="{00000000-0005-0000-0000-00000C010000}"/>
    <cellStyle name="_MultipleSpace_Hotel Baden Roppongi UW Final" xfId="314" xr:uid="{00000000-0005-0000-0000-00000D010000}"/>
    <cellStyle name="_MultipleSpace_Ishin Narita 2nd" xfId="315" xr:uid="{00000000-0005-0000-0000-00000E010000}"/>
    <cellStyle name="_MultipleSpace_Kyoto Royal Hotel Final" xfId="316" xr:uid="{00000000-0005-0000-0000-00000F010000}"/>
    <cellStyle name="_MultipleSpace_MDL (Delaware) LLC" xfId="317" xr:uid="{00000000-0005-0000-0000-000010010000}"/>
    <cellStyle name="_MultipleSpace_MDL (Delaware) LLC_070711 JP Kokura Bldg Asset Plan(draft)" xfId="318" xr:uid="{00000000-0005-0000-0000-000011010000}"/>
    <cellStyle name="_MultipleSpace_MDL (Delaware) LLC_CF_Original_12" xfId="319" xr:uid="{00000000-0005-0000-0000-000012010000}"/>
    <cellStyle name="_MultipleSpace_MDL (Delaware) LLC_Chiyoda Rollup (7.31.01)" xfId="320" xr:uid="{00000000-0005-0000-0000-000013010000}"/>
    <cellStyle name="_MultipleSpace_MDL (Delaware) LLC_FUND Roll (8.30.01)" xfId="321" xr:uid="{00000000-0005-0000-0000-000014010000}"/>
    <cellStyle name="_MultipleSpace_MDL (Delaware) LLC_MMYY Rent Report - Building, City" xfId="322" xr:uid="{00000000-0005-0000-0000-000015010000}"/>
    <cellStyle name="_MultipleSpace_MDL (Delaware) LLC_MMYY Rent Report - Parakou" xfId="323" xr:uid="{00000000-0005-0000-0000-000016010000}"/>
    <cellStyle name="_MultipleSpace_MDL (Delaware) LLC_MMYY Tenancy Schedule - Building, City" xfId="324" xr:uid="{00000000-0005-0000-0000-000017010000}"/>
    <cellStyle name="_MultipleSpace_MDL (Delaware) LLC_Takadanobaba Cashflow_19 Jul 07" xfId="325" xr:uid="{00000000-0005-0000-0000-000018010000}"/>
    <cellStyle name="_MultipleSpace_MMYY Rent Report - Building, City" xfId="326" xr:uid="{00000000-0005-0000-0000-000019010000}"/>
    <cellStyle name="_MultipleSpace_MMYY Rent Report - Parakou" xfId="327" xr:uid="{00000000-0005-0000-0000-00001A010000}"/>
    <cellStyle name="_MultipleSpace_MMYY Tenancy Schedule - Building, City" xfId="328" xr:uid="{00000000-0005-0000-0000-00001B010000}"/>
    <cellStyle name="_MultipleSpace_parakou budget 2007" xfId="329" xr:uid="{00000000-0005-0000-0000-00001C010000}"/>
    <cellStyle name="_MultipleSpace_REIT Anal (3.27.01)" xfId="330" xr:uid="{00000000-0005-0000-0000-00001D010000}"/>
    <cellStyle name="_MultipleSpace_Sensitivity" xfId="331" xr:uid="{00000000-0005-0000-0000-00001E010000}"/>
    <cellStyle name="_MultipleSpace_Shinbashi Atagoyama Tokyu Inn Uw" xfId="332" xr:uid="{00000000-0005-0000-0000-00001F010000}"/>
    <cellStyle name="_MultipleSpace_Takadanobaba Cashflow_19 Jul 07" xfId="333" xr:uid="{00000000-0005-0000-0000-000020010000}"/>
    <cellStyle name="_MultipleSpace_Tokyu2002_portfolio_2" xfId="334" xr:uid="{00000000-0005-0000-0000-000021010000}"/>
    <cellStyle name="_MultipleSpace_ﾄｰﾒﾝ富山（試算)" xfId="335" xr:uid="{00000000-0005-0000-0000-000022010000}"/>
    <cellStyle name="_MultipleSpace_三軒茶屋(試算)" xfId="336" xr:uid="{00000000-0005-0000-0000-000023010000}"/>
    <cellStyle name="_MultipleSpace_査定書ホリイビル(修正版）" xfId="337" xr:uid="{00000000-0005-0000-0000-000024010000}"/>
    <cellStyle name="_MultipleSpace_要町（試算)" xfId="338" xr:uid="{00000000-0005-0000-0000-000025010000}"/>
    <cellStyle name="_Myanmar - Top 15 &amp; new products QIII QIV'07" xfId="339" xr:uid="{00000000-0005-0000-0000-000026010000}"/>
    <cellStyle name="_Myanmar - Top 15 &amp; new products QIII QIV'07_RLL Standalone results 10 August 2010 - Final" xfId="340" xr:uid="{00000000-0005-0000-0000-000027010000}"/>
    <cellStyle name="_Percent" xfId="341" xr:uid="{00000000-0005-0000-0000-000028010000}"/>
    <cellStyle name="_Percent_070711 JP Kokura Bldg Asset Plan(draft)" xfId="342" xr:uid="{00000000-0005-0000-0000-000029010000}"/>
    <cellStyle name="_Percent_081707 Asset Plan - Parakou Building Singapore" xfId="343" xr:uid="{00000000-0005-0000-0000-00002A010000}"/>
    <cellStyle name="_Percent_2001.7.16_J-REIT - All Assets" xfId="344" xr:uid="{00000000-0005-0000-0000-00002B010000}"/>
    <cellStyle name="_Percent_Bulk Sale AIG (03.27.02)" xfId="345" xr:uid="{00000000-0005-0000-0000-00002C010000}"/>
    <cellStyle name="_Percent_CF_Original_12" xfId="346" xr:uid="{00000000-0005-0000-0000-00002D010000}"/>
    <cellStyle name="_Percent_Chiyoda Rollup (7.31.01)" xfId="347" xr:uid="{00000000-0005-0000-0000-00002E010000}"/>
    <cellStyle name="_Percent_Chiyoda Rollup Sum (9.15.01) - 15 Assets to REIT" xfId="348" xr:uid="{00000000-0005-0000-0000-00002F010000}"/>
    <cellStyle name="_Percent_Chiyoda Rollup Sum (9.15.01) - BP Hold" xfId="349" xr:uid="{00000000-0005-0000-0000-000030010000}"/>
    <cellStyle name="_Percent_FUND Roll (8.30.01)" xfId="350" xr:uid="{00000000-0005-0000-0000-000031010000}"/>
    <cellStyle name="_Percent_MDL (Delaware) LLC" xfId="351" xr:uid="{00000000-0005-0000-0000-000032010000}"/>
    <cellStyle name="_Percent_MDL (Delaware) LLC_070711 JP Kokura Bldg Asset Plan(draft)" xfId="352" xr:uid="{00000000-0005-0000-0000-000033010000}"/>
    <cellStyle name="_Percent_MDL (Delaware) LLC_CF_Original_12" xfId="353" xr:uid="{00000000-0005-0000-0000-000034010000}"/>
    <cellStyle name="_Percent_MDL (Delaware) LLC_Chiyoda Rollup (7.31.01)" xfId="354" xr:uid="{00000000-0005-0000-0000-000035010000}"/>
    <cellStyle name="_Percent_MDL (Delaware) LLC_FUND Roll (8.30.01)" xfId="355" xr:uid="{00000000-0005-0000-0000-000036010000}"/>
    <cellStyle name="_Percent_MDL (Delaware) LLC_MMYY Rent Report - Building, City" xfId="356" xr:uid="{00000000-0005-0000-0000-000037010000}"/>
    <cellStyle name="_Percent_MDL (Delaware) LLC_MMYY Rent Report - Parakou" xfId="357" xr:uid="{00000000-0005-0000-0000-000038010000}"/>
    <cellStyle name="_Percent_MDL (Delaware) LLC_MMYY Tenancy Schedule - Building, City" xfId="358" xr:uid="{00000000-0005-0000-0000-000039010000}"/>
    <cellStyle name="_Percent_MDL (Delaware) LLC_Takadanobaba Cashflow_19 Jul 07" xfId="359" xr:uid="{00000000-0005-0000-0000-00003A010000}"/>
    <cellStyle name="_Percent_MMYY Rent Report - Building, City" xfId="360" xr:uid="{00000000-0005-0000-0000-00003B010000}"/>
    <cellStyle name="_Percent_MMYY Rent Report - Parakou" xfId="361" xr:uid="{00000000-0005-0000-0000-00003C010000}"/>
    <cellStyle name="_Percent_MMYY Tenancy Schedule - Building, City" xfId="362" xr:uid="{00000000-0005-0000-0000-00003D010000}"/>
    <cellStyle name="_Percent_REIT Anal (3.27.01)" xfId="363" xr:uid="{00000000-0005-0000-0000-00003E010000}"/>
    <cellStyle name="_Percent_Takadanobaba Cashflow_19 Jul 07" xfId="364" xr:uid="{00000000-0005-0000-0000-00003F010000}"/>
    <cellStyle name="_PercentSpace" xfId="365" xr:uid="{00000000-0005-0000-0000-000040010000}"/>
    <cellStyle name="_PercentSpace_070711 JP Kokura Bldg Asset Plan(draft)" xfId="366" xr:uid="{00000000-0005-0000-0000-000041010000}"/>
    <cellStyle name="_PercentSpace_081707 Asset Plan - Parakou Building Singapore" xfId="367" xr:uid="{00000000-0005-0000-0000-000042010000}"/>
    <cellStyle name="_PercentSpace_2001.7.16_J-REIT - All Assets" xfId="368" xr:uid="{00000000-0005-0000-0000-000043010000}"/>
    <cellStyle name="_PercentSpace_Bulk Sale AIG (03.27.02)" xfId="369" xr:uid="{00000000-0005-0000-0000-000044010000}"/>
    <cellStyle name="_PercentSpace_CF_Original_12" xfId="370" xr:uid="{00000000-0005-0000-0000-000045010000}"/>
    <cellStyle name="_PercentSpace_Chiyoda Rollup (7.31.01)" xfId="371" xr:uid="{00000000-0005-0000-0000-000046010000}"/>
    <cellStyle name="_PercentSpace_Chiyoda Rollup Sum (9.15.01) - 15 Assets to REIT" xfId="372" xr:uid="{00000000-0005-0000-0000-000047010000}"/>
    <cellStyle name="_PercentSpace_Chiyoda Rollup Sum (9.15.01) - BP Hold" xfId="373" xr:uid="{00000000-0005-0000-0000-000048010000}"/>
    <cellStyle name="_PercentSpace_FUND Roll (8.30.01)" xfId="374" xr:uid="{00000000-0005-0000-0000-000049010000}"/>
    <cellStyle name="_PercentSpace_MDL (Delaware) LLC" xfId="375" xr:uid="{00000000-0005-0000-0000-00004A010000}"/>
    <cellStyle name="_PercentSpace_MDL (Delaware) LLC_070711 JP Kokura Bldg Asset Plan(draft)" xfId="376" xr:uid="{00000000-0005-0000-0000-00004B010000}"/>
    <cellStyle name="_PercentSpace_MDL (Delaware) LLC_CF_Original_12" xfId="377" xr:uid="{00000000-0005-0000-0000-00004C010000}"/>
    <cellStyle name="_PercentSpace_MDL (Delaware) LLC_Chiyoda Rollup (7.31.01)" xfId="378" xr:uid="{00000000-0005-0000-0000-00004D010000}"/>
    <cellStyle name="_PercentSpace_MDL (Delaware) LLC_FUND Roll (8.30.01)" xfId="379" xr:uid="{00000000-0005-0000-0000-00004E010000}"/>
    <cellStyle name="_PercentSpace_MDL (Delaware) LLC_MMYY Rent Report - Building, City" xfId="380" xr:uid="{00000000-0005-0000-0000-00004F010000}"/>
    <cellStyle name="_PercentSpace_MDL (Delaware) LLC_MMYY Rent Report - Parakou" xfId="381" xr:uid="{00000000-0005-0000-0000-000050010000}"/>
    <cellStyle name="_PercentSpace_MDL (Delaware) LLC_MMYY Tenancy Schedule - Building, City" xfId="382" xr:uid="{00000000-0005-0000-0000-000051010000}"/>
    <cellStyle name="_PercentSpace_MDL (Delaware) LLC_Takadanobaba Cashflow_19 Jul 07" xfId="383" xr:uid="{00000000-0005-0000-0000-000052010000}"/>
    <cellStyle name="_PercentSpace_MMYY Rent Report - Building, City" xfId="384" xr:uid="{00000000-0005-0000-0000-000053010000}"/>
    <cellStyle name="_PercentSpace_MMYY Rent Report - Parakou" xfId="385" xr:uid="{00000000-0005-0000-0000-000054010000}"/>
    <cellStyle name="_PercentSpace_MMYY Tenancy Schedule - Building, City" xfId="386" xr:uid="{00000000-0005-0000-0000-000055010000}"/>
    <cellStyle name="_PercentSpace_REIT Anal (3.27.01)" xfId="387" xr:uid="{00000000-0005-0000-0000-000056010000}"/>
    <cellStyle name="_PercentSpace_Takadanobaba Cashflow_19 Jul 07" xfId="388" xr:uid="{00000000-0005-0000-0000-000057010000}"/>
    <cellStyle name="_PIH Delhi" xfId="389" xr:uid="{00000000-0005-0000-0000-000058010000}"/>
    <cellStyle name="_QII Formats_07" xfId="390" xr:uid="{00000000-0005-0000-0000-000059010000}"/>
    <cellStyle name="_QII Formats_07_RLL Standalone results 10 August 2010 - Final" xfId="391" xr:uid="{00000000-0005-0000-0000-00005A010000}"/>
    <cellStyle name="_Related-Party Tran-12months" xfId="392" xr:uid="{00000000-0005-0000-0000-00005B010000}"/>
    <cellStyle name="_Related-Party Trans-15months" xfId="393" xr:uid="{00000000-0005-0000-0000-00005C010000}"/>
    <cellStyle name="_SubHeading" xfId="394" xr:uid="{00000000-0005-0000-0000-00005D010000}"/>
    <cellStyle name="_Table" xfId="395" xr:uid="{00000000-0005-0000-0000-00005E010000}"/>
    <cellStyle name="_Table_070711 JP Kokura Bldg Asset Plan(draft)" xfId="396" xr:uid="{00000000-0005-0000-0000-00005F010000}"/>
    <cellStyle name="_Table_081707 Asset Plan - Parakou Building Singapore" xfId="397" xr:uid="{00000000-0005-0000-0000-000060010000}"/>
    <cellStyle name="_Table_081707 Asset Plan - Parakou Building Singapore 10" xfId="398" xr:uid="{00000000-0005-0000-0000-000061010000}"/>
    <cellStyle name="_Table_081707 Asset Plan - Parakou Building Singapore 2" xfId="399" xr:uid="{00000000-0005-0000-0000-000062010000}"/>
    <cellStyle name="_Table_081707 Asset Plan - Parakou Building Singapore 3" xfId="400" xr:uid="{00000000-0005-0000-0000-000063010000}"/>
    <cellStyle name="_Table_081707 Asset Plan - Parakou Building Singapore 4" xfId="401" xr:uid="{00000000-0005-0000-0000-000064010000}"/>
    <cellStyle name="_Table_081707 Asset Plan - Parakou Building Singapore 5" xfId="402" xr:uid="{00000000-0005-0000-0000-000065010000}"/>
    <cellStyle name="_Table_081707 Asset Plan - Parakou Building Singapore 6" xfId="403" xr:uid="{00000000-0005-0000-0000-000066010000}"/>
    <cellStyle name="_Table_081707 Asset Plan - Parakou Building Singapore 7" xfId="404" xr:uid="{00000000-0005-0000-0000-000067010000}"/>
    <cellStyle name="_Table_081707 Asset Plan - Parakou Building Singapore 8" xfId="405" xr:uid="{00000000-0005-0000-0000-000068010000}"/>
    <cellStyle name="_Table_081707 Asset Plan - Parakou Building Singapore 9" xfId="406" xr:uid="{00000000-0005-0000-0000-000069010000}"/>
    <cellStyle name="_Table_081707 Asset Plan - Parakou Building Singapore_Sheet3" xfId="407" xr:uid="{00000000-0005-0000-0000-00006A010000}"/>
    <cellStyle name="_Table_2001.7.16_J-REIT - All Assets" xfId="408" xr:uid="{00000000-0005-0000-0000-00006B010000}"/>
    <cellStyle name="_Table_CF_Original_12" xfId="409" xr:uid="{00000000-0005-0000-0000-00006C010000}"/>
    <cellStyle name="_Table_Eastgate - Property Tax (2)" xfId="410" xr:uid="{00000000-0005-0000-0000-00006D010000}"/>
    <cellStyle name="_Table_MMYY Rent Report - Building, City" xfId="411" xr:uid="{00000000-0005-0000-0000-00006E010000}"/>
    <cellStyle name="_Table_MMYY Rent Report - Parakou" xfId="412" xr:uid="{00000000-0005-0000-0000-00006F010000}"/>
    <cellStyle name="_Table_MMYY Tenancy Schedule - Building, City" xfId="413" xr:uid="{00000000-0005-0000-0000-000070010000}"/>
    <cellStyle name="_Table_Takadanobaba Cashflow_19 Jul 07" xfId="414" xr:uid="{00000000-0005-0000-0000-000071010000}"/>
    <cellStyle name="_TableHead" xfId="415" xr:uid="{00000000-0005-0000-0000-000072010000}"/>
    <cellStyle name="_TableHead_Eastgate - Property Tax (2)" xfId="416" xr:uid="{00000000-0005-0000-0000-000073010000}"/>
    <cellStyle name="_TableRowHead" xfId="417" xr:uid="{00000000-0005-0000-0000-000074010000}"/>
    <cellStyle name="_TableSuperHead" xfId="418" xr:uid="{00000000-0005-0000-0000-000075010000}"/>
    <cellStyle name="_TableSuperHead_070711 JP Kokura Bldg Asset Plan(draft)" xfId="419" xr:uid="{00000000-0005-0000-0000-000076010000}"/>
    <cellStyle name="_TableSuperHead_081707 Asset Plan - Parakou Building Singapore" xfId="420" xr:uid="{00000000-0005-0000-0000-000077010000}"/>
    <cellStyle name="_TableSuperHead_2001.7.16_J-REIT - All Assets" xfId="421" xr:uid="{00000000-0005-0000-0000-000078010000}"/>
    <cellStyle name="_TableSuperHead_CF_Original_12" xfId="422" xr:uid="{00000000-0005-0000-0000-000079010000}"/>
    <cellStyle name="_TableSuperHead_MMYY Rent Report - Building, City" xfId="423" xr:uid="{00000000-0005-0000-0000-00007A010000}"/>
    <cellStyle name="_TableSuperHead_MMYY Rent Report - Parakou" xfId="424" xr:uid="{00000000-0005-0000-0000-00007B010000}"/>
    <cellStyle name="_TableSuperHead_MMYY Tenancy Schedule - Building, City" xfId="425" xr:uid="{00000000-0005-0000-0000-00007C010000}"/>
    <cellStyle name="_TableSuperHead_Takadanobaba Cashflow_19 Jul 07" xfId="426" xr:uid="{00000000-0005-0000-0000-00007D010000}"/>
    <cellStyle name="_Tax on fixed assets_1-12'08" xfId="427" xr:uid="{00000000-0005-0000-0000-00007E010000}"/>
    <cellStyle name="_Tax on Fixed Assets_1-9'08" xfId="428" xr:uid="{00000000-0005-0000-0000-00007F010000}"/>
    <cellStyle name="_Thailand - Top 15 &amp; new products QIII QIV'07" xfId="429" xr:uid="{00000000-0005-0000-0000-000080010000}"/>
    <cellStyle name="_Thailand - Top 15 &amp; new products QIII QIV'07_RLL Standalone results 10 August 2010 - Final" xfId="430" xr:uid="{00000000-0005-0000-0000-000081010000}"/>
    <cellStyle name="_Ukraine -Products &amp; WC LE Q3_Q4" xfId="431" xr:uid="{00000000-0005-0000-0000-000082010000}"/>
    <cellStyle name="_Ukraine -Products &amp; WC LE Q3_Q4_RLL Standalone results 10 August 2010 - Final" xfId="432" xr:uid="{00000000-0005-0000-0000-000083010000}"/>
    <cellStyle name="_Vietnam - Top Products &amp; WC - QIII QIV'07" xfId="433" xr:uid="{00000000-0005-0000-0000-000084010000}"/>
    <cellStyle name="_Vietnam - Top Products &amp; WC - QIII QIV'07_RLL Standalone results 10 August 2010 - Final" xfId="434" xr:uid="{00000000-0005-0000-0000-000085010000}"/>
    <cellStyle name="_Working Capital Prj" xfId="435" xr:uid="{00000000-0005-0000-0000-000086010000}"/>
    <cellStyle name="_Working Capital Prj_RLL Standalone results 10 August 2010 - Final" xfId="436" xr:uid="{00000000-0005-0000-0000-000087010000}"/>
    <cellStyle name="_Workingfile01" xfId="437" xr:uid="{00000000-0005-0000-0000-000088010000}"/>
    <cellStyle name="_Workingfile01_RLL Standalone results 10 August 2010 - Final" xfId="438" xr:uid="{00000000-0005-0000-0000-000089010000}"/>
    <cellStyle name="_リニューアル工事.xls グラフ 175" xfId="439" xr:uid="{00000000-0005-0000-0000-00008A010000}"/>
    <cellStyle name="_リニューアル工事.xls グラフ 175_1" xfId="440" xr:uid="{00000000-0005-0000-0000-00008B010000}"/>
    <cellStyle name="_リニューアル工事.xls グラフ 175_2" xfId="441" xr:uid="{00000000-0005-0000-0000-00008C010000}"/>
    <cellStyle name="_リニューアル工事.xls グラフ 175_3" xfId="442" xr:uid="{00000000-0005-0000-0000-00008D010000}"/>
    <cellStyle name="_リニューアル工事.xls グラフ 176" xfId="443" xr:uid="{00000000-0005-0000-0000-00008E010000}"/>
    <cellStyle name="_リニューアル工事.xls グラフ 176_1" xfId="444" xr:uid="{00000000-0005-0000-0000-00008F010000}"/>
    <cellStyle name="_リニューアル工事.xls グラフ 176_2" xfId="445" xr:uid="{00000000-0005-0000-0000-000090010000}"/>
    <cellStyle name="_リニューアル工事.xls グラフ 176_3" xfId="446" xr:uid="{00000000-0005-0000-0000-000091010000}"/>
    <cellStyle name="_リニューアル工事.xls グラフ 3" xfId="447" xr:uid="{00000000-0005-0000-0000-000092010000}"/>
    <cellStyle name="_リニューアル工事.xls グラフ 3_1" xfId="448" xr:uid="{00000000-0005-0000-0000-000093010000}"/>
    <cellStyle name="_リニューアル工事.xls グラフ 3_2" xfId="449" xr:uid="{00000000-0005-0000-0000-000094010000}"/>
    <cellStyle name="_リニューアル工事.xls グラフ 3_3" xfId="450" xr:uid="{00000000-0005-0000-0000-000095010000}"/>
    <cellStyle name="_リニューアル工事.xls グラフ 4" xfId="451" xr:uid="{00000000-0005-0000-0000-000096010000}"/>
    <cellStyle name="_リニューアル工事.xls グラフ 4_1" xfId="452" xr:uid="{00000000-0005-0000-0000-000097010000}"/>
    <cellStyle name="_リニューアル工事.xls グラフ 4_2" xfId="453" xr:uid="{00000000-0005-0000-0000-000098010000}"/>
    <cellStyle name="_リニューアル工事.xls グラフ 4_3" xfId="454" xr:uid="{00000000-0005-0000-0000-000099010000}"/>
    <cellStyle name="_室町ＮＳビル総合管理提案２" xfId="455" xr:uid="{00000000-0005-0000-0000-00009A010000}"/>
    <cellStyle name="_室町ＮＳビル総合管理提案２.xls グラフ 3" xfId="456" xr:uid="{00000000-0005-0000-0000-00009B010000}"/>
    <cellStyle name="_室町ＮＳビル総合管理提案２.xls グラフ 3_1" xfId="457" xr:uid="{00000000-0005-0000-0000-00009C010000}"/>
    <cellStyle name="_室町ＮＳビル総合管理提案２.xls グラフ 3_2" xfId="458" xr:uid="{00000000-0005-0000-0000-00009D010000}"/>
    <cellStyle name="_室町ＮＳビル総合管理提案２.xls グラフ 3_3" xfId="459" xr:uid="{00000000-0005-0000-0000-00009E010000}"/>
    <cellStyle name="_室町ＮＳビル総合管理提案２.xls グラフ 4" xfId="460" xr:uid="{00000000-0005-0000-0000-00009F010000}"/>
    <cellStyle name="_室町ＮＳビル総合管理提案２.xls グラフ 4_1" xfId="461" xr:uid="{00000000-0005-0000-0000-0000A0010000}"/>
    <cellStyle name="_室町ＮＳビル総合管理提案２.xls グラフ 4_2" xfId="462" xr:uid="{00000000-0005-0000-0000-0000A1010000}"/>
    <cellStyle name="_室町ＮＳビル総合管理提案２.xls グラフ 4_3" xfId="463" xr:uid="{00000000-0005-0000-0000-0000A2010000}"/>
    <cellStyle name="_室町ＮＳビル総合管理提案２.xls グラフ 8" xfId="464" xr:uid="{00000000-0005-0000-0000-0000A3010000}"/>
    <cellStyle name="_室町ＮＳビル総合管理提案２.xls グラフ 8_1" xfId="465" xr:uid="{00000000-0005-0000-0000-0000A4010000}"/>
    <cellStyle name="_室町ＮＳビル総合管理提案２.xls グラフ 8_2" xfId="466" xr:uid="{00000000-0005-0000-0000-0000A5010000}"/>
    <cellStyle name="_室町ＮＳビル総合管理提案２.xls グラフ 8_3" xfId="467" xr:uid="{00000000-0005-0000-0000-0000A6010000}"/>
    <cellStyle name="_室町ＮＳビル総合管理提案２_1" xfId="468" xr:uid="{00000000-0005-0000-0000-0000A7010000}"/>
    <cellStyle name="_室町ＮＳビル総合管理提案２_2" xfId="469" xr:uid="{00000000-0005-0000-0000-0000A8010000}"/>
    <cellStyle name="_室町ＮＳビル総合管理提案２_3" xfId="470" xr:uid="{00000000-0005-0000-0000-0000A9010000}"/>
    <cellStyle name="_提案書2-2" xfId="471" xr:uid="{00000000-0005-0000-0000-0000AA010000}"/>
    <cellStyle name="_提案書2-2_1" xfId="472" xr:uid="{00000000-0005-0000-0000-0000AB010000}"/>
    <cellStyle name="_提案書2-2_2" xfId="473" xr:uid="{00000000-0005-0000-0000-0000AC010000}"/>
    <cellStyle name="_提案書2-2_3" xfId="474" xr:uid="{00000000-0005-0000-0000-0000AD010000}"/>
    <cellStyle name="_管理提案（本   文）" xfId="475" xr:uid="{00000000-0005-0000-0000-0000AE010000}"/>
    <cellStyle name="_管理提案（本   文）_1" xfId="476" xr:uid="{00000000-0005-0000-0000-0000AF010000}"/>
    <cellStyle name="_管理提案（本   文）_2" xfId="477" xr:uid="{00000000-0005-0000-0000-0000B0010000}"/>
    <cellStyle name="_管理提案（本   文）_3" xfId="478" xr:uid="{00000000-0005-0000-0000-0000B1010000}"/>
    <cellStyle name="_管理提案（本   文）－２" xfId="479" xr:uid="{00000000-0005-0000-0000-0000B2010000}"/>
    <cellStyle name="_管理提案（本   文）－２_1" xfId="480" xr:uid="{00000000-0005-0000-0000-0000B3010000}"/>
    <cellStyle name="_管理提案（本   文）－２_2" xfId="481" xr:uid="{00000000-0005-0000-0000-0000B4010000}"/>
    <cellStyle name="_管理提案（本   文）－２_3" xfId="482" xr:uid="{00000000-0005-0000-0000-0000B5010000}"/>
    <cellStyle name="_管理提案（目　次）２" xfId="483" xr:uid="{00000000-0005-0000-0000-0000B6010000}"/>
    <cellStyle name="_管理提案（目　次）２_1" xfId="484" xr:uid="{00000000-0005-0000-0000-0000B7010000}"/>
    <cellStyle name="_管理提案（目　次）２_2" xfId="485" xr:uid="{00000000-0005-0000-0000-0000B8010000}"/>
    <cellStyle name="_管理提案（目　次）２_3" xfId="486" xr:uid="{00000000-0005-0000-0000-0000B9010000}"/>
    <cellStyle name="_管理提案書A3.xls グラフ 4" xfId="487" xr:uid="{00000000-0005-0000-0000-0000BA010000}"/>
    <cellStyle name="_管理提案書A3.xls グラフ 4_1" xfId="488" xr:uid="{00000000-0005-0000-0000-0000BB010000}"/>
    <cellStyle name="_管理提案書A3.xls グラフ 4_2" xfId="489" xr:uid="{00000000-0005-0000-0000-0000BC010000}"/>
    <cellStyle name="_管理提案書A3.xls グラフ 4_3" xfId="490" xr:uid="{00000000-0005-0000-0000-0000BD010000}"/>
    <cellStyle name="_管理提案書A3.xls グラフ 5" xfId="491" xr:uid="{00000000-0005-0000-0000-0000BE010000}"/>
    <cellStyle name="_管理提案書A3.xls グラフ 5_1" xfId="492" xr:uid="{00000000-0005-0000-0000-0000BF010000}"/>
    <cellStyle name="_管理提案書A3.xls グラフ 5_2" xfId="493" xr:uid="{00000000-0005-0000-0000-0000C0010000}"/>
    <cellStyle name="_管理提案書A3.xls グラフ 5_3" xfId="494" xr:uid="{00000000-0005-0000-0000-0000C1010000}"/>
    <cellStyle name="_管理提案書A3.xls グラフ 9" xfId="495" xr:uid="{00000000-0005-0000-0000-0000C2010000}"/>
    <cellStyle name="_管理提案書A3.xls グラフ 9_1" xfId="496" xr:uid="{00000000-0005-0000-0000-0000C3010000}"/>
    <cellStyle name="_管理提案書A3.xls グラフ 9_2" xfId="497" xr:uid="{00000000-0005-0000-0000-0000C4010000}"/>
    <cellStyle name="_管理提案書A3.xls グラフ 9_3" xfId="498" xr:uid="{00000000-0005-0000-0000-0000C5010000}"/>
    <cellStyle name="’E‰Y [0.00]_?f?o‘O‰n香ELpect" xfId="499" xr:uid="{00000000-0005-0000-0000-0000C6010000}"/>
    <cellStyle name="’E‰Y_?f?o‘O‰n香ESONAL" xfId="500" xr:uid="{00000000-0005-0000-0000-0000C7010000}"/>
    <cellStyle name="£ BP" xfId="501" xr:uid="{00000000-0005-0000-0000-0000C8010000}"/>
    <cellStyle name="￡ BP" xfId="502" xr:uid="{00000000-0005-0000-0000-0000C9010000}"/>
    <cellStyle name="￥横付け" xfId="503" xr:uid="{00000000-0005-0000-0000-0000CA010000}"/>
    <cellStyle name="+27.577+36" xfId="504" xr:uid="{00000000-0005-0000-0000-0000CB010000}"/>
    <cellStyle name="=C:\WINNT\SYSTEM32\COMMAND.COM" xfId="505" xr:uid="{00000000-0005-0000-0000-0000CC010000}"/>
    <cellStyle name="_x0001_·?_x0001_··?" xfId="506" xr:uid="{00000000-0005-0000-0000-0000CD010000}"/>
    <cellStyle name="_x0001_・｢_x0001_・・義" xfId="507" xr:uid="{00000000-0005-0000-0000-0000CE010000}"/>
    <cellStyle name="•W€_Cash Flow Yaesu" xfId="508" xr:uid="{00000000-0005-0000-0000-0000CF010000}"/>
    <cellStyle name="•W_surces &amp; uses" xfId="509" xr:uid="{00000000-0005-0000-0000-0000D0010000}"/>
    <cellStyle name="1" xfId="510" xr:uid="{00000000-0005-0000-0000-0000D1010000}"/>
    <cellStyle name="130299" xfId="511" xr:uid="{00000000-0005-0000-0000-0000D2010000}"/>
    <cellStyle name="1Normal" xfId="512" xr:uid="{00000000-0005-0000-0000-0000D3010000}"/>
    <cellStyle name="2" xfId="513" xr:uid="{00000000-0005-0000-0000-0000D4010000}"/>
    <cellStyle name="20% - Accent1" xfId="20" builtinId="30" customBuiltin="1"/>
    <cellStyle name="20% - Accent1 2" xfId="514" xr:uid="{00000000-0005-0000-0000-0000D6010000}"/>
    <cellStyle name="20% - Accent1 3" xfId="515" xr:uid="{00000000-0005-0000-0000-0000D7010000}"/>
    <cellStyle name="20% - Accent1 4" xfId="516" xr:uid="{00000000-0005-0000-0000-0000D8010000}"/>
    <cellStyle name="20% - Accent1 5" xfId="517" xr:uid="{00000000-0005-0000-0000-0000D9010000}"/>
    <cellStyle name="20% - Accent1 6" xfId="3431" xr:uid="{00000000-0005-0000-0000-0000DA010000}"/>
    <cellStyle name="20% - Accent2" xfId="24" builtinId="34" customBuiltin="1"/>
    <cellStyle name="20% - Accent2 2" xfId="518" xr:uid="{00000000-0005-0000-0000-0000DC010000}"/>
    <cellStyle name="20% - Accent2 3" xfId="519" xr:uid="{00000000-0005-0000-0000-0000DD010000}"/>
    <cellStyle name="20% - Accent2 4" xfId="520" xr:uid="{00000000-0005-0000-0000-0000DE010000}"/>
    <cellStyle name="20% - Accent2 5" xfId="521" xr:uid="{00000000-0005-0000-0000-0000DF010000}"/>
    <cellStyle name="20% - Accent2 6" xfId="3433" xr:uid="{00000000-0005-0000-0000-0000E0010000}"/>
    <cellStyle name="20% - Accent3" xfId="28" builtinId="38" customBuiltin="1"/>
    <cellStyle name="20% - Accent3 2" xfId="522" xr:uid="{00000000-0005-0000-0000-0000E2010000}"/>
    <cellStyle name="20% - Accent3 3" xfId="523" xr:uid="{00000000-0005-0000-0000-0000E3010000}"/>
    <cellStyle name="20% - Accent3 4" xfId="524" xr:uid="{00000000-0005-0000-0000-0000E4010000}"/>
    <cellStyle name="20% - Accent3 5" xfId="525" xr:uid="{00000000-0005-0000-0000-0000E5010000}"/>
    <cellStyle name="20% - Accent3 6" xfId="3435" xr:uid="{00000000-0005-0000-0000-0000E6010000}"/>
    <cellStyle name="20% - Accent4" xfId="32" builtinId="42" customBuiltin="1"/>
    <cellStyle name="20% - Accent4 2" xfId="526" xr:uid="{00000000-0005-0000-0000-0000E8010000}"/>
    <cellStyle name="20% - Accent4 3" xfId="527" xr:uid="{00000000-0005-0000-0000-0000E9010000}"/>
    <cellStyle name="20% - Accent4 4" xfId="528" xr:uid="{00000000-0005-0000-0000-0000EA010000}"/>
    <cellStyle name="20% - Accent4 5" xfId="529" xr:uid="{00000000-0005-0000-0000-0000EB010000}"/>
    <cellStyle name="20% - Accent4 6" xfId="3437" xr:uid="{00000000-0005-0000-0000-0000EC010000}"/>
    <cellStyle name="20% - Accent5" xfId="36" builtinId="46" customBuiltin="1"/>
    <cellStyle name="20% - Accent5 2" xfId="530" xr:uid="{00000000-0005-0000-0000-0000EE010000}"/>
    <cellStyle name="20% - Accent5 3" xfId="531" xr:uid="{00000000-0005-0000-0000-0000EF010000}"/>
    <cellStyle name="20% - Accent5 4" xfId="532" xr:uid="{00000000-0005-0000-0000-0000F0010000}"/>
    <cellStyle name="20% - Accent5 5" xfId="533" xr:uid="{00000000-0005-0000-0000-0000F1010000}"/>
    <cellStyle name="20% - Accent5 6" xfId="3439" xr:uid="{00000000-0005-0000-0000-0000F2010000}"/>
    <cellStyle name="20% - Accent6" xfId="40" builtinId="50" customBuiltin="1"/>
    <cellStyle name="20% - Accent6 2" xfId="534" xr:uid="{00000000-0005-0000-0000-0000F4010000}"/>
    <cellStyle name="20% - Accent6 3" xfId="535" xr:uid="{00000000-0005-0000-0000-0000F5010000}"/>
    <cellStyle name="20% - Accent6 4" xfId="536" xr:uid="{00000000-0005-0000-0000-0000F6010000}"/>
    <cellStyle name="20% - Accent6 5" xfId="537" xr:uid="{00000000-0005-0000-0000-0000F7010000}"/>
    <cellStyle name="20% - Accent6 6" xfId="3441" xr:uid="{00000000-0005-0000-0000-0000F8010000}"/>
    <cellStyle name="20% - アクセント 1" xfId="538" xr:uid="{00000000-0005-0000-0000-0000F9010000}"/>
    <cellStyle name="20% - アクセント 2" xfId="539" xr:uid="{00000000-0005-0000-0000-0000FA010000}"/>
    <cellStyle name="20% - アクセント 3" xfId="540" xr:uid="{00000000-0005-0000-0000-0000FB010000}"/>
    <cellStyle name="20% - アクセント 4" xfId="541" xr:uid="{00000000-0005-0000-0000-0000FC010000}"/>
    <cellStyle name="20% - アクセント 5" xfId="542" xr:uid="{00000000-0005-0000-0000-0000FD010000}"/>
    <cellStyle name="20% - アクセント 6" xfId="543" xr:uid="{00000000-0005-0000-0000-0000FE010000}"/>
    <cellStyle name="3" xfId="544" xr:uid="{00000000-0005-0000-0000-0000FF010000}"/>
    <cellStyle name="4" xfId="545" xr:uid="{00000000-0005-0000-0000-000000020000}"/>
    <cellStyle name="40% - Accent1" xfId="21" builtinId="31" customBuiltin="1"/>
    <cellStyle name="40% - Accent1 2" xfId="546" xr:uid="{00000000-0005-0000-0000-000002020000}"/>
    <cellStyle name="40% - Accent1 3" xfId="547" xr:uid="{00000000-0005-0000-0000-000003020000}"/>
    <cellStyle name="40% - Accent1 4" xfId="548" xr:uid="{00000000-0005-0000-0000-000004020000}"/>
    <cellStyle name="40% - Accent1 5" xfId="549" xr:uid="{00000000-0005-0000-0000-000005020000}"/>
    <cellStyle name="40% - Accent1 6" xfId="3432" xr:uid="{00000000-0005-0000-0000-000006020000}"/>
    <cellStyle name="40% - Accent2" xfId="25" builtinId="35" customBuiltin="1"/>
    <cellStyle name="40% - Accent2 2" xfId="550" xr:uid="{00000000-0005-0000-0000-000008020000}"/>
    <cellStyle name="40% - Accent2 3" xfId="551" xr:uid="{00000000-0005-0000-0000-000009020000}"/>
    <cellStyle name="40% - Accent2 4" xfId="552" xr:uid="{00000000-0005-0000-0000-00000A020000}"/>
    <cellStyle name="40% - Accent2 5" xfId="553" xr:uid="{00000000-0005-0000-0000-00000B020000}"/>
    <cellStyle name="40% - Accent2 6" xfId="3434" xr:uid="{00000000-0005-0000-0000-00000C020000}"/>
    <cellStyle name="40% - Accent3" xfId="29" builtinId="39" customBuiltin="1"/>
    <cellStyle name="40% - Accent3 2" xfId="554" xr:uid="{00000000-0005-0000-0000-00000E020000}"/>
    <cellStyle name="40% - Accent3 3" xfId="555" xr:uid="{00000000-0005-0000-0000-00000F020000}"/>
    <cellStyle name="40% - Accent3 4" xfId="556" xr:uid="{00000000-0005-0000-0000-000010020000}"/>
    <cellStyle name="40% - Accent3 5" xfId="557" xr:uid="{00000000-0005-0000-0000-000011020000}"/>
    <cellStyle name="40% - Accent3 6" xfId="3436" xr:uid="{00000000-0005-0000-0000-000012020000}"/>
    <cellStyle name="40% - Accent4" xfId="33" builtinId="43" customBuiltin="1"/>
    <cellStyle name="40% - Accent4 2" xfId="558" xr:uid="{00000000-0005-0000-0000-000014020000}"/>
    <cellStyle name="40% - Accent4 3" xfId="559" xr:uid="{00000000-0005-0000-0000-000015020000}"/>
    <cellStyle name="40% - Accent4 4" xfId="560" xr:uid="{00000000-0005-0000-0000-000016020000}"/>
    <cellStyle name="40% - Accent4 5" xfId="561" xr:uid="{00000000-0005-0000-0000-000017020000}"/>
    <cellStyle name="40% - Accent4 6" xfId="3438" xr:uid="{00000000-0005-0000-0000-000018020000}"/>
    <cellStyle name="40% - Accent5" xfId="37" builtinId="47" customBuiltin="1"/>
    <cellStyle name="40% - Accent5 2" xfId="562" xr:uid="{00000000-0005-0000-0000-00001A020000}"/>
    <cellStyle name="40% - Accent5 3" xfId="563" xr:uid="{00000000-0005-0000-0000-00001B020000}"/>
    <cellStyle name="40% - Accent5 4" xfId="564" xr:uid="{00000000-0005-0000-0000-00001C020000}"/>
    <cellStyle name="40% - Accent5 5" xfId="565" xr:uid="{00000000-0005-0000-0000-00001D020000}"/>
    <cellStyle name="40% - Accent5 6" xfId="3440" xr:uid="{00000000-0005-0000-0000-00001E020000}"/>
    <cellStyle name="40% - Accent6" xfId="41" builtinId="51" customBuiltin="1"/>
    <cellStyle name="40% - Accent6 2" xfId="566" xr:uid="{00000000-0005-0000-0000-000020020000}"/>
    <cellStyle name="40% - Accent6 3" xfId="567" xr:uid="{00000000-0005-0000-0000-000021020000}"/>
    <cellStyle name="40% - Accent6 4" xfId="568" xr:uid="{00000000-0005-0000-0000-000022020000}"/>
    <cellStyle name="40% - Accent6 5" xfId="569" xr:uid="{00000000-0005-0000-0000-000023020000}"/>
    <cellStyle name="40% - Accent6 6" xfId="3442" xr:uid="{00000000-0005-0000-0000-000024020000}"/>
    <cellStyle name="40% - アクセント 1" xfId="570" xr:uid="{00000000-0005-0000-0000-000025020000}"/>
    <cellStyle name="40% - アクセント 2" xfId="571" xr:uid="{00000000-0005-0000-0000-000026020000}"/>
    <cellStyle name="40% - アクセント 3" xfId="572" xr:uid="{00000000-0005-0000-0000-000027020000}"/>
    <cellStyle name="40% - アクセント 4" xfId="573" xr:uid="{00000000-0005-0000-0000-000028020000}"/>
    <cellStyle name="40% - アクセント 5" xfId="574" xr:uid="{00000000-0005-0000-0000-000029020000}"/>
    <cellStyle name="40% - アクセント 6" xfId="575" xr:uid="{00000000-0005-0000-0000-00002A020000}"/>
    <cellStyle name="6-0" xfId="576" xr:uid="{00000000-0005-0000-0000-00002B020000}"/>
    <cellStyle name="60% - Accent1" xfId="22" builtinId="32" customBuiltin="1"/>
    <cellStyle name="60% - Accent1 2" xfId="577" xr:uid="{00000000-0005-0000-0000-00002D020000}"/>
    <cellStyle name="60% - Accent1 3" xfId="578" xr:uid="{00000000-0005-0000-0000-00002E020000}"/>
    <cellStyle name="60% - Accent1 4" xfId="579" xr:uid="{00000000-0005-0000-0000-00002F020000}"/>
    <cellStyle name="60% - Accent1 5" xfId="580" xr:uid="{00000000-0005-0000-0000-000030020000}"/>
    <cellStyle name="60% - Accent2" xfId="26" builtinId="36" customBuiltin="1"/>
    <cellStyle name="60% - Accent2 2" xfId="581" xr:uid="{00000000-0005-0000-0000-000032020000}"/>
    <cellStyle name="60% - Accent2 3" xfId="582" xr:uid="{00000000-0005-0000-0000-000033020000}"/>
    <cellStyle name="60% - Accent2 4" xfId="583" xr:uid="{00000000-0005-0000-0000-000034020000}"/>
    <cellStyle name="60% - Accent2 5" xfId="584" xr:uid="{00000000-0005-0000-0000-000035020000}"/>
    <cellStyle name="60% - Accent3" xfId="30" builtinId="40" customBuiltin="1"/>
    <cellStyle name="60% - Accent3 2" xfId="585" xr:uid="{00000000-0005-0000-0000-000037020000}"/>
    <cellStyle name="60% - Accent3 3" xfId="586" xr:uid="{00000000-0005-0000-0000-000038020000}"/>
    <cellStyle name="60% - Accent3 4" xfId="587" xr:uid="{00000000-0005-0000-0000-000039020000}"/>
    <cellStyle name="60% - Accent3 5" xfId="588" xr:uid="{00000000-0005-0000-0000-00003A020000}"/>
    <cellStyle name="60% - Accent4" xfId="34" builtinId="44" customBuiltin="1"/>
    <cellStyle name="60% - Accent4 2" xfId="589" xr:uid="{00000000-0005-0000-0000-00003C020000}"/>
    <cellStyle name="60% - Accent4 3" xfId="590" xr:uid="{00000000-0005-0000-0000-00003D020000}"/>
    <cellStyle name="60% - Accent4 4" xfId="591" xr:uid="{00000000-0005-0000-0000-00003E020000}"/>
    <cellStyle name="60% - Accent4 5" xfId="592" xr:uid="{00000000-0005-0000-0000-00003F020000}"/>
    <cellStyle name="60% - Accent5" xfId="38" builtinId="48" customBuiltin="1"/>
    <cellStyle name="60% - Accent5 2" xfId="593" xr:uid="{00000000-0005-0000-0000-000041020000}"/>
    <cellStyle name="60% - Accent5 3" xfId="594" xr:uid="{00000000-0005-0000-0000-000042020000}"/>
    <cellStyle name="60% - Accent5 4" xfId="595" xr:uid="{00000000-0005-0000-0000-000043020000}"/>
    <cellStyle name="60% - Accent5 5" xfId="596" xr:uid="{00000000-0005-0000-0000-000044020000}"/>
    <cellStyle name="60% - Accent6" xfId="42" builtinId="52" customBuiltin="1"/>
    <cellStyle name="60% - Accent6 2" xfId="597" xr:uid="{00000000-0005-0000-0000-000046020000}"/>
    <cellStyle name="60% - Accent6 3" xfId="598" xr:uid="{00000000-0005-0000-0000-000047020000}"/>
    <cellStyle name="60% - Accent6 4" xfId="599" xr:uid="{00000000-0005-0000-0000-000048020000}"/>
    <cellStyle name="60% - Accent6 5" xfId="600" xr:uid="{00000000-0005-0000-0000-000049020000}"/>
    <cellStyle name="60% - アクセント 1" xfId="601" xr:uid="{00000000-0005-0000-0000-00004A020000}"/>
    <cellStyle name="60% - アクセント 2" xfId="602" xr:uid="{00000000-0005-0000-0000-00004B020000}"/>
    <cellStyle name="60% - アクセント 3" xfId="603" xr:uid="{00000000-0005-0000-0000-00004C020000}"/>
    <cellStyle name="60% - アクセント 4" xfId="604" xr:uid="{00000000-0005-0000-0000-00004D020000}"/>
    <cellStyle name="60% - アクセント 5" xfId="605" xr:uid="{00000000-0005-0000-0000-00004E020000}"/>
    <cellStyle name="60% - アクセント 6" xfId="606" xr:uid="{00000000-0005-0000-0000-00004F020000}"/>
    <cellStyle name="A4 Small 210 x 297 mm" xfId="607" xr:uid="{00000000-0005-0000-0000-000050020000}"/>
    <cellStyle name="Accent1" xfId="19" builtinId="29" customBuiltin="1"/>
    <cellStyle name="Accent1 2" xfId="608" xr:uid="{00000000-0005-0000-0000-000052020000}"/>
    <cellStyle name="Accent1 3" xfId="609" xr:uid="{00000000-0005-0000-0000-000053020000}"/>
    <cellStyle name="Accent1 4" xfId="610" xr:uid="{00000000-0005-0000-0000-000054020000}"/>
    <cellStyle name="Accent1 5" xfId="611" xr:uid="{00000000-0005-0000-0000-000055020000}"/>
    <cellStyle name="Accent2" xfId="23" builtinId="33" customBuiltin="1"/>
    <cellStyle name="Accent2 2" xfId="612" xr:uid="{00000000-0005-0000-0000-000057020000}"/>
    <cellStyle name="Accent2 3" xfId="613" xr:uid="{00000000-0005-0000-0000-000058020000}"/>
    <cellStyle name="Accent2 4" xfId="614" xr:uid="{00000000-0005-0000-0000-000059020000}"/>
    <cellStyle name="Accent2 5" xfId="615" xr:uid="{00000000-0005-0000-0000-00005A020000}"/>
    <cellStyle name="Accent3" xfId="27" builtinId="37" customBuiltin="1"/>
    <cellStyle name="Accent3 2" xfId="616" xr:uid="{00000000-0005-0000-0000-00005C020000}"/>
    <cellStyle name="Accent3 3" xfId="617" xr:uid="{00000000-0005-0000-0000-00005D020000}"/>
    <cellStyle name="Accent3 4" xfId="618" xr:uid="{00000000-0005-0000-0000-00005E020000}"/>
    <cellStyle name="Accent3 5" xfId="619" xr:uid="{00000000-0005-0000-0000-00005F020000}"/>
    <cellStyle name="Accent4" xfId="31" builtinId="41" customBuiltin="1"/>
    <cellStyle name="Accent4 2" xfId="620" xr:uid="{00000000-0005-0000-0000-000061020000}"/>
    <cellStyle name="Accent4 3" xfId="621" xr:uid="{00000000-0005-0000-0000-000062020000}"/>
    <cellStyle name="Accent4 4" xfId="622" xr:uid="{00000000-0005-0000-0000-000063020000}"/>
    <cellStyle name="Accent4 5" xfId="623" xr:uid="{00000000-0005-0000-0000-000064020000}"/>
    <cellStyle name="Accent5" xfId="35" builtinId="45" customBuiltin="1"/>
    <cellStyle name="Accent5 2" xfId="624" xr:uid="{00000000-0005-0000-0000-000066020000}"/>
    <cellStyle name="Accent5 3" xfId="625" xr:uid="{00000000-0005-0000-0000-000067020000}"/>
    <cellStyle name="Accent5 4" xfId="626" xr:uid="{00000000-0005-0000-0000-000068020000}"/>
    <cellStyle name="Accent5 5" xfId="627" xr:uid="{00000000-0005-0000-0000-000069020000}"/>
    <cellStyle name="Accent6" xfId="39" builtinId="49" customBuiltin="1"/>
    <cellStyle name="Accent6 2" xfId="628" xr:uid="{00000000-0005-0000-0000-00006B020000}"/>
    <cellStyle name="Accent6 3" xfId="629" xr:uid="{00000000-0005-0000-0000-00006C020000}"/>
    <cellStyle name="Accent6 4" xfId="630" xr:uid="{00000000-0005-0000-0000-00006D020000}"/>
    <cellStyle name="Accent6 5" xfId="631" xr:uid="{00000000-0005-0000-0000-00006E020000}"/>
    <cellStyle name="ÅëÈ­ [0]_¿ì¹°Åë" xfId="632" xr:uid="{00000000-0005-0000-0000-00006F020000}"/>
    <cellStyle name="AeE­ [0]_INQUIRY ¿µ¾÷AßAø " xfId="633" xr:uid="{00000000-0005-0000-0000-000070020000}"/>
    <cellStyle name="ÅëÈ­_¿ì¹°Åë" xfId="634" xr:uid="{00000000-0005-0000-0000-000071020000}"/>
    <cellStyle name="AeE­_INQUIRY ¿µ¾÷AßAø " xfId="635" xr:uid="{00000000-0005-0000-0000-000072020000}"/>
    <cellStyle name="AMAR1" xfId="636" xr:uid="{00000000-0005-0000-0000-000073020000}"/>
    <cellStyle name="ÄÞ¸¶ [0]_¿ì¹°Åë" xfId="637" xr:uid="{00000000-0005-0000-0000-000074020000}"/>
    <cellStyle name="AÞ¸¶ [0]_INQUIRY ¿?¾÷AßAø " xfId="638" xr:uid="{00000000-0005-0000-0000-000075020000}"/>
    <cellStyle name="ÄÞ¸¶_¿ì¹°Åë" xfId="639" xr:uid="{00000000-0005-0000-0000-000076020000}"/>
    <cellStyle name="AÞ¸¶_INQUIRY ¿?¾÷AßAø " xfId="640" xr:uid="{00000000-0005-0000-0000-000077020000}"/>
    <cellStyle name="Bad" xfId="8" builtinId="27" customBuiltin="1"/>
    <cellStyle name="Bad 2" xfId="641" xr:uid="{00000000-0005-0000-0000-000079020000}"/>
    <cellStyle name="Bad 3" xfId="642" xr:uid="{00000000-0005-0000-0000-00007A020000}"/>
    <cellStyle name="Bad 4" xfId="643" xr:uid="{00000000-0005-0000-0000-00007B020000}"/>
    <cellStyle name="Bad 5" xfId="644" xr:uid="{00000000-0005-0000-0000-00007C020000}"/>
    <cellStyle name="Blank [$]" xfId="645" xr:uid="{00000000-0005-0000-0000-00007D020000}"/>
    <cellStyle name="Blank [%]" xfId="646" xr:uid="{00000000-0005-0000-0000-00007E020000}"/>
    <cellStyle name="Blank [,]" xfId="647" xr:uid="{00000000-0005-0000-0000-00007F020000}"/>
    <cellStyle name="Blank [1$]" xfId="648" xr:uid="{00000000-0005-0000-0000-000080020000}"/>
    <cellStyle name="Blank [1%]" xfId="649" xr:uid="{00000000-0005-0000-0000-000081020000}"/>
    <cellStyle name="Blank [1,]" xfId="650" xr:uid="{00000000-0005-0000-0000-000082020000}"/>
    <cellStyle name="Blank [2$]" xfId="651" xr:uid="{00000000-0005-0000-0000-000083020000}"/>
    <cellStyle name="Blank [2%]" xfId="652" xr:uid="{00000000-0005-0000-0000-000084020000}"/>
    <cellStyle name="Blank [2,]" xfId="653" xr:uid="{00000000-0005-0000-0000-000085020000}"/>
    <cellStyle name="Blank [3$]" xfId="654" xr:uid="{00000000-0005-0000-0000-000086020000}"/>
    <cellStyle name="Blank [3%]" xfId="655" xr:uid="{00000000-0005-0000-0000-000087020000}"/>
    <cellStyle name="Blank [3,]" xfId="656" xr:uid="{00000000-0005-0000-0000-000088020000}"/>
    <cellStyle name="Blank [D-M-Y]" xfId="657" xr:uid="{00000000-0005-0000-0000-000089020000}"/>
    <cellStyle name="Blank [K,]" xfId="658" xr:uid="{00000000-0005-0000-0000-00008A020000}"/>
    <cellStyle name="BLUE" xfId="659" xr:uid="{00000000-0005-0000-0000-00008B020000}"/>
    <cellStyle name="BLUE/桁区切り" xfId="660" xr:uid="{00000000-0005-0000-0000-00008C020000}"/>
    <cellStyle name="Body" xfId="661" xr:uid="{00000000-0005-0000-0000-00008D020000}"/>
    <cellStyle name="Bold/Border" xfId="662" xr:uid="{00000000-0005-0000-0000-00008E020000}"/>
    <cellStyle name="Bold/Border 2" xfId="663" xr:uid="{00000000-0005-0000-0000-00008F020000}"/>
    <cellStyle name="Bold/Border 2 2" xfId="664" xr:uid="{00000000-0005-0000-0000-000090020000}"/>
    <cellStyle name="Bold/Border 2 2 2" xfId="665" xr:uid="{00000000-0005-0000-0000-000091020000}"/>
    <cellStyle name="Bold/Border 2 2 3" xfId="666" xr:uid="{00000000-0005-0000-0000-000092020000}"/>
    <cellStyle name="Bold/Border 2 2 4" xfId="667" xr:uid="{00000000-0005-0000-0000-000093020000}"/>
    <cellStyle name="Bold/Border 2 3" xfId="668" xr:uid="{00000000-0005-0000-0000-000094020000}"/>
    <cellStyle name="Bold/Border 2 3 2" xfId="669" xr:uid="{00000000-0005-0000-0000-000095020000}"/>
    <cellStyle name="Bold/Border 2 3 3" xfId="670" xr:uid="{00000000-0005-0000-0000-000096020000}"/>
    <cellStyle name="Bold/Border 2 3 4" xfId="671" xr:uid="{00000000-0005-0000-0000-000097020000}"/>
    <cellStyle name="Bold/Border 2 4" xfId="672" xr:uid="{00000000-0005-0000-0000-000098020000}"/>
    <cellStyle name="Bold/Border 2 5" xfId="673" xr:uid="{00000000-0005-0000-0000-000099020000}"/>
    <cellStyle name="Bold/Border 2 6" xfId="674" xr:uid="{00000000-0005-0000-0000-00009A020000}"/>
    <cellStyle name="Bold/Border 2 7" xfId="675" xr:uid="{00000000-0005-0000-0000-00009B020000}"/>
    <cellStyle name="Bold/Border 2_Sheet3" xfId="676" xr:uid="{00000000-0005-0000-0000-00009C020000}"/>
    <cellStyle name="Bold/Border 3" xfId="677" xr:uid="{00000000-0005-0000-0000-00009D020000}"/>
    <cellStyle name="Bold/Border 3 2" xfId="678" xr:uid="{00000000-0005-0000-0000-00009E020000}"/>
    <cellStyle name="Bold/Border 3 3" xfId="679" xr:uid="{00000000-0005-0000-0000-00009F020000}"/>
    <cellStyle name="Bold/Border 3 4" xfId="680" xr:uid="{00000000-0005-0000-0000-0000A0020000}"/>
    <cellStyle name="Bold/Border 4" xfId="681" xr:uid="{00000000-0005-0000-0000-0000A1020000}"/>
    <cellStyle name="Bold/Border 4 2" xfId="682" xr:uid="{00000000-0005-0000-0000-0000A2020000}"/>
    <cellStyle name="Bold/Border 4 3" xfId="683" xr:uid="{00000000-0005-0000-0000-0000A3020000}"/>
    <cellStyle name="Bold/Border 4 4" xfId="684" xr:uid="{00000000-0005-0000-0000-0000A4020000}"/>
    <cellStyle name="Bold/Border 5" xfId="685" xr:uid="{00000000-0005-0000-0000-0000A5020000}"/>
    <cellStyle name="Bold/Border 6" xfId="686" xr:uid="{00000000-0005-0000-0000-0000A6020000}"/>
    <cellStyle name="Bold/Border 7" xfId="687" xr:uid="{00000000-0005-0000-0000-0000A7020000}"/>
    <cellStyle name="Bold/Border 8" xfId="688" xr:uid="{00000000-0005-0000-0000-0000A8020000}"/>
    <cellStyle name="Bold/Border_Sheet3" xfId="689" xr:uid="{00000000-0005-0000-0000-0000A9020000}"/>
    <cellStyle name="Bold8" xfId="690" xr:uid="{00000000-0005-0000-0000-0000AA020000}"/>
    <cellStyle name="Border" xfId="691" xr:uid="{00000000-0005-0000-0000-0000AB020000}"/>
    <cellStyle name="Border 10" xfId="692" xr:uid="{00000000-0005-0000-0000-0000AC020000}"/>
    <cellStyle name="Border 11" xfId="693" xr:uid="{00000000-0005-0000-0000-0000AD020000}"/>
    <cellStyle name="Border 2" xfId="694" xr:uid="{00000000-0005-0000-0000-0000AE020000}"/>
    <cellStyle name="Border 2 2" xfId="695" xr:uid="{00000000-0005-0000-0000-0000AF020000}"/>
    <cellStyle name="Border 2 3" xfId="696" xr:uid="{00000000-0005-0000-0000-0000B0020000}"/>
    <cellStyle name="Border 2 4" xfId="697" xr:uid="{00000000-0005-0000-0000-0000B1020000}"/>
    <cellStyle name="Border 2_Sheet3" xfId="698" xr:uid="{00000000-0005-0000-0000-0000B2020000}"/>
    <cellStyle name="Border 3" xfId="699" xr:uid="{00000000-0005-0000-0000-0000B3020000}"/>
    <cellStyle name="Border 3 2" xfId="700" xr:uid="{00000000-0005-0000-0000-0000B4020000}"/>
    <cellStyle name="Border 3 3" xfId="701" xr:uid="{00000000-0005-0000-0000-0000B5020000}"/>
    <cellStyle name="Border 3 4" xfId="702" xr:uid="{00000000-0005-0000-0000-0000B6020000}"/>
    <cellStyle name="Border 3_Sheet3" xfId="703" xr:uid="{00000000-0005-0000-0000-0000B7020000}"/>
    <cellStyle name="Border 4" xfId="704" xr:uid="{00000000-0005-0000-0000-0000B8020000}"/>
    <cellStyle name="Border 5" xfId="705" xr:uid="{00000000-0005-0000-0000-0000B9020000}"/>
    <cellStyle name="Border 6" xfId="706" xr:uid="{00000000-0005-0000-0000-0000BA020000}"/>
    <cellStyle name="Border 7" xfId="707" xr:uid="{00000000-0005-0000-0000-0000BB020000}"/>
    <cellStyle name="Border 8" xfId="708" xr:uid="{00000000-0005-0000-0000-0000BC020000}"/>
    <cellStyle name="Border 9" xfId="709" xr:uid="{00000000-0005-0000-0000-0000BD020000}"/>
    <cellStyle name="Border Heavy" xfId="710" xr:uid="{00000000-0005-0000-0000-0000BE020000}"/>
    <cellStyle name="Border Thin" xfId="711" xr:uid="{00000000-0005-0000-0000-0000BF020000}"/>
    <cellStyle name="Border_Sheet3" xfId="712" xr:uid="{00000000-0005-0000-0000-0000C0020000}"/>
    <cellStyle name="Bullet" xfId="713" xr:uid="{00000000-0005-0000-0000-0000C1020000}"/>
    <cellStyle name="C?AØ_¿?¾÷CoE² " xfId="714" xr:uid="{00000000-0005-0000-0000-0000C2020000}"/>
    <cellStyle name="Ç¥ÁØ_´çÃÊ±¸ÀÔ»ý»ê" xfId="715" xr:uid="{00000000-0005-0000-0000-0000C3020000}"/>
    <cellStyle name="C￥AØ_¿μ¾÷CoE² " xfId="716" xr:uid="{00000000-0005-0000-0000-0000C4020000}"/>
    <cellStyle name="Calc Currency (0)" xfId="717" xr:uid="{00000000-0005-0000-0000-0000C5020000}"/>
    <cellStyle name="Calc Currency (0) 2" xfId="718" xr:uid="{00000000-0005-0000-0000-0000C6020000}"/>
    <cellStyle name="Calc Currency (2)" xfId="719" xr:uid="{00000000-0005-0000-0000-0000C7020000}"/>
    <cellStyle name="Calc Currency (2) 2" xfId="720" xr:uid="{00000000-0005-0000-0000-0000C8020000}"/>
    <cellStyle name="Calc Percent (0)" xfId="721" xr:uid="{00000000-0005-0000-0000-0000C9020000}"/>
    <cellStyle name="Calc Percent (0) 2" xfId="722" xr:uid="{00000000-0005-0000-0000-0000CA020000}"/>
    <cellStyle name="Calc Percent (1)" xfId="723" xr:uid="{00000000-0005-0000-0000-0000CB020000}"/>
    <cellStyle name="Calc Percent (1) 2" xfId="724" xr:uid="{00000000-0005-0000-0000-0000CC020000}"/>
    <cellStyle name="Calc Percent (2)" xfId="725" xr:uid="{00000000-0005-0000-0000-0000CD020000}"/>
    <cellStyle name="Calc Percent (2) 2" xfId="726" xr:uid="{00000000-0005-0000-0000-0000CE020000}"/>
    <cellStyle name="Calc Units (0)" xfId="727" xr:uid="{00000000-0005-0000-0000-0000CF020000}"/>
    <cellStyle name="Calc Units (0) 2" xfId="728" xr:uid="{00000000-0005-0000-0000-0000D0020000}"/>
    <cellStyle name="Calc Units (1)" xfId="729" xr:uid="{00000000-0005-0000-0000-0000D1020000}"/>
    <cellStyle name="Calc Units (1) 2" xfId="730" xr:uid="{00000000-0005-0000-0000-0000D2020000}"/>
    <cellStyle name="Calc Units (2)" xfId="731" xr:uid="{00000000-0005-0000-0000-0000D3020000}"/>
    <cellStyle name="Calc Units (2) 2" xfId="732" xr:uid="{00000000-0005-0000-0000-0000D4020000}"/>
    <cellStyle name="Calculation" xfId="12" builtinId="22" customBuiltin="1"/>
    <cellStyle name="Calculation 2" xfId="733" xr:uid="{00000000-0005-0000-0000-0000D6020000}"/>
    <cellStyle name="Calculation 3" xfId="734" xr:uid="{00000000-0005-0000-0000-0000D7020000}"/>
    <cellStyle name="Calculation 4" xfId="735" xr:uid="{00000000-0005-0000-0000-0000D8020000}"/>
    <cellStyle name="Calculation 5" xfId="736" xr:uid="{00000000-0005-0000-0000-0000D9020000}"/>
    <cellStyle name="category" xfId="737" xr:uid="{00000000-0005-0000-0000-0000DA020000}"/>
    <cellStyle name="Check Cell" xfId="14" builtinId="23" customBuiltin="1"/>
    <cellStyle name="Check Cell 2" xfId="738" xr:uid="{00000000-0005-0000-0000-0000DC020000}"/>
    <cellStyle name="Check Cell 3" xfId="739" xr:uid="{00000000-0005-0000-0000-0000DD020000}"/>
    <cellStyle name="Check Cell 4" xfId="740" xr:uid="{00000000-0005-0000-0000-0000DE020000}"/>
    <cellStyle name="Check Cell 5" xfId="741" xr:uid="{00000000-0005-0000-0000-0000DF020000}"/>
    <cellStyle name="CHUONG" xfId="742" xr:uid="{00000000-0005-0000-0000-0000E0020000}"/>
    <cellStyle name="Comma" xfId="1" builtinId="3"/>
    <cellStyle name="Comma  - Style1" xfId="743" xr:uid="{00000000-0005-0000-0000-0000E2020000}"/>
    <cellStyle name="Comma  - Style2" xfId="744" xr:uid="{00000000-0005-0000-0000-0000E3020000}"/>
    <cellStyle name="Comma  - Style3" xfId="745" xr:uid="{00000000-0005-0000-0000-0000E4020000}"/>
    <cellStyle name="Comma  - Style4" xfId="746" xr:uid="{00000000-0005-0000-0000-0000E5020000}"/>
    <cellStyle name="Comma  - Style5" xfId="747" xr:uid="{00000000-0005-0000-0000-0000E6020000}"/>
    <cellStyle name="Comma  - Style6" xfId="748" xr:uid="{00000000-0005-0000-0000-0000E7020000}"/>
    <cellStyle name="Comma  - Style7" xfId="749" xr:uid="{00000000-0005-0000-0000-0000E8020000}"/>
    <cellStyle name="Comma  - Style8" xfId="750" xr:uid="{00000000-0005-0000-0000-0000E9020000}"/>
    <cellStyle name="Comma [0] 2" xfId="751" xr:uid="{00000000-0005-0000-0000-0000EA020000}"/>
    <cellStyle name="Comma [00]" xfId="752" xr:uid="{00000000-0005-0000-0000-0000EB020000}"/>
    <cellStyle name="Comma [00] 2" xfId="753" xr:uid="{00000000-0005-0000-0000-0000EC020000}"/>
    <cellStyle name="Comma [1]" xfId="754" xr:uid="{00000000-0005-0000-0000-0000ED020000}"/>
    <cellStyle name="Comma [2]" xfId="755" xr:uid="{00000000-0005-0000-0000-0000EE020000}"/>
    <cellStyle name="Comma [3]" xfId="756" xr:uid="{00000000-0005-0000-0000-0000EF020000}"/>
    <cellStyle name="Comma 10" xfId="757" xr:uid="{00000000-0005-0000-0000-0000F0020000}"/>
    <cellStyle name="Comma 10 2" xfId="758" xr:uid="{00000000-0005-0000-0000-0000F1020000}"/>
    <cellStyle name="Comma 10 3" xfId="759" xr:uid="{00000000-0005-0000-0000-0000F2020000}"/>
    <cellStyle name="Comma 11" xfId="760" xr:uid="{00000000-0005-0000-0000-0000F3020000}"/>
    <cellStyle name="Comma 11 10" xfId="761" xr:uid="{00000000-0005-0000-0000-0000F4020000}"/>
    <cellStyle name="Comma 11 10 2" xfId="3445" xr:uid="{00000000-0005-0000-0000-0000F5020000}"/>
    <cellStyle name="Comma 11 11" xfId="762" xr:uid="{00000000-0005-0000-0000-0000F6020000}"/>
    <cellStyle name="Comma 11 11 2" xfId="3446" xr:uid="{00000000-0005-0000-0000-0000F7020000}"/>
    <cellStyle name="Comma 11 12" xfId="763" xr:uid="{00000000-0005-0000-0000-0000F8020000}"/>
    <cellStyle name="Comma 11 2" xfId="764" xr:uid="{00000000-0005-0000-0000-0000F9020000}"/>
    <cellStyle name="Comma 11 2 2" xfId="765" xr:uid="{00000000-0005-0000-0000-0000FA020000}"/>
    <cellStyle name="Comma 11 3" xfId="766" xr:uid="{00000000-0005-0000-0000-0000FB020000}"/>
    <cellStyle name="Comma 11 4" xfId="767" xr:uid="{00000000-0005-0000-0000-0000FC020000}"/>
    <cellStyle name="Comma 11 4 2" xfId="3447" xr:uid="{00000000-0005-0000-0000-0000FD020000}"/>
    <cellStyle name="Comma 11 5" xfId="768" xr:uid="{00000000-0005-0000-0000-0000FE020000}"/>
    <cellStyle name="Comma 11 5 2" xfId="3448" xr:uid="{00000000-0005-0000-0000-0000FF020000}"/>
    <cellStyle name="Comma 11 6" xfId="769" xr:uid="{00000000-0005-0000-0000-000000030000}"/>
    <cellStyle name="Comma 11 6 2" xfId="3449" xr:uid="{00000000-0005-0000-0000-000001030000}"/>
    <cellStyle name="Comma 11 7" xfId="770" xr:uid="{00000000-0005-0000-0000-000002030000}"/>
    <cellStyle name="Comma 11 7 2" xfId="3450" xr:uid="{00000000-0005-0000-0000-000003030000}"/>
    <cellStyle name="Comma 11 8" xfId="771" xr:uid="{00000000-0005-0000-0000-000004030000}"/>
    <cellStyle name="Comma 11 8 2" xfId="3451" xr:uid="{00000000-0005-0000-0000-000005030000}"/>
    <cellStyle name="Comma 11 9" xfId="772" xr:uid="{00000000-0005-0000-0000-000006030000}"/>
    <cellStyle name="Comma 11 9 2" xfId="3452" xr:uid="{00000000-0005-0000-0000-000007030000}"/>
    <cellStyle name="Comma 12" xfId="773" xr:uid="{00000000-0005-0000-0000-000008030000}"/>
    <cellStyle name="Comma 12 2" xfId="774" xr:uid="{00000000-0005-0000-0000-000009030000}"/>
    <cellStyle name="Comma 12 2 2" xfId="775" xr:uid="{00000000-0005-0000-0000-00000A030000}"/>
    <cellStyle name="Comma 12 3" xfId="776" xr:uid="{00000000-0005-0000-0000-00000B030000}"/>
    <cellStyle name="Comma 12 4" xfId="777" xr:uid="{00000000-0005-0000-0000-00000C030000}"/>
    <cellStyle name="Comma 13" xfId="778" xr:uid="{00000000-0005-0000-0000-00000D030000}"/>
    <cellStyle name="Comma 13 10" xfId="779" xr:uid="{00000000-0005-0000-0000-00000E030000}"/>
    <cellStyle name="Comma 13 10 2" xfId="3454" xr:uid="{00000000-0005-0000-0000-00000F030000}"/>
    <cellStyle name="Comma 13 11" xfId="780" xr:uid="{00000000-0005-0000-0000-000010030000}"/>
    <cellStyle name="Comma 13 11 2" xfId="3455" xr:uid="{00000000-0005-0000-0000-000011030000}"/>
    <cellStyle name="Comma 13 12" xfId="781" xr:uid="{00000000-0005-0000-0000-000012030000}"/>
    <cellStyle name="Comma 13 13" xfId="3453" xr:uid="{00000000-0005-0000-0000-000013030000}"/>
    <cellStyle name="Comma 13 2" xfId="782" xr:uid="{00000000-0005-0000-0000-000014030000}"/>
    <cellStyle name="Comma 13 2 10" xfId="783" xr:uid="{00000000-0005-0000-0000-000015030000}"/>
    <cellStyle name="Comma 13 2 11" xfId="3456" xr:uid="{00000000-0005-0000-0000-000016030000}"/>
    <cellStyle name="Comma 13 2 2" xfId="784" xr:uid="{00000000-0005-0000-0000-000017030000}"/>
    <cellStyle name="Comma 13 2 2 2" xfId="3457" xr:uid="{00000000-0005-0000-0000-000018030000}"/>
    <cellStyle name="Comma 13 2 3" xfId="785" xr:uid="{00000000-0005-0000-0000-000019030000}"/>
    <cellStyle name="Comma 13 2 3 2" xfId="3458" xr:uid="{00000000-0005-0000-0000-00001A030000}"/>
    <cellStyle name="Comma 13 2 4" xfId="786" xr:uid="{00000000-0005-0000-0000-00001B030000}"/>
    <cellStyle name="Comma 13 2 4 2" xfId="3459" xr:uid="{00000000-0005-0000-0000-00001C030000}"/>
    <cellStyle name="Comma 13 2 5" xfId="787" xr:uid="{00000000-0005-0000-0000-00001D030000}"/>
    <cellStyle name="Comma 13 2 5 2" xfId="3460" xr:uid="{00000000-0005-0000-0000-00001E030000}"/>
    <cellStyle name="Comma 13 2 6" xfId="788" xr:uid="{00000000-0005-0000-0000-00001F030000}"/>
    <cellStyle name="Comma 13 2 6 2" xfId="3461" xr:uid="{00000000-0005-0000-0000-000020030000}"/>
    <cellStyle name="Comma 13 2 7" xfId="789" xr:uid="{00000000-0005-0000-0000-000021030000}"/>
    <cellStyle name="Comma 13 2 7 2" xfId="3462" xr:uid="{00000000-0005-0000-0000-000022030000}"/>
    <cellStyle name="Comma 13 2 8" xfId="790" xr:uid="{00000000-0005-0000-0000-000023030000}"/>
    <cellStyle name="Comma 13 2 8 2" xfId="3463" xr:uid="{00000000-0005-0000-0000-000024030000}"/>
    <cellStyle name="Comma 13 2 9" xfId="791" xr:uid="{00000000-0005-0000-0000-000025030000}"/>
    <cellStyle name="Comma 13 2 9 2" xfId="3464" xr:uid="{00000000-0005-0000-0000-000026030000}"/>
    <cellStyle name="Comma 13 3" xfId="792" xr:uid="{00000000-0005-0000-0000-000027030000}"/>
    <cellStyle name="Comma 13 3 10" xfId="793" xr:uid="{00000000-0005-0000-0000-000028030000}"/>
    <cellStyle name="Comma 13 3 11" xfId="3465" xr:uid="{00000000-0005-0000-0000-000029030000}"/>
    <cellStyle name="Comma 13 3 2" xfId="794" xr:uid="{00000000-0005-0000-0000-00002A030000}"/>
    <cellStyle name="Comma 13 3 2 2" xfId="3466" xr:uid="{00000000-0005-0000-0000-00002B030000}"/>
    <cellStyle name="Comma 13 3 3" xfId="795" xr:uid="{00000000-0005-0000-0000-00002C030000}"/>
    <cellStyle name="Comma 13 3 3 2" xfId="3467" xr:uid="{00000000-0005-0000-0000-00002D030000}"/>
    <cellStyle name="Comma 13 3 4" xfId="796" xr:uid="{00000000-0005-0000-0000-00002E030000}"/>
    <cellStyle name="Comma 13 3 4 2" xfId="3468" xr:uid="{00000000-0005-0000-0000-00002F030000}"/>
    <cellStyle name="Comma 13 3 5" xfId="797" xr:uid="{00000000-0005-0000-0000-000030030000}"/>
    <cellStyle name="Comma 13 3 5 2" xfId="3469" xr:uid="{00000000-0005-0000-0000-000031030000}"/>
    <cellStyle name="Comma 13 3 6" xfId="798" xr:uid="{00000000-0005-0000-0000-000032030000}"/>
    <cellStyle name="Comma 13 3 6 2" xfId="3470" xr:uid="{00000000-0005-0000-0000-000033030000}"/>
    <cellStyle name="Comma 13 3 7" xfId="799" xr:uid="{00000000-0005-0000-0000-000034030000}"/>
    <cellStyle name="Comma 13 3 7 2" xfId="3471" xr:uid="{00000000-0005-0000-0000-000035030000}"/>
    <cellStyle name="Comma 13 3 8" xfId="800" xr:uid="{00000000-0005-0000-0000-000036030000}"/>
    <cellStyle name="Comma 13 3 8 2" xfId="3472" xr:uid="{00000000-0005-0000-0000-000037030000}"/>
    <cellStyle name="Comma 13 3 9" xfId="801" xr:uid="{00000000-0005-0000-0000-000038030000}"/>
    <cellStyle name="Comma 13 3 9 2" xfId="3473" xr:uid="{00000000-0005-0000-0000-000039030000}"/>
    <cellStyle name="Comma 13 4" xfId="802" xr:uid="{00000000-0005-0000-0000-00003A030000}"/>
    <cellStyle name="Comma 13 4 2" xfId="3474" xr:uid="{00000000-0005-0000-0000-00003B030000}"/>
    <cellStyle name="Comma 13 5" xfId="803" xr:uid="{00000000-0005-0000-0000-00003C030000}"/>
    <cellStyle name="Comma 13 5 2" xfId="3475" xr:uid="{00000000-0005-0000-0000-00003D030000}"/>
    <cellStyle name="Comma 13 6" xfId="804" xr:uid="{00000000-0005-0000-0000-00003E030000}"/>
    <cellStyle name="Comma 13 6 2" xfId="3476" xr:uid="{00000000-0005-0000-0000-00003F030000}"/>
    <cellStyle name="Comma 13 7" xfId="805" xr:uid="{00000000-0005-0000-0000-000040030000}"/>
    <cellStyle name="Comma 13 7 2" xfId="3477" xr:uid="{00000000-0005-0000-0000-000041030000}"/>
    <cellStyle name="Comma 13 8" xfId="806" xr:uid="{00000000-0005-0000-0000-000042030000}"/>
    <cellStyle name="Comma 13 8 2" xfId="3478" xr:uid="{00000000-0005-0000-0000-000043030000}"/>
    <cellStyle name="Comma 13 9" xfId="807" xr:uid="{00000000-0005-0000-0000-000044030000}"/>
    <cellStyle name="Comma 13 9 2" xfId="3479" xr:uid="{00000000-0005-0000-0000-000045030000}"/>
    <cellStyle name="Comma 14" xfId="808" xr:uid="{00000000-0005-0000-0000-000046030000}"/>
    <cellStyle name="Comma 14 2" xfId="809" xr:uid="{00000000-0005-0000-0000-000047030000}"/>
    <cellStyle name="Comma 14 2 10" xfId="810" xr:uid="{00000000-0005-0000-0000-000048030000}"/>
    <cellStyle name="Comma 14 2 11" xfId="3480" xr:uid="{00000000-0005-0000-0000-000049030000}"/>
    <cellStyle name="Comma 14 2 2" xfId="811" xr:uid="{00000000-0005-0000-0000-00004A030000}"/>
    <cellStyle name="Comma 14 2 2 2" xfId="3481" xr:uid="{00000000-0005-0000-0000-00004B030000}"/>
    <cellStyle name="Comma 14 2 3" xfId="812" xr:uid="{00000000-0005-0000-0000-00004C030000}"/>
    <cellStyle name="Comma 14 2 3 2" xfId="3482" xr:uid="{00000000-0005-0000-0000-00004D030000}"/>
    <cellStyle name="Comma 14 2 4" xfId="813" xr:uid="{00000000-0005-0000-0000-00004E030000}"/>
    <cellStyle name="Comma 14 2 4 2" xfId="3483" xr:uid="{00000000-0005-0000-0000-00004F030000}"/>
    <cellStyle name="Comma 14 2 5" xfId="814" xr:uid="{00000000-0005-0000-0000-000050030000}"/>
    <cellStyle name="Comma 14 2 5 2" xfId="3484" xr:uid="{00000000-0005-0000-0000-000051030000}"/>
    <cellStyle name="Comma 14 2 6" xfId="815" xr:uid="{00000000-0005-0000-0000-000052030000}"/>
    <cellStyle name="Comma 14 2 6 2" xfId="3485" xr:uid="{00000000-0005-0000-0000-000053030000}"/>
    <cellStyle name="Comma 14 2 7" xfId="816" xr:uid="{00000000-0005-0000-0000-000054030000}"/>
    <cellStyle name="Comma 14 2 7 2" xfId="3486" xr:uid="{00000000-0005-0000-0000-000055030000}"/>
    <cellStyle name="Comma 14 2 8" xfId="817" xr:uid="{00000000-0005-0000-0000-000056030000}"/>
    <cellStyle name="Comma 14 2 8 2" xfId="3487" xr:uid="{00000000-0005-0000-0000-000057030000}"/>
    <cellStyle name="Comma 14 2 9" xfId="818" xr:uid="{00000000-0005-0000-0000-000058030000}"/>
    <cellStyle name="Comma 14 2 9 2" xfId="3488" xr:uid="{00000000-0005-0000-0000-000059030000}"/>
    <cellStyle name="Comma 15" xfId="819" xr:uid="{00000000-0005-0000-0000-00005A030000}"/>
    <cellStyle name="Comma 16" xfId="820" xr:uid="{00000000-0005-0000-0000-00005B030000}"/>
    <cellStyle name="Comma 17" xfId="821" xr:uid="{00000000-0005-0000-0000-00005C030000}"/>
    <cellStyle name="Comma 17 2" xfId="822" xr:uid="{00000000-0005-0000-0000-00005D030000}"/>
    <cellStyle name="Comma 17 2 10" xfId="823" xr:uid="{00000000-0005-0000-0000-00005E030000}"/>
    <cellStyle name="Comma 17 2 10 2" xfId="3490" xr:uid="{00000000-0005-0000-0000-00005F030000}"/>
    <cellStyle name="Comma 17 2 11" xfId="824" xr:uid="{00000000-0005-0000-0000-000060030000}"/>
    <cellStyle name="Comma 17 2 12" xfId="3489" xr:uid="{00000000-0005-0000-0000-000061030000}"/>
    <cellStyle name="Comma 17 2 2" xfId="825" xr:uid="{00000000-0005-0000-0000-000062030000}"/>
    <cellStyle name="Comma 17 2 2 10" xfId="826" xr:uid="{00000000-0005-0000-0000-000063030000}"/>
    <cellStyle name="Comma 17 2 2 11" xfId="3491" xr:uid="{00000000-0005-0000-0000-000064030000}"/>
    <cellStyle name="Comma 17 2 2 2" xfId="827" xr:uid="{00000000-0005-0000-0000-000065030000}"/>
    <cellStyle name="Comma 17 2 2 2 2" xfId="3492" xr:uid="{00000000-0005-0000-0000-000066030000}"/>
    <cellStyle name="Comma 17 2 2 3" xfId="828" xr:uid="{00000000-0005-0000-0000-000067030000}"/>
    <cellStyle name="Comma 17 2 2 3 2" xfId="3493" xr:uid="{00000000-0005-0000-0000-000068030000}"/>
    <cellStyle name="Comma 17 2 2 4" xfId="829" xr:uid="{00000000-0005-0000-0000-000069030000}"/>
    <cellStyle name="Comma 17 2 2 4 2" xfId="3494" xr:uid="{00000000-0005-0000-0000-00006A030000}"/>
    <cellStyle name="Comma 17 2 2 5" xfId="830" xr:uid="{00000000-0005-0000-0000-00006B030000}"/>
    <cellStyle name="Comma 17 2 2 5 2" xfId="3495" xr:uid="{00000000-0005-0000-0000-00006C030000}"/>
    <cellStyle name="Comma 17 2 2 6" xfId="831" xr:uid="{00000000-0005-0000-0000-00006D030000}"/>
    <cellStyle name="Comma 17 2 2 6 2" xfId="3496" xr:uid="{00000000-0005-0000-0000-00006E030000}"/>
    <cellStyle name="Comma 17 2 2 7" xfId="832" xr:uid="{00000000-0005-0000-0000-00006F030000}"/>
    <cellStyle name="Comma 17 2 2 7 2" xfId="3497" xr:uid="{00000000-0005-0000-0000-000070030000}"/>
    <cellStyle name="Comma 17 2 2 8" xfId="833" xr:uid="{00000000-0005-0000-0000-000071030000}"/>
    <cellStyle name="Comma 17 2 2 8 2" xfId="3498" xr:uid="{00000000-0005-0000-0000-000072030000}"/>
    <cellStyle name="Comma 17 2 2 9" xfId="834" xr:uid="{00000000-0005-0000-0000-000073030000}"/>
    <cellStyle name="Comma 17 2 2 9 2" xfId="3499" xr:uid="{00000000-0005-0000-0000-000074030000}"/>
    <cellStyle name="Comma 17 2 3" xfId="835" xr:uid="{00000000-0005-0000-0000-000075030000}"/>
    <cellStyle name="Comma 17 2 3 2" xfId="3500" xr:uid="{00000000-0005-0000-0000-000076030000}"/>
    <cellStyle name="Comma 17 2 4" xfId="836" xr:uid="{00000000-0005-0000-0000-000077030000}"/>
    <cellStyle name="Comma 17 2 4 2" xfId="3501" xr:uid="{00000000-0005-0000-0000-000078030000}"/>
    <cellStyle name="Comma 17 2 5" xfId="837" xr:uid="{00000000-0005-0000-0000-000079030000}"/>
    <cellStyle name="Comma 17 2 5 2" xfId="3502" xr:uid="{00000000-0005-0000-0000-00007A030000}"/>
    <cellStyle name="Comma 17 2 6" xfId="838" xr:uid="{00000000-0005-0000-0000-00007B030000}"/>
    <cellStyle name="Comma 17 2 6 2" xfId="3503" xr:uid="{00000000-0005-0000-0000-00007C030000}"/>
    <cellStyle name="Comma 17 2 7" xfId="839" xr:uid="{00000000-0005-0000-0000-00007D030000}"/>
    <cellStyle name="Comma 17 2 7 2" xfId="3504" xr:uid="{00000000-0005-0000-0000-00007E030000}"/>
    <cellStyle name="Comma 17 2 8" xfId="840" xr:uid="{00000000-0005-0000-0000-00007F030000}"/>
    <cellStyle name="Comma 17 2 8 2" xfId="3505" xr:uid="{00000000-0005-0000-0000-000080030000}"/>
    <cellStyle name="Comma 17 2 9" xfId="841" xr:uid="{00000000-0005-0000-0000-000081030000}"/>
    <cellStyle name="Comma 17 2 9 2" xfId="3506" xr:uid="{00000000-0005-0000-0000-000082030000}"/>
    <cellStyle name="Comma 17 3" xfId="842" xr:uid="{00000000-0005-0000-0000-000083030000}"/>
    <cellStyle name="Comma 17 3 10" xfId="843" xr:uid="{00000000-0005-0000-0000-000084030000}"/>
    <cellStyle name="Comma 17 3 11" xfId="3507" xr:uid="{00000000-0005-0000-0000-000085030000}"/>
    <cellStyle name="Comma 17 3 2" xfId="844" xr:uid="{00000000-0005-0000-0000-000086030000}"/>
    <cellStyle name="Comma 17 3 2 2" xfId="3508" xr:uid="{00000000-0005-0000-0000-000087030000}"/>
    <cellStyle name="Comma 17 3 3" xfId="845" xr:uid="{00000000-0005-0000-0000-000088030000}"/>
    <cellStyle name="Comma 17 3 3 2" xfId="3509" xr:uid="{00000000-0005-0000-0000-000089030000}"/>
    <cellStyle name="Comma 17 3 4" xfId="846" xr:uid="{00000000-0005-0000-0000-00008A030000}"/>
    <cellStyle name="Comma 17 3 4 2" xfId="3510" xr:uid="{00000000-0005-0000-0000-00008B030000}"/>
    <cellStyle name="Comma 17 3 5" xfId="847" xr:uid="{00000000-0005-0000-0000-00008C030000}"/>
    <cellStyle name="Comma 17 3 5 2" xfId="3511" xr:uid="{00000000-0005-0000-0000-00008D030000}"/>
    <cellStyle name="Comma 17 3 6" xfId="848" xr:uid="{00000000-0005-0000-0000-00008E030000}"/>
    <cellStyle name="Comma 17 3 6 2" xfId="3512" xr:uid="{00000000-0005-0000-0000-00008F030000}"/>
    <cellStyle name="Comma 17 3 7" xfId="849" xr:uid="{00000000-0005-0000-0000-000090030000}"/>
    <cellStyle name="Comma 17 3 7 2" xfId="3513" xr:uid="{00000000-0005-0000-0000-000091030000}"/>
    <cellStyle name="Comma 17 3 8" xfId="850" xr:uid="{00000000-0005-0000-0000-000092030000}"/>
    <cellStyle name="Comma 17 3 8 2" xfId="3514" xr:uid="{00000000-0005-0000-0000-000093030000}"/>
    <cellStyle name="Comma 17 3 9" xfId="851" xr:uid="{00000000-0005-0000-0000-000094030000}"/>
    <cellStyle name="Comma 17 3 9 2" xfId="3515" xr:uid="{00000000-0005-0000-0000-000095030000}"/>
    <cellStyle name="Comma 18" xfId="852" xr:uid="{00000000-0005-0000-0000-000096030000}"/>
    <cellStyle name="Comma 18 2" xfId="853" xr:uid="{00000000-0005-0000-0000-000097030000}"/>
    <cellStyle name="Comma 18 2 2" xfId="854" xr:uid="{00000000-0005-0000-0000-000098030000}"/>
    <cellStyle name="Comma 18 3" xfId="855" xr:uid="{00000000-0005-0000-0000-000099030000}"/>
    <cellStyle name="Comma 18 3 10" xfId="856" xr:uid="{00000000-0005-0000-0000-00009A030000}"/>
    <cellStyle name="Comma 18 3 11" xfId="3516" xr:uid="{00000000-0005-0000-0000-00009B030000}"/>
    <cellStyle name="Comma 18 3 2" xfId="857" xr:uid="{00000000-0005-0000-0000-00009C030000}"/>
    <cellStyle name="Comma 18 3 2 2" xfId="3517" xr:uid="{00000000-0005-0000-0000-00009D030000}"/>
    <cellStyle name="Comma 18 3 3" xfId="858" xr:uid="{00000000-0005-0000-0000-00009E030000}"/>
    <cellStyle name="Comma 18 3 3 2" xfId="3518" xr:uid="{00000000-0005-0000-0000-00009F030000}"/>
    <cellStyle name="Comma 18 3 4" xfId="859" xr:uid="{00000000-0005-0000-0000-0000A0030000}"/>
    <cellStyle name="Comma 18 3 4 2" xfId="3519" xr:uid="{00000000-0005-0000-0000-0000A1030000}"/>
    <cellStyle name="Comma 18 3 5" xfId="860" xr:uid="{00000000-0005-0000-0000-0000A2030000}"/>
    <cellStyle name="Comma 18 3 5 2" xfId="3520" xr:uid="{00000000-0005-0000-0000-0000A3030000}"/>
    <cellStyle name="Comma 18 3 6" xfId="861" xr:uid="{00000000-0005-0000-0000-0000A4030000}"/>
    <cellStyle name="Comma 18 3 6 2" xfId="3521" xr:uid="{00000000-0005-0000-0000-0000A5030000}"/>
    <cellStyle name="Comma 18 3 7" xfId="862" xr:uid="{00000000-0005-0000-0000-0000A6030000}"/>
    <cellStyle name="Comma 18 3 7 2" xfId="3522" xr:uid="{00000000-0005-0000-0000-0000A7030000}"/>
    <cellStyle name="Comma 18 3 8" xfId="863" xr:uid="{00000000-0005-0000-0000-0000A8030000}"/>
    <cellStyle name="Comma 18 3 8 2" xfId="3523" xr:uid="{00000000-0005-0000-0000-0000A9030000}"/>
    <cellStyle name="Comma 18 3 9" xfId="864" xr:uid="{00000000-0005-0000-0000-0000AA030000}"/>
    <cellStyle name="Comma 18 3 9 2" xfId="3524" xr:uid="{00000000-0005-0000-0000-0000AB030000}"/>
    <cellStyle name="Comma 18 4" xfId="865" xr:uid="{00000000-0005-0000-0000-0000AC030000}"/>
    <cellStyle name="Comma 19" xfId="866" xr:uid="{00000000-0005-0000-0000-0000AD030000}"/>
    <cellStyle name="Comma 19 2" xfId="867" xr:uid="{00000000-0005-0000-0000-0000AE030000}"/>
    <cellStyle name="Comma 19 2 10" xfId="868" xr:uid="{00000000-0005-0000-0000-0000AF030000}"/>
    <cellStyle name="Comma 19 2 11" xfId="3525" xr:uid="{00000000-0005-0000-0000-0000B0030000}"/>
    <cellStyle name="Comma 19 2 2" xfId="869" xr:uid="{00000000-0005-0000-0000-0000B1030000}"/>
    <cellStyle name="Comma 19 2 2 2" xfId="3526" xr:uid="{00000000-0005-0000-0000-0000B2030000}"/>
    <cellStyle name="Comma 19 2 3" xfId="870" xr:uid="{00000000-0005-0000-0000-0000B3030000}"/>
    <cellStyle name="Comma 19 2 3 2" xfId="3527" xr:uid="{00000000-0005-0000-0000-0000B4030000}"/>
    <cellStyle name="Comma 19 2 4" xfId="871" xr:uid="{00000000-0005-0000-0000-0000B5030000}"/>
    <cellStyle name="Comma 19 2 4 2" xfId="3528" xr:uid="{00000000-0005-0000-0000-0000B6030000}"/>
    <cellStyle name="Comma 19 2 5" xfId="872" xr:uid="{00000000-0005-0000-0000-0000B7030000}"/>
    <cellStyle name="Comma 19 2 5 2" xfId="3529" xr:uid="{00000000-0005-0000-0000-0000B8030000}"/>
    <cellStyle name="Comma 19 2 6" xfId="873" xr:uid="{00000000-0005-0000-0000-0000B9030000}"/>
    <cellStyle name="Comma 19 2 6 2" xfId="3530" xr:uid="{00000000-0005-0000-0000-0000BA030000}"/>
    <cellStyle name="Comma 19 2 7" xfId="874" xr:uid="{00000000-0005-0000-0000-0000BB030000}"/>
    <cellStyle name="Comma 19 2 7 2" xfId="3531" xr:uid="{00000000-0005-0000-0000-0000BC030000}"/>
    <cellStyle name="Comma 19 2 8" xfId="875" xr:uid="{00000000-0005-0000-0000-0000BD030000}"/>
    <cellStyle name="Comma 19 2 8 2" xfId="3532" xr:uid="{00000000-0005-0000-0000-0000BE030000}"/>
    <cellStyle name="Comma 19 2 9" xfId="876" xr:uid="{00000000-0005-0000-0000-0000BF030000}"/>
    <cellStyle name="Comma 19 2 9 2" xfId="3533" xr:uid="{00000000-0005-0000-0000-0000C0030000}"/>
    <cellStyle name="Comma 19 3" xfId="877" xr:uid="{00000000-0005-0000-0000-0000C1030000}"/>
    <cellStyle name="Comma 2" xfId="44" xr:uid="{00000000-0005-0000-0000-0000C2030000}"/>
    <cellStyle name="Comma 2 10" xfId="3444" xr:uid="{00000000-0005-0000-0000-0000C3030000}"/>
    <cellStyle name="Comma 2 2" xfId="878" xr:uid="{00000000-0005-0000-0000-0000C4030000}"/>
    <cellStyle name="Comma 2 2 10" xfId="879" xr:uid="{00000000-0005-0000-0000-0000C5030000}"/>
    <cellStyle name="Comma 2 2 11" xfId="880" xr:uid="{00000000-0005-0000-0000-0000C6030000}"/>
    <cellStyle name="Comma 2 2 12" xfId="881" xr:uid="{00000000-0005-0000-0000-0000C7030000}"/>
    <cellStyle name="Comma 2 2 13" xfId="882" xr:uid="{00000000-0005-0000-0000-0000C8030000}"/>
    <cellStyle name="Comma 2 2 14" xfId="883" xr:uid="{00000000-0005-0000-0000-0000C9030000}"/>
    <cellStyle name="Comma 2 2 15" xfId="3534" xr:uid="{00000000-0005-0000-0000-0000CA030000}"/>
    <cellStyle name="Comma 2 2 2" xfId="884" xr:uid="{00000000-0005-0000-0000-0000CB030000}"/>
    <cellStyle name="Comma 2 2 2 10" xfId="885" xr:uid="{00000000-0005-0000-0000-0000CC030000}"/>
    <cellStyle name="Comma 2 2 2 11" xfId="886" xr:uid="{00000000-0005-0000-0000-0000CD030000}"/>
    <cellStyle name="Comma 2 2 2 12" xfId="887" xr:uid="{00000000-0005-0000-0000-0000CE030000}"/>
    <cellStyle name="Comma 2 2 2 2" xfId="888" xr:uid="{00000000-0005-0000-0000-0000CF030000}"/>
    <cellStyle name="Comma 2 2 2 2 10" xfId="889" xr:uid="{00000000-0005-0000-0000-0000D0030000}"/>
    <cellStyle name="Comma 2 2 2 2 2" xfId="890" xr:uid="{00000000-0005-0000-0000-0000D1030000}"/>
    <cellStyle name="Comma 2 2 2 2 3" xfId="891" xr:uid="{00000000-0005-0000-0000-0000D2030000}"/>
    <cellStyle name="Comma 2 2 2 2 4" xfId="892" xr:uid="{00000000-0005-0000-0000-0000D3030000}"/>
    <cellStyle name="Comma 2 2 2 2 5" xfId="893" xr:uid="{00000000-0005-0000-0000-0000D4030000}"/>
    <cellStyle name="Comma 2 2 2 2 6" xfId="894" xr:uid="{00000000-0005-0000-0000-0000D5030000}"/>
    <cellStyle name="Comma 2 2 2 2 7" xfId="895" xr:uid="{00000000-0005-0000-0000-0000D6030000}"/>
    <cellStyle name="Comma 2 2 2 2 8" xfId="896" xr:uid="{00000000-0005-0000-0000-0000D7030000}"/>
    <cellStyle name="Comma 2 2 2 2 9" xfId="897" xr:uid="{00000000-0005-0000-0000-0000D8030000}"/>
    <cellStyle name="Comma 2 2 2 2_Sheet3" xfId="898" xr:uid="{00000000-0005-0000-0000-0000D9030000}"/>
    <cellStyle name="Comma 2 2 2 3" xfId="899" xr:uid="{00000000-0005-0000-0000-0000DA030000}"/>
    <cellStyle name="Comma 2 2 2 4" xfId="900" xr:uid="{00000000-0005-0000-0000-0000DB030000}"/>
    <cellStyle name="Comma 2 2 2 5" xfId="901" xr:uid="{00000000-0005-0000-0000-0000DC030000}"/>
    <cellStyle name="Comma 2 2 2 6" xfId="902" xr:uid="{00000000-0005-0000-0000-0000DD030000}"/>
    <cellStyle name="Comma 2 2 2 7" xfId="903" xr:uid="{00000000-0005-0000-0000-0000DE030000}"/>
    <cellStyle name="Comma 2 2 2 8" xfId="904" xr:uid="{00000000-0005-0000-0000-0000DF030000}"/>
    <cellStyle name="Comma 2 2 2 9" xfId="905" xr:uid="{00000000-0005-0000-0000-0000E0030000}"/>
    <cellStyle name="Comma 2 2 2_Sheet3" xfId="906" xr:uid="{00000000-0005-0000-0000-0000E1030000}"/>
    <cellStyle name="Comma 2 2 3" xfId="907" xr:uid="{00000000-0005-0000-0000-0000E2030000}"/>
    <cellStyle name="Comma 2 2 3 10" xfId="908" xr:uid="{00000000-0005-0000-0000-0000E3030000}"/>
    <cellStyle name="Comma 2 2 3 11" xfId="3535" xr:uid="{00000000-0005-0000-0000-0000E4030000}"/>
    <cellStyle name="Comma 2 2 3 2" xfId="909" xr:uid="{00000000-0005-0000-0000-0000E5030000}"/>
    <cellStyle name="Comma 2 2 3 2 2" xfId="3536" xr:uid="{00000000-0005-0000-0000-0000E6030000}"/>
    <cellStyle name="Comma 2 2 3 3" xfId="910" xr:uid="{00000000-0005-0000-0000-0000E7030000}"/>
    <cellStyle name="Comma 2 2 3 3 2" xfId="3537" xr:uid="{00000000-0005-0000-0000-0000E8030000}"/>
    <cellStyle name="Comma 2 2 3 4" xfId="911" xr:uid="{00000000-0005-0000-0000-0000E9030000}"/>
    <cellStyle name="Comma 2 2 3 4 2" xfId="3538" xr:uid="{00000000-0005-0000-0000-0000EA030000}"/>
    <cellStyle name="Comma 2 2 3 5" xfId="912" xr:uid="{00000000-0005-0000-0000-0000EB030000}"/>
    <cellStyle name="Comma 2 2 3 5 2" xfId="3539" xr:uid="{00000000-0005-0000-0000-0000EC030000}"/>
    <cellStyle name="Comma 2 2 3 6" xfId="913" xr:uid="{00000000-0005-0000-0000-0000ED030000}"/>
    <cellStyle name="Comma 2 2 3 6 2" xfId="3540" xr:uid="{00000000-0005-0000-0000-0000EE030000}"/>
    <cellStyle name="Comma 2 2 3 7" xfId="914" xr:uid="{00000000-0005-0000-0000-0000EF030000}"/>
    <cellStyle name="Comma 2 2 3 7 2" xfId="3541" xr:uid="{00000000-0005-0000-0000-0000F0030000}"/>
    <cellStyle name="Comma 2 2 3 8" xfId="915" xr:uid="{00000000-0005-0000-0000-0000F1030000}"/>
    <cellStyle name="Comma 2 2 3 8 2" xfId="3542" xr:uid="{00000000-0005-0000-0000-0000F2030000}"/>
    <cellStyle name="Comma 2 2 3 9" xfId="916" xr:uid="{00000000-0005-0000-0000-0000F3030000}"/>
    <cellStyle name="Comma 2 2 3 9 2" xfId="3543" xr:uid="{00000000-0005-0000-0000-0000F4030000}"/>
    <cellStyle name="Comma 2 2 4" xfId="917" xr:uid="{00000000-0005-0000-0000-0000F5030000}"/>
    <cellStyle name="Comma 2 2 5" xfId="918" xr:uid="{00000000-0005-0000-0000-0000F6030000}"/>
    <cellStyle name="Comma 2 2 5 10" xfId="919" xr:uid="{00000000-0005-0000-0000-0000F7030000}"/>
    <cellStyle name="Comma 2 2 5 2" xfId="920" xr:uid="{00000000-0005-0000-0000-0000F8030000}"/>
    <cellStyle name="Comma 2 2 5 3" xfId="921" xr:uid="{00000000-0005-0000-0000-0000F9030000}"/>
    <cellStyle name="Comma 2 2 5 4" xfId="922" xr:uid="{00000000-0005-0000-0000-0000FA030000}"/>
    <cellStyle name="Comma 2 2 5 5" xfId="923" xr:uid="{00000000-0005-0000-0000-0000FB030000}"/>
    <cellStyle name="Comma 2 2 5 6" xfId="924" xr:uid="{00000000-0005-0000-0000-0000FC030000}"/>
    <cellStyle name="Comma 2 2 5 7" xfId="925" xr:uid="{00000000-0005-0000-0000-0000FD030000}"/>
    <cellStyle name="Comma 2 2 5 8" xfId="926" xr:uid="{00000000-0005-0000-0000-0000FE030000}"/>
    <cellStyle name="Comma 2 2 5 9" xfId="927" xr:uid="{00000000-0005-0000-0000-0000FF030000}"/>
    <cellStyle name="Comma 2 2 5_Sheet3" xfId="928" xr:uid="{00000000-0005-0000-0000-000000040000}"/>
    <cellStyle name="Comma 2 2 6" xfId="929" xr:uid="{00000000-0005-0000-0000-000001040000}"/>
    <cellStyle name="Comma 2 2 7" xfId="930" xr:uid="{00000000-0005-0000-0000-000002040000}"/>
    <cellStyle name="Comma 2 2 8" xfId="931" xr:uid="{00000000-0005-0000-0000-000003040000}"/>
    <cellStyle name="Comma 2 2 9" xfId="932" xr:uid="{00000000-0005-0000-0000-000004040000}"/>
    <cellStyle name="Comma 2 2_Sheet3" xfId="933" xr:uid="{00000000-0005-0000-0000-000005040000}"/>
    <cellStyle name="Comma 2 3" xfId="934" xr:uid="{00000000-0005-0000-0000-000006040000}"/>
    <cellStyle name="Comma 2 3 2" xfId="935" xr:uid="{00000000-0005-0000-0000-000007040000}"/>
    <cellStyle name="Comma 2 3 3" xfId="936" xr:uid="{00000000-0005-0000-0000-000008040000}"/>
    <cellStyle name="Comma 2 3 4" xfId="3544" xr:uid="{00000000-0005-0000-0000-000009040000}"/>
    <cellStyle name="Comma 2 4" xfId="937" xr:uid="{00000000-0005-0000-0000-00000A040000}"/>
    <cellStyle name="Comma 2 4 2" xfId="938" xr:uid="{00000000-0005-0000-0000-00000B040000}"/>
    <cellStyle name="Comma 2 4 2 2" xfId="3546" xr:uid="{00000000-0005-0000-0000-00000C040000}"/>
    <cellStyle name="Comma 2 4 3" xfId="3545" xr:uid="{00000000-0005-0000-0000-00000D040000}"/>
    <cellStyle name="Comma 2 5" xfId="939" xr:uid="{00000000-0005-0000-0000-00000E040000}"/>
    <cellStyle name="Comma 2 5 2" xfId="940" xr:uid="{00000000-0005-0000-0000-00000F040000}"/>
    <cellStyle name="Comma 2 5 3" xfId="3547" xr:uid="{00000000-0005-0000-0000-000010040000}"/>
    <cellStyle name="Comma 2 6" xfId="941" xr:uid="{00000000-0005-0000-0000-000011040000}"/>
    <cellStyle name="Comma 2 6 2" xfId="942" xr:uid="{00000000-0005-0000-0000-000012040000}"/>
    <cellStyle name="Comma 2 6 3" xfId="3548" xr:uid="{00000000-0005-0000-0000-000013040000}"/>
    <cellStyle name="Comma 2 7" xfId="943" xr:uid="{00000000-0005-0000-0000-000014040000}"/>
    <cellStyle name="Comma 2 8" xfId="944" xr:uid="{00000000-0005-0000-0000-000015040000}"/>
    <cellStyle name="Comma 2 9" xfId="945" xr:uid="{00000000-0005-0000-0000-000016040000}"/>
    <cellStyle name="Comma 2_Advances and expenses" xfId="946" xr:uid="{00000000-0005-0000-0000-000017040000}"/>
    <cellStyle name="Comma 20" xfId="947" xr:uid="{00000000-0005-0000-0000-000018040000}"/>
    <cellStyle name="Comma 20 2" xfId="948" xr:uid="{00000000-0005-0000-0000-000019040000}"/>
    <cellStyle name="Comma 20 3" xfId="949" xr:uid="{00000000-0005-0000-0000-00001A040000}"/>
    <cellStyle name="Comma 20 3 10" xfId="950" xr:uid="{00000000-0005-0000-0000-00001B040000}"/>
    <cellStyle name="Comma 20 3 11" xfId="3549" xr:uid="{00000000-0005-0000-0000-00001C040000}"/>
    <cellStyle name="Comma 20 3 2" xfId="951" xr:uid="{00000000-0005-0000-0000-00001D040000}"/>
    <cellStyle name="Comma 20 3 2 2" xfId="3550" xr:uid="{00000000-0005-0000-0000-00001E040000}"/>
    <cellStyle name="Comma 20 3 3" xfId="952" xr:uid="{00000000-0005-0000-0000-00001F040000}"/>
    <cellStyle name="Comma 20 3 3 2" xfId="3551" xr:uid="{00000000-0005-0000-0000-000020040000}"/>
    <cellStyle name="Comma 20 3 4" xfId="953" xr:uid="{00000000-0005-0000-0000-000021040000}"/>
    <cellStyle name="Comma 20 3 4 2" xfId="3552" xr:uid="{00000000-0005-0000-0000-000022040000}"/>
    <cellStyle name="Comma 20 3 5" xfId="954" xr:uid="{00000000-0005-0000-0000-000023040000}"/>
    <cellStyle name="Comma 20 3 5 2" xfId="3553" xr:uid="{00000000-0005-0000-0000-000024040000}"/>
    <cellStyle name="Comma 20 3 6" xfId="955" xr:uid="{00000000-0005-0000-0000-000025040000}"/>
    <cellStyle name="Comma 20 3 6 2" xfId="3554" xr:uid="{00000000-0005-0000-0000-000026040000}"/>
    <cellStyle name="Comma 20 3 7" xfId="956" xr:uid="{00000000-0005-0000-0000-000027040000}"/>
    <cellStyle name="Comma 20 3 7 2" xfId="3555" xr:uid="{00000000-0005-0000-0000-000028040000}"/>
    <cellStyle name="Comma 20 3 8" xfId="957" xr:uid="{00000000-0005-0000-0000-000029040000}"/>
    <cellStyle name="Comma 20 3 8 2" xfId="3556" xr:uid="{00000000-0005-0000-0000-00002A040000}"/>
    <cellStyle name="Comma 20 3 9" xfId="958" xr:uid="{00000000-0005-0000-0000-00002B040000}"/>
    <cellStyle name="Comma 20 3 9 2" xfId="3557" xr:uid="{00000000-0005-0000-0000-00002C040000}"/>
    <cellStyle name="Comma 21" xfId="959" xr:uid="{00000000-0005-0000-0000-00002D040000}"/>
    <cellStyle name="Comma 21 10" xfId="960" xr:uid="{00000000-0005-0000-0000-00002E040000}"/>
    <cellStyle name="Comma 21 10 2" xfId="3559" xr:uid="{00000000-0005-0000-0000-00002F040000}"/>
    <cellStyle name="Comma 21 11" xfId="961" xr:uid="{00000000-0005-0000-0000-000030040000}"/>
    <cellStyle name="Comma 21 12" xfId="3558" xr:uid="{00000000-0005-0000-0000-000031040000}"/>
    <cellStyle name="Comma 21 2" xfId="962" xr:uid="{00000000-0005-0000-0000-000032040000}"/>
    <cellStyle name="Comma 21 2 10" xfId="963" xr:uid="{00000000-0005-0000-0000-000033040000}"/>
    <cellStyle name="Comma 21 2 11" xfId="3560" xr:uid="{00000000-0005-0000-0000-000034040000}"/>
    <cellStyle name="Comma 21 2 2" xfId="964" xr:uid="{00000000-0005-0000-0000-000035040000}"/>
    <cellStyle name="Comma 21 2 2 2" xfId="3561" xr:uid="{00000000-0005-0000-0000-000036040000}"/>
    <cellStyle name="Comma 21 2 3" xfId="965" xr:uid="{00000000-0005-0000-0000-000037040000}"/>
    <cellStyle name="Comma 21 2 3 2" xfId="3562" xr:uid="{00000000-0005-0000-0000-000038040000}"/>
    <cellStyle name="Comma 21 2 4" xfId="966" xr:uid="{00000000-0005-0000-0000-000039040000}"/>
    <cellStyle name="Comma 21 2 4 2" xfId="3563" xr:uid="{00000000-0005-0000-0000-00003A040000}"/>
    <cellStyle name="Comma 21 2 5" xfId="967" xr:uid="{00000000-0005-0000-0000-00003B040000}"/>
    <cellStyle name="Comma 21 2 5 2" xfId="3564" xr:uid="{00000000-0005-0000-0000-00003C040000}"/>
    <cellStyle name="Comma 21 2 6" xfId="968" xr:uid="{00000000-0005-0000-0000-00003D040000}"/>
    <cellStyle name="Comma 21 2 6 2" xfId="3565" xr:uid="{00000000-0005-0000-0000-00003E040000}"/>
    <cellStyle name="Comma 21 2 7" xfId="969" xr:uid="{00000000-0005-0000-0000-00003F040000}"/>
    <cellStyle name="Comma 21 2 7 2" xfId="3566" xr:uid="{00000000-0005-0000-0000-000040040000}"/>
    <cellStyle name="Comma 21 2 8" xfId="970" xr:uid="{00000000-0005-0000-0000-000041040000}"/>
    <cellStyle name="Comma 21 2 8 2" xfId="3567" xr:uid="{00000000-0005-0000-0000-000042040000}"/>
    <cellStyle name="Comma 21 2 9" xfId="971" xr:uid="{00000000-0005-0000-0000-000043040000}"/>
    <cellStyle name="Comma 21 2 9 2" xfId="3568" xr:uid="{00000000-0005-0000-0000-000044040000}"/>
    <cellStyle name="Comma 21 3" xfId="972" xr:uid="{00000000-0005-0000-0000-000045040000}"/>
    <cellStyle name="Comma 21 3 2" xfId="3569" xr:uid="{00000000-0005-0000-0000-000046040000}"/>
    <cellStyle name="Comma 21 4" xfId="973" xr:uid="{00000000-0005-0000-0000-000047040000}"/>
    <cellStyle name="Comma 21 4 2" xfId="3570" xr:uid="{00000000-0005-0000-0000-000048040000}"/>
    <cellStyle name="Comma 21 5" xfId="974" xr:uid="{00000000-0005-0000-0000-000049040000}"/>
    <cellStyle name="Comma 21 5 2" xfId="3571" xr:uid="{00000000-0005-0000-0000-00004A040000}"/>
    <cellStyle name="Comma 21 6" xfId="975" xr:uid="{00000000-0005-0000-0000-00004B040000}"/>
    <cellStyle name="Comma 21 6 2" xfId="3572" xr:uid="{00000000-0005-0000-0000-00004C040000}"/>
    <cellStyle name="Comma 21 7" xfId="976" xr:uid="{00000000-0005-0000-0000-00004D040000}"/>
    <cellStyle name="Comma 21 7 2" xfId="3573" xr:uid="{00000000-0005-0000-0000-00004E040000}"/>
    <cellStyle name="Comma 21 8" xfId="977" xr:uid="{00000000-0005-0000-0000-00004F040000}"/>
    <cellStyle name="Comma 21 8 2" xfId="3574" xr:uid="{00000000-0005-0000-0000-000050040000}"/>
    <cellStyle name="Comma 21 9" xfId="978" xr:uid="{00000000-0005-0000-0000-000051040000}"/>
    <cellStyle name="Comma 21 9 2" xfId="3575" xr:uid="{00000000-0005-0000-0000-000052040000}"/>
    <cellStyle name="Comma 22" xfId="979" xr:uid="{00000000-0005-0000-0000-000053040000}"/>
    <cellStyle name="Comma 22 10" xfId="980" xr:uid="{00000000-0005-0000-0000-000054040000}"/>
    <cellStyle name="Comma 22 11" xfId="3576" xr:uid="{00000000-0005-0000-0000-000055040000}"/>
    <cellStyle name="Comma 22 2" xfId="981" xr:uid="{00000000-0005-0000-0000-000056040000}"/>
    <cellStyle name="Comma 22 2 2" xfId="3577" xr:uid="{00000000-0005-0000-0000-000057040000}"/>
    <cellStyle name="Comma 22 3" xfId="982" xr:uid="{00000000-0005-0000-0000-000058040000}"/>
    <cellStyle name="Comma 22 3 2" xfId="3578" xr:uid="{00000000-0005-0000-0000-000059040000}"/>
    <cellStyle name="Comma 22 4" xfId="983" xr:uid="{00000000-0005-0000-0000-00005A040000}"/>
    <cellStyle name="Comma 22 4 2" xfId="3579" xr:uid="{00000000-0005-0000-0000-00005B040000}"/>
    <cellStyle name="Comma 22 5" xfId="984" xr:uid="{00000000-0005-0000-0000-00005C040000}"/>
    <cellStyle name="Comma 22 5 2" xfId="3580" xr:uid="{00000000-0005-0000-0000-00005D040000}"/>
    <cellStyle name="Comma 22 6" xfId="985" xr:uid="{00000000-0005-0000-0000-00005E040000}"/>
    <cellStyle name="Comma 22 6 2" xfId="3581" xr:uid="{00000000-0005-0000-0000-00005F040000}"/>
    <cellStyle name="Comma 22 7" xfId="986" xr:uid="{00000000-0005-0000-0000-000060040000}"/>
    <cellStyle name="Comma 22 7 2" xfId="3582" xr:uid="{00000000-0005-0000-0000-000061040000}"/>
    <cellStyle name="Comma 22 8" xfId="987" xr:uid="{00000000-0005-0000-0000-000062040000}"/>
    <cellStyle name="Comma 22 8 2" xfId="3583" xr:uid="{00000000-0005-0000-0000-000063040000}"/>
    <cellStyle name="Comma 22 9" xfId="988" xr:uid="{00000000-0005-0000-0000-000064040000}"/>
    <cellStyle name="Comma 22 9 2" xfId="3584" xr:uid="{00000000-0005-0000-0000-000065040000}"/>
    <cellStyle name="Comma 23" xfId="989" xr:uid="{00000000-0005-0000-0000-000066040000}"/>
    <cellStyle name="Comma 23 10" xfId="990" xr:uid="{00000000-0005-0000-0000-000067040000}"/>
    <cellStyle name="Comma 23 11" xfId="3585" xr:uid="{00000000-0005-0000-0000-000068040000}"/>
    <cellStyle name="Comma 23 2" xfId="991" xr:uid="{00000000-0005-0000-0000-000069040000}"/>
    <cellStyle name="Comma 23 2 2" xfId="3586" xr:uid="{00000000-0005-0000-0000-00006A040000}"/>
    <cellStyle name="Comma 23 3" xfId="992" xr:uid="{00000000-0005-0000-0000-00006B040000}"/>
    <cellStyle name="Comma 23 3 2" xfId="3587" xr:uid="{00000000-0005-0000-0000-00006C040000}"/>
    <cellStyle name="Comma 23 4" xfId="993" xr:uid="{00000000-0005-0000-0000-00006D040000}"/>
    <cellStyle name="Comma 23 4 2" xfId="3588" xr:uid="{00000000-0005-0000-0000-00006E040000}"/>
    <cellStyle name="Comma 23 5" xfId="994" xr:uid="{00000000-0005-0000-0000-00006F040000}"/>
    <cellStyle name="Comma 23 5 2" xfId="3589" xr:uid="{00000000-0005-0000-0000-000070040000}"/>
    <cellStyle name="Comma 23 6" xfId="995" xr:uid="{00000000-0005-0000-0000-000071040000}"/>
    <cellStyle name="Comma 23 6 2" xfId="3590" xr:uid="{00000000-0005-0000-0000-000072040000}"/>
    <cellStyle name="Comma 23 7" xfId="996" xr:uid="{00000000-0005-0000-0000-000073040000}"/>
    <cellStyle name="Comma 23 7 2" xfId="3591" xr:uid="{00000000-0005-0000-0000-000074040000}"/>
    <cellStyle name="Comma 23 8" xfId="997" xr:uid="{00000000-0005-0000-0000-000075040000}"/>
    <cellStyle name="Comma 23 8 2" xfId="3592" xr:uid="{00000000-0005-0000-0000-000076040000}"/>
    <cellStyle name="Comma 23 9" xfId="998" xr:uid="{00000000-0005-0000-0000-000077040000}"/>
    <cellStyle name="Comma 23 9 2" xfId="3593" xr:uid="{00000000-0005-0000-0000-000078040000}"/>
    <cellStyle name="Comma 24" xfId="999" xr:uid="{00000000-0005-0000-0000-000079040000}"/>
    <cellStyle name="Comma 24 2" xfId="3594" xr:uid="{00000000-0005-0000-0000-00007A040000}"/>
    <cellStyle name="Comma 25" xfId="1000" xr:uid="{00000000-0005-0000-0000-00007B040000}"/>
    <cellStyle name="Comma 26" xfId="3413" xr:uid="{00000000-0005-0000-0000-00007C040000}"/>
    <cellStyle name="Comma 26 2" xfId="4855" xr:uid="{00000000-0005-0000-0000-00007D040000}"/>
    <cellStyle name="Comma 27" xfId="1001" xr:uid="{00000000-0005-0000-0000-00007E040000}"/>
    <cellStyle name="Comma 27 2" xfId="3595" xr:uid="{00000000-0005-0000-0000-00007F040000}"/>
    <cellStyle name="Comma 28" xfId="3429" xr:uid="{00000000-0005-0000-0000-000080040000}"/>
    <cellStyle name="Comma 29" xfId="4853" xr:uid="{00000000-0005-0000-0000-000081040000}"/>
    <cellStyle name="Comma 3" xfId="1002" xr:uid="{00000000-0005-0000-0000-000082040000}"/>
    <cellStyle name="Comma 3 2" xfId="1003" xr:uid="{00000000-0005-0000-0000-000083040000}"/>
    <cellStyle name="Comma 3 2 2" xfId="1004" xr:uid="{00000000-0005-0000-0000-000084040000}"/>
    <cellStyle name="Comma 3 3" xfId="1005" xr:uid="{00000000-0005-0000-0000-000085040000}"/>
    <cellStyle name="Comma 3 4" xfId="1006" xr:uid="{00000000-0005-0000-0000-000086040000}"/>
    <cellStyle name="Comma 3 4 10" xfId="1007" xr:uid="{00000000-0005-0000-0000-000087040000}"/>
    <cellStyle name="Comma 3 4 10 2" xfId="3597" xr:uid="{00000000-0005-0000-0000-000088040000}"/>
    <cellStyle name="Comma 3 4 11" xfId="1008" xr:uid="{00000000-0005-0000-0000-000089040000}"/>
    <cellStyle name="Comma 3 4 12" xfId="3596" xr:uid="{00000000-0005-0000-0000-00008A040000}"/>
    <cellStyle name="Comma 3 4 2" xfId="1009" xr:uid="{00000000-0005-0000-0000-00008B040000}"/>
    <cellStyle name="Comma 3 4 2 10" xfId="1010" xr:uid="{00000000-0005-0000-0000-00008C040000}"/>
    <cellStyle name="Comma 3 4 2 11" xfId="3598" xr:uid="{00000000-0005-0000-0000-00008D040000}"/>
    <cellStyle name="Comma 3 4 2 2" xfId="1011" xr:uid="{00000000-0005-0000-0000-00008E040000}"/>
    <cellStyle name="Comma 3 4 2 2 2" xfId="3599" xr:uid="{00000000-0005-0000-0000-00008F040000}"/>
    <cellStyle name="Comma 3 4 2 3" xfId="1012" xr:uid="{00000000-0005-0000-0000-000090040000}"/>
    <cellStyle name="Comma 3 4 2 3 2" xfId="3600" xr:uid="{00000000-0005-0000-0000-000091040000}"/>
    <cellStyle name="Comma 3 4 2 4" xfId="1013" xr:uid="{00000000-0005-0000-0000-000092040000}"/>
    <cellStyle name="Comma 3 4 2 4 2" xfId="3601" xr:uid="{00000000-0005-0000-0000-000093040000}"/>
    <cellStyle name="Comma 3 4 2 5" xfId="1014" xr:uid="{00000000-0005-0000-0000-000094040000}"/>
    <cellStyle name="Comma 3 4 2 5 2" xfId="3602" xr:uid="{00000000-0005-0000-0000-000095040000}"/>
    <cellStyle name="Comma 3 4 2 6" xfId="1015" xr:uid="{00000000-0005-0000-0000-000096040000}"/>
    <cellStyle name="Comma 3 4 2 6 2" xfId="3603" xr:uid="{00000000-0005-0000-0000-000097040000}"/>
    <cellStyle name="Comma 3 4 2 7" xfId="1016" xr:uid="{00000000-0005-0000-0000-000098040000}"/>
    <cellStyle name="Comma 3 4 2 7 2" xfId="3604" xr:uid="{00000000-0005-0000-0000-000099040000}"/>
    <cellStyle name="Comma 3 4 2 8" xfId="1017" xr:uid="{00000000-0005-0000-0000-00009A040000}"/>
    <cellStyle name="Comma 3 4 2 8 2" xfId="3605" xr:uid="{00000000-0005-0000-0000-00009B040000}"/>
    <cellStyle name="Comma 3 4 2 9" xfId="1018" xr:uid="{00000000-0005-0000-0000-00009C040000}"/>
    <cellStyle name="Comma 3 4 2 9 2" xfId="3606" xr:uid="{00000000-0005-0000-0000-00009D040000}"/>
    <cellStyle name="Comma 3 4 3" xfId="1019" xr:uid="{00000000-0005-0000-0000-00009E040000}"/>
    <cellStyle name="Comma 3 4 3 2" xfId="3607" xr:uid="{00000000-0005-0000-0000-00009F040000}"/>
    <cellStyle name="Comma 3 4 4" xfId="1020" xr:uid="{00000000-0005-0000-0000-0000A0040000}"/>
    <cellStyle name="Comma 3 4 4 2" xfId="3608" xr:uid="{00000000-0005-0000-0000-0000A1040000}"/>
    <cellStyle name="Comma 3 4 5" xfId="1021" xr:uid="{00000000-0005-0000-0000-0000A2040000}"/>
    <cellStyle name="Comma 3 4 5 2" xfId="3609" xr:uid="{00000000-0005-0000-0000-0000A3040000}"/>
    <cellStyle name="Comma 3 4 6" xfId="1022" xr:uid="{00000000-0005-0000-0000-0000A4040000}"/>
    <cellStyle name="Comma 3 4 6 2" xfId="3610" xr:uid="{00000000-0005-0000-0000-0000A5040000}"/>
    <cellStyle name="Comma 3 4 7" xfId="1023" xr:uid="{00000000-0005-0000-0000-0000A6040000}"/>
    <cellStyle name="Comma 3 4 7 2" xfId="3611" xr:uid="{00000000-0005-0000-0000-0000A7040000}"/>
    <cellStyle name="Comma 3 4 8" xfId="1024" xr:uid="{00000000-0005-0000-0000-0000A8040000}"/>
    <cellStyle name="Comma 3 4 8 2" xfId="3612" xr:uid="{00000000-0005-0000-0000-0000A9040000}"/>
    <cellStyle name="Comma 3 4 9" xfId="1025" xr:uid="{00000000-0005-0000-0000-0000AA040000}"/>
    <cellStyle name="Comma 3 4 9 2" xfId="3613" xr:uid="{00000000-0005-0000-0000-0000AB040000}"/>
    <cellStyle name="Comma 3 5" xfId="1026" xr:uid="{00000000-0005-0000-0000-0000AC040000}"/>
    <cellStyle name="Comma 3 5 10" xfId="1027" xr:uid="{00000000-0005-0000-0000-0000AD040000}"/>
    <cellStyle name="Comma 3 5 11" xfId="3614" xr:uid="{00000000-0005-0000-0000-0000AE040000}"/>
    <cellStyle name="Comma 3 5 2" xfId="1028" xr:uid="{00000000-0005-0000-0000-0000AF040000}"/>
    <cellStyle name="Comma 3 5 2 2" xfId="3615" xr:uid="{00000000-0005-0000-0000-0000B0040000}"/>
    <cellStyle name="Comma 3 5 3" xfId="1029" xr:uid="{00000000-0005-0000-0000-0000B1040000}"/>
    <cellStyle name="Comma 3 5 3 2" xfId="3616" xr:uid="{00000000-0005-0000-0000-0000B2040000}"/>
    <cellStyle name="Comma 3 5 4" xfId="1030" xr:uid="{00000000-0005-0000-0000-0000B3040000}"/>
    <cellStyle name="Comma 3 5 4 2" xfId="3617" xr:uid="{00000000-0005-0000-0000-0000B4040000}"/>
    <cellStyle name="Comma 3 5 5" xfId="1031" xr:uid="{00000000-0005-0000-0000-0000B5040000}"/>
    <cellStyle name="Comma 3 5 5 2" xfId="3618" xr:uid="{00000000-0005-0000-0000-0000B6040000}"/>
    <cellStyle name="Comma 3 5 6" xfId="1032" xr:uid="{00000000-0005-0000-0000-0000B7040000}"/>
    <cellStyle name="Comma 3 5 6 2" xfId="3619" xr:uid="{00000000-0005-0000-0000-0000B8040000}"/>
    <cellStyle name="Comma 3 5 7" xfId="1033" xr:uid="{00000000-0005-0000-0000-0000B9040000}"/>
    <cellStyle name="Comma 3 5 7 2" xfId="3620" xr:uid="{00000000-0005-0000-0000-0000BA040000}"/>
    <cellStyle name="Comma 3 5 8" xfId="1034" xr:uid="{00000000-0005-0000-0000-0000BB040000}"/>
    <cellStyle name="Comma 3 5 8 2" xfId="3621" xr:uid="{00000000-0005-0000-0000-0000BC040000}"/>
    <cellStyle name="Comma 3 5 9" xfId="1035" xr:uid="{00000000-0005-0000-0000-0000BD040000}"/>
    <cellStyle name="Comma 3 5 9 2" xfId="3622" xr:uid="{00000000-0005-0000-0000-0000BE040000}"/>
    <cellStyle name="Comma 30" xfId="4873" xr:uid="{00000000-0005-0000-0000-0000BF040000}"/>
    <cellStyle name="Comma 32" xfId="1036" xr:uid="{00000000-0005-0000-0000-0000C0040000}"/>
    <cellStyle name="Comma 4" xfId="1037" xr:uid="{00000000-0005-0000-0000-0000C1040000}"/>
    <cellStyle name="Comma 4 2" xfId="1038" xr:uid="{00000000-0005-0000-0000-0000C2040000}"/>
    <cellStyle name="Comma 4 2 2" xfId="1039" xr:uid="{00000000-0005-0000-0000-0000C3040000}"/>
    <cellStyle name="Comma 4 3" xfId="1040" xr:uid="{00000000-0005-0000-0000-0000C4040000}"/>
    <cellStyle name="Comma 4 4" xfId="1041" xr:uid="{00000000-0005-0000-0000-0000C5040000}"/>
    <cellStyle name="Comma 4 5" xfId="1042" xr:uid="{00000000-0005-0000-0000-0000C6040000}"/>
    <cellStyle name="Comma 4 5 2" xfId="1043" xr:uid="{00000000-0005-0000-0000-0000C7040000}"/>
    <cellStyle name="Comma 4 6" xfId="3623" xr:uid="{00000000-0005-0000-0000-0000C8040000}"/>
    <cellStyle name="Comma 5" xfId="1044" xr:uid="{00000000-0005-0000-0000-0000C9040000}"/>
    <cellStyle name="Comma 5 2" xfId="1045" xr:uid="{00000000-0005-0000-0000-0000CA040000}"/>
    <cellStyle name="Comma 5 2 2" xfId="1046" xr:uid="{00000000-0005-0000-0000-0000CB040000}"/>
    <cellStyle name="Comma 5 3" xfId="1047" xr:uid="{00000000-0005-0000-0000-0000CC040000}"/>
    <cellStyle name="Comma 5 4" xfId="1048" xr:uid="{00000000-0005-0000-0000-0000CD040000}"/>
    <cellStyle name="Comma 5 4 2" xfId="1049" xr:uid="{00000000-0005-0000-0000-0000CE040000}"/>
    <cellStyle name="Comma 5 5" xfId="3624" xr:uid="{00000000-0005-0000-0000-0000CF040000}"/>
    <cellStyle name="Comma 6" xfId="1050" xr:uid="{00000000-0005-0000-0000-0000D0040000}"/>
    <cellStyle name="Comma 6 2" xfId="1051" xr:uid="{00000000-0005-0000-0000-0000D1040000}"/>
    <cellStyle name="Comma 6 3" xfId="3625" xr:uid="{00000000-0005-0000-0000-0000D2040000}"/>
    <cellStyle name="Comma 7" xfId="1052" xr:uid="{00000000-0005-0000-0000-0000D3040000}"/>
    <cellStyle name="Comma 7 10" xfId="1053" xr:uid="{00000000-0005-0000-0000-0000D4040000}"/>
    <cellStyle name="Comma 7 10 2" xfId="3627" xr:uid="{00000000-0005-0000-0000-0000D5040000}"/>
    <cellStyle name="Comma 7 11" xfId="1054" xr:uid="{00000000-0005-0000-0000-0000D6040000}"/>
    <cellStyle name="Comma 7 12" xfId="3626" xr:uid="{00000000-0005-0000-0000-0000D7040000}"/>
    <cellStyle name="Comma 7 2" xfId="1055" xr:uid="{00000000-0005-0000-0000-0000D8040000}"/>
    <cellStyle name="Comma 7 2 2" xfId="1056" xr:uid="{00000000-0005-0000-0000-0000D9040000}"/>
    <cellStyle name="Comma 7 2 2 2" xfId="3629" xr:uid="{00000000-0005-0000-0000-0000DA040000}"/>
    <cellStyle name="Comma 7 2 3" xfId="3628" xr:uid="{00000000-0005-0000-0000-0000DB040000}"/>
    <cellStyle name="Comma 7 3" xfId="1057" xr:uid="{00000000-0005-0000-0000-0000DC040000}"/>
    <cellStyle name="Comma 7 3 2" xfId="3630" xr:uid="{00000000-0005-0000-0000-0000DD040000}"/>
    <cellStyle name="Comma 7 4" xfId="1058" xr:uid="{00000000-0005-0000-0000-0000DE040000}"/>
    <cellStyle name="Comma 7 4 2" xfId="3631" xr:uid="{00000000-0005-0000-0000-0000DF040000}"/>
    <cellStyle name="Comma 7 5" xfId="1059" xr:uid="{00000000-0005-0000-0000-0000E0040000}"/>
    <cellStyle name="Comma 7 5 2" xfId="3632" xr:uid="{00000000-0005-0000-0000-0000E1040000}"/>
    <cellStyle name="Comma 7 6" xfId="1060" xr:uid="{00000000-0005-0000-0000-0000E2040000}"/>
    <cellStyle name="Comma 7 6 2" xfId="3633" xr:uid="{00000000-0005-0000-0000-0000E3040000}"/>
    <cellStyle name="Comma 7 7" xfId="1061" xr:uid="{00000000-0005-0000-0000-0000E4040000}"/>
    <cellStyle name="Comma 7 7 2" xfId="3634" xr:uid="{00000000-0005-0000-0000-0000E5040000}"/>
    <cellStyle name="Comma 7 8" xfId="1062" xr:uid="{00000000-0005-0000-0000-0000E6040000}"/>
    <cellStyle name="Comma 7 8 2" xfId="3635" xr:uid="{00000000-0005-0000-0000-0000E7040000}"/>
    <cellStyle name="Comma 7 9" xfId="1063" xr:uid="{00000000-0005-0000-0000-0000E8040000}"/>
    <cellStyle name="Comma 7 9 2" xfId="3636" xr:uid="{00000000-0005-0000-0000-0000E9040000}"/>
    <cellStyle name="Comma 8" xfId="1064" xr:uid="{00000000-0005-0000-0000-0000EA040000}"/>
    <cellStyle name="Comma 8 2" xfId="1065" xr:uid="{00000000-0005-0000-0000-0000EB040000}"/>
    <cellStyle name="Comma 8 3" xfId="1066" xr:uid="{00000000-0005-0000-0000-0000EC040000}"/>
    <cellStyle name="Comma 8 4" xfId="3637" xr:uid="{00000000-0005-0000-0000-0000ED040000}"/>
    <cellStyle name="Comma 9" xfId="1067" xr:uid="{00000000-0005-0000-0000-0000EE040000}"/>
    <cellStyle name="Comma 9 2" xfId="1068" xr:uid="{00000000-0005-0000-0000-0000EF040000}"/>
    <cellStyle name="Comma 9 2 2" xfId="1069" xr:uid="{00000000-0005-0000-0000-0000F0040000}"/>
    <cellStyle name="Comma 9 3" xfId="1070" xr:uid="{00000000-0005-0000-0000-0000F1040000}"/>
    <cellStyle name="Comma 9 4" xfId="1071" xr:uid="{00000000-0005-0000-0000-0000F2040000}"/>
    <cellStyle name="Comma ã0î" xfId="1072" xr:uid="{00000000-0005-0000-0000-0000F3040000}"/>
    <cellStyle name="comma zerodec" xfId="1073" xr:uid="{00000000-0005-0000-0000-0000F4040000}"/>
    <cellStyle name="Comma[0]" xfId="1074" xr:uid="{00000000-0005-0000-0000-0000F5040000}"/>
    <cellStyle name="Comma[2]" xfId="1075" xr:uid="{00000000-0005-0000-0000-0000F6040000}"/>
    <cellStyle name="Comma0" xfId="1076" xr:uid="{00000000-0005-0000-0000-0000F7040000}"/>
    <cellStyle name="Comma0 - Modelo1" xfId="1077" xr:uid="{00000000-0005-0000-0000-0000F8040000}"/>
    <cellStyle name="Comma0 - Style1" xfId="1078" xr:uid="{00000000-0005-0000-0000-0000F9040000}"/>
    <cellStyle name="Comma0 2" xfId="1079" xr:uid="{00000000-0005-0000-0000-0000FA040000}"/>
    <cellStyle name="Comma1 - Modelo2" xfId="1080" xr:uid="{00000000-0005-0000-0000-0000FB040000}"/>
    <cellStyle name="Comma1 - Style2" xfId="1081" xr:uid="{00000000-0005-0000-0000-0000FC040000}"/>
    <cellStyle name="COMPS" xfId="1082" xr:uid="{00000000-0005-0000-0000-0000FD040000}"/>
    <cellStyle name="Contracts" xfId="1083" xr:uid="{00000000-0005-0000-0000-0000FE040000}"/>
    <cellStyle name="Copied" xfId="1084" xr:uid="{00000000-0005-0000-0000-0000FF040000}"/>
    <cellStyle name="Currency [00]" xfId="1085" xr:uid="{00000000-0005-0000-0000-000000050000}"/>
    <cellStyle name="Currency [00] 2" xfId="1086" xr:uid="{00000000-0005-0000-0000-000001050000}"/>
    <cellStyle name="Currency [1]" xfId="1087" xr:uid="{00000000-0005-0000-0000-000002050000}"/>
    <cellStyle name="Currency [2]" xfId="1088" xr:uid="{00000000-0005-0000-0000-000003050000}"/>
    <cellStyle name="Currency [3]" xfId="1089" xr:uid="{00000000-0005-0000-0000-000004050000}"/>
    <cellStyle name="Currency 2" xfId="1090" xr:uid="{00000000-0005-0000-0000-000005050000}"/>
    <cellStyle name="Currency 2 2" xfId="1091" xr:uid="{00000000-0005-0000-0000-000006050000}"/>
    <cellStyle name="Currency 3" xfId="1092" xr:uid="{00000000-0005-0000-0000-000007050000}"/>
    <cellStyle name="Currency 4" xfId="1093" xr:uid="{00000000-0005-0000-0000-000008050000}"/>
    <cellStyle name="Currency$[0]" xfId="1094" xr:uid="{00000000-0005-0000-0000-000009050000}"/>
    <cellStyle name="Currency$[2]" xfId="1095" xr:uid="{00000000-0005-0000-0000-00000A050000}"/>
    <cellStyle name="Currency\[0]" xfId="1096" xr:uid="{00000000-0005-0000-0000-00000B050000}"/>
    <cellStyle name="Currency0" xfId="1097" xr:uid="{00000000-0005-0000-0000-00000C050000}"/>
    <cellStyle name="Currency1" xfId="1098" xr:uid="{00000000-0005-0000-0000-00000D050000}"/>
    <cellStyle name="Custom - Style8" xfId="1099" xr:uid="{00000000-0005-0000-0000-00000E050000}"/>
    <cellStyle name="Dash" xfId="1100" xr:uid="{00000000-0005-0000-0000-00000F050000}"/>
    <cellStyle name="DATA_ENT" xfId="1101" xr:uid="{00000000-0005-0000-0000-000010050000}"/>
    <cellStyle name="Date" xfId="1102" xr:uid="{00000000-0005-0000-0000-000011050000}"/>
    <cellStyle name="Date [D-M-Y]" xfId="1103" xr:uid="{00000000-0005-0000-0000-000012050000}"/>
    <cellStyle name="Date [M/D/Y]" xfId="1104" xr:uid="{00000000-0005-0000-0000-000013050000}"/>
    <cellStyle name="Date [M/Y]" xfId="1105" xr:uid="{00000000-0005-0000-0000-000014050000}"/>
    <cellStyle name="Date [M-Y]" xfId="1106" xr:uid="{00000000-0005-0000-0000-000015050000}"/>
    <cellStyle name="Date 2" xfId="1107" xr:uid="{00000000-0005-0000-0000-000016050000}"/>
    <cellStyle name="Date Short" xfId="1108" xr:uid="{00000000-0005-0000-0000-000017050000}"/>
    <cellStyle name="Date_11017 Kyobashi National Bldg" xfId="1109" xr:uid="{00000000-0005-0000-0000-000018050000}"/>
    <cellStyle name="DateTime" xfId="1110" xr:uid="{00000000-0005-0000-0000-000019050000}"/>
    <cellStyle name="DELTA" xfId="1111" xr:uid="{00000000-0005-0000-0000-00001A050000}"/>
    <cellStyle name="Dezimal [0]_Compiling Utility Macros" xfId="1112" xr:uid="{00000000-0005-0000-0000-00001B050000}"/>
    <cellStyle name="Dezimal_Compiling Utility Macros" xfId="1113" xr:uid="{00000000-0005-0000-0000-00001C050000}"/>
    <cellStyle name="dgw" xfId="1114" xr:uid="{00000000-0005-0000-0000-00001D050000}"/>
    <cellStyle name="Dollar (zero dec)" xfId="1115" xr:uid="{00000000-0005-0000-0000-00001E050000}"/>
    <cellStyle name="DOWNFOOT" xfId="1116" xr:uid="{00000000-0005-0000-0000-00001F050000}"/>
    <cellStyle name="DOWNFOOT 10" xfId="1117" xr:uid="{00000000-0005-0000-0000-000020050000}"/>
    <cellStyle name="DOWNFOOT 11" xfId="1118" xr:uid="{00000000-0005-0000-0000-000021050000}"/>
    <cellStyle name="DOWNFOOT 2" xfId="1119" xr:uid="{00000000-0005-0000-0000-000022050000}"/>
    <cellStyle name="DOWNFOOT 2 2" xfId="1120" xr:uid="{00000000-0005-0000-0000-000023050000}"/>
    <cellStyle name="DOWNFOOT 2 3" xfId="1121" xr:uid="{00000000-0005-0000-0000-000024050000}"/>
    <cellStyle name="DOWNFOOT 2 4" xfId="1122" xr:uid="{00000000-0005-0000-0000-000025050000}"/>
    <cellStyle name="DOWNFOOT 2_Sheet3" xfId="1123" xr:uid="{00000000-0005-0000-0000-000026050000}"/>
    <cellStyle name="DOWNFOOT 3" xfId="1124" xr:uid="{00000000-0005-0000-0000-000027050000}"/>
    <cellStyle name="DOWNFOOT 3 2" xfId="1125" xr:uid="{00000000-0005-0000-0000-000028050000}"/>
    <cellStyle name="DOWNFOOT 3 3" xfId="1126" xr:uid="{00000000-0005-0000-0000-000029050000}"/>
    <cellStyle name="DOWNFOOT 3 4" xfId="1127" xr:uid="{00000000-0005-0000-0000-00002A050000}"/>
    <cellStyle name="DOWNFOOT 3_Sheet3" xfId="1128" xr:uid="{00000000-0005-0000-0000-00002B050000}"/>
    <cellStyle name="DOWNFOOT 4" xfId="1129" xr:uid="{00000000-0005-0000-0000-00002C050000}"/>
    <cellStyle name="DOWNFOOT 5" xfId="1130" xr:uid="{00000000-0005-0000-0000-00002D050000}"/>
    <cellStyle name="DOWNFOOT 6" xfId="1131" xr:uid="{00000000-0005-0000-0000-00002E050000}"/>
    <cellStyle name="DOWNFOOT 7" xfId="1132" xr:uid="{00000000-0005-0000-0000-00002F050000}"/>
    <cellStyle name="DOWNFOOT 8" xfId="1133" xr:uid="{00000000-0005-0000-0000-000030050000}"/>
    <cellStyle name="DOWNFOOT 9" xfId="1134" xr:uid="{00000000-0005-0000-0000-000031050000}"/>
    <cellStyle name="DOWNFOOT_Sheet3" xfId="1135" xr:uid="{00000000-0005-0000-0000-000032050000}"/>
    <cellStyle name="Dziesiętny_P Ls_Poland_August 2007" xfId="1136" xr:uid="{00000000-0005-0000-0000-000033050000}"/>
    <cellStyle name="Emphasis 1" xfId="1137" xr:uid="{00000000-0005-0000-0000-000034050000}"/>
    <cellStyle name="Emphasis 2" xfId="1138" xr:uid="{00000000-0005-0000-0000-000035050000}"/>
    <cellStyle name="Emphasis 3" xfId="1139" xr:uid="{00000000-0005-0000-0000-000036050000}"/>
    <cellStyle name="Enter Currency (0)" xfId="1140" xr:uid="{00000000-0005-0000-0000-000037050000}"/>
    <cellStyle name="Enter Currency (2)" xfId="1141" xr:uid="{00000000-0005-0000-0000-000038050000}"/>
    <cellStyle name="Enter Units (0)" xfId="1142" xr:uid="{00000000-0005-0000-0000-000039050000}"/>
    <cellStyle name="Enter Units (1)" xfId="1143" xr:uid="{00000000-0005-0000-0000-00003A050000}"/>
    <cellStyle name="Enter Units (2)" xfId="1144" xr:uid="{00000000-0005-0000-0000-00003B050000}"/>
    <cellStyle name="Entered" xfId="1145" xr:uid="{00000000-0005-0000-0000-00003C050000}"/>
    <cellStyle name="entry" xfId="1146" xr:uid="{00000000-0005-0000-0000-00003D050000}"/>
    <cellStyle name="Euro" xfId="1147" xr:uid="{00000000-0005-0000-0000-00003E050000}"/>
    <cellStyle name="Euro 2" xfId="1148" xr:uid="{00000000-0005-0000-0000-00003F050000}"/>
    <cellStyle name="Explanatory Text" xfId="17" builtinId="53" customBuiltin="1"/>
    <cellStyle name="Explanatory Text 2" xfId="1149" xr:uid="{00000000-0005-0000-0000-000041050000}"/>
    <cellStyle name="Explanatory Text 3" xfId="1150" xr:uid="{00000000-0005-0000-0000-000042050000}"/>
    <cellStyle name="Explanatory Text 4" xfId="1151" xr:uid="{00000000-0005-0000-0000-000043050000}"/>
    <cellStyle name="Explanatory Text 5" xfId="1152" xr:uid="{00000000-0005-0000-0000-000044050000}"/>
    <cellStyle name="EYtext" xfId="1153" xr:uid="{00000000-0005-0000-0000-000045050000}"/>
    <cellStyle name="F2" xfId="1154" xr:uid="{00000000-0005-0000-0000-000046050000}"/>
    <cellStyle name="F3" xfId="1155" xr:uid="{00000000-0005-0000-0000-000047050000}"/>
    <cellStyle name="F4" xfId="1156" xr:uid="{00000000-0005-0000-0000-000048050000}"/>
    <cellStyle name="F5" xfId="1157" xr:uid="{00000000-0005-0000-0000-000049050000}"/>
    <cellStyle name="F6" xfId="1158" xr:uid="{00000000-0005-0000-0000-00004A050000}"/>
    <cellStyle name="F7" xfId="1159" xr:uid="{00000000-0005-0000-0000-00004B050000}"/>
    <cellStyle name="F8" xfId="1160" xr:uid="{00000000-0005-0000-0000-00004C050000}"/>
    <cellStyle name="Fixed" xfId="1161" xr:uid="{00000000-0005-0000-0000-00004D050000}"/>
    <cellStyle name="Fixed 2" xfId="1162" xr:uid="{00000000-0005-0000-0000-00004E050000}"/>
    <cellStyle name="Float" xfId="1163" xr:uid="{00000000-0005-0000-0000-00004F050000}"/>
    <cellStyle name="Followed Hyperlink 4" xfId="1164" xr:uid="{00000000-0005-0000-0000-000050050000}"/>
    <cellStyle name="Fraction" xfId="1165" xr:uid="{00000000-0005-0000-0000-000051050000}"/>
    <cellStyle name="Fraction [8]" xfId="1166" xr:uid="{00000000-0005-0000-0000-000052050000}"/>
    <cellStyle name="Fraction [Bl]" xfId="1167" xr:uid="{00000000-0005-0000-0000-000053050000}"/>
    <cellStyle name="Good" xfId="7" builtinId="26" customBuiltin="1"/>
    <cellStyle name="Good 2" xfId="1168" xr:uid="{00000000-0005-0000-0000-000055050000}"/>
    <cellStyle name="Good 3" xfId="1169" xr:uid="{00000000-0005-0000-0000-000056050000}"/>
    <cellStyle name="Good 4" xfId="1170" xr:uid="{00000000-0005-0000-0000-000057050000}"/>
    <cellStyle name="Good 5" xfId="1171" xr:uid="{00000000-0005-0000-0000-000058050000}"/>
    <cellStyle name="Grey" xfId="1172" xr:uid="{00000000-0005-0000-0000-000059050000}"/>
    <cellStyle name="ha" xfId="1173" xr:uid="{00000000-0005-0000-0000-00005A050000}"/>
    <cellStyle name="HEADER" xfId="1174" xr:uid="{00000000-0005-0000-0000-00005B050000}"/>
    <cellStyle name="Header1" xfId="1175" xr:uid="{00000000-0005-0000-0000-00005C050000}"/>
    <cellStyle name="Header2" xfId="1176" xr:uid="{00000000-0005-0000-0000-00005D050000}"/>
    <cellStyle name="Header2 2" xfId="1177" xr:uid="{00000000-0005-0000-0000-00005E050000}"/>
    <cellStyle name="Header2 2 2" xfId="1178" xr:uid="{00000000-0005-0000-0000-00005F050000}"/>
    <cellStyle name="Header2 2 3" xfId="1179" xr:uid="{00000000-0005-0000-0000-000060050000}"/>
    <cellStyle name="Header2 2 4" xfId="1180" xr:uid="{00000000-0005-0000-0000-000061050000}"/>
    <cellStyle name="Header2 2 5" xfId="1181" xr:uid="{00000000-0005-0000-0000-000062050000}"/>
    <cellStyle name="Header2 2 6" xfId="1182" xr:uid="{00000000-0005-0000-0000-000063050000}"/>
    <cellStyle name="Header2 2 7" xfId="1183" xr:uid="{00000000-0005-0000-0000-000064050000}"/>
    <cellStyle name="Header2 2 8" xfId="1184" xr:uid="{00000000-0005-0000-0000-000065050000}"/>
    <cellStyle name="Header2 2 9" xfId="1185" xr:uid="{00000000-0005-0000-0000-000066050000}"/>
    <cellStyle name="Header2 2_Sheet3" xfId="1186" xr:uid="{00000000-0005-0000-0000-000067050000}"/>
    <cellStyle name="Header2 3" xfId="1187" xr:uid="{00000000-0005-0000-0000-000068050000}"/>
    <cellStyle name="Header2 3 2" xfId="1188" xr:uid="{00000000-0005-0000-0000-000069050000}"/>
    <cellStyle name="Header2 3 3" xfId="1189" xr:uid="{00000000-0005-0000-0000-00006A050000}"/>
    <cellStyle name="Header2 3 4" xfId="1190" xr:uid="{00000000-0005-0000-0000-00006B050000}"/>
    <cellStyle name="Header2 3 5" xfId="1191" xr:uid="{00000000-0005-0000-0000-00006C050000}"/>
    <cellStyle name="Header2 3 6" xfId="1192" xr:uid="{00000000-0005-0000-0000-00006D050000}"/>
    <cellStyle name="Header2 3 7" xfId="1193" xr:uid="{00000000-0005-0000-0000-00006E050000}"/>
    <cellStyle name="Header2 3 8" xfId="1194" xr:uid="{00000000-0005-0000-0000-00006F050000}"/>
    <cellStyle name="Header2 3 9" xfId="1195" xr:uid="{00000000-0005-0000-0000-000070050000}"/>
    <cellStyle name="Header2 3_Sheet3" xfId="1196" xr:uid="{00000000-0005-0000-0000-000071050000}"/>
    <cellStyle name="Header2 4" xfId="1197" xr:uid="{00000000-0005-0000-0000-000072050000}"/>
    <cellStyle name="Header2 5" xfId="1198" xr:uid="{00000000-0005-0000-0000-000073050000}"/>
    <cellStyle name="Header2 6" xfId="1199" xr:uid="{00000000-0005-0000-0000-000074050000}"/>
    <cellStyle name="Header2 7" xfId="1200" xr:uid="{00000000-0005-0000-0000-000075050000}"/>
    <cellStyle name="Heading 1" xfId="3" builtinId="16" customBuiltin="1"/>
    <cellStyle name="Heading 1 2" xfId="1201" xr:uid="{00000000-0005-0000-0000-000077050000}"/>
    <cellStyle name="Heading 1 3" xfId="1202" xr:uid="{00000000-0005-0000-0000-000078050000}"/>
    <cellStyle name="Heading 1 4" xfId="1203" xr:uid="{00000000-0005-0000-0000-000079050000}"/>
    <cellStyle name="Heading 1 5" xfId="1204" xr:uid="{00000000-0005-0000-0000-00007A050000}"/>
    <cellStyle name="Heading 2" xfId="4" builtinId="17" customBuiltin="1"/>
    <cellStyle name="Heading 2 2" xfId="1205" xr:uid="{00000000-0005-0000-0000-00007C050000}"/>
    <cellStyle name="Heading 2 3" xfId="1206" xr:uid="{00000000-0005-0000-0000-00007D050000}"/>
    <cellStyle name="Heading 2 4" xfId="1207" xr:uid="{00000000-0005-0000-0000-00007E050000}"/>
    <cellStyle name="Heading 2 5" xfId="1208" xr:uid="{00000000-0005-0000-0000-00007F050000}"/>
    <cellStyle name="Heading 3" xfId="5" builtinId="18" customBuiltin="1"/>
    <cellStyle name="Heading 3 2" xfId="1209" xr:uid="{00000000-0005-0000-0000-000081050000}"/>
    <cellStyle name="Heading 3 3" xfId="1210" xr:uid="{00000000-0005-0000-0000-000082050000}"/>
    <cellStyle name="Heading 3 4" xfId="1211" xr:uid="{00000000-0005-0000-0000-000083050000}"/>
    <cellStyle name="Heading 3 5" xfId="1212" xr:uid="{00000000-0005-0000-0000-000084050000}"/>
    <cellStyle name="Heading 4" xfId="6" builtinId="19" customBuiltin="1"/>
    <cellStyle name="Heading 4 2" xfId="1213" xr:uid="{00000000-0005-0000-0000-000086050000}"/>
    <cellStyle name="Heading 4 3" xfId="1214" xr:uid="{00000000-0005-0000-0000-000087050000}"/>
    <cellStyle name="Heading 4 4" xfId="1215" xr:uid="{00000000-0005-0000-0000-000088050000}"/>
    <cellStyle name="Heading 4 5" xfId="1216" xr:uid="{00000000-0005-0000-0000-000089050000}"/>
    <cellStyle name="Heading1" xfId="1217" xr:uid="{00000000-0005-0000-0000-00008A050000}"/>
    <cellStyle name="Heading2" xfId="1218" xr:uid="{00000000-0005-0000-0000-00008B050000}"/>
    <cellStyle name="headoption" xfId="1219" xr:uid="{00000000-0005-0000-0000-00008C050000}"/>
    <cellStyle name="Hidden" xfId="1220" xr:uid="{00000000-0005-0000-0000-00008D050000}"/>
    <cellStyle name="Hyperlink 2" xfId="1221" xr:uid="{00000000-0005-0000-0000-00008E050000}"/>
    <cellStyle name="Inhaltsverzeichnispunke" xfId="1222" xr:uid="{00000000-0005-0000-0000-00008F050000}"/>
    <cellStyle name="Input" xfId="10" builtinId="20" customBuiltin="1"/>
    <cellStyle name="Input [yellow]" xfId="1223" xr:uid="{00000000-0005-0000-0000-000091050000}"/>
    <cellStyle name="Input 2" xfId="1224" xr:uid="{00000000-0005-0000-0000-000092050000}"/>
    <cellStyle name="Input 3" xfId="1225" xr:uid="{00000000-0005-0000-0000-000093050000}"/>
    <cellStyle name="Input 4" xfId="1226" xr:uid="{00000000-0005-0000-0000-000094050000}"/>
    <cellStyle name="Input 5" xfId="1227" xr:uid="{00000000-0005-0000-0000-000095050000}"/>
    <cellStyle name="InputBlueFont" xfId="1228" xr:uid="{00000000-0005-0000-0000-000096050000}"/>
    <cellStyle name="Inputs" xfId="1229" xr:uid="{00000000-0005-0000-0000-000097050000}"/>
    <cellStyle name="Link Currency (0)" xfId="1230" xr:uid="{00000000-0005-0000-0000-000098050000}"/>
    <cellStyle name="Link Currency (2)" xfId="1231" xr:uid="{00000000-0005-0000-0000-000099050000}"/>
    <cellStyle name="Link Units (0)" xfId="1232" xr:uid="{00000000-0005-0000-0000-00009A050000}"/>
    <cellStyle name="Link Units (1)" xfId="1233" xr:uid="{00000000-0005-0000-0000-00009B050000}"/>
    <cellStyle name="Link Units (2)" xfId="1234" xr:uid="{00000000-0005-0000-0000-00009C050000}"/>
    <cellStyle name="Linked Cell" xfId="13" builtinId="24" customBuiltin="1"/>
    <cellStyle name="Linked Cell 2" xfId="1235" xr:uid="{00000000-0005-0000-0000-00009E050000}"/>
    <cellStyle name="Linked Cell 3" xfId="1236" xr:uid="{00000000-0005-0000-0000-00009F050000}"/>
    <cellStyle name="Linked Cell 4" xfId="1237" xr:uid="{00000000-0005-0000-0000-0000A0050000}"/>
    <cellStyle name="Linked Cell 5" xfId="1238" xr:uid="{00000000-0005-0000-0000-0000A1050000}"/>
    <cellStyle name="MainData" xfId="1239" xr:uid="{00000000-0005-0000-0000-0000A2050000}"/>
    <cellStyle name="MajorTotal" xfId="1240" xr:uid="{00000000-0005-0000-0000-0000A3050000}"/>
    <cellStyle name="MajorTotal 2" xfId="1241" xr:uid="{00000000-0005-0000-0000-0000A4050000}"/>
    <cellStyle name="MajorTotal 2 2" xfId="1242" xr:uid="{00000000-0005-0000-0000-0000A5050000}"/>
    <cellStyle name="MajorTotal 2 2 2" xfId="1243" xr:uid="{00000000-0005-0000-0000-0000A6050000}"/>
    <cellStyle name="MajorTotal 2 2 3" xfId="1244" xr:uid="{00000000-0005-0000-0000-0000A7050000}"/>
    <cellStyle name="MajorTotal 2 2 4" xfId="1245" xr:uid="{00000000-0005-0000-0000-0000A8050000}"/>
    <cellStyle name="MajorTotal 2 2_Sheet3" xfId="1246" xr:uid="{00000000-0005-0000-0000-0000A9050000}"/>
    <cellStyle name="MajorTotal 2 3" xfId="1247" xr:uid="{00000000-0005-0000-0000-0000AA050000}"/>
    <cellStyle name="MajorTotal 2 3 2" xfId="1248" xr:uid="{00000000-0005-0000-0000-0000AB050000}"/>
    <cellStyle name="MajorTotal 2 3 3" xfId="1249" xr:uid="{00000000-0005-0000-0000-0000AC050000}"/>
    <cellStyle name="MajorTotal 2 3 4" xfId="1250" xr:uid="{00000000-0005-0000-0000-0000AD050000}"/>
    <cellStyle name="MajorTotal 2 3_Sheet3" xfId="1251" xr:uid="{00000000-0005-0000-0000-0000AE050000}"/>
    <cellStyle name="MajorTotal 2 4" xfId="1252" xr:uid="{00000000-0005-0000-0000-0000AF050000}"/>
    <cellStyle name="MajorTotal 2 5" xfId="1253" xr:uid="{00000000-0005-0000-0000-0000B0050000}"/>
    <cellStyle name="MajorTotal 2 6" xfId="1254" xr:uid="{00000000-0005-0000-0000-0000B1050000}"/>
    <cellStyle name="MajorTotal 2 7" xfId="1255" xr:uid="{00000000-0005-0000-0000-0000B2050000}"/>
    <cellStyle name="MajorTotal 3" xfId="1256" xr:uid="{00000000-0005-0000-0000-0000B3050000}"/>
    <cellStyle name="MajorTotal 3 2" xfId="1257" xr:uid="{00000000-0005-0000-0000-0000B4050000}"/>
    <cellStyle name="MajorTotal 3 3" xfId="1258" xr:uid="{00000000-0005-0000-0000-0000B5050000}"/>
    <cellStyle name="MajorTotal 3 4" xfId="1259" xr:uid="{00000000-0005-0000-0000-0000B6050000}"/>
    <cellStyle name="MajorTotal 3_Sheet3" xfId="1260" xr:uid="{00000000-0005-0000-0000-0000B7050000}"/>
    <cellStyle name="MajorTotal 4" xfId="1261" xr:uid="{00000000-0005-0000-0000-0000B8050000}"/>
    <cellStyle name="MajorTotal 4 2" xfId="1262" xr:uid="{00000000-0005-0000-0000-0000B9050000}"/>
    <cellStyle name="MajorTotal 4 3" xfId="1263" xr:uid="{00000000-0005-0000-0000-0000BA050000}"/>
    <cellStyle name="MajorTotal 4 4" xfId="1264" xr:uid="{00000000-0005-0000-0000-0000BB050000}"/>
    <cellStyle name="MajorTotal 4_Sheet3" xfId="1265" xr:uid="{00000000-0005-0000-0000-0000BC050000}"/>
    <cellStyle name="MajorTotal 5" xfId="1266" xr:uid="{00000000-0005-0000-0000-0000BD050000}"/>
    <cellStyle name="MajorTotal 6" xfId="1267" xr:uid="{00000000-0005-0000-0000-0000BE050000}"/>
    <cellStyle name="MajorTotal 7" xfId="1268" xr:uid="{00000000-0005-0000-0000-0000BF050000}"/>
    <cellStyle name="MajorTotal 8" xfId="1269" xr:uid="{00000000-0005-0000-0000-0000C0050000}"/>
    <cellStyle name="Marius1" xfId="1270" xr:uid="{00000000-0005-0000-0000-0000C1050000}"/>
    <cellStyle name="Millares_Gastos de Viaje" xfId="1271" xr:uid="{00000000-0005-0000-0000-0000C2050000}"/>
    <cellStyle name="Milliers [0]_BP sales projection-draft2" xfId="1272" xr:uid="{00000000-0005-0000-0000-0000C3050000}"/>
    <cellStyle name="Milliers_Cameron jan 03 -sept 03" xfId="1273" xr:uid="{00000000-0005-0000-0000-0000C4050000}"/>
    <cellStyle name="Model" xfId="1274" xr:uid="{00000000-0005-0000-0000-0000C5050000}"/>
    <cellStyle name="Mon騁aire [0]_laroux" xfId="1275" xr:uid="{00000000-0005-0000-0000-0000C6050000}"/>
    <cellStyle name="Mon騁aire_laroux" xfId="1276" xr:uid="{00000000-0005-0000-0000-0000C7050000}"/>
    <cellStyle name="Multiple" xfId="1277" xr:uid="{00000000-0005-0000-0000-0000C8050000}"/>
    <cellStyle name="n" xfId="1278" xr:uid="{00000000-0005-0000-0000-0000C9050000}"/>
    <cellStyle name="Neutral" xfId="9" builtinId="28" customBuiltin="1"/>
    <cellStyle name="Neutral 2" xfId="1279" xr:uid="{00000000-0005-0000-0000-0000CB050000}"/>
    <cellStyle name="Neutral 3" xfId="1280" xr:uid="{00000000-0005-0000-0000-0000CC050000}"/>
    <cellStyle name="Neutral 4" xfId="1281" xr:uid="{00000000-0005-0000-0000-0000CD050000}"/>
    <cellStyle name="Neutral 5" xfId="1282" xr:uid="{00000000-0005-0000-0000-0000CE050000}"/>
    <cellStyle name="new" xfId="1283" xr:uid="{00000000-0005-0000-0000-0000CF050000}"/>
    <cellStyle name="new change" xfId="1284" xr:uid="{00000000-0005-0000-0000-0000D0050000}"/>
    <cellStyle name="New Times Roman" xfId="1285" xr:uid="{00000000-0005-0000-0000-0000D1050000}"/>
    <cellStyle name="new_6 Finance Reports - Jun 07 (Rev)" xfId="1286" xr:uid="{00000000-0005-0000-0000-0000D2050000}"/>
    <cellStyle name="no dec" xfId="1287" xr:uid="{00000000-0005-0000-0000-0000D3050000}"/>
    <cellStyle name="No-definido" xfId="1288" xr:uid="{00000000-0005-0000-0000-0000D4050000}"/>
    <cellStyle name="ÑONVÒ" xfId="1289" xr:uid="{00000000-0005-0000-0000-0000D5050000}"/>
    <cellStyle name="Nor}al" xfId="1290" xr:uid="{00000000-0005-0000-0000-0000D6050000}"/>
    <cellStyle name="norma" xfId="1291" xr:uid="{00000000-0005-0000-0000-0000D7050000}"/>
    <cellStyle name="Normal" xfId="0" builtinId="0" customBuiltin="1"/>
    <cellStyle name="Normal - Style1" xfId="1292" xr:uid="{00000000-0005-0000-0000-0000D9050000}"/>
    <cellStyle name="Normal - Style1 2" xfId="1293" xr:uid="{00000000-0005-0000-0000-0000DA050000}"/>
    <cellStyle name="Normal - 유형1" xfId="1294" xr:uid="{00000000-0005-0000-0000-0000DB050000}"/>
    <cellStyle name="Normal 10" xfId="1295" xr:uid="{00000000-0005-0000-0000-0000DC050000}"/>
    <cellStyle name="Normal 10 10" xfId="1296" xr:uid="{00000000-0005-0000-0000-0000DD050000}"/>
    <cellStyle name="Normal 10 10 2" xfId="3638" xr:uid="{00000000-0005-0000-0000-0000DE050000}"/>
    <cellStyle name="Normal 10 11" xfId="1297" xr:uid="{00000000-0005-0000-0000-0000DF050000}"/>
    <cellStyle name="Normal 10 11 2" xfId="3639" xr:uid="{00000000-0005-0000-0000-0000E0050000}"/>
    <cellStyle name="Normal 10 12" xfId="1298" xr:uid="{00000000-0005-0000-0000-0000E1050000}"/>
    <cellStyle name="Normal 10 12 2" xfId="3640" xr:uid="{00000000-0005-0000-0000-0000E2050000}"/>
    <cellStyle name="Normal 10 13" xfId="1299" xr:uid="{00000000-0005-0000-0000-0000E3050000}"/>
    <cellStyle name="Normal 10 13 2" xfId="3641" xr:uid="{00000000-0005-0000-0000-0000E4050000}"/>
    <cellStyle name="Normal 10 2" xfId="1300" xr:uid="{00000000-0005-0000-0000-0000E5050000}"/>
    <cellStyle name="Normal 10 2 2" xfId="1301" xr:uid="{00000000-0005-0000-0000-0000E6050000}"/>
    <cellStyle name="Normal 10 3" xfId="1302" xr:uid="{00000000-0005-0000-0000-0000E7050000}"/>
    <cellStyle name="Normal 10 3 10" xfId="1303" xr:uid="{00000000-0005-0000-0000-0000E8050000}"/>
    <cellStyle name="Normal 10 3 10 2" xfId="3643" xr:uid="{00000000-0005-0000-0000-0000E9050000}"/>
    <cellStyle name="Normal 10 3 11" xfId="1304" xr:uid="{00000000-0005-0000-0000-0000EA050000}"/>
    <cellStyle name="Normal 10 3 11 2" xfId="3644" xr:uid="{00000000-0005-0000-0000-0000EB050000}"/>
    <cellStyle name="Normal 10 3 12" xfId="1305" xr:uid="{00000000-0005-0000-0000-0000EC050000}"/>
    <cellStyle name="Normal 10 3 12 2" xfId="3645" xr:uid="{00000000-0005-0000-0000-0000ED050000}"/>
    <cellStyle name="Normal 10 3 13" xfId="1306" xr:uid="{00000000-0005-0000-0000-0000EE050000}"/>
    <cellStyle name="Normal 10 3 13 2" xfId="3646" xr:uid="{00000000-0005-0000-0000-0000EF050000}"/>
    <cellStyle name="Normal 10 3 14" xfId="3642" xr:uid="{00000000-0005-0000-0000-0000F0050000}"/>
    <cellStyle name="Normal 10 3 2" xfId="1307" xr:uid="{00000000-0005-0000-0000-0000F1050000}"/>
    <cellStyle name="Normal 10 3 2 10" xfId="1308" xr:uid="{00000000-0005-0000-0000-0000F2050000}"/>
    <cellStyle name="Normal 10 3 2 10 2" xfId="3648" xr:uid="{00000000-0005-0000-0000-0000F3050000}"/>
    <cellStyle name="Normal 10 3 2 11" xfId="1309" xr:uid="{00000000-0005-0000-0000-0000F4050000}"/>
    <cellStyle name="Normal 10 3 2 11 2" xfId="3649" xr:uid="{00000000-0005-0000-0000-0000F5050000}"/>
    <cellStyle name="Normal 10 3 2 12" xfId="3647" xr:uid="{00000000-0005-0000-0000-0000F6050000}"/>
    <cellStyle name="Normal 10 3 2 2" xfId="1310" xr:uid="{00000000-0005-0000-0000-0000F7050000}"/>
    <cellStyle name="Normal 10 3 2 2 10" xfId="1311" xr:uid="{00000000-0005-0000-0000-0000F8050000}"/>
    <cellStyle name="Normal 10 3 2 2 10 2" xfId="3651" xr:uid="{00000000-0005-0000-0000-0000F9050000}"/>
    <cellStyle name="Normal 10 3 2 2 11" xfId="3650" xr:uid="{00000000-0005-0000-0000-0000FA050000}"/>
    <cellStyle name="Normal 10 3 2 2 2" xfId="1312" xr:uid="{00000000-0005-0000-0000-0000FB050000}"/>
    <cellStyle name="Normal 10 3 2 2 2 2" xfId="3652" xr:uid="{00000000-0005-0000-0000-0000FC050000}"/>
    <cellStyle name="Normal 10 3 2 2 3" xfId="1313" xr:uid="{00000000-0005-0000-0000-0000FD050000}"/>
    <cellStyle name="Normal 10 3 2 2 3 2" xfId="3653" xr:uid="{00000000-0005-0000-0000-0000FE050000}"/>
    <cellStyle name="Normal 10 3 2 2 4" xfId="1314" xr:uid="{00000000-0005-0000-0000-0000FF050000}"/>
    <cellStyle name="Normal 10 3 2 2 4 2" xfId="3654" xr:uid="{00000000-0005-0000-0000-000000060000}"/>
    <cellStyle name="Normal 10 3 2 2 5" xfId="1315" xr:uid="{00000000-0005-0000-0000-000001060000}"/>
    <cellStyle name="Normal 10 3 2 2 5 2" xfId="3655" xr:uid="{00000000-0005-0000-0000-000002060000}"/>
    <cellStyle name="Normal 10 3 2 2 6" xfId="1316" xr:uid="{00000000-0005-0000-0000-000003060000}"/>
    <cellStyle name="Normal 10 3 2 2 6 2" xfId="3656" xr:uid="{00000000-0005-0000-0000-000004060000}"/>
    <cellStyle name="Normal 10 3 2 2 7" xfId="1317" xr:uid="{00000000-0005-0000-0000-000005060000}"/>
    <cellStyle name="Normal 10 3 2 2 7 2" xfId="3657" xr:uid="{00000000-0005-0000-0000-000006060000}"/>
    <cellStyle name="Normal 10 3 2 2 8" xfId="1318" xr:uid="{00000000-0005-0000-0000-000007060000}"/>
    <cellStyle name="Normal 10 3 2 2 8 2" xfId="3658" xr:uid="{00000000-0005-0000-0000-000008060000}"/>
    <cellStyle name="Normal 10 3 2 2 9" xfId="1319" xr:uid="{00000000-0005-0000-0000-000009060000}"/>
    <cellStyle name="Normal 10 3 2 2 9 2" xfId="3659" xr:uid="{00000000-0005-0000-0000-00000A060000}"/>
    <cellStyle name="Normal 10 3 2 2_Sheet3" xfId="1320" xr:uid="{00000000-0005-0000-0000-00000B060000}"/>
    <cellStyle name="Normal 10 3 2 3" xfId="1321" xr:uid="{00000000-0005-0000-0000-00000C060000}"/>
    <cellStyle name="Normal 10 3 2 3 2" xfId="3660" xr:uid="{00000000-0005-0000-0000-00000D060000}"/>
    <cellStyle name="Normal 10 3 2 4" xfId="1322" xr:uid="{00000000-0005-0000-0000-00000E060000}"/>
    <cellStyle name="Normal 10 3 2 4 2" xfId="3661" xr:uid="{00000000-0005-0000-0000-00000F060000}"/>
    <cellStyle name="Normal 10 3 2 5" xfId="1323" xr:uid="{00000000-0005-0000-0000-000010060000}"/>
    <cellStyle name="Normal 10 3 2 5 2" xfId="3662" xr:uid="{00000000-0005-0000-0000-000011060000}"/>
    <cellStyle name="Normal 10 3 2 6" xfId="1324" xr:uid="{00000000-0005-0000-0000-000012060000}"/>
    <cellStyle name="Normal 10 3 2 6 2" xfId="3663" xr:uid="{00000000-0005-0000-0000-000013060000}"/>
    <cellStyle name="Normal 10 3 2 7" xfId="1325" xr:uid="{00000000-0005-0000-0000-000014060000}"/>
    <cellStyle name="Normal 10 3 2 7 2" xfId="3664" xr:uid="{00000000-0005-0000-0000-000015060000}"/>
    <cellStyle name="Normal 10 3 2 8" xfId="1326" xr:uid="{00000000-0005-0000-0000-000016060000}"/>
    <cellStyle name="Normal 10 3 2 8 2" xfId="3665" xr:uid="{00000000-0005-0000-0000-000017060000}"/>
    <cellStyle name="Normal 10 3 2 9" xfId="1327" xr:uid="{00000000-0005-0000-0000-000018060000}"/>
    <cellStyle name="Normal 10 3 2 9 2" xfId="3666" xr:uid="{00000000-0005-0000-0000-000019060000}"/>
    <cellStyle name="Normal 10 3 2_Sheet3" xfId="1328" xr:uid="{00000000-0005-0000-0000-00001A060000}"/>
    <cellStyle name="Normal 10 3 3" xfId="1329" xr:uid="{00000000-0005-0000-0000-00001B060000}"/>
    <cellStyle name="Normal 10 3 3 10" xfId="1330" xr:uid="{00000000-0005-0000-0000-00001C060000}"/>
    <cellStyle name="Normal 10 3 3 10 2" xfId="3668" xr:uid="{00000000-0005-0000-0000-00001D060000}"/>
    <cellStyle name="Normal 10 3 3 11" xfId="3667" xr:uid="{00000000-0005-0000-0000-00001E060000}"/>
    <cellStyle name="Normal 10 3 3 2" xfId="1331" xr:uid="{00000000-0005-0000-0000-00001F060000}"/>
    <cellStyle name="Normal 10 3 3 2 2" xfId="3669" xr:uid="{00000000-0005-0000-0000-000020060000}"/>
    <cellStyle name="Normal 10 3 3 3" xfId="1332" xr:uid="{00000000-0005-0000-0000-000021060000}"/>
    <cellStyle name="Normal 10 3 3 3 2" xfId="3670" xr:uid="{00000000-0005-0000-0000-000022060000}"/>
    <cellStyle name="Normal 10 3 3 4" xfId="1333" xr:uid="{00000000-0005-0000-0000-000023060000}"/>
    <cellStyle name="Normal 10 3 3 4 2" xfId="3671" xr:uid="{00000000-0005-0000-0000-000024060000}"/>
    <cellStyle name="Normal 10 3 3 5" xfId="1334" xr:uid="{00000000-0005-0000-0000-000025060000}"/>
    <cellStyle name="Normal 10 3 3 5 2" xfId="3672" xr:uid="{00000000-0005-0000-0000-000026060000}"/>
    <cellStyle name="Normal 10 3 3 6" xfId="1335" xr:uid="{00000000-0005-0000-0000-000027060000}"/>
    <cellStyle name="Normal 10 3 3 6 2" xfId="3673" xr:uid="{00000000-0005-0000-0000-000028060000}"/>
    <cellStyle name="Normal 10 3 3 7" xfId="1336" xr:uid="{00000000-0005-0000-0000-000029060000}"/>
    <cellStyle name="Normal 10 3 3 7 2" xfId="3674" xr:uid="{00000000-0005-0000-0000-00002A060000}"/>
    <cellStyle name="Normal 10 3 3 8" xfId="1337" xr:uid="{00000000-0005-0000-0000-00002B060000}"/>
    <cellStyle name="Normal 10 3 3 8 2" xfId="3675" xr:uid="{00000000-0005-0000-0000-00002C060000}"/>
    <cellStyle name="Normal 10 3 3 9" xfId="1338" xr:uid="{00000000-0005-0000-0000-00002D060000}"/>
    <cellStyle name="Normal 10 3 3 9 2" xfId="3676" xr:uid="{00000000-0005-0000-0000-00002E060000}"/>
    <cellStyle name="Normal 10 3 3_Sheet3" xfId="1339" xr:uid="{00000000-0005-0000-0000-00002F060000}"/>
    <cellStyle name="Normal 10 3 4" xfId="1340" xr:uid="{00000000-0005-0000-0000-000030060000}"/>
    <cellStyle name="Normal 10 3 5" xfId="1341" xr:uid="{00000000-0005-0000-0000-000031060000}"/>
    <cellStyle name="Normal 10 3 5 2" xfId="3677" xr:uid="{00000000-0005-0000-0000-000032060000}"/>
    <cellStyle name="Normal 10 3 6" xfId="1342" xr:uid="{00000000-0005-0000-0000-000033060000}"/>
    <cellStyle name="Normal 10 3 6 2" xfId="3678" xr:uid="{00000000-0005-0000-0000-000034060000}"/>
    <cellStyle name="Normal 10 3 7" xfId="1343" xr:uid="{00000000-0005-0000-0000-000035060000}"/>
    <cellStyle name="Normal 10 3 7 2" xfId="3679" xr:uid="{00000000-0005-0000-0000-000036060000}"/>
    <cellStyle name="Normal 10 3 8" xfId="1344" xr:uid="{00000000-0005-0000-0000-000037060000}"/>
    <cellStyle name="Normal 10 3 8 2" xfId="3680" xr:uid="{00000000-0005-0000-0000-000038060000}"/>
    <cellStyle name="Normal 10 3 9" xfId="1345" xr:uid="{00000000-0005-0000-0000-000039060000}"/>
    <cellStyle name="Normal 10 3 9 2" xfId="3681" xr:uid="{00000000-0005-0000-0000-00003A060000}"/>
    <cellStyle name="Normal 10 3_Sheet3" xfId="1346" xr:uid="{00000000-0005-0000-0000-00003B060000}"/>
    <cellStyle name="Normal 10 4" xfId="1347" xr:uid="{00000000-0005-0000-0000-00003C060000}"/>
    <cellStyle name="Normal 10 4 10" xfId="1348" xr:uid="{00000000-0005-0000-0000-00003D060000}"/>
    <cellStyle name="Normal 10 4 10 2" xfId="3683" xr:uid="{00000000-0005-0000-0000-00003E060000}"/>
    <cellStyle name="Normal 10 4 11" xfId="3682" xr:uid="{00000000-0005-0000-0000-00003F060000}"/>
    <cellStyle name="Normal 10 4 2" xfId="1349" xr:uid="{00000000-0005-0000-0000-000040060000}"/>
    <cellStyle name="Normal 10 4 2 2" xfId="3684" xr:uid="{00000000-0005-0000-0000-000041060000}"/>
    <cellStyle name="Normal 10 4 3" xfId="1350" xr:uid="{00000000-0005-0000-0000-000042060000}"/>
    <cellStyle name="Normal 10 4 3 2" xfId="3685" xr:uid="{00000000-0005-0000-0000-000043060000}"/>
    <cellStyle name="Normal 10 4 4" xfId="1351" xr:uid="{00000000-0005-0000-0000-000044060000}"/>
    <cellStyle name="Normal 10 4 4 2" xfId="3686" xr:uid="{00000000-0005-0000-0000-000045060000}"/>
    <cellStyle name="Normal 10 4 5" xfId="1352" xr:uid="{00000000-0005-0000-0000-000046060000}"/>
    <cellStyle name="Normal 10 4 5 2" xfId="3687" xr:uid="{00000000-0005-0000-0000-000047060000}"/>
    <cellStyle name="Normal 10 4 6" xfId="1353" xr:uid="{00000000-0005-0000-0000-000048060000}"/>
    <cellStyle name="Normal 10 4 6 2" xfId="3688" xr:uid="{00000000-0005-0000-0000-000049060000}"/>
    <cellStyle name="Normal 10 4 7" xfId="1354" xr:uid="{00000000-0005-0000-0000-00004A060000}"/>
    <cellStyle name="Normal 10 4 7 2" xfId="3689" xr:uid="{00000000-0005-0000-0000-00004B060000}"/>
    <cellStyle name="Normal 10 4 8" xfId="1355" xr:uid="{00000000-0005-0000-0000-00004C060000}"/>
    <cellStyle name="Normal 10 4 8 2" xfId="3690" xr:uid="{00000000-0005-0000-0000-00004D060000}"/>
    <cellStyle name="Normal 10 4 9" xfId="1356" xr:uid="{00000000-0005-0000-0000-00004E060000}"/>
    <cellStyle name="Normal 10 4 9 2" xfId="3691" xr:uid="{00000000-0005-0000-0000-00004F060000}"/>
    <cellStyle name="Normal 10 4_Sheet3" xfId="1357" xr:uid="{00000000-0005-0000-0000-000050060000}"/>
    <cellStyle name="Normal 10 5" xfId="1358" xr:uid="{00000000-0005-0000-0000-000051060000}"/>
    <cellStyle name="Normal 10 5 2" xfId="3692" xr:uid="{00000000-0005-0000-0000-000052060000}"/>
    <cellStyle name="Normal 10 6" xfId="1359" xr:uid="{00000000-0005-0000-0000-000053060000}"/>
    <cellStyle name="Normal 10 6 2" xfId="3693" xr:uid="{00000000-0005-0000-0000-000054060000}"/>
    <cellStyle name="Normal 10 7" xfId="1360" xr:uid="{00000000-0005-0000-0000-000055060000}"/>
    <cellStyle name="Normal 10 7 2" xfId="3694" xr:uid="{00000000-0005-0000-0000-000056060000}"/>
    <cellStyle name="Normal 10 8" xfId="1361" xr:uid="{00000000-0005-0000-0000-000057060000}"/>
    <cellStyle name="Normal 10 8 2" xfId="3695" xr:uid="{00000000-0005-0000-0000-000058060000}"/>
    <cellStyle name="Normal 10 9" xfId="1362" xr:uid="{00000000-0005-0000-0000-000059060000}"/>
    <cellStyle name="Normal 10 9 2" xfId="3696" xr:uid="{00000000-0005-0000-0000-00005A060000}"/>
    <cellStyle name="Normal 10_Sheet3" xfId="1363" xr:uid="{00000000-0005-0000-0000-00005B060000}"/>
    <cellStyle name="Normal 100" xfId="3421" xr:uid="{00000000-0005-0000-0000-00005C060000}"/>
    <cellStyle name="Normal 100 2" xfId="4863" xr:uid="{00000000-0005-0000-0000-00005D060000}"/>
    <cellStyle name="Normal 101" xfId="3422" xr:uid="{00000000-0005-0000-0000-00005E060000}"/>
    <cellStyle name="Normal 101 2" xfId="4864" xr:uid="{00000000-0005-0000-0000-00005F060000}"/>
    <cellStyle name="Normal 102" xfId="3423" xr:uid="{00000000-0005-0000-0000-000060060000}"/>
    <cellStyle name="Normal 102 2" xfId="4865" xr:uid="{00000000-0005-0000-0000-000061060000}"/>
    <cellStyle name="Normal 103" xfId="3424" xr:uid="{00000000-0005-0000-0000-000062060000}"/>
    <cellStyle name="Normal 103 2" xfId="4866" xr:uid="{00000000-0005-0000-0000-000063060000}"/>
    <cellStyle name="Normal 104" xfId="3425" xr:uid="{00000000-0005-0000-0000-000064060000}"/>
    <cellStyle name="Normal 104 2" xfId="4867" xr:uid="{00000000-0005-0000-0000-000065060000}"/>
    <cellStyle name="Normal 105" xfId="3426" xr:uid="{00000000-0005-0000-0000-000066060000}"/>
    <cellStyle name="Normal 105 2" xfId="4868" xr:uid="{00000000-0005-0000-0000-000067060000}"/>
    <cellStyle name="Normal 106" xfId="3427" xr:uid="{00000000-0005-0000-0000-000068060000}"/>
    <cellStyle name="Normal 106 2" xfId="4869" xr:uid="{00000000-0005-0000-0000-000069060000}"/>
    <cellStyle name="Normal 107" xfId="3428" xr:uid="{00000000-0005-0000-0000-00006A060000}"/>
    <cellStyle name="Normal 107 2" xfId="4870" xr:uid="{00000000-0005-0000-0000-00006B060000}"/>
    <cellStyle name="Normal 108" xfId="4871" xr:uid="{00000000-0005-0000-0000-00006C060000}"/>
    <cellStyle name="Normal 109" xfId="4874" xr:uid="{00000000-0005-0000-0000-00006D060000}"/>
    <cellStyle name="Normal 11" xfId="1364" xr:uid="{00000000-0005-0000-0000-00006E060000}"/>
    <cellStyle name="Normal 11 10" xfId="1365" xr:uid="{00000000-0005-0000-0000-00006F060000}"/>
    <cellStyle name="Normal 11 10 2" xfId="3697" xr:uid="{00000000-0005-0000-0000-000070060000}"/>
    <cellStyle name="Normal 11 11" xfId="1366" xr:uid="{00000000-0005-0000-0000-000071060000}"/>
    <cellStyle name="Normal 11 11 2" xfId="3698" xr:uid="{00000000-0005-0000-0000-000072060000}"/>
    <cellStyle name="Normal 11 12" xfId="1367" xr:uid="{00000000-0005-0000-0000-000073060000}"/>
    <cellStyle name="Normal 11 12 2" xfId="3699" xr:uid="{00000000-0005-0000-0000-000074060000}"/>
    <cellStyle name="Normal 11 13" xfId="1368" xr:uid="{00000000-0005-0000-0000-000075060000}"/>
    <cellStyle name="Normal 11 13 2" xfId="3700" xr:uid="{00000000-0005-0000-0000-000076060000}"/>
    <cellStyle name="Normal 11 14" xfId="1369" xr:uid="{00000000-0005-0000-0000-000077060000}"/>
    <cellStyle name="Normal 11 14 2" xfId="3701" xr:uid="{00000000-0005-0000-0000-000078060000}"/>
    <cellStyle name="Normal 11 2" xfId="1370" xr:uid="{00000000-0005-0000-0000-000079060000}"/>
    <cellStyle name="Normal 11 2 10" xfId="1371" xr:uid="{00000000-0005-0000-0000-00007A060000}"/>
    <cellStyle name="Normal 11 2 10 2" xfId="3703" xr:uid="{00000000-0005-0000-0000-00007B060000}"/>
    <cellStyle name="Normal 11 2 11" xfId="1372" xr:uid="{00000000-0005-0000-0000-00007C060000}"/>
    <cellStyle name="Normal 11 2 11 2" xfId="3704" xr:uid="{00000000-0005-0000-0000-00007D060000}"/>
    <cellStyle name="Normal 11 2 12" xfId="3702" xr:uid="{00000000-0005-0000-0000-00007E060000}"/>
    <cellStyle name="Normal 11 2 2" xfId="1373" xr:uid="{00000000-0005-0000-0000-00007F060000}"/>
    <cellStyle name="Normal 11 2 2 10" xfId="1374" xr:uid="{00000000-0005-0000-0000-000080060000}"/>
    <cellStyle name="Normal 11 2 2 10 2" xfId="3706" xr:uid="{00000000-0005-0000-0000-000081060000}"/>
    <cellStyle name="Normal 11 2 2 11" xfId="3705" xr:uid="{00000000-0005-0000-0000-000082060000}"/>
    <cellStyle name="Normal 11 2 2 2" xfId="1375" xr:uid="{00000000-0005-0000-0000-000083060000}"/>
    <cellStyle name="Normal 11 2 2 2 2" xfId="3707" xr:uid="{00000000-0005-0000-0000-000084060000}"/>
    <cellStyle name="Normal 11 2 2 3" xfId="1376" xr:uid="{00000000-0005-0000-0000-000085060000}"/>
    <cellStyle name="Normal 11 2 2 3 2" xfId="3708" xr:uid="{00000000-0005-0000-0000-000086060000}"/>
    <cellStyle name="Normal 11 2 2 4" xfId="1377" xr:uid="{00000000-0005-0000-0000-000087060000}"/>
    <cellStyle name="Normal 11 2 2 4 2" xfId="3709" xr:uid="{00000000-0005-0000-0000-000088060000}"/>
    <cellStyle name="Normal 11 2 2 5" xfId="1378" xr:uid="{00000000-0005-0000-0000-000089060000}"/>
    <cellStyle name="Normal 11 2 2 5 2" xfId="3710" xr:uid="{00000000-0005-0000-0000-00008A060000}"/>
    <cellStyle name="Normal 11 2 2 6" xfId="1379" xr:uid="{00000000-0005-0000-0000-00008B060000}"/>
    <cellStyle name="Normal 11 2 2 6 2" xfId="3711" xr:uid="{00000000-0005-0000-0000-00008C060000}"/>
    <cellStyle name="Normal 11 2 2 7" xfId="1380" xr:uid="{00000000-0005-0000-0000-00008D060000}"/>
    <cellStyle name="Normal 11 2 2 7 2" xfId="3712" xr:uid="{00000000-0005-0000-0000-00008E060000}"/>
    <cellStyle name="Normal 11 2 2 8" xfId="1381" xr:uid="{00000000-0005-0000-0000-00008F060000}"/>
    <cellStyle name="Normal 11 2 2 8 2" xfId="3713" xr:uid="{00000000-0005-0000-0000-000090060000}"/>
    <cellStyle name="Normal 11 2 2 9" xfId="1382" xr:uid="{00000000-0005-0000-0000-000091060000}"/>
    <cellStyle name="Normal 11 2 2 9 2" xfId="3714" xr:uid="{00000000-0005-0000-0000-000092060000}"/>
    <cellStyle name="Normal 11 2 2_Sheet3" xfId="1383" xr:uid="{00000000-0005-0000-0000-000093060000}"/>
    <cellStyle name="Normal 11 2 3" xfId="1384" xr:uid="{00000000-0005-0000-0000-000094060000}"/>
    <cellStyle name="Normal 11 2 3 2" xfId="3715" xr:uid="{00000000-0005-0000-0000-000095060000}"/>
    <cellStyle name="Normal 11 2 4" xfId="1385" xr:uid="{00000000-0005-0000-0000-000096060000}"/>
    <cellStyle name="Normal 11 2 4 2" xfId="3716" xr:uid="{00000000-0005-0000-0000-000097060000}"/>
    <cellStyle name="Normal 11 2 5" xfId="1386" xr:uid="{00000000-0005-0000-0000-000098060000}"/>
    <cellStyle name="Normal 11 2 5 2" xfId="3717" xr:uid="{00000000-0005-0000-0000-000099060000}"/>
    <cellStyle name="Normal 11 2 6" xfId="1387" xr:uid="{00000000-0005-0000-0000-00009A060000}"/>
    <cellStyle name="Normal 11 2 6 2" xfId="3718" xr:uid="{00000000-0005-0000-0000-00009B060000}"/>
    <cellStyle name="Normal 11 2 7" xfId="1388" xr:uid="{00000000-0005-0000-0000-00009C060000}"/>
    <cellStyle name="Normal 11 2 7 2" xfId="3719" xr:uid="{00000000-0005-0000-0000-00009D060000}"/>
    <cellStyle name="Normal 11 2 8" xfId="1389" xr:uid="{00000000-0005-0000-0000-00009E060000}"/>
    <cellStyle name="Normal 11 2 8 2" xfId="3720" xr:uid="{00000000-0005-0000-0000-00009F060000}"/>
    <cellStyle name="Normal 11 2 9" xfId="1390" xr:uid="{00000000-0005-0000-0000-0000A0060000}"/>
    <cellStyle name="Normal 11 2 9 2" xfId="3721" xr:uid="{00000000-0005-0000-0000-0000A1060000}"/>
    <cellStyle name="Normal 11 2_Sheet3" xfId="1391" xr:uid="{00000000-0005-0000-0000-0000A2060000}"/>
    <cellStyle name="Normal 11 3" xfId="1392" xr:uid="{00000000-0005-0000-0000-0000A3060000}"/>
    <cellStyle name="Normal 11 4" xfId="1393" xr:uid="{00000000-0005-0000-0000-0000A4060000}"/>
    <cellStyle name="Normal 11 4 10" xfId="1394" xr:uid="{00000000-0005-0000-0000-0000A5060000}"/>
    <cellStyle name="Normal 11 4 10 2" xfId="3723" xr:uid="{00000000-0005-0000-0000-0000A6060000}"/>
    <cellStyle name="Normal 11 4 11" xfId="3722" xr:uid="{00000000-0005-0000-0000-0000A7060000}"/>
    <cellStyle name="Normal 11 4 2" xfId="1395" xr:uid="{00000000-0005-0000-0000-0000A8060000}"/>
    <cellStyle name="Normal 11 4 2 2" xfId="3724" xr:uid="{00000000-0005-0000-0000-0000A9060000}"/>
    <cellStyle name="Normal 11 4 3" xfId="1396" xr:uid="{00000000-0005-0000-0000-0000AA060000}"/>
    <cellStyle name="Normal 11 4 3 2" xfId="3725" xr:uid="{00000000-0005-0000-0000-0000AB060000}"/>
    <cellStyle name="Normal 11 4 4" xfId="1397" xr:uid="{00000000-0005-0000-0000-0000AC060000}"/>
    <cellStyle name="Normal 11 4 4 2" xfId="3726" xr:uid="{00000000-0005-0000-0000-0000AD060000}"/>
    <cellStyle name="Normal 11 4 5" xfId="1398" xr:uid="{00000000-0005-0000-0000-0000AE060000}"/>
    <cellStyle name="Normal 11 4 5 2" xfId="3727" xr:uid="{00000000-0005-0000-0000-0000AF060000}"/>
    <cellStyle name="Normal 11 4 6" xfId="1399" xr:uid="{00000000-0005-0000-0000-0000B0060000}"/>
    <cellStyle name="Normal 11 4 6 2" xfId="3728" xr:uid="{00000000-0005-0000-0000-0000B1060000}"/>
    <cellStyle name="Normal 11 4 7" xfId="1400" xr:uid="{00000000-0005-0000-0000-0000B2060000}"/>
    <cellStyle name="Normal 11 4 7 2" xfId="3729" xr:uid="{00000000-0005-0000-0000-0000B3060000}"/>
    <cellStyle name="Normal 11 4 8" xfId="1401" xr:uid="{00000000-0005-0000-0000-0000B4060000}"/>
    <cellStyle name="Normal 11 4 8 2" xfId="3730" xr:uid="{00000000-0005-0000-0000-0000B5060000}"/>
    <cellStyle name="Normal 11 4 9" xfId="1402" xr:uid="{00000000-0005-0000-0000-0000B6060000}"/>
    <cellStyle name="Normal 11 4 9 2" xfId="3731" xr:uid="{00000000-0005-0000-0000-0000B7060000}"/>
    <cellStyle name="Normal 11 4_Sheet3" xfId="1403" xr:uid="{00000000-0005-0000-0000-0000B8060000}"/>
    <cellStyle name="Normal 11 5" xfId="1404" xr:uid="{00000000-0005-0000-0000-0000B9060000}"/>
    <cellStyle name="Normal 11 5 10" xfId="1405" xr:uid="{00000000-0005-0000-0000-0000BA060000}"/>
    <cellStyle name="Normal 11 5 10 2" xfId="3733" xr:uid="{00000000-0005-0000-0000-0000BB060000}"/>
    <cellStyle name="Normal 11 5 11" xfId="3732" xr:uid="{00000000-0005-0000-0000-0000BC060000}"/>
    <cellStyle name="Normal 11 5 2" xfId="1406" xr:uid="{00000000-0005-0000-0000-0000BD060000}"/>
    <cellStyle name="Normal 11 5 2 2" xfId="3734" xr:uid="{00000000-0005-0000-0000-0000BE060000}"/>
    <cellStyle name="Normal 11 5 3" xfId="1407" xr:uid="{00000000-0005-0000-0000-0000BF060000}"/>
    <cellStyle name="Normal 11 5 3 2" xfId="3735" xr:uid="{00000000-0005-0000-0000-0000C0060000}"/>
    <cellStyle name="Normal 11 5 4" xfId="1408" xr:uid="{00000000-0005-0000-0000-0000C1060000}"/>
    <cellStyle name="Normal 11 5 4 2" xfId="3736" xr:uid="{00000000-0005-0000-0000-0000C2060000}"/>
    <cellStyle name="Normal 11 5 5" xfId="1409" xr:uid="{00000000-0005-0000-0000-0000C3060000}"/>
    <cellStyle name="Normal 11 5 5 2" xfId="3737" xr:uid="{00000000-0005-0000-0000-0000C4060000}"/>
    <cellStyle name="Normal 11 5 6" xfId="1410" xr:uid="{00000000-0005-0000-0000-0000C5060000}"/>
    <cellStyle name="Normal 11 5 6 2" xfId="3738" xr:uid="{00000000-0005-0000-0000-0000C6060000}"/>
    <cellStyle name="Normal 11 5 7" xfId="1411" xr:uid="{00000000-0005-0000-0000-0000C7060000}"/>
    <cellStyle name="Normal 11 5 7 2" xfId="3739" xr:uid="{00000000-0005-0000-0000-0000C8060000}"/>
    <cellStyle name="Normal 11 5 8" xfId="1412" xr:uid="{00000000-0005-0000-0000-0000C9060000}"/>
    <cellStyle name="Normal 11 5 8 2" xfId="3740" xr:uid="{00000000-0005-0000-0000-0000CA060000}"/>
    <cellStyle name="Normal 11 5 9" xfId="1413" xr:uid="{00000000-0005-0000-0000-0000CB060000}"/>
    <cellStyle name="Normal 11 5 9 2" xfId="3741" xr:uid="{00000000-0005-0000-0000-0000CC060000}"/>
    <cellStyle name="Normal 11 5_Sheet3" xfId="1414" xr:uid="{00000000-0005-0000-0000-0000CD060000}"/>
    <cellStyle name="Normal 11 6" xfId="1415" xr:uid="{00000000-0005-0000-0000-0000CE060000}"/>
    <cellStyle name="Normal 11 6 2" xfId="3742" xr:uid="{00000000-0005-0000-0000-0000CF060000}"/>
    <cellStyle name="Normal 11 7" xfId="1416" xr:uid="{00000000-0005-0000-0000-0000D0060000}"/>
    <cellStyle name="Normal 11 7 2" xfId="3743" xr:uid="{00000000-0005-0000-0000-0000D1060000}"/>
    <cellStyle name="Normal 11 8" xfId="1417" xr:uid="{00000000-0005-0000-0000-0000D2060000}"/>
    <cellStyle name="Normal 11 8 2" xfId="3744" xr:uid="{00000000-0005-0000-0000-0000D3060000}"/>
    <cellStyle name="Normal 11 9" xfId="1418" xr:uid="{00000000-0005-0000-0000-0000D4060000}"/>
    <cellStyle name="Normal 11 9 2" xfId="3745" xr:uid="{00000000-0005-0000-0000-0000D5060000}"/>
    <cellStyle name="Normal 11_Sheet3" xfId="1419" xr:uid="{00000000-0005-0000-0000-0000D6060000}"/>
    <cellStyle name="Normal 110" xfId="4876" xr:uid="{00000000-0005-0000-0000-0000D7060000}"/>
    <cellStyle name="Normal 111" xfId="4878" xr:uid="{00000000-0005-0000-0000-0000D8060000}"/>
    <cellStyle name="Normal 112" xfId="4880" xr:uid="{00000000-0005-0000-0000-0000D9060000}"/>
    <cellStyle name="Normal 113" xfId="4881" xr:uid="{00000000-0005-0000-0000-0000DA060000}"/>
    <cellStyle name="Normal 114" xfId="4882" xr:uid="{00000000-0005-0000-0000-0000DB060000}"/>
    <cellStyle name="Normal 115" xfId="4883" xr:uid="{00000000-0005-0000-0000-0000DC060000}"/>
    <cellStyle name="Normal 116" xfId="4884" xr:uid="{00000000-0005-0000-0000-0000DD060000}"/>
    <cellStyle name="Normal 117" xfId="4885" xr:uid="{00000000-0005-0000-0000-0000DE060000}"/>
    <cellStyle name="Normal 118" xfId="4886" xr:uid="{00000000-0005-0000-0000-0000DF060000}"/>
    <cellStyle name="Normal 119" xfId="4887" xr:uid="{00000000-0005-0000-0000-0000E0060000}"/>
    <cellStyle name="Normal 12" xfId="1420" xr:uid="{00000000-0005-0000-0000-0000E1060000}"/>
    <cellStyle name="Normal 12 10" xfId="1421" xr:uid="{00000000-0005-0000-0000-0000E2060000}"/>
    <cellStyle name="Normal 12 10 2" xfId="3746" xr:uid="{00000000-0005-0000-0000-0000E3060000}"/>
    <cellStyle name="Normal 12 11" xfId="1422" xr:uid="{00000000-0005-0000-0000-0000E4060000}"/>
    <cellStyle name="Normal 12 11 2" xfId="3747" xr:uid="{00000000-0005-0000-0000-0000E5060000}"/>
    <cellStyle name="Normal 12 12" xfId="1423" xr:uid="{00000000-0005-0000-0000-0000E6060000}"/>
    <cellStyle name="Normal 12 12 2" xfId="3748" xr:uid="{00000000-0005-0000-0000-0000E7060000}"/>
    <cellStyle name="Normal 12 2" xfId="1424" xr:uid="{00000000-0005-0000-0000-0000E8060000}"/>
    <cellStyle name="Normal 12 3" xfId="1425" xr:uid="{00000000-0005-0000-0000-0000E9060000}"/>
    <cellStyle name="Normal 12 3 10" xfId="1426" xr:uid="{00000000-0005-0000-0000-0000EA060000}"/>
    <cellStyle name="Normal 12 3 10 2" xfId="3750" xr:uid="{00000000-0005-0000-0000-0000EB060000}"/>
    <cellStyle name="Normal 12 3 11" xfId="3749" xr:uid="{00000000-0005-0000-0000-0000EC060000}"/>
    <cellStyle name="Normal 12 3 2" xfId="1427" xr:uid="{00000000-0005-0000-0000-0000ED060000}"/>
    <cellStyle name="Normal 12 3 2 2" xfId="3751" xr:uid="{00000000-0005-0000-0000-0000EE060000}"/>
    <cellStyle name="Normal 12 3 3" xfId="1428" xr:uid="{00000000-0005-0000-0000-0000EF060000}"/>
    <cellStyle name="Normal 12 3 3 2" xfId="3752" xr:uid="{00000000-0005-0000-0000-0000F0060000}"/>
    <cellStyle name="Normal 12 3 4" xfId="1429" xr:uid="{00000000-0005-0000-0000-0000F1060000}"/>
    <cellStyle name="Normal 12 3 4 2" xfId="3753" xr:uid="{00000000-0005-0000-0000-0000F2060000}"/>
    <cellStyle name="Normal 12 3 5" xfId="1430" xr:uid="{00000000-0005-0000-0000-0000F3060000}"/>
    <cellStyle name="Normal 12 3 5 2" xfId="3754" xr:uid="{00000000-0005-0000-0000-0000F4060000}"/>
    <cellStyle name="Normal 12 3 6" xfId="1431" xr:uid="{00000000-0005-0000-0000-0000F5060000}"/>
    <cellStyle name="Normal 12 3 6 2" xfId="3755" xr:uid="{00000000-0005-0000-0000-0000F6060000}"/>
    <cellStyle name="Normal 12 3 7" xfId="1432" xr:uid="{00000000-0005-0000-0000-0000F7060000}"/>
    <cellStyle name="Normal 12 3 7 2" xfId="3756" xr:uid="{00000000-0005-0000-0000-0000F8060000}"/>
    <cellStyle name="Normal 12 3 8" xfId="1433" xr:uid="{00000000-0005-0000-0000-0000F9060000}"/>
    <cellStyle name="Normal 12 3 8 2" xfId="3757" xr:uid="{00000000-0005-0000-0000-0000FA060000}"/>
    <cellStyle name="Normal 12 3 9" xfId="1434" xr:uid="{00000000-0005-0000-0000-0000FB060000}"/>
    <cellStyle name="Normal 12 3 9 2" xfId="3758" xr:uid="{00000000-0005-0000-0000-0000FC060000}"/>
    <cellStyle name="Normal 12 3_Sheet3" xfId="1435" xr:uid="{00000000-0005-0000-0000-0000FD060000}"/>
    <cellStyle name="Normal 12 4" xfId="1436" xr:uid="{00000000-0005-0000-0000-0000FE060000}"/>
    <cellStyle name="Normal 12 4 2" xfId="3759" xr:uid="{00000000-0005-0000-0000-0000FF060000}"/>
    <cellStyle name="Normal 12 5" xfId="1437" xr:uid="{00000000-0005-0000-0000-000000070000}"/>
    <cellStyle name="Normal 12 5 2" xfId="3760" xr:uid="{00000000-0005-0000-0000-000001070000}"/>
    <cellStyle name="Normal 12 6" xfId="1438" xr:uid="{00000000-0005-0000-0000-000002070000}"/>
    <cellStyle name="Normal 12 6 2" xfId="3761" xr:uid="{00000000-0005-0000-0000-000003070000}"/>
    <cellStyle name="Normal 12 7" xfId="1439" xr:uid="{00000000-0005-0000-0000-000004070000}"/>
    <cellStyle name="Normal 12 7 2" xfId="3762" xr:uid="{00000000-0005-0000-0000-000005070000}"/>
    <cellStyle name="Normal 12 8" xfId="1440" xr:uid="{00000000-0005-0000-0000-000006070000}"/>
    <cellStyle name="Normal 12 8 2" xfId="3763" xr:uid="{00000000-0005-0000-0000-000007070000}"/>
    <cellStyle name="Normal 12 9" xfId="1441" xr:uid="{00000000-0005-0000-0000-000008070000}"/>
    <cellStyle name="Normal 12 9 2" xfId="3764" xr:uid="{00000000-0005-0000-0000-000009070000}"/>
    <cellStyle name="Normal 12_Sheet3" xfId="1442" xr:uid="{00000000-0005-0000-0000-00000A070000}"/>
    <cellStyle name="Normal 120" xfId="4888" xr:uid="{00000000-0005-0000-0000-00000B070000}"/>
    <cellStyle name="Normal 121" xfId="4889" xr:uid="{00000000-0005-0000-0000-00000C070000}"/>
    <cellStyle name="Normal 122" xfId="4890" xr:uid="{00000000-0005-0000-0000-00000D070000}"/>
    <cellStyle name="Normal 123" xfId="4891" xr:uid="{00000000-0005-0000-0000-00000E070000}"/>
    <cellStyle name="Normal 124" xfId="4892" xr:uid="{00000000-0005-0000-0000-00000F070000}"/>
    <cellStyle name="Normal 125" xfId="4894" xr:uid="{00000000-0005-0000-0000-000010070000}"/>
    <cellStyle name="Normal 13" xfId="1443" xr:uid="{00000000-0005-0000-0000-000011070000}"/>
    <cellStyle name="Normal 13 10" xfId="1444" xr:uid="{00000000-0005-0000-0000-000012070000}"/>
    <cellStyle name="Normal 13 10 2" xfId="3766" xr:uid="{00000000-0005-0000-0000-000013070000}"/>
    <cellStyle name="Normal 13 11" xfId="1445" xr:uid="{00000000-0005-0000-0000-000014070000}"/>
    <cellStyle name="Normal 13 11 2" xfId="3767" xr:uid="{00000000-0005-0000-0000-000015070000}"/>
    <cellStyle name="Normal 13 12" xfId="3765" xr:uid="{00000000-0005-0000-0000-000016070000}"/>
    <cellStyle name="Normal 13 2" xfId="1446" xr:uid="{00000000-0005-0000-0000-000017070000}"/>
    <cellStyle name="Normal 13 3" xfId="1447" xr:uid="{00000000-0005-0000-0000-000018070000}"/>
    <cellStyle name="Normal 13 3 2" xfId="3768" xr:uid="{00000000-0005-0000-0000-000019070000}"/>
    <cellStyle name="Normal 13 4" xfId="1448" xr:uid="{00000000-0005-0000-0000-00001A070000}"/>
    <cellStyle name="Normal 13 4 2" xfId="3769" xr:uid="{00000000-0005-0000-0000-00001B070000}"/>
    <cellStyle name="Normal 13 5" xfId="1449" xr:uid="{00000000-0005-0000-0000-00001C070000}"/>
    <cellStyle name="Normal 13 5 2" xfId="3770" xr:uid="{00000000-0005-0000-0000-00001D070000}"/>
    <cellStyle name="Normal 13 6" xfId="1450" xr:uid="{00000000-0005-0000-0000-00001E070000}"/>
    <cellStyle name="Normal 13 6 2" xfId="3771" xr:uid="{00000000-0005-0000-0000-00001F070000}"/>
    <cellStyle name="Normal 13 7" xfId="1451" xr:uid="{00000000-0005-0000-0000-000020070000}"/>
    <cellStyle name="Normal 13 7 2" xfId="3772" xr:uid="{00000000-0005-0000-0000-000021070000}"/>
    <cellStyle name="Normal 13 8" xfId="1452" xr:uid="{00000000-0005-0000-0000-000022070000}"/>
    <cellStyle name="Normal 13 8 2" xfId="3773" xr:uid="{00000000-0005-0000-0000-000023070000}"/>
    <cellStyle name="Normal 13 9" xfId="1453" xr:uid="{00000000-0005-0000-0000-000024070000}"/>
    <cellStyle name="Normal 13 9 2" xfId="3774" xr:uid="{00000000-0005-0000-0000-000025070000}"/>
    <cellStyle name="Normal 13_Sheet3" xfId="1454" xr:uid="{00000000-0005-0000-0000-000026070000}"/>
    <cellStyle name="Normal 14" xfId="1455" xr:uid="{00000000-0005-0000-0000-000027070000}"/>
    <cellStyle name="Normal 14 10" xfId="1456" xr:uid="{00000000-0005-0000-0000-000028070000}"/>
    <cellStyle name="Normal 14 10 2" xfId="3776" xr:uid="{00000000-0005-0000-0000-000029070000}"/>
    <cellStyle name="Normal 14 11" xfId="1457" xr:uid="{00000000-0005-0000-0000-00002A070000}"/>
    <cellStyle name="Normal 14 11 2" xfId="3777" xr:uid="{00000000-0005-0000-0000-00002B070000}"/>
    <cellStyle name="Normal 14 12" xfId="1458" xr:uid="{00000000-0005-0000-0000-00002C070000}"/>
    <cellStyle name="Normal 14 12 2" xfId="3778" xr:uid="{00000000-0005-0000-0000-00002D070000}"/>
    <cellStyle name="Normal 14 13" xfId="3775" xr:uid="{00000000-0005-0000-0000-00002E070000}"/>
    <cellStyle name="Normal 14 2" xfId="1459" xr:uid="{00000000-0005-0000-0000-00002F070000}"/>
    <cellStyle name="Normal 14 2 2" xfId="1460" xr:uid="{00000000-0005-0000-0000-000030070000}"/>
    <cellStyle name="Normal 14 2 2 10" xfId="1461" xr:uid="{00000000-0005-0000-0000-000031070000}"/>
    <cellStyle name="Normal 14 2 2 10 2" xfId="3780" xr:uid="{00000000-0005-0000-0000-000032070000}"/>
    <cellStyle name="Normal 14 2 2 11" xfId="3779" xr:uid="{00000000-0005-0000-0000-000033070000}"/>
    <cellStyle name="Normal 14 2 2 2" xfId="1462" xr:uid="{00000000-0005-0000-0000-000034070000}"/>
    <cellStyle name="Normal 14 2 2 2 2" xfId="3781" xr:uid="{00000000-0005-0000-0000-000035070000}"/>
    <cellStyle name="Normal 14 2 2 3" xfId="1463" xr:uid="{00000000-0005-0000-0000-000036070000}"/>
    <cellStyle name="Normal 14 2 2 3 2" xfId="3782" xr:uid="{00000000-0005-0000-0000-000037070000}"/>
    <cellStyle name="Normal 14 2 2 4" xfId="1464" xr:uid="{00000000-0005-0000-0000-000038070000}"/>
    <cellStyle name="Normal 14 2 2 4 2" xfId="3783" xr:uid="{00000000-0005-0000-0000-000039070000}"/>
    <cellStyle name="Normal 14 2 2 5" xfId="1465" xr:uid="{00000000-0005-0000-0000-00003A070000}"/>
    <cellStyle name="Normal 14 2 2 5 2" xfId="3784" xr:uid="{00000000-0005-0000-0000-00003B070000}"/>
    <cellStyle name="Normal 14 2 2 6" xfId="1466" xr:uid="{00000000-0005-0000-0000-00003C070000}"/>
    <cellStyle name="Normal 14 2 2 6 2" xfId="3785" xr:uid="{00000000-0005-0000-0000-00003D070000}"/>
    <cellStyle name="Normal 14 2 2 7" xfId="1467" xr:uid="{00000000-0005-0000-0000-00003E070000}"/>
    <cellStyle name="Normal 14 2 2 7 2" xfId="3786" xr:uid="{00000000-0005-0000-0000-00003F070000}"/>
    <cellStyle name="Normal 14 2 2 8" xfId="1468" xr:uid="{00000000-0005-0000-0000-000040070000}"/>
    <cellStyle name="Normal 14 2 2 8 2" xfId="3787" xr:uid="{00000000-0005-0000-0000-000041070000}"/>
    <cellStyle name="Normal 14 2 2 9" xfId="1469" xr:uid="{00000000-0005-0000-0000-000042070000}"/>
    <cellStyle name="Normal 14 2 2 9 2" xfId="3788" xr:uid="{00000000-0005-0000-0000-000043070000}"/>
    <cellStyle name="Normal 14 2 2_Sheet3" xfId="1470" xr:uid="{00000000-0005-0000-0000-000044070000}"/>
    <cellStyle name="Normal 14 3" xfId="1471" xr:uid="{00000000-0005-0000-0000-000045070000}"/>
    <cellStyle name="Normal 14 3 10" xfId="1472" xr:uid="{00000000-0005-0000-0000-000046070000}"/>
    <cellStyle name="Normal 14 3 10 2" xfId="3790" xr:uid="{00000000-0005-0000-0000-000047070000}"/>
    <cellStyle name="Normal 14 3 11" xfId="3789" xr:uid="{00000000-0005-0000-0000-000048070000}"/>
    <cellStyle name="Normal 14 3 2" xfId="1473" xr:uid="{00000000-0005-0000-0000-000049070000}"/>
    <cellStyle name="Normal 14 3 2 2" xfId="3791" xr:uid="{00000000-0005-0000-0000-00004A070000}"/>
    <cellStyle name="Normal 14 3 3" xfId="1474" xr:uid="{00000000-0005-0000-0000-00004B070000}"/>
    <cellStyle name="Normal 14 3 3 2" xfId="3792" xr:uid="{00000000-0005-0000-0000-00004C070000}"/>
    <cellStyle name="Normal 14 3 4" xfId="1475" xr:uid="{00000000-0005-0000-0000-00004D070000}"/>
    <cellStyle name="Normal 14 3 4 2" xfId="3793" xr:uid="{00000000-0005-0000-0000-00004E070000}"/>
    <cellStyle name="Normal 14 3 5" xfId="1476" xr:uid="{00000000-0005-0000-0000-00004F070000}"/>
    <cellStyle name="Normal 14 3 5 2" xfId="3794" xr:uid="{00000000-0005-0000-0000-000050070000}"/>
    <cellStyle name="Normal 14 3 6" xfId="1477" xr:uid="{00000000-0005-0000-0000-000051070000}"/>
    <cellStyle name="Normal 14 3 6 2" xfId="3795" xr:uid="{00000000-0005-0000-0000-000052070000}"/>
    <cellStyle name="Normal 14 3 7" xfId="1478" xr:uid="{00000000-0005-0000-0000-000053070000}"/>
    <cellStyle name="Normal 14 3 7 2" xfId="3796" xr:uid="{00000000-0005-0000-0000-000054070000}"/>
    <cellStyle name="Normal 14 3 8" xfId="1479" xr:uid="{00000000-0005-0000-0000-000055070000}"/>
    <cellStyle name="Normal 14 3 8 2" xfId="3797" xr:uid="{00000000-0005-0000-0000-000056070000}"/>
    <cellStyle name="Normal 14 3 9" xfId="1480" xr:uid="{00000000-0005-0000-0000-000057070000}"/>
    <cellStyle name="Normal 14 3 9 2" xfId="3798" xr:uid="{00000000-0005-0000-0000-000058070000}"/>
    <cellStyle name="Normal 14 3_Sheet3" xfId="1481" xr:uid="{00000000-0005-0000-0000-000059070000}"/>
    <cellStyle name="Normal 14 4" xfId="1482" xr:uid="{00000000-0005-0000-0000-00005A070000}"/>
    <cellStyle name="Normal 14 4 2" xfId="3799" xr:uid="{00000000-0005-0000-0000-00005B070000}"/>
    <cellStyle name="Normal 14 5" xfId="1483" xr:uid="{00000000-0005-0000-0000-00005C070000}"/>
    <cellStyle name="Normal 14 5 2" xfId="3800" xr:uid="{00000000-0005-0000-0000-00005D070000}"/>
    <cellStyle name="Normal 14 6" xfId="1484" xr:uid="{00000000-0005-0000-0000-00005E070000}"/>
    <cellStyle name="Normal 14 6 2" xfId="3801" xr:uid="{00000000-0005-0000-0000-00005F070000}"/>
    <cellStyle name="Normal 14 7" xfId="1485" xr:uid="{00000000-0005-0000-0000-000060070000}"/>
    <cellStyle name="Normal 14 7 2" xfId="3802" xr:uid="{00000000-0005-0000-0000-000061070000}"/>
    <cellStyle name="Normal 14 8" xfId="1486" xr:uid="{00000000-0005-0000-0000-000062070000}"/>
    <cellStyle name="Normal 14 8 2" xfId="3803" xr:uid="{00000000-0005-0000-0000-000063070000}"/>
    <cellStyle name="Normal 14 9" xfId="1487" xr:uid="{00000000-0005-0000-0000-000064070000}"/>
    <cellStyle name="Normal 14 9 2" xfId="3804" xr:uid="{00000000-0005-0000-0000-000065070000}"/>
    <cellStyle name="Normal 14_Sheet3" xfId="1488" xr:uid="{00000000-0005-0000-0000-000066070000}"/>
    <cellStyle name="Normal 15" xfId="1489" xr:uid="{00000000-0005-0000-0000-000067070000}"/>
    <cellStyle name="Normal 15 2" xfId="1490" xr:uid="{00000000-0005-0000-0000-000068070000}"/>
    <cellStyle name="Normal 15 2 2" xfId="1491" xr:uid="{00000000-0005-0000-0000-000069070000}"/>
    <cellStyle name="Normal 15 2_Sheet3" xfId="1492" xr:uid="{00000000-0005-0000-0000-00006A070000}"/>
    <cellStyle name="Normal 15 3" xfId="1493" xr:uid="{00000000-0005-0000-0000-00006B070000}"/>
    <cellStyle name="Normal 15 3 10" xfId="1494" xr:uid="{00000000-0005-0000-0000-00006C070000}"/>
    <cellStyle name="Normal 15 3 10 2" xfId="3806" xr:uid="{00000000-0005-0000-0000-00006D070000}"/>
    <cellStyle name="Normal 15 3 11" xfId="3805" xr:uid="{00000000-0005-0000-0000-00006E070000}"/>
    <cellStyle name="Normal 15 3 2" xfId="1495" xr:uid="{00000000-0005-0000-0000-00006F070000}"/>
    <cellStyle name="Normal 15 3 2 2" xfId="3807" xr:uid="{00000000-0005-0000-0000-000070070000}"/>
    <cellStyle name="Normal 15 3 3" xfId="1496" xr:uid="{00000000-0005-0000-0000-000071070000}"/>
    <cellStyle name="Normal 15 3 3 2" xfId="3808" xr:uid="{00000000-0005-0000-0000-000072070000}"/>
    <cellStyle name="Normal 15 3 4" xfId="1497" xr:uid="{00000000-0005-0000-0000-000073070000}"/>
    <cellStyle name="Normal 15 3 4 2" xfId="3809" xr:uid="{00000000-0005-0000-0000-000074070000}"/>
    <cellStyle name="Normal 15 3 5" xfId="1498" xr:uid="{00000000-0005-0000-0000-000075070000}"/>
    <cellStyle name="Normal 15 3 5 2" xfId="3810" xr:uid="{00000000-0005-0000-0000-000076070000}"/>
    <cellStyle name="Normal 15 3 6" xfId="1499" xr:uid="{00000000-0005-0000-0000-000077070000}"/>
    <cellStyle name="Normal 15 3 6 2" xfId="3811" xr:uid="{00000000-0005-0000-0000-000078070000}"/>
    <cellStyle name="Normal 15 3 7" xfId="1500" xr:uid="{00000000-0005-0000-0000-000079070000}"/>
    <cellStyle name="Normal 15 3 7 2" xfId="3812" xr:uid="{00000000-0005-0000-0000-00007A070000}"/>
    <cellStyle name="Normal 15 3 8" xfId="1501" xr:uid="{00000000-0005-0000-0000-00007B070000}"/>
    <cellStyle name="Normal 15 3 8 2" xfId="3813" xr:uid="{00000000-0005-0000-0000-00007C070000}"/>
    <cellStyle name="Normal 15 3 9" xfId="1502" xr:uid="{00000000-0005-0000-0000-00007D070000}"/>
    <cellStyle name="Normal 15 3 9 2" xfId="3814" xr:uid="{00000000-0005-0000-0000-00007E070000}"/>
    <cellStyle name="Normal 15 3_Sheet3" xfId="1503" xr:uid="{00000000-0005-0000-0000-00007F070000}"/>
    <cellStyle name="Normal 15_Sheet3" xfId="1504" xr:uid="{00000000-0005-0000-0000-000080070000}"/>
    <cellStyle name="Normal 16" xfId="1505" xr:uid="{00000000-0005-0000-0000-000081070000}"/>
    <cellStyle name="Normal 16 10" xfId="1506" xr:uid="{00000000-0005-0000-0000-000082070000}"/>
    <cellStyle name="Normal 16 10 2" xfId="3815" xr:uid="{00000000-0005-0000-0000-000083070000}"/>
    <cellStyle name="Normal 16 11" xfId="1507" xr:uid="{00000000-0005-0000-0000-000084070000}"/>
    <cellStyle name="Normal 16 11 2" xfId="3816" xr:uid="{00000000-0005-0000-0000-000085070000}"/>
    <cellStyle name="Normal 16 12" xfId="1508" xr:uid="{00000000-0005-0000-0000-000086070000}"/>
    <cellStyle name="Normal 16 12 2" xfId="3817" xr:uid="{00000000-0005-0000-0000-000087070000}"/>
    <cellStyle name="Normal 16 2" xfId="1509" xr:uid="{00000000-0005-0000-0000-000088070000}"/>
    <cellStyle name="Normal 16 2 10" xfId="1510" xr:uid="{00000000-0005-0000-0000-000089070000}"/>
    <cellStyle name="Normal 16 2 10 2" xfId="3819" xr:uid="{00000000-0005-0000-0000-00008A070000}"/>
    <cellStyle name="Normal 16 2 11" xfId="3818" xr:uid="{00000000-0005-0000-0000-00008B070000}"/>
    <cellStyle name="Normal 16 2 2" xfId="1511" xr:uid="{00000000-0005-0000-0000-00008C070000}"/>
    <cellStyle name="Normal 16 2 2 2" xfId="3820" xr:uid="{00000000-0005-0000-0000-00008D070000}"/>
    <cellStyle name="Normal 16 2 3" xfId="1512" xr:uid="{00000000-0005-0000-0000-00008E070000}"/>
    <cellStyle name="Normal 16 2 3 2" xfId="3821" xr:uid="{00000000-0005-0000-0000-00008F070000}"/>
    <cellStyle name="Normal 16 2 4" xfId="1513" xr:uid="{00000000-0005-0000-0000-000090070000}"/>
    <cellStyle name="Normal 16 2 4 2" xfId="3822" xr:uid="{00000000-0005-0000-0000-000091070000}"/>
    <cellStyle name="Normal 16 2 5" xfId="1514" xr:uid="{00000000-0005-0000-0000-000092070000}"/>
    <cellStyle name="Normal 16 2 5 2" xfId="3823" xr:uid="{00000000-0005-0000-0000-000093070000}"/>
    <cellStyle name="Normal 16 2 6" xfId="1515" xr:uid="{00000000-0005-0000-0000-000094070000}"/>
    <cellStyle name="Normal 16 2 6 2" xfId="3824" xr:uid="{00000000-0005-0000-0000-000095070000}"/>
    <cellStyle name="Normal 16 2 7" xfId="1516" xr:uid="{00000000-0005-0000-0000-000096070000}"/>
    <cellStyle name="Normal 16 2 7 2" xfId="3825" xr:uid="{00000000-0005-0000-0000-000097070000}"/>
    <cellStyle name="Normal 16 2 8" xfId="1517" xr:uid="{00000000-0005-0000-0000-000098070000}"/>
    <cellStyle name="Normal 16 2 8 2" xfId="3826" xr:uid="{00000000-0005-0000-0000-000099070000}"/>
    <cellStyle name="Normal 16 2 9" xfId="1518" xr:uid="{00000000-0005-0000-0000-00009A070000}"/>
    <cellStyle name="Normal 16 2 9 2" xfId="3827" xr:uid="{00000000-0005-0000-0000-00009B070000}"/>
    <cellStyle name="Normal 16 2_Sheet3" xfId="1519" xr:uid="{00000000-0005-0000-0000-00009C070000}"/>
    <cellStyle name="Normal 16 3" xfId="1520" xr:uid="{00000000-0005-0000-0000-00009D070000}"/>
    <cellStyle name="Normal 16 4" xfId="1521" xr:uid="{00000000-0005-0000-0000-00009E070000}"/>
    <cellStyle name="Normal 16 4 2" xfId="3828" xr:uid="{00000000-0005-0000-0000-00009F070000}"/>
    <cellStyle name="Normal 16 5" xfId="1522" xr:uid="{00000000-0005-0000-0000-0000A0070000}"/>
    <cellStyle name="Normal 16 5 2" xfId="3829" xr:uid="{00000000-0005-0000-0000-0000A1070000}"/>
    <cellStyle name="Normal 16 6" xfId="1523" xr:uid="{00000000-0005-0000-0000-0000A2070000}"/>
    <cellStyle name="Normal 16 6 2" xfId="3830" xr:uid="{00000000-0005-0000-0000-0000A3070000}"/>
    <cellStyle name="Normal 16 7" xfId="1524" xr:uid="{00000000-0005-0000-0000-0000A4070000}"/>
    <cellStyle name="Normal 16 7 2" xfId="3831" xr:uid="{00000000-0005-0000-0000-0000A5070000}"/>
    <cellStyle name="Normal 16 8" xfId="1525" xr:uid="{00000000-0005-0000-0000-0000A6070000}"/>
    <cellStyle name="Normal 16 8 2" xfId="3832" xr:uid="{00000000-0005-0000-0000-0000A7070000}"/>
    <cellStyle name="Normal 16 9" xfId="1526" xr:uid="{00000000-0005-0000-0000-0000A8070000}"/>
    <cellStyle name="Normal 16 9 2" xfId="3833" xr:uid="{00000000-0005-0000-0000-0000A9070000}"/>
    <cellStyle name="Normal 16_Sheet3" xfId="1527" xr:uid="{00000000-0005-0000-0000-0000AA070000}"/>
    <cellStyle name="Normal 17" xfId="1528" xr:uid="{00000000-0005-0000-0000-0000AB070000}"/>
    <cellStyle name="Normal 17 10" xfId="1529" xr:uid="{00000000-0005-0000-0000-0000AC070000}"/>
    <cellStyle name="Normal 17 10 2" xfId="3834" xr:uid="{00000000-0005-0000-0000-0000AD070000}"/>
    <cellStyle name="Normal 17 11" xfId="1530" xr:uid="{00000000-0005-0000-0000-0000AE070000}"/>
    <cellStyle name="Normal 17 11 2" xfId="3835" xr:uid="{00000000-0005-0000-0000-0000AF070000}"/>
    <cellStyle name="Normal 17 2" xfId="1531" xr:uid="{00000000-0005-0000-0000-0000B0070000}"/>
    <cellStyle name="Normal 17 2 10" xfId="1532" xr:uid="{00000000-0005-0000-0000-0000B1070000}"/>
    <cellStyle name="Normal 17 2 10 2" xfId="3837" xr:uid="{00000000-0005-0000-0000-0000B2070000}"/>
    <cellStyle name="Normal 17 2 11" xfId="3836" xr:uid="{00000000-0005-0000-0000-0000B3070000}"/>
    <cellStyle name="Normal 17 2 2" xfId="1533" xr:uid="{00000000-0005-0000-0000-0000B4070000}"/>
    <cellStyle name="Normal 17 2 2 2" xfId="3838" xr:uid="{00000000-0005-0000-0000-0000B5070000}"/>
    <cellStyle name="Normal 17 2 3" xfId="1534" xr:uid="{00000000-0005-0000-0000-0000B6070000}"/>
    <cellStyle name="Normal 17 2 3 2" xfId="3839" xr:uid="{00000000-0005-0000-0000-0000B7070000}"/>
    <cellStyle name="Normal 17 2 4" xfId="1535" xr:uid="{00000000-0005-0000-0000-0000B8070000}"/>
    <cellStyle name="Normal 17 2 4 2" xfId="3840" xr:uid="{00000000-0005-0000-0000-0000B9070000}"/>
    <cellStyle name="Normal 17 2 5" xfId="1536" xr:uid="{00000000-0005-0000-0000-0000BA070000}"/>
    <cellStyle name="Normal 17 2 5 2" xfId="3841" xr:uid="{00000000-0005-0000-0000-0000BB070000}"/>
    <cellStyle name="Normal 17 2 6" xfId="1537" xr:uid="{00000000-0005-0000-0000-0000BC070000}"/>
    <cellStyle name="Normal 17 2 6 2" xfId="3842" xr:uid="{00000000-0005-0000-0000-0000BD070000}"/>
    <cellStyle name="Normal 17 2 7" xfId="1538" xr:uid="{00000000-0005-0000-0000-0000BE070000}"/>
    <cellStyle name="Normal 17 2 7 2" xfId="3843" xr:uid="{00000000-0005-0000-0000-0000BF070000}"/>
    <cellStyle name="Normal 17 2 8" xfId="1539" xr:uid="{00000000-0005-0000-0000-0000C0070000}"/>
    <cellStyle name="Normal 17 2 8 2" xfId="3844" xr:uid="{00000000-0005-0000-0000-0000C1070000}"/>
    <cellStyle name="Normal 17 2 9" xfId="1540" xr:uid="{00000000-0005-0000-0000-0000C2070000}"/>
    <cellStyle name="Normal 17 2 9 2" xfId="3845" xr:uid="{00000000-0005-0000-0000-0000C3070000}"/>
    <cellStyle name="Normal 17 2_Sheet3" xfId="1541" xr:uid="{00000000-0005-0000-0000-0000C4070000}"/>
    <cellStyle name="Normal 17 3" xfId="1542" xr:uid="{00000000-0005-0000-0000-0000C5070000}"/>
    <cellStyle name="Normal 17 3 2" xfId="3846" xr:uid="{00000000-0005-0000-0000-0000C6070000}"/>
    <cellStyle name="Normal 17 4" xfId="1543" xr:uid="{00000000-0005-0000-0000-0000C7070000}"/>
    <cellStyle name="Normal 17 4 2" xfId="3847" xr:uid="{00000000-0005-0000-0000-0000C8070000}"/>
    <cellStyle name="Normal 17 5" xfId="1544" xr:uid="{00000000-0005-0000-0000-0000C9070000}"/>
    <cellStyle name="Normal 17 5 2" xfId="3848" xr:uid="{00000000-0005-0000-0000-0000CA070000}"/>
    <cellStyle name="Normal 17 6" xfId="1545" xr:uid="{00000000-0005-0000-0000-0000CB070000}"/>
    <cellStyle name="Normal 17 6 2" xfId="3849" xr:uid="{00000000-0005-0000-0000-0000CC070000}"/>
    <cellStyle name="Normal 17 7" xfId="1546" xr:uid="{00000000-0005-0000-0000-0000CD070000}"/>
    <cellStyle name="Normal 17 7 2" xfId="3850" xr:uid="{00000000-0005-0000-0000-0000CE070000}"/>
    <cellStyle name="Normal 17 8" xfId="1547" xr:uid="{00000000-0005-0000-0000-0000CF070000}"/>
    <cellStyle name="Normal 17 8 2" xfId="3851" xr:uid="{00000000-0005-0000-0000-0000D0070000}"/>
    <cellStyle name="Normal 17 9" xfId="1548" xr:uid="{00000000-0005-0000-0000-0000D1070000}"/>
    <cellStyle name="Normal 17 9 2" xfId="3852" xr:uid="{00000000-0005-0000-0000-0000D2070000}"/>
    <cellStyle name="Normal 17_Sheet3" xfId="1549" xr:uid="{00000000-0005-0000-0000-0000D3070000}"/>
    <cellStyle name="Normal 18" xfId="1550" xr:uid="{00000000-0005-0000-0000-0000D4070000}"/>
    <cellStyle name="Normal 18 10" xfId="1551" xr:uid="{00000000-0005-0000-0000-0000D5070000}"/>
    <cellStyle name="Normal 18 10 2" xfId="3853" xr:uid="{00000000-0005-0000-0000-0000D6070000}"/>
    <cellStyle name="Normal 18 11" xfId="1552" xr:uid="{00000000-0005-0000-0000-0000D7070000}"/>
    <cellStyle name="Normal 18 11 2" xfId="3854" xr:uid="{00000000-0005-0000-0000-0000D8070000}"/>
    <cellStyle name="Normal 18 12" xfId="1553" xr:uid="{00000000-0005-0000-0000-0000D9070000}"/>
    <cellStyle name="Normal 18 12 2" xfId="3855" xr:uid="{00000000-0005-0000-0000-0000DA070000}"/>
    <cellStyle name="Normal 18 2" xfId="1554" xr:uid="{00000000-0005-0000-0000-0000DB070000}"/>
    <cellStyle name="Normal 18 3" xfId="1555" xr:uid="{00000000-0005-0000-0000-0000DC070000}"/>
    <cellStyle name="Normal 18 4" xfId="1556" xr:uid="{00000000-0005-0000-0000-0000DD070000}"/>
    <cellStyle name="Normal 18 4 2" xfId="3856" xr:uid="{00000000-0005-0000-0000-0000DE070000}"/>
    <cellStyle name="Normal 18 5" xfId="1557" xr:uid="{00000000-0005-0000-0000-0000DF070000}"/>
    <cellStyle name="Normal 18 5 2" xfId="3857" xr:uid="{00000000-0005-0000-0000-0000E0070000}"/>
    <cellStyle name="Normal 18 6" xfId="1558" xr:uid="{00000000-0005-0000-0000-0000E1070000}"/>
    <cellStyle name="Normal 18 6 2" xfId="3858" xr:uid="{00000000-0005-0000-0000-0000E2070000}"/>
    <cellStyle name="Normal 18 7" xfId="1559" xr:uid="{00000000-0005-0000-0000-0000E3070000}"/>
    <cellStyle name="Normal 18 7 2" xfId="3859" xr:uid="{00000000-0005-0000-0000-0000E4070000}"/>
    <cellStyle name="Normal 18 8" xfId="1560" xr:uid="{00000000-0005-0000-0000-0000E5070000}"/>
    <cellStyle name="Normal 18 8 2" xfId="3860" xr:uid="{00000000-0005-0000-0000-0000E6070000}"/>
    <cellStyle name="Normal 18 9" xfId="1561" xr:uid="{00000000-0005-0000-0000-0000E7070000}"/>
    <cellStyle name="Normal 18 9 2" xfId="3861" xr:uid="{00000000-0005-0000-0000-0000E8070000}"/>
    <cellStyle name="Normal 18_Sheet3" xfId="1562" xr:uid="{00000000-0005-0000-0000-0000E9070000}"/>
    <cellStyle name="Normal 19" xfId="1563" xr:uid="{00000000-0005-0000-0000-0000EA070000}"/>
    <cellStyle name="Normal 19 10" xfId="1564" xr:uid="{00000000-0005-0000-0000-0000EB070000}"/>
    <cellStyle name="Normal 19 10 2" xfId="3863" xr:uid="{00000000-0005-0000-0000-0000EC070000}"/>
    <cellStyle name="Normal 19 11" xfId="1565" xr:uid="{00000000-0005-0000-0000-0000ED070000}"/>
    <cellStyle name="Normal 19 11 2" xfId="3864" xr:uid="{00000000-0005-0000-0000-0000EE070000}"/>
    <cellStyle name="Normal 19 12" xfId="1566" xr:uid="{00000000-0005-0000-0000-0000EF070000}"/>
    <cellStyle name="Normal 19 12 2" xfId="3865" xr:uid="{00000000-0005-0000-0000-0000F0070000}"/>
    <cellStyle name="Normal 19 13" xfId="3862" xr:uid="{00000000-0005-0000-0000-0000F1070000}"/>
    <cellStyle name="Normal 19 2" xfId="1567" xr:uid="{00000000-0005-0000-0000-0000F2070000}"/>
    <cellStyle name="Normal 19 3" xfId="1568" xr:uid="{00000000-0005-0000-0000-0000F3070000}"/>
    <cellStyle name="Normal 19 4" xfId="1569" xr:uid="{00000000-0005-0000-0000-0000F4070000}"/>
    <cellStyle name="Normal 19 4 2" xfId="3866" xr:uid="{00000000-0005-0000-0000-0000F5070000}"/>
    <cellStyle name="Normal 19 5" xfId="1570" xr:uid="{00000000-0005-0000-0000-0000F6070000}"/>
    <cellStyle name="Normal 19 5 2" xfId="3867" xr:uid="{00000000-0005-0000-0000-0000F7070000}"/>
    <cellStyle name="Normal 19 6" xfId="1571" xr:uid="{00000000-0005-0000-0000-0000F8070000}"/>
    <cellStyle name="Normal 19 6 2" xfId="3868" xr:uid="{00000000-0005-0000-0000-0000F9070000}"/>
    <cellStyle name="Normal 19 7" xfId="1572" xr:uid="{00000000-0005-0000-0000-0000FA070000}"/>
    <cellStyle name="Normal 19 7 2" xfId="3869" xr:uid="{00000000-0005-0000-0000-0000FB070000}"/>
    <cellStyle name="Normal 19 8" xfId="1573" xr:uid="{00000000-0005-0000-0000-0000FC070000}"/>
    <cellStyle name="Normal 19 8 2" xfId="3870" xr:uid="{00000000-0005-0000-0000-0000FD070000}"/>
    <cellStyle name="Normal 19 9" xfId="1574" xr:uid="{00000000-0005-0000-0000-0000FE070000}"/>
    <cellStyle name="Normal 19 9 2" xfId="3871" xr:uid="{00000000-0005-0000-0000-0000FF070000}"/>
    <cellStyle name="Normal 19_Sheet3" xfId="1575" xr:uid="{00000000-0005-0000-0000-000000080000}"/>
    <cellStyle name="Normal 2" xfId="43" xr:uid="{00000000-0005-0000-0000-000001080000}"/>
    <cellStyle name="Normal 2 2" xfId="1576" xr:uid="{00000000-0005-0000-0000-000002080000}"/>
    <cellStyle name="Normal 2 2 2" xfId="1577" xr:uid="{00000000-0005-0000-0000-000003080000}"/>
    <cellStyle name="Normal 2 2 2 2" xfId="1578" xr:uid="{00000000-0005-0000-0000-000004080000}"/>
    <cellStyle name="Normal 2 2 3" xfId="1579" xr:uid="{00000000-0005-0000-0000-000005080000}"/>
    <cellStyle name="Normal 2 2 3 10" xfId="1580" xr:uid="{00000000-0005-0000-0000-000006080000}"/>
    <cellStyle name="Normal 2 2 3 10 2" xfId="3873" xr:uid="{00000000-0005-0000-0000-000007080000}"/>
    <cellStyle name="Normal 2 2 3 11" xfId="3872" xr:uid="{00000000-0005-0000-0000-000008080000}"/>
    <cellStyle name="Normal 2 2 3 2" xfId="1581" xr:uid="{00000000-0005-0000-0000-000009080000}"/>
    <cellStyle name="Normal 2 2 3 2 2" xfId="3874" xr:uid="{00000000-0005-0000-0000-00000A080000}"/>
    <cellStyle name="Normal 2 2 3 3" xfId="1582" xr:uid="{00000000-0005-0000-0000-00000B080000}"/>
    <cellStyle name="Normal 2 2 3 3 2" xfId="3875" xr:uid="{00000000-0005-0000-0000-00000C080000}"/>
    <cellStyle name="Normal 2 2 3 4" xfId="1583" xr:uid="{00000000-0005-0000-0000-00000D080000}"/>
    <cellStyle name="Normal 2 2 3 4 2" xfId="3876" xr:uid="{00000000-0005-0000-0000-00000E080000}"/>
    <cellStyle name="Normal 2 2 3 5" xfId="1584" xr:uid="{00000000-0005-0000-0000-00000F080000}"/>
    <cellStyle name="Normal 2 2 3 5 2" xfId="3877" xr:uid="{00000000-0005-0000-0000-000010080000}"/>
    <cellStyle name="Normal 2 2 3 6" xfId="1585" xr:uid="{00000000-0005-0000-0000-000011080000}"/>
    <cellStyle name="Normal 2 2 3 6 2" xfId="3878" xr:uid="{00000000-0005-0000-0000-000012080000}"/>
    <cellStyle name="Normal 2 2 3 7" xfId="1586" xr:uid="{00000000-0005-0000-0000-000013080000}"/>
    <cellStyle name="Normal 2 2 3 7 2" xfId="3879" xr:uid="{00000000-0005-0000-0000-000014080000}"/>
    <cellStyle name="Normal 2 2 3 8" xfId="1587" xr:uid="{00000000-0005-0000-0000-000015080000}"/>
    <cellStyle name="Normal 2 2 3 8 2" xfId="3880" xr:uid="{00000000-0005-0000-0000-000016080000}"/>
    <cellStyle name="Normal 2 2 3 9" xfId="1588" xr:uid="{00000000-0005-0000-0000-000017080000}"/>
    <cellStyle name="Normal 2 2 3 9 2" xfId="3881" xr:uid="{00000000-0005-0000-0000-000018080000}"/>
    <cellStyle name="Normal 2 2 3_Sheet3" xfId="1589" xr:uid="{00000000-0005-0000-0000-000019080000}"/>
    <cellStyle name="Normal 2 3" xfId="1590" xr:uid="{00000000-0005-0000-0000-00001A080000}"/>
    <cellStyle name="Normal 2 3 2" xfId="3882" xr:uid="{00000000-0005-0000-0000-00001B080000}"/>
    <cellStyle name="Normal 2 4" xfId="1591" xr:uid="{00000000-0005-0000-0000-00001C080000}"/>
    <cellStyle name="Normal 2 4 2" xfId="1592" xr:uid="{00000000-0005-0000-0000-00001D080000}"/>
    <cellStyle name="Normal 2 4 2 2" xfId="1593" xr:uid="{00000000-0005-0000-0000-00001E080000}"/>
    <cellStyle name="Normal 2 4 3" xfId="1594" xr:uid="{00000000-0005-0000-0000-00001F080000}"/>
    <cellStyle name="Normal 2 4 4" xfId="3883" xr:uid="{00000000-0005-0000-0000-000020080000}"/>
    <cellStyle name="Normal 2 5" xfId="1595" xr:uid="{00000000-0005-0000-0000-000021080000}"/>
    <cellStyle name="Normal 2 5 2" xfId="3884" xr:uid="{00000000-0005-0000-0000-000022080000}"/>
    <cellStyle name="Normal 2 6" xfId="1596" xr:uid="{00000000-0005-0000-0000-000023080000}"/>
    <cellStyle name="Normal 2 6 10" xfId="1597" xr:uid="{00000000-0005-0000-0000-000024080000}"/>
    <cellStyle name="Normal 2 6 10 2" xfId="3886" xr:uid="{00000000-0005-0000-0000-000025080000}"/>
    <cellStyle name="Normal 2 6 11" xfId="1598" xr:uid="{00000000-0005-0000-0000-000026080000}"/>
    <cellStyle name="Normal 2 6 11 2" xfId="3887" xr:uid="{00000000-0005-0000-0000-000027080000}"/>
    <cellStyle name="Normal 2 6 12" xfId="3885" xr:uid="{00000000-0005-0000-0000-000028080000}"/>
    <cellStyle name="Normal 2 6 2" xfId="1599" xr:uid="{00000000-0005-0000-0000-000029080000}"/>
    <cellStyle name="Normal 2 6 2 10" xfId="1600" xr:uid="{00000000-0005-0000-0000-00002A080000}"/>
    <cellStyle name="Normal 2 6 2 10 2" xfId="3888" xr:uid="{00000000-0005-0000-0000-00002B080000}"/>
    <cellStyle name="Normal 2 6 2 2" xfId="1601" xr:uid="{00000000-0005-0000-0000-00002C080000}"/>
    <cellStyle name="Normal 2 6 2 2 2" xfId="3889" xr:uid="{00000000-0005-0000-0000-00002D080000}"/>
    <cellStyle name="Normal 2 6 2 3" xfId="1602" xr:uid="{00000000-0005-0000-0000-00002E080000}"/>
    <cellStyle name="Normal 2 6 2 3 2" xfId="3890" xr:uid="{00000000-0005-0000-0000-00002F080000}"/>
    <cellStyle name="Normal 2 6 2 4" xfId="1603" xr:uid="{00000000-0005-0000-0000-000030080000}"/>
    <cellStyle name="Normal 2 6 2 4 2" xfId="3891" xr:uid="{00000000-0005-0000-0000-000031080000}"/>
    <cellStyle name="Normal 2 6 2 5" xfId="1604" xr:uid="{00000000-0005-0000-0000-000032080000}"/>
    <cellStyle name="Normal 2 6 2 5 2" xfId="3892" xr:uid="{00000000-0005-0000-0000-000033080000}"/>
    <cellStyle name="Normal 2 6 2 6" xfId="1605" xr:uid="{00000000-0005-0000-0000-000034080000}"/>
    <cellStyle name="Normal 2 6 2 6 2" xfId="3893" xr:uid="{00000000-0005-0000-0000-000035080000}"/>
    <cellStyle name="Normal 2 6 2 7" xfId="1606" xr:uid="{00000000-0005-0000-0000-000036080000}"/>
    <cellStyle name="Normal 2 6 2 7 2" xfId="3894" xr:uid="{00000000-0005-0000-0000-000037080000}"/>
    <cellStyle name="Normal 2 6 2 8" xfId="1607" xr:uid="{00000000-0005-0000-0000-000038080000}"/>
    <cellStyle name="Normal 2 6 2 8 2" xfId="3895" xr:uid="{00000000-0005-0000-0000-000039080000}"/>
    <cellStyle name="Normal 2 6 2 9" xfId="1608" xr:uid="{00000000-0005-0000-0000-00003A080000}"/>
    <cellStyle name="Normal 2 6 2 9 2" xfId="3896" xr:uid="{00000000-0005-0000-0000-00003B080000}"/>
    <cellStyle name="Normal 2 6 2_Sheet3" xfId="1609" xr:uid="{00000000-0005-0000-0000-00003C080000}"/>
    <cellStyle name="Normal 2 6 3" xfId="1610" xr:uid="{00000000-0005-0000-0000-00003D080000}"/>
    <cellStyle name="Normal 2 6 3 2" xfId="3897" xr:uid="{00000000-0005-0000-0000-00003E080000}"/>
    <cellStyle name="Normal 2 6 4" xfId="1611" xr:uid="{00000000-0005-0000-0000-00003F080000}"/>
    <cellStyle name="Normal 2 6 4 2" xfId="3898" xr:uid="{00000000-0005-0000-0000-000040080000}"/>
    <cellStyle name="Normal 2 6 5" xfId="1612" xr:uid="{00000000-0005-0000-0000-000041080000}"/>
    <cellStyle name="Normal 2 6 5 2" xfId="3899" xr:uid="{00000000-0005-0000-0000-000042080000}"/>
    <cellStyle name="Normal 2 6 6" xfId="1613" xr:uid="{00000000-0005-0000-0000-000043080000}"/>
    <cellStyle name="Normal 2 6 6 2" xfId="3900" xr:uid="{00000000-0005-0000-0000-000044080000}"/>
    <cellStyle name="Normal 2 6 7" xfId="1614" xr:uid="{00000000-0005-0000-0000-000045080000}"/>
    <cellStyle name="Normal 2 6 7 2" xfId="3901" xr:uid="{00000000-0005-0000-0000-000046080000}"/>
    <cellStyle name="Normal 2 6 8" xfId="1615" xr:uid="{00000000-0005-0000-0000-000047080000}"/>
    <cellStyle name="Normal 2 6 8 2" xfId="3902" xr:uid="{00000000-0005-0000-0000-000048080000}"/>
    <cellStyle name="Normal 2 6 9" xfId="1616" xr:uid="{00000000-0005-0000-0000-000049080000}"/>
    <cellStyle name="Normal 2 6 9 2" xfId="3903" xr:uid="{00000000-0005-0000-0000-00004A080000}"/>
    <cellStyle name="Normal 2 6_Sheet3" xfId="1617" xr:uid="{00000000-0005-0000-0000-00004B080000}"/>
    <cellStyle name="Normal 2 7" xfId="1618" xr:uid="{00000000-0005-0000-0000-00004C080000}"/>
    <cellStyle name="Normal 2 8" xfId="1619" xr:uid="{00000000-0005-0000-0000-00004D080000}"/>
    <cellStyle name="Normal 2 9" xfId="3443" xr:uid="{00000000-0005-0000-0000-00004E080000}"/>
    <cellStyle name="Normal 2_01 ESTIMATE Plumbing,fire (towers)." xfId="1620" xr:uid="{00000000-0005-0000-0000-00004F080000}"/>
    <cellStyle name="Normal 20" xfId="1621" xr:uid="{00000000-0005-0000-0000-000050080000}"/>
    <cellStyle name="Normal 20 10" xfId="1622" xr:uid="{00000000-0005-0000-0000-000051080000}"/>
    <cellStyle name="Normal 20 10 2" xfId="3905" xr:uid="{00000000-0005-0000-0000-000052080000}"/>
    <cellStyle name="Normal 20 11" xfId="1623" xr:uid="{00000000-0005-0000-0000-000053080000}"/>
    <cellStyle name="Normal 20 11 2" xfId="3906" xr:uid="{00000000-0005-0000-0000-000054080000}"/>
    <cellStyle name="Normal 20 12" xfId="3904" xr:uid="{00000000-0005-0000-0000-000055080000}"/>
    <cellStyle name="Normal 20 2" xfId="1624" xr:uid="{00000000-0005-0000-0000-000056080000}"/>
    <cellStyle name="Normal 20 2 10" xfId="1625" xr:uid="{00000000-0005-0000-0000-000057080000}"/>
    <cellStyle name="Normal 20 2 10 2" xfId="3908" xr:uid="{00000000-0005-0000-0000-000058080000}"/>
    <cellStyle name="Normal 20 2 11" xfId="3907" xr:uid="{00000000-0005-0000-0000-000059080000}"/>
    <cellStyle name="Normal 20 2 2" xfId="1626" xr:uid="{00000000-0005-0000-0000-00005A080000}"/>
    <cellStyle name="Normal 20 2 2 2" xfId="3909" xr:uid="{00000000-0005-0000-0000-00005B080000}"/>
    <cellStyle name="Normal 20 2 3" xfId="1627" xr:uid="{00000000-0005-0000-0000-00005C080000}"/>
    <cellStyle name="Normal 20 2 3 2" xfId="3910" xr:uid="{00000000-0005-0000-0000-00005D080000}"/>
    <cellStyle name="Normal 20 2 4" xfId="1628" xr:uid="{00000000-0005-0000-0000-00005E080000}"/>
    <cellStyle name="Normal 20 2 4 2" xfId="3911" xr:uid="{00000000-0005-0000-0000-00005F080000}"/>
    <cellStyle name="Normal 20 2 5" xfId="1629" xr:uid="{00000000-0005-0000-0000-000060080000}"/>
    <cellStyle name="Normal 20 2 5 2" xfId="3912" xr:uid="{00000000-0005-0000-0000-000061080000}"/>
    <cellStyle name="Normal 20 2 6" xfId="1630" xr:uid="{00000000-0005-0000-0000-000062080000}"/>
    <cellStyle name="Normal 20 2 6 2" xfId="3913" xr:uid="{00000000-0005-0000-0000-000063080000}"/>
    <cellStyle name="Normal 20 2 7" xfId="1631" xr:uid="{00000000-0005-0000-0000-000064080000}"/>
    <cellStyle name="Normal 20 2 7 2" xfId="3914" xr:uid="{00000000-0005-0000-0000-000065080000}"/>
    <cellStyle name="Normal 20 2 8" xfId="1632" xr:uid="{00000000-0005-0000-0000-000066080000}"/>
    <cellStyle name="Normal 20 2 8 2" xfId="3915" xr:uid="{00000000-0005-0000-0000-000067080000}"/>
    <cellStyle name="Normal 20 2 9" xfId="1633" xr:uid="{00000000-0005-0000-0000-000068080000}"/>
    <cellStyle name="Normal 20 2 9 2" xfId="3916" xr:uid="{00000000-0005-0000-0000-000069080000}"/>
    <cellStyle name="Normal 20 2_Sheet3" xfId="1634" xr:uid="{00000000-0005-0000-0000-00006A080000}"/>
    <cellStyle name="Normal 20 3" xfId="1635" xr:uid="{00000000-0005-0000-0000-00006B080000}"/>
    <cellStyle name="Normal 20 3 2" xfId="3917" xr:uid="{00000000-0005-0000-0000-00006C080000}"/>
    <cellStyle name="Normal 20 4" xfId="1636" xr:uid="{00000000-0005-0000-0000-00006D080000}"/>
    <cellStyle name="Normal 20 4 2" xfId="3918" xr:uid="{00000000-0005-0000-0000-00006E080000}"/>
    <cellStyle name="Normal 20 5" xfId="1637" xr:uid="{00000000-0005-0000-0000-00006F080000}"/>
    <cellStyle name="Normal 20 5 2" xfId="3919" xr:uid="{00000000-0005-0000-0000-000070080000}"/>
    <cellStyle name="Normal 20 6" xfId="1638" xr:uid="{00000000-0005-0000-0000-000071080000}"/>
    <cellStyle name="Normal 20 6 2" xfId="3920" xr:uid="{00000000-0005-0000-0000-000072080000}"/>
    <cellStyle name="Normal 20 7" xfId="1639" xr:uid="{00000000-0005-0000-0000-000073080000}"/>
    <cellStyle name="Normal 20 7 2" xfId="3921" xr:uid="{00000000-0005-0000-0000-000074080000}"/>
    <cellStyle name="Normal 20 8" xfId="1640" xr:uid="{00000000-0005-0000-0000-000075080000}"/>
    <cellStyle name="Normal 20 8 2" xfId="3922" xr:uid="{00000000-0005-0000-0000-000076080000}"/>
    <cellStyle name="Normal 20 9" xfId="1641" xr:uid="{00000000-0005-0000-0000-000077080000}"/>
    <cellStyle name="Normal 20 9 2" xfId="3923" xr:uid="{00000000-0005-0000-0000-000078080000}"/>
    <cellStyle name="Normal 20_Sheet3" xfId="1642" xr:uid="{00000000-0005-0000-0000-000079080000}"/>
    <cellStyle name="Normal 21" xfId="1643" xr:uid="{00000000-0005-0000-0000-00007A080000}"/>
    <cellStyle name="Normal 21 10" xfId="1644" xr:uid="{00000000-0005-0000-0000-00007B080000}"/>
    <cellStyle name="Normal 21 10 2" xfId="3925" xr:uid="{00000000-0005-0000-0000-00007C080000}"/>
    <cellStyle name="Normal 21 11" xfId="1645" xr:uid="{00000000-0005-0000-0000-00007D080000}"/>
    <cellStyle name="Normal 21 11 2" xfId="3926" xr:uid="{00000000-0005-0000-0000-00007E080000}"/>
    <cellStyle name="Normal 21 12" xfId="3924" xr:uid="{00000000-0005-0000-0000-00007F080000}"/>
    <cellStyle name="Normal 21 2" xfId="1646" xr:uid="{00000000-0005-0000-0000-000080080000}"/>
    <cellStyle name="Normal 21 3" xfId="1647" xr:uid="{00000000-0005-0000-0000-000081080000}"/>
    <cellStyle name="Normal 21 3 2" xfId="3927" xr:uid="{00000000-0005-0000-0000-000082080000}"/>
    <cellStyle name="Normal 21 4" xfId="1648" xr:uid="{00000000-0005-0000-0000-000083080000}"/>
    <cellStyle name="Normal 21 4 2" xfId="3928" xr:uid="{00000000-0005-0000-0000-000084080000}"/>
    <cellStyle name="Normal 21 5" xfId="1649" xr:uid="{00000000-0005-0000-0000-000085080000}"/>
    <cellStyle name="Normal 21 5 2" xfId="3929" xr:uid="{00000000-0005-0000-0000-000086080000}"/>
    <cellStyle name="Normal 21 6" xfId="1650" xr:uid="{00000000-0005-0000-0000-000087080000}"/>
    <cellStyle name="Normal 21 6 2" xfId="3930" xr:uid="{00000000-0005-0000-0000-000088080000}"/>
    <cellStyle name="Normal 21 7" xfId="1651" xr:uid="{00000000-0005-0000-0000-000089080000}"/>
    <cellStyle name="Normal 21 7 2" xfId="3931" xr:uid="{00000000-0005-0000-0000-00008A080000}"/>
    <cellStyle name="Normal 21 8" xfId="1652" xr:uid="{00000000-0005-0000-0000-00008B080000}"/>
    <cellStyle name="Normal 21 8 2" xfId="3932" xr:uid="{00000000-0005-0000-0000-00008C080000}"/>
    <cellStyle name="Normal 21 9" xfId="1653" xr:uid="{00000000-0005-0000-0000-00008D080000}"/>
    <cellStyle name="Normal 21 9 2" xfId="3933" xr:uid="{00000000-0005-0000-0000-00008E080000}"/>
    <cellStyle name="Normal 21_Sheet3" xfId="1654" xr:uid="{00000000-0005-0000-0000-00008F080000}"/>
    <cellStyle name="Normal 22" xfId="1655" xr:uid="{00000000-0005-0000-0000-000090080000}"/>
    <cellStyle name="Normal 22 10" xfId="1656" xr:uid="{00000000-0005-0000-0000-000091080000}"/>
    <cellStyle name="Normal 22 10 2" xfId="3935" xr:uid="{00000000-0005-0000-0000-000092080000}"/>
    <cellStyle name="Normal 22 11" xfId="1657" xr:uid="{00000000-0005-0000-0000-000093080000}"/>
    <cellStyle name="Normal 22 11 2" xfId="3936" xr:uid="{00000000-0005-0000-0000-000094080000}"/>
    <cellStyle name="Normal 22 12" xfId="3934" xr:uid="{00000000-0005-0000-0000-000095080000}"/>
    <cellStyle name="Normal 22 2" xfId="1658" xr:uid="{00000000-0005-0000-0000-000096080000}"/>
    <cellStyle name="Normal 22 2 10" xfId="1659" xr:uid="{00000000-0005-0000-0000-000097080000}"/>
    <cellStyle name="Normal 22 2 10 2" xfId="3938" xr:uid="{00000000-0005-0000-0000-000098080000}"/>
    <cellStyle name="Normal 22 2 11" xfId="3937" xr:uid="{00000000-0005-0000-0000-000099080000}"/>
    <cellStyle name="Normal 22 2 2" xfId="1660" xr:uid="{00000000-0005-0000-0000-00009A080000}"/>
    <cellStyle name="Normal 22 2 2 2" xfId="3939" xr:uid="{00000000-0005-0000-0000-00009B080000}"/>
    <cellStyle name="Normal 22 2 3" xfId="1661" xr:uid="{00000000-0005-0000-0000-00009C080000}"/>
    <cellStyle name="Normal 22 2 3 2" xfId="3940" xr:uid="{00000000-0005-0000-0000-00009D080000}"/>
    <cellStyle name="Normal 22 2 4" xfId="1662" xr:uid="{00000000-0005-0000-0000-00009E080000}"/>
    <cellStyle name="Normal 22 2 4 2" xfId="3941" xr:uid="{00000000-0005-0000-0000-00009F080000}"/>
    <cellStyle name="Normal 22 2 5" xfId="1663" xr:uid="{00000000-0005-0000-0000-0000A0080000}"/>
    <cellStyle name="Normal 22 2 5 2" xfId="3942" xr:uid="{00000000-0005-0000-0000-0000A1080000}"/>
    <cellStyle name="Normal 22 2 6" xfId="1664" xr:uid="{00000000-0005-0000-0000-0000A2080000}"/>
    <cellStyle name="Normal 22 2 6 2" xfId="3943" xr:uid="{00000000-0005-0000-0000-0000A3080000}"/>
    <cellStyle name="Normal 22 2 7" xfId="1665" xr:uid="{00000000-0005-0000-0000-0000A4080000}"/>
    <cellStyle name="Normal 22 2 7 2" xfId="3944" xr:uid="{00000000-0005-0000-0000-0000A5080000}"/>
    <cellStyle name="Normal 22 2 8" xfId="1666" xr:uid="{00000000-0005-0000-0000-0000A6080000}"/>
    <cellStyle name="Normal 22 2 8 2" xfId="3945" xr:uid="{00000000-0005-0000-0000-0000A7080000}"/>
    <cellStyle name="Normal 22 2 9" xfId="1667" xr:uid="{00000000-0005-0000-0000-0000A8080000}"/>
    <cellStyle name="Normal 22 2 9 2" xfId="3946" xr:uid="{00000000-0005-0000-0000-0000A9080000}"/>
    <cellStyle name="Normal 22 2_Sheet3" xfId="1668" xr:uid="{00000000-0005-0000-0000-0000AA080000}"/>
    <cellStyle name="Normal 22 3" xfId="1669" xr:uid="{00000000-0005-0000-0000-0000AB080000}"/>
    <cellStyle name="Normal 22 3 2" xfId="3947" xr:uid="{00000000-0005-0000-0000-0000AC080000}"/>
    <cellStyle name="Normal 22 4" xfId="1670" xr:uid="{00000000-0005-0000-0000-0000AD080000}"/>
    <cellStyle name="Normal 22 4 2" xfId="3948" xr:uid="{00000000-0005-0000-0000-0000AE080000}"/>
    <cellStyle name="Normal 22 5" xfId="1671" xr:uid="{00000000-0005-0000-0000-0000AF080000}"/>
    <cellStyle name="Normal 22 5 2" xfId="3949" xr:uid="{00000000-0005-0000-0000-0000B0080000}"/>
    <cellStyle name="Normal 22 6" xfId="1672" xr:uid="{00000000-0005-0000-0000-0000B1080000}"/>
    <cellStyle name="Normal 22 6 2" xfId="3950" xr:uid="{00000000-0005-0000-0000-0000B2080000}"/>
    <cellStyle name="Normal 22 7" xfId="1673" xr:uid="{00000000-0005-0000-0000-0000B3080000}"/>
    <cellStyle name="Normal 22 7 2" xfId="3951" xr:uid="{00000000-0005-0000-0000-0000B4080000}"/>
    <cellStyle name="Normal 22 8" xfId="1674" xr:uid="{00000000-0005-0000-0000-0000B5080000}"/>
    <cellStyle name="Normal 22 8 2" xfId="3952" xr:uid="{00000000-0005-0000-0000-0000B6080000}"/>
    <cellStyle name="Normal 22 9" xfId="1675" xr:uid="{00000000-0005-0000-0000-0000B7080000}"/>
    <cellStyle name="Normal 22 9 2" xfId="3953" xr:uid="{00000000-0005-0000-0000-0000B8080000}"/>
    <cellStyle name="Normal 22_Sheet3" xfId="1676" xr:uid="{00000000-0005-0000-0000-0000B9080000}"/>
    <cellStyle name="Normal 23" xfId="1677" xr:uid="{00000000-0005-0000-0000-0000BA080000}"/>
    <cellStyle name="Normal 23 10" xfId="1678" xr:uid="{00000000-0005-0000-0000-0000BB080000}"/>
    <cellStyle name="Normal 23 10 2" xfId="3955" xr:uid="{00000000-0005-0000-0000-0000BC080000}"/>
    <cellStyle name="Normal 23 11" xfId="1679" xr:uid="{00000000-0005-0000-0000-0000BD080000}"/>
    <cellStyle name="Normal 23 11 2" xfId="3956" xr:uid="{00000000-0005-0000-0000-0000BE080000}"/>
    <cellStyle name="Normal 23 12" xfId="3954" xr:uid="{00000000-0005-0000-0000-0000BF080000}"/>
    <cellStyle name="Normal 23 2" xfId="1680" xr:uid="{00000000-0005-0000-0000-0000C0080000}"/>
    <cellStyle name="Normal 23 2 10" xfId="1681" xr:uid="{00000000-0005-0000-0000-0000C1080000}"/>
    <cellStyle name="Normal 23 2 2" xfId="1682" xr:uid="{00000000-0005-0000-0000-0000C2080000}"/>
    <cellStyle name="Normal 23 2 3" xfId="1683" xr:uid="{00000000-0005-0000-0000-0000C3080000}"/>
    <cellStyle name="Normal 23 2 4" xfId="1684" xr:uid="{00000000-0005-0000-0000-0000C4080000}"/>
    <cellStyle name="Normal 23 2 5" xfId="1685" xr:uid="{00000000-0005-0000-0000-0000C5080000}"/>
    <cellStyle name="Normal 23 2 6" xfId="1686" xr:uid="{00000000-0005-0000-0000-0000C6080000}"/>
    <cellStyle name="Normal 23 2 7" xfId="1687" xr:uid="{00000000-0005-0000-0000-0000C7080000}"/>
    <cellStyle name="Normal 23 2 8" xfId="1688" xr:uid="{00000000-0005-0000-0000-0000C8080000}"/>
    <cellStyle name="Normal 23 2 9" xfId="1689" xr:uid="{00000000-0005-0000-0000-0000C9080000}"/>
    <cellStyle name="Normal 23 2_Sheet3" xfId="1690" xr:uid="{00000000-0005-0000-0000-0000CA080000}"/>
    <cellStyle name="Normal 23 3" xfId="1691" xr:uid="{00000000-0005-0000-0000-0000CB080000}"/>
    <cellStyle name="Normal 23 3 2" xfId="3957" xr:uid="{00000000-0005-0000-0000-0000CC080000}"/>
    <cellStyle name="Normal 23 4" xfId="1692" xr:uid="{00000000-0005-0000-0000-0000CD080000}"/>
    <cellStyle name="Normal 23 4 2" xfId="3958" xr:uid="{00000000-0005-0000-0000-0000CE080000}"/>
    <cellStyle name="Normal 23 5" xfId="1693" xr:uid="{00000000-0005-0000-0000-0000CF080000}"/>
    <cellStyle name="Normal 23 5 2" xfId="3959" xr:uid="{00000000-0005-0000-0000-0000D0080000}"/>
    <cellStyle name="Normal 23 6" xfId="1694" xr:uid="{00000000-0005-0000-0000-0000D1080000}"/>
    <cellStyle name="Normal 23 6 2" xfId="3960" xr:uid="{00000000-0005-0000-0000-0000D2080000}"/>
    <cellStyle name="Normal 23 7" xfId="1695" xr:uid="{00000000-0005-0000-0000-0000D3080000}"/>
    <cellStyle name="Normal 23 7 2" xfId="3961" xr:uid="{00000000-0005-0000-0000-0000D4080000}"/>
    <cellStyle name="Normal 23 8" xfId="1696" xr:uid="{00000000-0005-0000-0000-0000D5080000}"/>
    <cellStyle name="Normal 23 8 2" xfId="3962" xr:uid="{00000000-0005-0000-0000-0000D6080000}"/>
    <cellStyle name="Normal 23 9" xfId="1697" xr:uid="{00000000-0005-0000-0000-0000D7080000}"/>
    <cellStyle name="Normal 23 9 2" xfId="3963" xr:uid="{00000000-0005-0000-0000-0000D8080000}"/>
    <cellStyle name="Normal 23_Sheet3" xfId="1698" xr:uid="{00000000-0005-0000-0000-0000D9080000}"/>
    <cellStyle name="Normal 24" xfId="1699" xr:uid="{00000000-0005-0000-0000-0000DA080000}"/>
    <cellStyle name="Normal 24 10" xfId="1700" xr:uid="{00000000-0005-0000-0000-0000DB080000}"/>
    <cellStyle name="Normal 24 10 2" xfId="3965" xr:uid="{00000000-0005-0000-0000-0000DC080000}"/>
    <cellStyle name="Normal 24 11" xfId="1701" xr:uid="{00000000-0005-0000-0000-0000DD080000}"/>
    <cellStyle name="Normal 24 11 2" xfId="3966" xr:uid="{00000000-0005-0000-0000-0000DE080000}"/>
    <cellStyle name="Normal 24 12" xfId="3964" xr:uid="{00000000-0005-0000-0000-0000DF080000}"/>
    <cellStyle name="Normal 24 2" xfId="1702" xr:uid="{00000000-0005-0000-0000-0000E0080000}"/>
    <cellStyle name="Normal 24 2 10" xfId="1703" xr:uid="{00000000-0005-0000-0000-0000E1080000}"/>
    <cellStyle name="Normal 24 2 10 2" xfId="3968" xr:uid="{00000000-0005-0000-0000-0000E2080000}"/>
    <cellStyle name="Normal 24 2 11" xfId="3967" xr:uid="{00000000-0005-0000-0000-0000E3080000}"/>
    <cellStyle name="Normal 24 2 2" xfId="1704" xr:uid="{00000000-0005-0000-0000-0000E4080000}"/>
    <cellStyle name="Normal 24 2 2 2" xfId="3969" xr:uid="{00000000-0005-0000-0000-0000E5080000}"/>
    <cellStyle name="Normal 24 2 3" xfId="1705" xr:uid="{00000000-0005-0000-0000-0000E6080000}"/>
    <cellStyle name="Normal 24 2 3 2" xfId="3970" xr:uid="{00000000-0005-0000-0000-0000E7080000}"/>
    <cellStyle name="Normal 24 2 4" xfId="1706" xr:uid="{00000000-0005-0000-0000-0000E8080000}"/>
    <cellStyle name="Normal 24 2 4 2" xfId="3971" xr:uid="{00000000-0005-0000-0000-0000E9080000}"/>
    <cellStyle name="Normal 24 2 5" xfId="1707" xr:uid="{00000000-0005-0000-0000-0000EA080000}"/>
    <cellStyle name="Normal 24 2 5 2" xfId="3972" xr:uid="{00000000-0005-0000-0000-0000EB080000}"/>
    <cellStyle name="Normal 24 2 6" xfId="1708" xr:uid="{00000000-0005-0000-0000-0000EC080000}"/>
    <cellStyle name="Normal 24 2 6 2" xfId="3973" xr:uid="{00000000-0005-0000-0000-0000ED080000}"/>
    <cellStyle name="Normal 24 2 7" xfId="1709" xr:uid="{00000000-0005-0000-0000-0000EE080000}"/>
    <cellStyle name="Normal 24 2 7 2" xfId="3974" xr:uid="{00000000-0005-0000-0000-0000EF080000}"/>
    <cellStyle name="Normal 24 2 8" xfId="1710" xr:uid="{00000000-0005-0000-0000-0000F0080000}"/>
    <cellStyle name="Normal 24 2 8 2" xfId="3975" xr:uid="{00000000-0005-0000-0000-0000F1080000}"/>
    <cellStyle name="Normal 24 2 9" xfId="1711" xr:uid="{00000000-0005-0000-0000-0000F2080000}"/>
    <cellStyle name="Normal 24 2 9 2" xfId="3976" xr:uid="{00000000-0005-0000-0000-0000F3080000}"/>
    <cellStyle name="Normal 24 2_Sheet3" xfId="1712" xr:uid="{00000000-0005-0000-0000-0000F4080000}"/>
    <cellStyle name="Normal 24 3" xfId="1713" xr:uid="{00000000-0005-0000-0000-0000F5080000}"/>
    <cellStyle name="Normal 24 3 2" xfId="3977" xr:uid="{00000000-0005-0000-0000-0000F6080000}"/>
    <cellStyle name="Normal 24 4" xfId="1714" xr:uid="{00000000-0005-0000-0000-0000F7080000}"/>
    <cellStyle name="Normal 24 4 2" xfId="3978" xr:uid="{00000000-0005-0000-0000-0000F8080000}"/>
    <cellStyle name="Normal 24 5" xfId="1715" xr:uid="{00000000-0005-0000-0000-0000F9080000}"/>
    <cellStyle name="Normal 24 5 2" xfId="3979" xr:uid="{00000000-0005-0000-0000-0000FA080000}"/>
    <cellStyle name="Normal 24 6" xfId="1716" xr:uid="{00000000-0005-0000-0000-0000FB080000}"/>
    <cellStyle name="Normal 24 6 2" xfId="3980" xr:uid="{00000000-0005-0000-0000-0000FC080000}"/>
    <cellStyle name="Normal 24 7" xfId="1717" xr:uid="{00000000-0005-0000-0000-0000FD080000}"/>
    <cellStyle name="Normal 24 7 2" xfId="3981" xr:uid="{00000000-0005-0000-0000-0000FE080000}"/>
    <cellStyle name="Normal 24 8" xfId="1718" xr:uid="{00000000-0005-0000-0000-0000FF080000}"/>
    <cellStyle name="Normal 24 8 2" xfId="3982" xr:uid="{00000000-0005-0000-0000-000000090000}"/>
    <cellStyle name="Normal 24 9" xfId="1719" xr:uid="{00000000-0005-0000-0000-000001090000}"/>
    <cellStyle name="Normal 24 9 2" xfId="3983" xr:uid="{00000000-0005-0000-0000-000002090000}"/>
    <cellStyle name="Normal 24_Sheet3" xfId="1720" xr:uid="{00000000-0005-0000-0000-000003090000}"/>
    <cellStyle name="Normal 25" xfId="1721" xr:uid="{00000000-0005-0000-0000-000004090000}"/>
    <cellStyle name="Normal 25 10" xfId="1722" xr:uid="{00000000-0005-0000-0000-000005090000}"/>
    <cellStyle name="Normal 25 10 2" xfId="3985" xr:uid="{00000000-0005-0000-0000-000006090000}"/>
    <cellStyle name="Normal 25 11" xfId="1723" xr:uid="{00000000-0005-0000-0000-000007090000}"/>
    <cellStyle name="Normal 25 11 2" xfId="3986" xr:uid="{00000000-0005-0000-0000-000008090000}"/>
    <cellStyle name="Normal 25 12" xfId="3984" xr:uid="{00000000-0005-0000-0000-000009090000}"/>
    <cellStyle name="Normal 25 2" xfId="1724" xr:uid="{00000000-0005-0000-0000-00000A090000}"/>
    <cellStyle name="Normal 25 2 10" xfId="1725" xr:uid="{00000000-0005-0000-0000-00000B090000}"/>
    <cellStyle name="Normal 25 2 10 2" xfId="3988" xr:uid="{00000000-0005-0000-0000-00000C090000}"/>
    <cellStyle name="Normal 25 2 11" xfId="3987" xr:uid="{00000000-0005-0000-0000-00000D090000}"/>
    <cellStyle name="Normal 25 2 2" xfId="1726" xr:uid="{00000000-0005-0000-0000-00000E090000}"/>
    <cellStyle name="Normal 25 2 2 2" xfId="3989" xr:uid="{00000000-0005-0000-0000-00000F090000}"/>
    <cellStyle name="Normal 25 2 3" xfId="1727" xr:uid="{00000000-0005-0000-0000-000010090000}"/>
    <cellStyle name="Normal 25 2 3 2" xfId="3990" xr:uid="{00000000-0005-0000-0000-000011090000}"/>
    <cellStyle name="Normal 25 2 4" xfId="1728" xr:uid="{00000000-0005-0000-0000-000012090000}"/>
    <cellStyle name="Normal 25 2 4 2" xfId="3991" xr:uid="{00000000-0005-0000-0000-000013090000}"/>
    <cellStyle name="Normal 25 2 5" xfId="1729" xr:uid="{00000000-0005-0000-0000-000014090000}"/>
    <cellStyle name="Normal 25 2 5 2" xfId="3992" xr:uid="{00000000-0005-0000-0000-000015090000}"/>
    <cellStyle name="Normal 25 2 6" xfId="1730" xr:uid="{00000000-0005-0000-0000-000016090000}"/>
    <cellStyle name="Normal 25 2 6 2" xfId="3993" xr:uid="{00000000-0005-0000-0000-000017090000}"/>
    <cellStyle name="Normal 25 2 7" xfId="1731" xr:uid="{00000000-0005-0000-0000-000018090000}"/>
    <cellStyle name="Normal 25 2 7 2" xfId="3994" xr:uid="{00000000-0005-0000-0000-000019090000}"/>
    <cellStyle name="Normal 25 2 8" xfId="1732" xr:uid="{00000000-0005-0000-0000-00001A090000}"/>
    <cellStyle name="Normal 25 2 8 2" xfId="3995" xr:uid="{00000000-0005-0000-0000-00001B090000}"/>
    <cellStyle name="Normal 25 2 9" xfId="1733" xr:uid="{00000000-0005-0000-0000-00001C090000}"/>
    <cellStyle name="Normal 25 2 9 2" xfId="3996" xr:uid="{00000000-0005-0000-0000-00001D090000}"/>
    <cellStyle name="Normal 25 2_Sheet3" xfId="1734" xr:uid="{00000000-0005-0000-0000-00001E090000}"/>
    <cellStyle name="Normal 25 3" xfId="1735" xr:uid="{00000000-0005-0000-0000-00001F090000}"/>
    <cellStyle name="Normal 25 3 2" xfId="3997" xr:uid="{00000000-0005-0000-0000-000020090000}"/>
    <cellStyle name="Normal 25 4" xfId="1736" xr:uid="{00000000-0005-0000-0000-000021090000}"/>
    <cellStyle name="Normal 25 4 2" xfId="3998" xr:uid="{00000000-0005-0000-0000-000022090000}"/>
    <cellStyle name="Normal 25 5" xfId="1737" xr:uid="{00000000-0005-0000-0000-000023090000}"/>
    <cellStyle name="Normal 25 5 2" xfId="3999" xr:uid="{00000000-0005-0000-0000-000024090000}"/>
    <cellStyle name="Normal 25 6" xfId="1738" xr:uid="{00000000-0005-0000-0000-000025090000}"/>
    <cellStyle name="Normal 25 6 2" xfId="4000" xr:uid="{00000000-0005-0000-0000-000026090000}"/>
    <cellStyle name="Normal 25 7" xfId="1739" xr:uid="{00000000-0005-0000-0000-000027090000}"/>
    <cellStyle name="Normal 25 7 2" xfId="4001" xr:uid="{00000000-0005-0000-0000-000028090000}"/>
    <cellStyle name="Normal 25 8" xfId="1740" xr:uid="{00000000-0005-0000-0000-000029090000}"/>
    <cellStyle name="Normal 25 8 2" xfId="4002" xr:uid="{00000000-0005-0000-0000-00002A090000}"/>
    <cellStyle name="Normal 25 9" xfId="1741" xr:uid="{00000000-0005-0000-0000-00002B090000}"/>
    <cellStyle name="Normal 25 9 2" xfId="4003" xr:uid="{00000000-0005-0000-0000-00002C090000}"/>
    <cellStyle name="Normal 25_Sheet3" xfId="1742" xr:uid="{00000000-0005-0000-0000-00002D090000}"/>
    <cellStyle name="Normal 26" xfId="1743" xr:uid="{00000000-0005-0000-0000-00002E090000}"/>
    <cellStyle name="Normal 26 10" xfId="1744" xr:uid="{00000000-0005-0000-0000-00002F090000}"/>
    <cellStyle name="Normal 26 10 2" xfId="4005" xr:uid="{00000000-0005-0000-0000-000030090000}"/>
    <cellStyle name="Normal 26 11" xfId="1745" xr:uid="{00000000-0005-0000-0000-000031090000}"/>
    <cellStyle name="Normal 26 11 2" xfId="4006" xr:uid="{00000000-0005-0000-0000-000032090000}"/>
    <cellStyle name="Normal 26 12" xfId="4004" xr:uid="{00000000-0005-0000-0000-000033090000}"/>
    <cellStyle name="Normal 26 2" xfId="1746" xr:uid="{00000000-0005-0000-0000-000034090000}"/>
    <cellStyle name="Normal 26 2 10" xfId="1747" xr:uid="{00000000-0005-0000-0000-000035090000}"/>
    <cellStyle name="Normal 26 2 10 2" xfId="4008" xr:uid="{00000000-0005-0000-0000-000036090000}"/>
    <cellStyle name="Normal 26 2 11" xfId="4007" xr:uid="{00000000-0005-0000-0000-000037090000}"/>
    <cellStyle name="Normal 26 2 2" xfId="1748" xr:uid="{00000000-0005-0000-0000-000038090000}"/>
    <cellStyle name="Normal 26 2 2 2" xfId="4009" xr:uid="{00000000-0005-0000-0000-000039090000}"/>
    <cellStyle name="Normal 26 2 3" xfId="1749" xr:uid="{00000000-0005-0000-0000-00003A090000}"/>
    <cellStyle name="Normal 26 2 3 2" xfId="4010" xr:uid="{00000000-0005-0000-0000-00003B090000}"/>
    <cellStyle name="Normal 26 2 4" xfId="1750" xr:uid="{00000000-0005-0000-0000-00003C090000}"/>
    <cellStyle name="Normal 26 2 4 2" xfId="4011" xr:uid="{00000000-0005-0000-0000-00003D090000}"/>
    <cellStyle name="Normal 26 2 5" xfId="1751" xr:uid="{00000000-0005-0000-0000-00003E090000}"/>
    <cellStyle name="Normal 26 2 5 2" xfId="4012" xr:uid="{00000000-0005-0000-0000-00003F090000}"/>
    <cellStyle name="Normal 26 2 6" xfId="1752" xr:uid="{00000000-0005-0000-0000-000040090000}"/>
    <cellStyle name="Normal 26 2 6 2" xfId="4013" xr:uid="{00000000-0005-0000-0000-000041090000}"/>
    <cellStyle name="Normal 26 2 7" xfId="1753" xr:uid="{00000000-0005-0000-0000-000042090000}"/>
    <cellStyle name="Normal 26 2 7 2" xfId="4014" xr:uid="{00000000-0005-0000-0000-000043090000}"/>
    <cellStyle name="Normal 26 2 8" xfId="1754" xr:uid="{00000000-0005-0000-0000-000044090000}"/>
    <cellStyle name="Normal 26 2 8 2" xfId="4015" xr:uid="{00000000-0005-0000-0000-000045090000}"/>
    <cellStyle name="Normal 26 2 9" xfId="1755" xr:uid="{00000000-0005-0000-0000-000046090000}"/>
    <cellStyle name="Normal 26 2 9 2" xfId="4016" xr:uid="{00000000-0005-0000-0000-000047090000}"/>
    <cellStyle name="Normal 26 2_Sheet3" xfId="1756" xr:uid="{00000000-0005-0000-0000-000048090000}"/>
    <cellStyle name="Normal 26 3" xfId="1757" xr:uid="{00000000-0005-0000-0000-000049090000}"/>
    <cellStyle name="Normal 26 3 2" xfId="4017" xr:uid="{00000000-0005-0000-0000-00004A090000}"/>
    <cellStyle name="Normal 26 4" xfId="1758" xr:uid="{00000000-0005-0000-0000-00004B090000}"/>
    <cellStyle name="Normal 26 4 2" xfId="4018" xr:uid="{00000000-0005-0000-0000-00004C090000}"/>
    <cellStyle name="Normal 26 5" xfId="1759" xr:uid="{00000000-0005-0000-0000-00004D090000}"/>
    <cellStyle name="Normal 26 5 2" xfId="4019" xr:uid="{00000000-0005-0000-0000-00004E090000}"/>
    <cellStyle name="Normal 26 6" xfId="1760" xr:uid="{00000000-0005-0000-0000-00004F090000}"/>
    <cellStyle name="Normal 26 6 2" xfId="4020" xr:uid="{00000000-0005-0000-0000-000050090000}"/>
    <cellStyle name="Normal 26 7" xfId="1761" xr:uid="{00000000-0005-0000-0000-000051090000}"/>
    <cellStyle name="Normal 26 7 2" xfId="4021" xr:uid="{00000000-0005-0000-0000-000052090000}"/>
    <cellStyle name="Normal 26 8" xfId="1762" xr:uid="{00000000-0005-0000-0000-000053090000}"/>
    <cellStyle name="Normal 26 8 2" xfId="4022" xr:uid="{00000000-0005-0000-0000-000054090000}"/>
    <cellStyle name="Normal 26 9" xfId="1763" xr:uid="{00000000-0005-0000-0000-000055090000}"/>
    <cellStyle name="Normal 26 9 2" xfId="4023" xr:uid="{00000000-0005-0000-0000-000056090000}"/>
    <cellStyle name="Normal 26_Sheet3" xfId="1764" xr:uid="{00000000-0005-0000-0000-000057090000}"/>
    <cellStyle name="Normal 27" xfId="1765" xr:uid="{00000000-0005-0000-0000-000058090000}"/>
    <cellStyle name="Normal 27 10" xfId="1766" xr:uid="{00000000-0005-0000-0000-000059090000}"/>
    <cellStyle name="Normal 27 10 2" xfId="4025" xr:uid="{00000000-0005-0000-0000-00005A090000}"/>
    <cellStyle name="Normal 27 11" xfId="1767" xr:uid="{00000000-0005-0000-0000-00005B090000}"/>
    <cellStyle name="Normal 27 11 2" xfId="4026" xr:uid="{00000000-0005-0000-0000-00005C090000}"/>
    <cellStyle name="Normal 27 12" xfId="4024" xr:uid="{00000000-0005-0000-0000-00005D090000}"/>
    <cellStyle name="Normal 27 2" xfId="1768" xr:uid="{00000000-0005-0000-0000-00005E090000}"/>
    <cellStyle name="Normal 27 2 10" xfId="1769" xr:uid="{00000000-0005-0000-0000-00005F090000}"/>
    <cellStyle name="Normal 27 2 10 2" xfId="4028" xr:uid="{00000000-0005-0000-0000-000060090000}"/>
    <cellStyle name="Normal 27 2 11" xfId="4027" xr:uid="{00000000-0005-0000-0000-000061090000}"/>
    <cellStyle name="Normal 27 2 2" xfId="1770" xr:uid="{00000000-0005-0000-0000-000062090000}"/>
    <cellStyle name="Normal 27 2 2 2" xfId="4029" xr:uid="{00000000-0005-0000-0000-000063090000}"/>
    <cellStyle name="Normal 27 2 3" xfId="1771" xr:uid="{00000000-0005-0000-0000-000064090000}"/>
    <cellStyle name="Normal 27 2 3 2" xfId="4030" xr:uid="{00000000-0005-0000-0000-000065090000}"/>
    <cellStyle name="Normal 27 2 4" xfId="1772" xr:uid="{00000000-0005-0000-0000-000066090000}"/>
    <cellStyle name="Normal 27 2 4 2" xfId="4031" xr:uid="{00000000-0005-0000-0000-000067090000}"/>
    <cellStyle name="Normal 27 2 5" xfId="1773" xr:uid="{00000000-0005-0000-0000-000068090000}"/>
    <cellStyle name="Normal 27 2 5 2" xfId="4032" xr:uid="{00000000-0005-0000-0000-000069090000}"/>
    <cellStyle name="Normal 27 2 6" xfId="1774" xr:uid="{00000000-0005-0000-0000-00006A090000}"/>
    <cellStyle name="Normal 27 2 6 2" xfId="4033" xr:uid="{00000000-0005-0000-0000-00006B090000}"/>
    <cellStyle name="Normal 27 2 7" xfId="1775" xr:uid="{00000000-0005-0000-0000-00006C090000}"/>
    <cellStyle name="Normal 27 2 7 2" xfId="4034" xr:uid="{00000000-0005-0000-0000-00006D090000}"/>
    <cellStyle name="Normal 27 2 8" xfId="1776" xr:uid="{00000000-0005-0000-0000-00006E090000}"/>
    <cellStyle name="Normal 27 2 8 2" xfId="4035" xr:uid="{00000000-0005-0000-0000-00006F090000}"/>
    <cellStyle name="Normal 27 2 9" xfId="1777" xr:uid="{00000000-0005-0000-0000-000070090000}"/>
    <cellStyle name="Normal 27 2 9 2" xfId="4036" xr:uid="{00000000-0005-0000-0000-000071090000}"/>
    <cellStyle name="Normal 27 2_Sheet3" xfId="1778" xr:uid="{00000000-0005-0000-0000-000072090000}"/>
    <cellStyle name="Normal 27 3" xfId="1779" xr:uid="{00000000-0005-0000-0000-000073090000}"/>
    <cellStyle name="Normal 27 3 2" xfId="4037" xr:uid="{00000000-0005-0000-0000-000074090000}"/>
    <cellStyle name="Normal 27 4" xfId="1780" xr:uid="{00000000-0005-0000-0000-000075090000}"/>
    <cellStyle name="Normal 27 4 2" xfId="4038" xr:uid="{00000000-0005-0000-0000-000076090000}"/>
    <cellStyle name="Normal 27 5" xfId="1781" xr:uid="{00000000-0005-0000-0000-000077090000}"/>
    <cellStyle name="Normal 27 5 2" xfId="4039" xr:uid="{00000000-0005-0000-0000-000078090000}"/>
    <cellStyle name="Normal 27 6" xfId="1782" xr:uid="{00000000-0005-0000-0000-000079090000}"/>
    <cellStyle name="Normal 27 6 2" xfId="4040" xr:uid="{00000000-0005-0000-0000-00007A090000}"/>
    <cellStyle name="Normal 27 7" xfId="1783" xr:uid="{00000000-0005-0000-0000-00007B090000}"/>
    <cellStyle name="Normal 27 7 2" xfId="4041" xr:uid="{00000000-0005-0000-0000-00007C090000}"/>
    <cellStyle name="Normal 27 8" xfId="1784" xr:uid="{00000000-0005-0000-0000-00007D090000}"/>
    <cellStyle name="Normal 27 8 2" xfId="4042" xr:uid="{00000000-0005-0000-0000-00007E090000}"/>
    <cellStyle name="Normal 27 9" xfId="1785" xr:uid="{00000000-0005-0000-0000-00007F090000}"/>
    <cellStyle name="Normal 27 9 2" xfId="4043" xr:uid="{00000000-0005-0000-0000-000080090000}"/>
    <cellStyle name="Normal 27_Sheet3" xfId="1786" xr:uid="{00000000-0005-0000-0000-000081090000}"/>
    <cellStyle name="Normal 28" xfId="1787" xr:uid="{00000000-0005-0000-0000-000082090000}"/>
    <cellStyle name="Normal 28 10" xfId="1788" xr:uid="{00000000-0005-0000-0000-000083090000}"/>
    <cellStyle name="Normal 28 10 2" xfId="4045" xr:uid="{00000000-0005-0000-0000-000084090000}"/>
    <cellStyle name="Normal 28 11" xfId="1789" xr:uid="{00000000-0005-0000-0000-000085090000}"/>
    <cellStyle name="Normal 28 11 2" xfId="4046" xr:uid="{00000000-0005-0000-0000-000086090000}"/>
    <cellStyle name="Normal 28 12" xfId="4044" xr:uid="{00000000-0005-0000-0000-000087090000}"/>
    <cellStyle name="Normal 28 2" xfId="1790" xr:uid="{00000000-0005-0000-0000-000088090000}"/>
    <cellStyle name="Normal 28 2 10" xfId="1791" xr:uid="{00000000-0005-0000-0000-000089090000}"/>
    <cellStyle name="Normal 28 2 10 2" xfId="4048" xr:uid="{00000000-0005-0000-0000-00008A090000}"/>
    <cellStyle name="Normal 28 2 11" xfId="4047" xr:uid="{00000000-0005-0000-0000-00008B090000}"/>
    <cellStyle name="Normal 28 2 2" xfId="1792" xr:uid="{00000000-0005-0000-0000-00008C090000}"/>
    <cellStyle name="Normal 28 2 2 2" xfId="4049" xr:uid="{00000000-0005-0000-0000-00008D090000}"/>
    <cellStyle name="Normal 28 2 3" xfId="1793" xr:uid="{00000000-0005-0000-0000-00008E090000}"/>
    <cellStyle name="Normal 28 2 3 2" xfId="4050" xr:uid="{00000000-0005-0000-0000-00008F090000}"/>
    <cellStyle name="Normal 28 2 4" xfId="1794" xr:uid="{00000000-0005-0000-0000-000090090000}"/>
    <cellStyle name="Normal 28 2 4 2" xfId="4051" xr:uid="{00000000-0005-0000-0000-000091090000}"/>
    <cellStyle name="Normal 28 2 5" xfId="1795" xr:uid="{00000000-0005-0000-0000-000092090000}"/>
    <cellStyle name="Normal 28 2 5 2" xfId="4052" xr:uid="{00000000-0005-0000-0000-000093090000}"/>
    <cellStyle name="Normal 28 2 6" xfId="1796" xr:uid="{00000000-0005-0000-0000-000094090000}"/>
    <cellStyle name="Normal 28 2 6 2" xfId="4053" xr:uid="{00000000-0005-0000-0000-000095090000}"/>
    <cellStyle name="Normal 28 2 7" xfId="1797" xr:uid="{00000000-0005-0000-0000-000096090000}"/>
    <cellStyle name="Normal 28 2 7 2" xfId="4054" xr:uid="{00000000-0005-0000-0000-000097090000}"/>
    <cellStyle name="Normal 28 2 8" xfId="1798" xr:uid="{00000000-0005-0000-0000-000098090000}"/>
    <cellStyle name="Normal 28 2 8 2" xfId="4055" xr:uid="{00000000-0005-0000-0000-000099090000}"/>
    <cellStyle name="Normal 28 2 9" xfId="1799" xr:uid="{00000000-0005-0000-0000-00009A090000}"/>
    <cellStyle name="Normal 28 2 9 2" xfId="4056" xr:uid="{00000000-0005-0000-0000-00009B090000}"/>
    <cellStyle name="Normal 28 2_Sheet3" xfId="1800" xr:uid="{00000000-0005-0000-0000-00009C090000}"/>
    <cellStyle name="Normal 28 3" xfId="1801" xr:uid="{00000000-0005-0000-0000-00009D090000}"/>
    <cellStyle name="Normal 28 3 2" xfId="4057" xr:uid="{00000000-0005-0000-0000-00009E090000}"/>
    <cellStyle name="Normal 28 4" xfId="1802" xr:uid="{00000000-0005-0000-0000-00009F090000}"/>
    <cellStyle name="Normal 28 4 2" xfId="4058" xr:uid="{00000000-0005-0000-0000-0000A0090000}"/>
    <cellStyle name="Normal 28 5" xfId="1803" xr:uid="{00000000-0005-0000-0000-0000A1090000}"/>
    <cellStyle name="Normal 28 5 2" xfId="4059" xr:uid="{00000000-0005-0000-0000-0000A2090000}"/>
    <cellStyle name="Normal 28 6" xfId="1804" xr:uid="{00000000-0005-0000-0000-0000A3090000}"/>
    <cellStyle name="Normal 28 6 2" xfId="4060" xr:uid="{00000000-0005-0000-0000-0000A4090000}"/>
    <cellStyle name="Normal 28 7" xfId="1805" xr:uid="{00000000-0005-0000-0000-0000A5090000}"/>
    <cellStyle name="Normal 28 7 2" xfId="4061" xr:uid="{00000000-0005-0000-0000-0000A6090000}"/>
    <cellStyle name="Normal 28 8" xfId="1806" xr:uid="{00000000-0005-0000-0000-0000A7090000}"/>
    <cellStyle name="Normal 28 8 2" xfId="4062" xr:uid="{00000000-0005-0000-0000-0000A8090000}"/>
    <cellStyle name="Normal 28 9" xfId="1807" xr:uid="{00000000-0005-0000-0000-0000A9090000}"/>
    <cellStyle name="Normal 28 9 2" xfId="4063" xr:uid="{00000000-0005-0000-0000-0000AA090000}"/>
    <cellStyle name="Normal 28_Sheet3" xfId="1808" xr:uid="{00000000-0005-0000-0000-0000AB090000}"/>
    <cellStyle name="Normal 29" xfId="1809" xr:uid="{00000000-0005-0000-0000-0000AC090000}"/>
    <cellStyle name="Normal 29 10" xfId="1810" xr:uid="{00000000-0005-0000-0000-0000AD090000}"/>
    <cellStyle name="Normal 29 10 2" xfId="4065" xr:uid="{00000000-0005-0000-0000-0000AE090000}"/>
    <cellStyle name="Normal 29 11" xfId="1811" xr:uid="{00000000-0005-0000-0000-0000AF090000}"/>
    <cellStyle name="Normal 29 11 2" xfId="4066" xr:uid="{00000000-0005-0000-0000-0000B0090000}"/>
    <cellStyle name="Normal 29 12" xfId="4064" xr:uid="{00000000-0005-0000-0000-0000B1090000}"/>
    <cellStyle name="Normal 29 2" xfId="1812" xr:uid="{00000000-0005-0000-0000-0000B2090000}"/>
    <cellStyle name="Normal 29 2 10" xfId="1813" xr:uid="{00000000-0005-0000-0000-0000B3090000}"/>
    <cellStyle name="Normal 29 2 10 2" xfId="4068" xr:uid="{00000000-0005-0000-0000-0000B4090000}"/>
    <cellStyle name="Normal 29 2 11" xfId="4067" xr:uid="{00000000-0005-0000-0000-0000B5090000}"/>
    <cellStyle name="Normal 29 2 2" xfId="1814" xr:uid="{00000000-0005-0000-0000-0000B6090000}"/>
    <cellStyle name="Normal 29 2 2 2" xfId="4069" xr:uid="{00000000-0005-0000-0000-0000B7090000}"/>
    <cellStyle name="Normal 29 2 3" xfId="1815" xr:uid="{00000000-0005-0000-0000-0000B8090000}"/>
    <cellStyle name="Normal 29 2 3 2" xfId="4070" xr:uid="{00000000-0005-0000-0000-0000B9090000}"/>
    <cellStyle name="Normal 29 2 4" xfId="1816" xr:uid="{00000000-0005-0000-0000-0000BA090000}"/>
    <cellStyle name="Normal 29 2 4 2" xfId="4071" xr:uid="{00000000-0005-0000-0000-0000BB090000}"/>
    <cellStyle name="Normal 29 2 5" xfId="1817" xr:uid="{00000000-0005-0000-0000-0000BC090000}"/>
    <cellStyle name="Normal 29 2 5 2" xfId="4072" xr:uid="{00000000-0005-0000-0000-0000BD090000}"/>
    <cellStyle name="Normal 29 2 6" xfId="1818" xr:uid="{00000000-0005-0000-0000-0000BE090000}"/>
    <cellStyle name="Normal 29 2 6 2" xfId="4073" xr:uid="{00000000-0005-0000-0000-0000BF090000}"/>
    <cellStyle name="Normal 29 2 7" xfId="1819" xr:uid="{00000000-0005-0000-0000-0000C0090000}"/>
    <cellStyle name="Normal 29 2 7 2" xfId="4074" xr:uid="{00000000-0005-0000-0000-0000C1090000}"/>
    <cellStyle name="Normal 29 2 8" xfId="1820" xr:uid="{00000000-0005-0000-0000-0000C2090000}"/>
    <cellStyle name="Normal 29 2 8 2" xfId="4075" xr:uid="{00000000-0005-0000-0000-0000C3090000}"/>
    <cellStyle name="Normal 29 2 9" xfId="1821" xr:uid="{00000000-0005-0000-0000-0000C4090000}"/>
    <cellStyle name="Normal 29 2 9 2" xfId="4076" xr:uid="{00000000-0005-0000-0000-0000C5090000}"/>
    <cellStyle name="Normal 29 2_Sheet3" xfId="1822" xr:uid="{00000000-0005-0000-0000-0000C6090000}"/>
    <cellStyle name="Normal 29 3" xfId="1823" xr:uid="{00000000-0005-0000-0000-0000C7090000}"/>
    <cellStyle name="Normal 29 3 2" xfId="4077" xr:uid="{00000000-0005-0000-0000-0000C8090000}"/>
    <cellStyle name="Normal 29 4" xfId="1824" xr:uid="{00000000-0005-0000-0000-0000C9090000}"/>
    <cellStyle name="Normal 29 4 2" xfId="4078" xr:uid="{00000000-0005-0000-0000-0000CA090000}"/>
    <cellStyle name="Normal 29 5" xfId="1825" xr:uid="{00000000-0005-0000-0000-0000CB090000}"/>
    <cellStyle name="Normal 29 5 2" xfId="4079" xr:uid="{00000000-0005-0000-0000-0000CC090000}"/>
    <cellStyle name="Normal 29 6" xfId="1826" xr:uid="{00000000-0005-0000-0000-0000CD090000}"/>
    <cellStyle name="Normal 29 6 2" xfId="4080" xr:uid="{00000000-0005-0000-0000-0000CE090000}"/>
    <cellStyle name="Normal 29 7" xfId="1827" xr:uid="{00000000-0005-0000-0000-0000CF090000}"/>
    <cellStyle name="Normal 29 7 2" xfId="4081" xr:uid="{00000000-0005-0000-0000-0000D0090000}"/>
    <cellStyle name="Normal 29 8" xfId="1828" xr:uid="{00000000-0005-0000-0000-0000D1090000}"/>
    <cellStyle name="Normal 29 8 2" xfId="4082" xr:uid="{00000000-0005-0000-0000-0000D2090000}"/>
    <cellStyle name="Normal 29 9" xfId="1829" xr:uid="{00000000-0005-0000-0000-0000D3090000}"/>
    <cellStyle name="Normal 29 9 2" xfId="4083" xr:uid="{00000000-0005-0000-0000-0000D4090000}"/>
    <cellStyle name="Normal 29_Sheet3" xfId="1830" xr:uid="{00000000-0005-0000-0000-0000D5090000}"/>
    <cellStyle name="Normal 3" xfId="1831" xr:uid="{00000000-0005-0000-0000-0000D6090000}"/>
    <cellStyle name="Normal 3 2" xfId="1832" xr:uid="{00000000-0005-0000-0000-0000D7090000}"/>
    <cellStyle name="Normal 3 2 2" xfId="1833" xr:uid="{00000000-0005-0000-0000-0000D8090000}"/>
    <cellStyle name="Normal 3 3" xfId="1834" xr:uid="{00000000-0005-0000-0000-0000D9090000}"/>
    <cellStyle name="Normal 3 3 2" xfId="1835" xr:uid="{00000000-0005-0000-0000-0000DA090000}"/>
    <cellStyle name="Normal 3 4" xfId="1836" xr:uid="{00000000-0005-0000-0000-0000DB090000}"/>
    <cellStyle name="Normal 3 5" xfId="1837" xr:uid="{00000000-0005-0000-0000-0000DC090000}"/>
    <cellStyle name="Normal 3 5 2" xfId="1838" xr:uid="{00000000-0005-0000-0000-0000DD090000}"/>
    <cellStyle name="Normal 3 5 3" xfId="1839" xr:uid="{00000000-0005-0000-0000-0000DE090000}"/>
    <cellStyle name="Normal 3 6" xfId="1840" xr:uid="{00000000-0005-0000-0000-0000DF090000}"/>
    <cellStyle name="Normal 30" xfId="1841" xr:uid="{00000000-0005-0000-0000-0000E0090000}"/>
    <cellStyle name="Normal 30 10" xfId="1842" xr:uid="{00000000-0005-0000-0000-0000E1090000}"/>
    <cellStyle name="Normal 30 10 2" xfId="4085" xr:uid="{00000000-0005-0000-0000-0000E2090000}"/>
    <cellStyle name="Normal 30 11" xfId="1843" xr:uid="{00000000-0005-0000-0000-0000E3090000}"/>
    <cellStyle name="Normal 30 11 2" xfId="4086" xr:uid="{00000000-0005-0000-0000-0000E4090000}"/>
    <cellStyle name="Normal 30 12" xfId="4084" xr:uid="{00000000-0005-0000-0000-0000E5090000}"/>
    <cellStyle name="Normal 30 2" xfId="1844" xr:uid="{00000000-0005-0000-0000-0000E6090000}"/>
    <cellStyle name="Normal 30 2 10" xfId="1845" xr:uid="{00000000-0005-0000-0000-0000E7090000}"/>
    <cellStyle name="Normal 30 2 10 2" xfId="4088" xr:uid="{00000000-0005-0000-0000-0000E8090000}"/>
    <cellStyle name="Normal 30 2 11" xfId="4087" xr:uid="{00000000-0005-0000-0000-0000E9090000}"/>
    <cellStyle name="Normal 30 2 2" xfId="1846" xr:uid="{00000000-0005-0000-0000-0000EA090000}"/>
    <cellStyle name="Normal 30 2 2 2" xfId="4089" xr:uid="{00000000-0005-0000-0000-0000EB090000}"/>
    <cellStyle name="Normal 30 2 3" xfId="1847" xr:uid="{00000000-0005-0000-0000-0000EC090000}"/>
    <cellStyle name="Normal 30 2 3 2" xfId="4090" xr:uid="{00000000-0005-0000-0000-0000ED090000}"/>
    <cellStyle name="Normal 30 2 4" xfId="1848" xr:uid="{00000000-0005-0000-0000-0000EE090000}"/>
    <cellStyle name="Normal 30 2 4 2" xfId="4091" xr:uid="{00000000-0005-0000-0000-0000EF090000}"/>
    <cellStyle name="Normal 30 2 5" xfId="1849" xr:uid="{00000000-0005-0000-0000-0000F0090000}"/>
    <cellStyle name="Normal 30 2 5 2" xfId="4092" xr:uid="{00000000-0005-0000-0000-0000F1090000}"/>
    <cellStyle name="Normal 30 2 6" xfId="1850" xr:uid="{00000000-0005-0000-0000-0000F2090000}"/>
    <cellStyle name="Normal 30 2 6 2" xfId="4093" xr:uid="{00000000-0005-0000-0000-0000F3090000}"/>
    <cellStyle name="Normal 30 2 7" xfId="1851" xr:uid="{00000000-0005-0000-0000-0000F4090000}"/>
    <cellStyle name="Normal 30 2 7 2" xfId="4094" xr:uid="{00000000-0005-0000-0000-0000F5090000}"/>
    <cellStyle name="Normal 30 2 8" xfId="1852" xr:uid="{00000000-0005-0000-0000-0000F6090000}"/>
    <cellStyle name="Normal 30 2 8 2" xfId="4095" xr:uid="{00000000-0005-0000-0000-0000F7090000}"/>
    <cellStyle name="Normal 30 2 9" xfId="1853" xr:uid="{00000000-0005-0000-0000-0000F8090000}"/>
    <cellStyle name="Normal 30 2 9 2" xfId="4096" xr:uid="{00000000-0005-0000-0000-0000F9090000}"/>
    <cellStyle name="Normal 30 2_Sheet3" xfId="1854" xr:uid="{00000000-0005-0000-0000-0000FA090000}"/>
    <cellStyle name="Normal 30 3" xfId="1855" xr:uid="{00000000-0005-0000-0000-0000FB090000}"/>
    <cellStyle name="Normal 30 3 2" xfId="4097" xr:uid="{00000000-0005-0000-0000-0000FC090000}"/>
    <cellStyle name="Normal 30 4" xfId="1856" xr:uid="{00000000-0005-0000-0000-0000FD090000}"/>
    <cellStyle name="Normal 30 4 2" xfId="4098" xr:uid="{00000000-0005-0000-0000-0000FE090000}"/>
    <cellStyle name="Normal 30 5" xfId="1857" xr:uid="{00000000-0005-0000-0000-0000FF090000}"/>
    <cellStyle name="Normal 30 5 2" xfId="4099" xr:uid="{00000000-0005-0000-0000-0000000A0000}"/>
    <cellStyle name="Normal 30 6" xfId="1858" xr:uid="{00000000-0005-0000-0000-0000010A0000}"/>
    <cellStyle name="Normal 30 6 2" xfId="4100" xr:uid="{00000000-0005-0000-0000-0000020A0000}"/>
    <cellStyle name="Normal 30 7" xfId="1859" xr:uid="{00000000-0005-0000-0000-0000030A0000}"/>
    <cellStyle name="Normal 30 7 2" xfId="4101" xr:uid="{00000000-0005-0000-0000-0000040A0000}"/>
    <cellStyle name="Normal 30 8" xfId="1860" xr:uid="{00000000-0005-0000-0000-0000050A0000}"/>
    <cellStyle name="Normal 30 8 2" xfId="4102" xr:uid="{00000000-0005-0000-0000-0000060A0000}"/>
    <cellStyle name="Normal 30 9" xfId="1861" xr:uid="{00000000-0005-0000-0000-0000070A0000}"/>
    <cellStyle name="Normal 30 9 2" xfId="4103" xr:uid="{00000000-0005-0000-0000-0000080A0000}"/>
    <cellStyle name="Normal 30_Sheet3" xfId="1862" xr:uid="{00000000-0005-0000-0000-0000090A0000}"/>
    <cellStyle name="Normal 31" xfId="1863" xr:uid="{00000000-0005-0000-0000-00000A0A0000}"/>
    <cellStyle name="Normal 31 10" xfId="1864" xr:uid="{00000000-0005-0000-0000-00000B0A0000}"/>
    <cellStyle name="Normal 31 10 2" xfId="4105" xr:uid="{00000000-0005-0000-0000-00000C0A0000}"/>
    <cellStyle name="Normal 31 11" xfId="1865" xr:uid="{00000000-0005-0000-0000-00000D0A0000}"/>
    <cellStyle name="Normal 31 11 2" xfId="4106" xr:uid="{00000000-0005-0000-0000-00000E0A0000}"/>
    <cellStyle name="Normal 31 12" xfId="4104" xr:uid="{00000000-0005-0000-0000-00000F0A0000}"/>
    <cellStyle name="Normal 31 2" xfId="1866" xr:uid="{00000000-0005-0000-0000-0000100A0000}"/>
    <cellStyle name="Normal 31 2 10" xfId="1867" xr:uid="{00000000-0005-0000-0000-0000110A0000}"/>
    <cellStyle name="Normal 31 2 10 2" xfId="4108" xr:uid="{00000000-0005-0000-0000-0000120A0000}"/>
    <cellStyle name="Normal 31 2 11" xfId="4107" xr:uid="{00000000-0005-0000-0000-0000130A0000}"/>
    <cellStyle name="Normal 31 2 2" xfId="1868" xr:uid="{00000000-0005-0000-0000-0000140A0000}"/>
    <cellStyle name="Normal 31 2 2 2" xfId="4109" xr:uid="{00000000-0005-0000-0000-0000150A0000}"/>
    <cellStyle name="Normal 31 2 3" xfId="1869" xr:uid="{00000000-0005-0000-0000-0000160A0000}"/>
    <cellStyle name="Normal 31 2 3 2" xfId="4110" xr:uid="{00000000-0005-0000-0000-0000170A0000}"/>
    <cellStyle name="Normal 31 2 4" xfId="1870" xr:uid="{00000000-0005-0000-0000-0000180A0000}"/>
    <cellStyle name="Normal 31 2 4 2" xfId="4111" xr:uid="{00000000-0005-0000-0000-0000190A0000}"/>
    <cellStyle name="Normal 31 2 5" xfId="1871" xr:uid="{00000000-0005-0000-0000-00001A0A0000}"/>
    <cellStyle name="Normal 31 2 5 2" xfId="4112" xr:uid="{00000000-0005-0000-0000-00001B0A0000}"/>
    <cellStyle name="Normal 31 2 6" xfId="1872" xr:uid="{00000000-0005-0000-0000-00001C0A0000}"/>
    <cellStyle name="Normal 31 2 6 2" xfId="4113" xr:uid="{00000000-0005-0000-0000-00001D0A0000}"/>
    <cellStyle name="Normal 31 2 7" xfId="1873" xr:uid="{00000000-0005-0000-0000-00001E0A0000}"/>
    <cellStyle name="Normal 31 2 7 2" xfId="4114" xr:uid="{00000000-0005-0000-0000-00001F0A0000}"/>
    <cellStyle name="Normal 31 2 8" xfId="1874" xr:uid="{00000000-0005-0000-0000-0000200A0000}"/>
    <cellStyle name="Normal 31 2 8 2" xfId="4115" xr:uid="{00000000-0005-0000-0000-0000210A0000}"/>
    <cellStyle name="Normal 31 2 9" xfId="1875" xr:uid="{00000000-0005-0000-0000-0000220A0000}"/>
    <cellStyle name="Normal 31 2 9 2" xfId="4116" xr:uid="{00000000-0005-0000-0000-0000230A0000}"/>
    <cellStyle name="Normal 31 2_Sheet3" xfId="1876" xr:uid="{00000000-0005-0000-0000-0000240A0000}"/>
    <cellStyle name="Normal 31 3" xfId="1877" xr:uid="{00000000-0005-0000-0000-0000250A0000}"/>
    <cellStyle name="Normal 31 3 2" xfId="4117" xr:uid="{00000000-0005-0000-0000-0000260A0000}"/>
    <cellStyle name="Normal 31 4" xfId="1878" xr:uid="{00000000-0005-0000-0000-0000270A0000}"/>
    <cellStyle name="Normal 31 4 2" xfId="4118" xr:uid="{00000000-0005-0000-0000-0000280A0000}"/>
    <cellStyle name="Normal 31 5" xfId="1879" xr:uid="{00000000-0005-0000-0000-0000290A0000}"/>
    <cellStyle name="Normal 31 5 2" xfId="4119" xr:uid="{00000000-0005-0000-0000-00002A0A0000}"/>
    <cellStyle name="Normal 31 6" xfId="1880" xr:uid="{00000000-0005-0000-0000-00002B0A0000}"/>
    <cellStyle name="Normal 31 6 2" xfId="4120" xr:uid="{00000000-0005-0000-0000-00002C0A0000}"/>
    <cellStyle name="Normal 31 7" xfId="1881" xr:uid="{00000000-0005-0000-0000-00002D0A0000}"/>
    <cellStyle name="Normal 31 7 2" xfId="4121" xr:uid="{00000000-0005-0000-0000-00002E0A0000}"/>
    <cellStyle name="Normal 31 8" xfId="1882" xr:uid="{00000000-0005-0000-0000-00002F0A0000}"/>
    <cellStyle name="Normal 31 8 2" xfId="4122" xr:uid="{00000000-0005-0000-0000-0000300A0000}"/>
    <cellStyle name="Normal 31 9" xfId="1883" xr:uid="{00000000-0005-0000-0000-0000310A0000}"/>
    <cellStyle name="Normal 31 9 2" xfId="4123" xr:uid="{00000000-0005-0000-0000-0000320A0000}"/>
    <cellStyle name="Normal 31_Sheet3" xfId="1884" xr:uid="{00000000-0005-0000-0000-0000330A0000}"/>
    <cellStyle name="Normal 32" xfId="1885" xr:uid="{00000000-0005-0000-0000-0000340A0000}"/>
    <cellStyle name="Normal 32 10" xfId="1886" xr:uid="{00000000-0005-0000-0000-0000350A0000}"/>
    <cellStyle name="Normal 32 10 2" xfId="4125" xr:uid="{00000000-0005-0000-0000-0000360A0000}"/>
    <cellStyle name="Normal 32 11" xfId="1887" xr:uid="{00000000-0005-0000-0000-0000370A0000}"/>
    <cellStyle name="Normal 32 11 2" xfId="4126" xr:uid="{00000000-0005-0000-0000-0000380A0000}"/>
    <cellStyle name="Normal 32 12" xfId="1888" xr:uid="{00000000-0005-0000-0000-0000390A0000}"/>
    <cellStyle name="Normal 32 12 2" xfId="4127" xr:uid="{00000000-0005-0000-0000-00003A0A0000}"/>
    <cellStyle name="Normal 32 13" xfId="1889" xr:uid="{00000000-0005-0000-0000-00003B0A0000}"/>
    <cellStyle name="Normal 32 13 2" xfId="4128" xr:uid="{00000000-0005-0000-0000-00003C0A0000}"/>
    <cellStyle name="Normal 32 14" xfId="4124" xr:uid="{00000000-0005-0000-0000-00003D0A0000}"/>
    <cellStyle name="Normal 32 2" xfId="1890" xr:uid="{00000000-0005-0000-0000-00003E0A0000}"/>
    <cellStyle name="Normal 32 2 10" xfId="1891" xr:uid="{00000000-0005-0000-0000-00003F0A0000}"/>
    <cellStyle name="Normal 32 2 10 2" xfId="4130" xr:uid="{00000000-0005-0000-0000-0000400A0000}"/>
    <cellStyle name="Normal 32 2 11" xfId="1892" xr:uid="{00000000-0005-0000-0000-0000410A0000}"/>
    <cellStyle name="Normal 32 2 11 2" xfId="4131" xr:uid="{00000000-0005-0000-0000-0000420A0000}"/>
    <cellStyle name="Normal 32 2 12" xfId="4129" xr:uid="{00000000-0005-0000-0000-0000430A0000}"/>
    <cellStyle name="Normal 32 2 2" xfId="1893" xr:uid="{00000000-0005-0000-0000-0000440A0000}"/>
    <cellStyle name="Normal 32 2 2 10" xfId="1894" xr:uid="{00000000-0005-0000-0000-0000450A0000}"/>
    <cellStyle name="Normal 32 2 2 10 2" xfId="4133" xr:uid="{00000000-0005-0000-0000-0000460A0000}"/>
    <cellStyle name="Normal 32 2 2 11" xfId="4132" xr:uid="{00000000-0005-0000-0000-0000470A0000}"/>
    <cellStyle name="Normal 32 2 2 2" xfId="1895" xr:uid="{00000000-0005-0000-0000-0000480A0000}"/>
    <cellStyle name="Normal 32 2 2 2 2" xfId="4134" xr:uid="{00000000-0005-0000-0000-0000490A0000}"/>
    <cellStyle name="Normal 32 2 2 3" xfId="1896" xr:uid="{00000000-0005-0000-0000-00004A0A0000}"/>
    <cellStyle name="Normal 32 2 2 3 2" xfId="4135" xr:uid="{00000000-0005-0000-0000-00004B0A0000}"/>
    <cellStyle name="Normal 32 2 2 4" xfId="1897" xr:uid="{00000000-0005-0000-0000-00004C0A0000}"/>
    <cellStyle name="Normal 32 2 2 4 2" xfId="4136" xr:uid="{00000000-0005-0000-0000-00004D0A0000}"/>
    <cellStyle name="Normal 32 2 2 5" xfId="1898" xr:uid="{00000000-0005-0000-0000-00004E0A0000}"/>
    <cellStyle name="Normal 32 2 2 5 2" xfId="4137" xr:uid="{00000000-0005-0000-0000-00004F0A0000}"/>
    <cellStyle name="Normal 32 2 2 6" xfId="1899" xr:uid="{00000000-0005-0000-0000-0000500A0000}"/>
    <cellStyle name="Normal 32 2 2 6 2" xfId="4138" xr:uid="{00000000-0005-0000-0000-0000510A0000}"/>
    <cellStyle name="Normal 32 2 2 7" xfId="1900" xr:uid="{00000000-0005-0000-0000-0000520A0000}"/>
    <cellStyle name="Normal 32 2 2 7 2" xfId="4139" xr:uid="{00000000-0005-0000-0000-0000530A0000}"/>
    <cellStyle name="Normal 32 2 2 8" xfId="1901" xr:uid="{00000000-0005-0000-0000-0000540A0000}"/>
    <cellStyle name="Normal 32 2 2 8 2" xfId="4140" xr:uid="{00000000-0005-0000-0000-0000550A0000}"/>
    <cellStyle name="Normal 32 2 2 9" xfId="1902" xr:uid="{00000000-0005-0000-0000-0000560A0000}"/>
    <cellStyle name="Normal 32 2 2 9 2" xfId="4141" xr:uid="{00000000-0005-0000-0000-0000570A0000}"/>
    <cellStyle name="Normal 32 2 2_Sheet3" xfId="1903" xr:uid="{00000000-0005-0000-0000-0000580A0000}"/>
    <cellStyle name="Normal 32 2 3" xfId="1904" xr:uid="{00000000-0005-0000-0000-0000590A0000}"/>
    <cellStyle name="Normal 32 2 3 2" xfId="4142" xr:uid="{00000000-0005-0000-0000-00005A0A0000}"/>
    <cellStyle name="Normal 32 2 4" xfId="1905" xr:uid="{00000000-0005-0000-0000-00005B0A0000}"/>
    <cellStyle name="Normal 32 2 4 2" xfId="4143" xr:uid="{00000000-0005-0000-0000-00005C0A0000}"/>
    <cellStyle name="Normal 32 2 5" xfId="1906" xr:uid="{00000000-0005-0000-0000-00005D0A0000}"/>
    <cellStyle name="Normal 32 2 5 2" xfId="4144" xr:uid="{00000000-0005-0000-0000-00005E0A0000}"/>
    <cellStyle name="Normal 32 2 6" xfId="1907" xr:uid="{00000000-0005-0000-0000-00005F0A0000}"/>
    <cellStyle name="Normal 32 2 6 2" xfId="4145" xr:uid="{00000000-0005-0000-0000-0000600A0000}"/>
    <cellStyle name="Normal 32 2 7" xfId="1908" xr:uid="{00000000-0005-0000-0000-0000610A0000}"/>
    <cellStyle name="Normal 32 2 7 2" xfId="4146" xr:uid="{00000000-0005-0000-0000-0000620A0000}"/>
    <cellStyle name="Normal 32 2 8" xfId="1909" xr:uid="{00000000-0005-0000-0000-0000630A0000}"/>
    <cellStyle name="Normal 32 2 8 2" xfId="4147" xr:uid="{00000000-0005-0000-0000-0000640A0000}"/>
    <cellStyle name="Normal 32 2 9" xfId="1910" xr:uid="{00000000-0005-0000-0000-0000650A0000}"/>
    <cellStyle name="Normal 32 2 9 2" xfId="4148" xr:uid="{00000000-0005-0000-0000-0000660A0000}"/>
    <cellStyle name="Normal 32 2_Sheet3" xfId="1911" xr:uid="{00000000-0005-0000-0000-0000670A0000}"/>
    <cellStyle name="Normal 32 3" xfId="1912" xr:uid="{00000000-0005-0000-0000-0000680A0000}"/>
    <cellStyle name="Normal 32 3 10" xfId="1913" xr:uid="{00000000-0005-0000-0000-0000690A0000}"/>
    <cellStyle name="Normal 32 3 10 2" xfId="4150" xr:uid="{00000000-0005-0000-0000-00006A0A0000}"/>
    <cellStyle name="Normal 32 3 11" xfId="1914" xr:uid="{00000000-0005-0000-0000-00006B0A0000}"/>
    <cellStyle name="Normal 32 3 11 2" xfId="4151" xr:uid="{00000000-0005-0000-0000-00006C0A0000}"/>
    <cellStyle name="Normal 32 3 12" xfId="4149" xr:uid="{00000000-0005-0000-0000-00006D0A0000}"/>
    <cellStyle name="Normal 32 3 2" xfId="1915" xr:uid="{00000000-0005-0000-0000-00006E0A0000}"/>
    <cellStyle name="Normal 32 3 2 10" xfId="1916" xr:uid="{00000000-0005-0000-0000-00006F0A0000}"/>
    <cellStyle name="Normal 32 3 2 10 2" xfId="4153" xr:uid="{00000000-0005-0000-0000-0000700A0000}"/>
    <cellStyle name="Normal 32 3 2 11" xfId="4152" xr:uid="{00000000-0005-0000-0000-0000710A0000}"/>
    <cellStyle name="Normal 32 3 2 2" xfId="1917" xr:uid="{00000000-0005-0000-0000-0000720A0000}"/>
    <cellStyle name="Normal 32 3 2 2 2" xfId="4154" xr:uid="{00000000-0005-0000-0000-0000730A0000}"/>
    <cellStyle name="Normal 32 3 2 3" xfId="1918" xr:uid="{00000000-0005-0000-0000-0000740A0000}"/>
    <cellStyle name="Normal 32 3 2 3 2" xfId="4155" xr:uid="{00000000-0005-0000-0000-0000750A0000}"/>
    <cellStyle name="Normal 32 3 2 4" xfId="1919" xr:uid="{00000000-0005-0000-0000-0000760A0000}"/>
    <cellStyle name="Normal 32 3 2 4 2" xfId="4156" xr:uid="{00000000-0005-0000-0000-0000770A0000}"/>
    <cellStyle name="Normal 32 3 2 5" xfId="1920" xr:uid="{00000000-0005-0000-0000-0000780A0000}"/>
    <cellStyle name="Normal 32 3 2 5 2" xfId="4157" xr:uid="{00000000-0005-0000-0000-0000790A0000}"/>
    <cellStyle name="Normal 32 3 2 6" xfId="1921" xr:uid="{00000000-0005-0000-0000-00007A0A0000}"/>
    <cellStyle name="Normal 32 3 2 6 2" xfId="4158" xr:uid="{00000000-0005-0000-0000-00007B0A0000}"/>
    <cellStyle name="Normal 32 3 2 7" xfId="1922" xr:uid="{00000000-0005-0000-0000-00007C0A0000}"/>
    <cellStyle name="Normal 32 3 2 7 2" xfId="4159" xr:uid="{00000000-0005-0000-0000-00007D0A0000}"/>
    <cellStyle name="Normal 32 3 2 8" xfId="1923" xr:uid="{00000000-0005-0000-0000-00007E0A0000}"/>
    <cellStyle name="Normal 32 3 2 8 2" xfId="4160" xr:uid="{00000000-0005-0000-0000-00007F0A0000}"/>
    <cellStyle name="Normal 32 3 2 9" xfId="1924" xr:uid="{00000000-0005-0000-0000-0000800A0000}"/>
    <cellStyle name="Normal 32 3 2 9 2" xfId="4161" xr:uid="{00000000-0005-0000-0000-0000810A0000}"/>
    <cellStyle name="Normal 32 3 2_Sheet3" xfId="1925" xr:uid="{00000000-0005-0000-0000-0000820A0000}"/>
    <cellStyle name="Normal 32 3 3" xfId="1926" xr:uid="{00000000-0005-0000-0000-0000830A0000}"/>
    <cellStyle name="Normal 32 3 3 2" xfId="4162" xr:uid="{00000000-0005-0000-0000-0000840A0000}"/>
    <cellStyle name="Normal 32 3 4" xfId="1927" xr:uid="{00000000-0005-0000-0000-0000850A0000}"/>
    <cellStyle name="Normal 32 3 4 2" xfId="4163" xr:uid="{00000000-0005-0000-0000-0000860A0000}"/>
    <cellStyle name="Normal 32 3 5" xfId="1928" xr:uid="{00000000-0005-0000-0000-0000870A0000}"/>
    <cellStyle name="Normal 32 3 5 2" xfId="4164" xr:uid="{00000000-0005-0000-0000-0000880A0000}"/>
    <cellStyle name="Normal 32 3 6" xfId="1929" xr:uid="{00000000-0005-0000-0000-0000890A0000}"/>
    <cellStyle name="Normal 32 3 6 2" xfId="4165" xr:uid="{00000000-0005-0000-0000-00008A0A0000}"/>
    <cellStyle name="Normal 32 3 7" xfId="1930" xr:uid="{00000000-0005-0000-0000-00008B0A0000}"/>
    <cellStyle name="Normal 32 3 7 2" xfId="4166" xr:uid="{00000000-0005-0000-0000-00008C0A0000}"/>
    <cellStyle name="Normal 32 3 8" xfId="1931" xr:uid="{00000000-0005-0000-0000-00008D0A0000}"/>
    <cellStyle name="Normal 32 3 8 2" xfId="4167" xr:uid="{00000000-0005-0000-0000-00008E0A0000}"/>
    <cellStyle name="Normal 32 3 9" xfId="1932" xr:uid="{00000000-0005-0000-0000-00008F0A0000}"/>
    <cellStyle name="Normal 32 3 9 2" xfId="4168" xr:uid="{00000000-0005-0000-0000-0000900A0000}"/>
    <cellStyle name="Normal 32 3_Sheet3" xfId="1933" xr:uid="{00000000-0005-0000-0000-0000910A0000}"/>
    <cellStyle name="Normal 32 4" xfId="1934" xr:uid="{00000000-0005-0000-0000-0000920A0000}"/>
    <cellStyle name="Normal 32 4 10" xfId="1935" xr:uid="{00000000-0005-0000-0000-0000930A0000}"/>
    <cellStyle name="Normal 32 4 10 2" xfId="4170" xr:uid="{00000000-0005-0000-0000-0000940A0000}"/>
    <cellStyle name="Normal 32 4 11" xfId="4169" xr:uid="{00000000-0005-0000-0000-0000950A0000}"/>
    <cellStyle name="Normal 32 4 2" xfId="1936" xr:uid="{00000000-0005-0000-0000-0000960A0000}"/>
    <cellStyle name="Normal 32 4 2 2" xfId="4171" xr:uid="{00000000-0005-0000-0000-0000970A0000}"/>
    <cellStyle name="Normal 32 4 3" xfId="1937" xr:uid="{00000000-0005-0000-0000-0000980A0000}"/>
    <cellStyle name="Normal 32 4 3 2" xfId="4172" xr:uid="{00000000-0005-0000-0000-0000990A0000}"/>
    <cellStyle name="Normal 32 4 4" xfId="1938" xr:uid="{00000000-0005-0000-0000-00009A0A0000}"/>
    <cellStyle name="Normal 32 4 4 2" xfId="4173" xr:uid="{00000000-0005-0000-0000-00009B0A0000}"/>
    <cellStyle name="Normal 32 4 5" xfId="1939" xr:uid="{00000000-0005-0000-0000-00009C0A0000}"/>
    <cellStyle name="Normal 32 4 5 2" xfId="4174" xr:uid="{00000000-0005-0000-0000-00009D0A0000}"/>
    <cellStyle name="Normal 32 4 6" xfId="1940" xr:uid="{00000000-0005-0000-0000-00009E0A0000}"/>
    <cellStyle name="Normal 32 4 6 2" xfId="4175" xr:uid="{00000000-0005-0000-0000-00009F0A0000}"/>
    <cellStyle name="Normal 32 4 7" xfId="1941" xr:uid="{00000000-0005-0000-0000-0000A00A0000}"/>
    <cellStyle name="Normal 32 4 7 2" xfId="4176" xr:uid="{00000000-0005-0000-0000-0000A10A0000}"/>
    <cellStyle name="Normal 32 4 8" xfId="1942" xr:uid="{00000000-0005-0000-0000-0000A20A0000}"/>
    <cellStyle name="Normal 32 4 8 2" xfId="4177" xr:uid="{00000000-0005-0000-0000-0000A30A0000}"/>
    <cellStyle name="Normal 32 4 9" xfId="1943" xr:uid="{00000000-0005-0000-0000-0000A40A0000}"/>
    <cellStyle name="Normal 32 4 9 2" xfId="4178" xr:uid="{00000000-0005-0000-0000-0000A50A0000}"/>
    <cellStyle name="Normal 32 4_Sheet3" xfId="1944" xr:uid="{00000000-0005-0000-0000-0000A60A0000}"/>
    <cellStyle name="Normal 32 5" xfId="1945" xr:uid="{00000000-0005-0000-0000-0000A70A0000}"/>
    <cellStyle name="Normal 32 5 2" xfId="4179" xr:uid="{00000000-0005-0000-0000-0000A80A0000}"/>
    <cellStyle name="Normal 32 6" xfId="1946" xr:uid="{00000000-0005-0000-0000-0000A90A0000}"/>
    <cellStyle name="Normal 32 6 2" xfId="4180" xr:uid="{00000000-0005-0000-0000-0000AA0A0000}"/>
    <cellStyle name="Normal 32 7" xfId="1947" xr:uid="{00000000-0005-0000-0000-0000AB0A0000}"/>
    <cellStyle name="Normal 32 7 2" xfId="4181" xr:uid="{00000000-0005-0000-0000-0000AC0A0000}"/>
    <cellStyle name="Normal 32 8" xfId="1948" xr:uid="{00000000-0005-0000-0000-0000AD0A0000}"/>
    <cellStyle name="Normal 32 8 2" xfId="4182" xr:uid="{00000000-0005-0000-0000-0000AE0A0000}"/>
    <cellStyle name="Normal 32 9" xfId="1949" xr:uid="{00000000-0005-0000-0000-0000AF0A0000}"/>
    <cellStyle name="Normal 32 9 2" xfId="4183" xr:uid="{00000000-0005-0000-0000-0000B00A0000}"/>
    <cellStyle name="Normal 32_Sheet3" xfId="1950" xr:uid="{00000000-0005-0000-0000-0000B10A0000}"/>
    <cellStyle name="Normal 33" xfId="1951" xr:uid="{00000000-0005-0000-0000-0000B20A0000}"/>
    <cellStyle name="Normal 33 10" xfId="1952" xr:uid="{00000000-0005-0000-0000-0000B30A0000}"/>
    <cellStyle name="Normal 33 10 2" xfId="4185" xr:uid="{00000000-0005-0000-0000-0000B40A0000}"/>
    <cellStyle name="Normal 33 11" xfId="1953" xr:uid="{00000000-0005-0000-0000-0000B50A0000}"/>
    <cellStyle name="Normal 33 11 2" xfId="4186" xr:uid="{00000000-0005-0000-0000-0000B60A0000}"/>
    <cellStyle name="Normal 33 12" xfId="4184" xr:uid="{00000000-0005-0000-0000-0000B70A0000}"/>
    <cellStyle name="Normal 33 2" xfId="1954" xr:uid="{00000000-0005-0000-0000-0000B80A0000}"/>
    <cellStyle name="Normal 33 2 10" xfId="1955" xr:uid="{00000000-0005-0000-0000-0000B90A0000}"/>
    <cellStyle name="Normal 33 2 10 2" xfId="4188" xr:uid="{00000000-0005-0000-0000-0000BA0A0000}"/>
    <cellStyle name="Normal 33 2 11" xfId="4187" xr:uid="{00000000-0005-0000-0000-0000BB0A0000}"/>
    <cellStyle name="Normal 33 2 2" xfId="1956" xr:uid="{00000000-0005-0000-0000-0000BC0A0000}"/>
    <cellStyle name="Normal 33 2 2 2" xfId="4189" xr:uid="{00000000-0005-0000-0000-0000BD0A0000}"/>
    <cellStyle name="Normal 33 2 3" xfId="1957" xr:uid="{00000000-0005-0000-0000-0000BE0A0000}"/>
    <cellStyle name="Normal 33 2 3 2" xfId="4190" xr:uid="{00000000-0005-0000-0000-0000BF0A0000}"/>
    <cellStyle name="Normal 33 2 4" xfId="1958" xr:uid="{00000000-0005-0000-0000-0000C00A0000}"/>
    <cellStyle name="Normal 33 2 4 2" xfId="4191" xr:uid="{00000000-0005-0000-0000-0000C10A0000}"/>
    <cellStyle name="Normal 33 2 5" xfId="1959" xr:uid="{00000000-0005-0000-0000-0000C20A0000}"/>
    <cellStyle name="Normal 33 2 5 2" xfId="4192" xr:uid="{00000000-0005-0000-0000-0000C30A0000}"/>
    <cellStyle name="Normal 33 2 6" xfId="1960" xr:uid="{00000000-0005-0000-0000-0000C40A0000}"/>
    <cellStyle name="Normal 33 2 6 2" xfId="4193" xr:uid="{00000000-0005-0000-0000-0000C50A0000}"/>
    <cellStyle name="Normal 33 2 7" xfId="1961" xr:uid="{00000000-0005-0000-0000-0000C60A0000}"/>
    <cellStyle name="Normal 33 2 7 2" xfId="4194" xr:uid="{00000000-0005-0000-0000-0000C70A0000}"/>
    <cellStyle name="Normal 33 2 8" xfId="1962" xr:uid="{00000000-0005-0000-0000-0000C80A0000}"/>
    <cellStyle name="Normal 33 2 8 2" xfId="4195" xr:uid="{00000000-0005-0000-0000-0000C90A0000}"/>
    <cellStyle name="Normal 33 2 9" xfId="1963" xr:uid="{00000000-0005-0000-0000-0000CA0A0000}"/>
    <cellStyle name="Normal 33 2 9 2" xfId="4196" xr:uid="{00000000-0005-0000-0000-0000CB0A0000}"/>
    <cellStyle name="Normal 33 2_Sheet3" xfId="1964" xr:uid="{00000000-0005-0000-0000-0000CC0A0000}"/>
    <cellStyle name="Normal 33 3" xfId="1965" xr:uid="{00000000-0005-0000-0000-0000CD0A0000}"/>
    <cellStyle name="Normal 33 3 2" xfId="4197" xr:uid="{00000000-0005-0000-0000-0000CE0A0000}"/>
    <cellStyle name="Normal 33 4" xfId="1966" xr:uid="{00000000-0005-0000-0000-0000CF0A0000}"/>
    <cellStyle name="Normal 33 4 2" xfId="4198" xr:uid="{00000000-0005-0000-0000-0000D00A0000}"/>
    <cellStyle name="Normal 33 5" xfId="1967" xr:uid="{00000000-0005-0000-0000-0000D10A0000}"/>
    <cellStyle name="Normal 33 5 2" xfId="4199" xr:uid="{00000000-0005-0000-0000-0000D20A0000}"/>
    <cellStyle name="Normal 33 6" xfId="1968" xr:uid="{00000000-0005-0000-0000-0000D30A0000}"/>
    <cellStyle name="Normal 33 6 2" xfId="4200" xr:uid="{00000000-0005-0000-0000-0000D40A0000}"/>
    <cellStyle name="Normal 33 7" xfId="1969" xr:uid="{00000000-0005-0000-0000-0000D50A0000}"/>
    <cellStyle name="Normal 33 7 2" xfId="4201" xr:uid="{00000000-0005-0000-0000-0000D60A0000}"/>
    <cellStyle name="Normal 33 8" xfId="1970" xr:uid="{00000000-0005-0000-0000-0000D70A0000}"/>
    <cellStyle name="Normal 33 8 2" xfId="4202" xr:uid="{00000000-0005-0000-0000-0000D80A0000}"/>
    <cellStyle name="Normal 33 9" xfId="1971" xr:uid="{00000000-0005-0000-0000-0000D90A0000}"/>
    <cellStyle name="Normal 33 9 2" xfId="4203" xr:uid="{00000000-0005-0000-0000-0000DA0A0000}"/>
    <cellStyle name="Normal 33_Sheet3" xfId="1972" xr:uid="{00000000-0005-0000-0000-0000DB0A0000}"/>
    <cellStyle name="Normal 34" xfId="1973" xr:uid="{00000000-0005-0000-0000-0000DC0A0000}"/>
    <cellStyle name="Normal 34 2" xfId="1974" xr:uid="{00000000-0005-0000-0000-0000DD0A0000}"/>
    <cellStyle name="Normal 34_Sheet3" xfId="1975" xr:uid="{00000000-0005-0000-0000-0000DE0A0000}"/>
    <cellStyle name="Normal 35" xfId="1976" xr:uid="{00000000-0005-0000-0000-0000DF0A0000}"/>
    <cellStyle name="Normal 35 10" xfId="1977" xr:uid="{00000000-0005-0000-0000-0000E00A0000}"/>
    <cellStyle name="Normal 35 10 2" xfId="4205" xr:uid="{00000000-0005-0000-0000-0000E10A0000}"/>
    <cellStyle name="Normal 35 11" xfId="1978" xr:uid="{00000000-0005-0000-0000-0000E20A0000}"/>
    <cellStyle name="Normal 35 11 2" xfId="4206" xr:uid="{00000000-0005-0000-0000-0000E30A0000}"/>
    <cellStyle name="Normal 35 12" xfId="4204" xr:uid="{00000000-0005-0000-0000-0000E40A0000}"/>
    <cellStyle name="Normal 35 2" xfId="1979" xr:uid="{00000000-0005-0000-0000-0000E50A0000}"/>
    <cellStyle name="Normal 35 2 10" xfId="1980" xr:uid="{00000000-0005-0000-0000-0000E60A0000}"/>
    <cellStyle name="Normal 35 2 10 2" xfId="4208" xr:uid="{00000000-0005-0000-0000-0000E70A0000}"/>
    <cellStyle name="Normal 35 2 11" xfId="4207" xr:uid="{00000000-0005-0000-0000-0000E80A0000}"/>
    <cellStyle name="Normal 35 2 2" xfId="1981" xr:uid="{00000000-0005-0000-0000-0000E90A0000}"/>
    <cellStyle name="Normal 35 2 2 2" xfId="4209" xr:uid="{00000000-0005-0000-0000-0000EA0A0000}"/>
    <cellStyle name="Normal 35 2 3" xfId="1982" xr:uid="{00000000-0005-0000-0000-0000EB0A0000}"/>
    <cellStyle name="Normal 35 2 3 2" xfId="4210" xr:uid="{00000000-0005-0000-0000-0000EC0A0000}"/>
    <cellStyle name="Normal 35 2 4" xfId="1983" xr:uid="{00000000-0005-0000-0000-0000ED0A0000}"/>
    <cellStyle name="Normal 35 2 4 2" xfId="4211" xr:uid="{00000000-0005-0000-0000-0000EE0A0000}"/>
    <cellStyle name="Normal 35 2 5" xfId="1984" xr:uid="{00000000-0005-0000-0000-0000EF0A0000}"/>
    <cellStyle name="Normal 35 2 5 2" xfId="4212" xr:uid="{00000000-0005-0000-0000-0000F00A0000}"/>
    <cellStyle name="Normal 35 2 6" xfId="1985" xr:uid="{00000000-0005-0000-0000-0000F10A0000}"/>
    <cellStyle name="Normal 35 2 6 2" xfId="4213" xr:uid="{00000000-0005-0000-0000-0000F20A0000}"/>
    <cellStyle name="Normal 35 2 7" xfId="1986" xr:uid="{00000000-0005-0000-0000-0000F30A0000}"/>
    <cellStyle name="Normal 35 2 7 2" xfId="4214" xr:uid="{00000000-0005-0000-0000-0000F40A0000}"/>
    <cellStyle name="Normal 35 2 8" xfId="1987" xr:uid="{00000000-0005-0000-0000-0000F50A0000}"/>
    <cellStyle name="Normal 35 2 8 2" xfId="4215" xr:uid="{00000000-0005-0000-0000-0000F60A0000}"/>
    <cellStyle name="Normal 35 2 9" xfId="1988" xr:uid="{00000000-0005-0000-0000-0000F70A0000}"/>
    <cellStyle name="Normal 35 2 9 2" xfId="4216" xr:uid="{00000000-0005-0000-0000-0000F80A0000}"/>
    <cellStyle name="Normal 35 2_Sheet3" xfId="1989" xr:uid="{00000000-0005-0000-0000-0000F90A0000}"/>
    <cellStyle name="Normal 35 3" xfId="1990" xr:uid="{00000000-0005-0000-0000-0000FA0A0000}"/>
    <cellStyle name="Normal 35 3 2" xfId="4217" xr:uid="{00000000-0005-0000-0000-0000FB0A0000}"/>
    <cellStyle name="Normal 35 4" xfId="1991" xr:uid="{00000000-0005-0000-0000-0000FC0A0000}"/>
    <cellStyle name="Normal 35 4 2" xfId="4218" xr:uid="{00000000-0005-0000-0000-0000FD0A0000}"/>
    <cellStyle name="Normal 35 5" xfId="1992" xr:uid="{00000000-0005-0000-0000-0000FE0A0000}"/>
    <cellStyle name="Normal 35 5 2" xfId="4219" xr:uid="{00000000-0005-0000-0000-0000FF0A0000}"/>
    <cellStyle name="Normal 35 6" xfId="1993" xr:uid="{00000000-0005-0000-0000-0000000B0000}"/>
    <cellStyle name="Normal 35 6 2" xfId="4220" xr:uid="{00000000-0005-0000-0000-0000010B0000}"/>
    <cellStyle name="Normal 35 7" xfId="1994" xr:uid="{00000000-0005-0000-0000-0000020B0000}"/>
    <cellStyle name="Normal 35 7 2" xfId="4221" xr:uid="{00000000-0005-0000-0000-0000030B0000}"/>
    <cellStyle name="Normal 35 8" xfId="1995" xr:uid="{00000000-0005-0000-0000-0000040B0000}"/>
    <cellStyle name="Normal 35 8 2" xfId="4222" xr:uid="{00000000-0005-0000-0000-0000050B0000}"/>
    <cellStyle name="Normal 35 9" xfId="1996" xr:uid="{00000000-0005-0000-0000-0000060B0000}"/>
    <cellStyle name="Normal 35 9 2" xfId="4223" xr:uid="{00000000-0005-0000-0000-0000070B0000}"/>
    <cellStyle name="Normal 35_Sheet3" xfId="1997" xr:uid="{00000000-0005-0000-0000-0000080B0000}"/>
    <cellStyle name="Normal 36" xfId="1998" xr:uid="{00000000-0005-0000-0000-0000090B0000}"/>
    <cellStyle name="Normal 36 10" xfId="1999" xr:uid="{00000000-0005-0000-0000-00000A0B0000}"/>
    <cellStyle name="Normal 36 10 2" xfId="4225" xr:uid="{00000000-0005-0000-0000-00000B0B0000}"/>
    <cellStyle name="Normal 36 11" xfId="4224" xr:uid="{00000000-0005-0000-0000-00000C0B0000}"/>
    <cellStyle name="Normal 36 2" xfId="2000" xr:uid="{00000000-0005-0000-0000-00000D0B0000}"/>
    <cellStyle name="Normal 36 2 2" xfId="4226" xr:uid="{00000000-0005-0000-0000-00000E0B0000}"/>
    <cellStyle name="Normal 36 3" xfId="2001" xr:uid="{00000000-0005-0000-0000-00000F0B0000}"/>
    <cellStyle name="Normal 36 3 2" xfId="4227" xr:uid="{00000000-0005-0000-0000-0000100B0000}"/>
    <cellStyle name="Normal 36 4" xfId="2002" xr:uid="{00000000-0005-0000-0000-0000110B0000}"/>
    <cellStyle name="Normal 36 4 2" xfId="4228" xr:uid="{00000000-0005-0000-0000-0000120B0000}"/>
    <cellStyle name="Normal 36 5" xfId="2003" xr:uid="{00000000-0005-0000-0000-0000130B0000}"/>
    <cellStyle name="Normal 36 5 2" xfId="4229" xr:uid="{00000000-0005-0000-0000-0000140B0000}"/>
    <cellStyle name="Normal 36 6" xfId="2004" xr:uid="{00000000-0005-0000-0000-0000150B0000}"/>
    <cellStyle name="Normal 36 6 2" xfId="4230" xr:uid="{00000000-0005-0000-0000-0000160B0000}"/>
    <cellStyle name="Normal 36 7" xfId="2005" xr:uid="{00000000-0005-0000-0000-0000170B0000}"/>
    <cellStyle name="Normal 36 7 2" xfId="4231" xr:uid="{00000000-0005-0000-0000-0000180B0000}"/>
    <cellStyle name="Normal 36 8" xfId="2006" xr:uid="{00000000-0005-0000-0000-0000190B0000}"/>
    <cellStyle name="Normal 36 8 2" xfId="4232" xr:uid="{00000000-0005-0000-0000-00001A0B0000}"/>
    <cellStyle name="Normal 36 9" xfId="2007" xr:uid="{00000000-0005-0000-0000-00001B0B0000}"/>
    <cellStyle name="Normal 36 9 2" xfId="4233" xr:uid="{00000000-0005-0000-0000-00001C0B0000}"/>
    <cellStyle name="Normal 36_Sheet3" xfId="2008" xr:uid="{00000000-0005-0000-0000-00001D0B0000}"/>
    <cellStyle name="Normal 37" xfId="2009" xr:uid="{00000000-0005-0000-0000-00001E0B0000}"/>
    <cellStyle name="Normal 37 10" xfId="2010" xr:uid="{00000000-0005-0000-0000-00001F0B0000}"/>
    <cellStyle name="Normal 37 10 2" xfId="4235" xr:uid="{00000000-0005-0000-0000-0000200B0000}"/>
    <cellStyle name="Normal 37 11" xfId="4234" xr:uid="{00000000-0005-0000-0000-0000210B0000}"/>
    <cellStyle name="Normal 37 2" xfId="2011" xr:uid="{00000000-0005-0000-0000-0000220B0000}"/>
    <cellStyle name="Normal 37 2 2" xfId="4236" xr:uid="{00000000-0005-0000-0000-0000230B0000}"/>
    <cellStyle name="Normal 37 3" xfId="2012" xr:uid="{00000000-0005-0000-0000-0000240B0000}"/>
    <cellStyle name="Normal 37 3 2" xfId="4237" xr:uid="{00000000-0005-0000-0000-0000250B0000}"/>
    <cellStyle name="Normal 37 4" xfId="2013" xr:uid="{00000000-0005-0000-0000-0000260B0000}"/>
    <cellStyle name="Normal 37 4 2" xfId="4238" xr:uid="{00000000-0005-0000-0000-0000270B0000}"/>
    <cellStyle name="Normal 37 5" xfId="2014" xr:uid="{00000000-0005-0000-0000-0000280B0000}"/>
    <cellStyle name="Normal 37 5 2" xfId="4239" xr:uid="{00000000-0005-0000-0000-0000290B0000}"/>
    <cellStyle name="Normal 37 6" xfId="2015" xr:uid="{00000000-0005-0000-0000-00002A0B0000}"/>
    <cellStyle name="Normal 37 6 2" xfId="4240" xr:uid="{00000000-0005-0000-0000-00002B0B0000}"/>
    <cellStyle name="Normal 37 7" xfId="2016" xr:uid="{00000000-0005-0000-0000-00002C0B0000}"/>
    <cellStyle name="Normal 37 7 2" xfId="4241" xr:uid="{00000000-0005-0000-0000-00002D0B0000}"/>
    <cellStyle name="Normal 37 8" xfId="2017" xr:uid="{00000000-0005-0000-0000-00002E0B0000}"/>
    <cellStyle name="Normal 37 8 2" xfId="4242" xr:uid="{00000000-0005-0000-0000-00002F0B0000}"/>
    <cellStyle name="Normal 37 9" xfId="2018" xr:uid="{00000000-0005-0000-0000-0000300B0000}"/>
    <cellStyle name="Normal 37 9 2" xfId="4243" xr:uid="{00000000-0005-0000-0000-0000310B0000}"/>
    <cellStyle name="Normal 37_Sheet3" xfId="2019" xr:uid="{00000000-0005-0000-0000-0000320B0000}"/>
    <cellStyle name="Normal 38" xfId="2020" xr:uid="{00000000-0005-0000-0000-0000330B0000}"/>
    <cellStyle name="Normal 38 10" xfId="2021" xr:uid="{00000000-0005-0000-0000-0000340B0000}"/>
    <cellStyle name="Normal 38 10 2" xfId="4245" xr:uid="{00000000-0005-0000-0000-0000350B0000}"/>
    <cellStyle name="Normal 38 11" xfId="4244" xr:uid="{00000000-0005-0000-0000-0000360B0000}"/>
    <cellStyle name="Normal 38 2" xfId="2022" xr:uid="{00000000-0005-0000-0000-0000370B0000}"/>
    <cellStyle name="Normal 38 2 2" xfId="4246" xr:uid="{00000000-0005-0000-0000-0000380B0000}"/>
    <cellStyle name="Normal 38 3" xfId="2023" xr:uid="{00000000-0005-0000-0000-0000390B0000}"/>
    <cellStyle name="Normal 38 3 2" xfId="4247" xr:uid="{00000000-0005-0000-0000-00003A0B0000}"/>
    <cellStyle name="Normal 38 4" xfId="2024" xr:uid="{00000000-0005-0000-0000-00003B0B0000}"/>
    <cellStyle name="Normal 38 4 2" xfId="4248" xr:uid="{00000000-0005-0000-0000-00003C0B0000}"/>
    <cellStyle name="Normal 38 5" xfId="2025" xr:uid="{00000000-0005-0000-0000-00003D0B0000}"/>
    <cellStyle name="Normal 38 5 2" xfId="4249" xr:uid="{00000000-0005-0000-0000-00003E0B0000}"/>
    <cellStyle name="Normal 38 6" xfId="2026" xr:uid="{00000000-0005-0000-0000-00003F0B0000}"/>
    <cellStyle name="Normal 38 6 2" xfId="4250" xr:uid="{00000000-0005-0000-0000-0000400B0000}"/>
    <cellStyle name="Normal 38 7" xfId="2027" xr:uid="{00000000-0005-0000-0000-0000410B0000}"/>
    <cellStyle name="Normal 38 7 2" xfId="4251" xr:uid="{00000000-0005-0000-0000-0000420B0000}"/>
    <cellStyle name="Normal 38 8" xfId="2028" xr:uid="{00000000-0005-0000-0000-0000430B0000}"/>
    <cellStyle name="Normal 38 8 2" xfId="4252" xr:uid="{00000000-0005-0000-0000-0000440B0000}"/>
    <cellStyle name="Normal 38 9" xfId="2029" xr:uid="{00000000-0005-0000-0000-0000450B0000}"/>
    <cellStyle name="Normal 38 9 2" xfId="4253" xr:uid="{00000000-0005-0000-0000-0000460B0000}"/>
    <cellStyle name="Normal 38_Sheet3" xfId="2030" xr:uid="{00000000-0005-0000-0000-0000470B0000}"/>
    <cellStyle name="Normal 39" xfId="2031" xr:uid="{00000000-0005-0000-0000-0000480B0000}"/>
    <cellStyle name="Normal 39 10" xfId="2032" xr:uid="{00000000-0005-0000-0000-0000490B0000}"/>
    <cellStyle name="Normal 39 10 2" xfId="4255" xr:uid="{00000000-0005-0000-0000-00004A0B0000}"/>
    <cellStyle name="Normal 39 11" xfId="4254" xr:uid="{00000000-0005-0000-0000-00004B0B0000}"/>
    <cellStyle name="Normal 39 2" xfId="2033" xr:uid="{00000000-0005-0000-0000-00004C0B0000}"/>
    <cellStyle name="Normal 39 2 2" xfId="4256" xr:uid="{00000000-0005-0000-0000-00004D0B0000}"/>
    <cellStyle name="Normal 39 3" xfId="2034" xr:uid="{00000000-0005-0000-0000-00004E0B0000}"/>
    <cellStyle name="Normal 39 3 2" xfId="4257" xr:uid="{00000000-0005-0000-0000-00004F0B0000}"/>
    <cellStyle name="Normal 39 4" xfId="2035" xr:uid="{00000000-0005-0000-0000-0000500B0000}"/>
    <cellStyle name="Normal 39 4 2" xfId="4258" xr:uid="{00000000-0005-0000-0000-0000510B0000}"/>
    <cellStyle name="Normal 39 5" xfId="2036" xr:uid="{00000000-0005-0000-0000-0000520B0000}"/>
    <cellStyle name="Normal 39 5 2" xfId="4259" xr:uid="{00000000-0005-0000-0000-0000530B0000}"/>
    <cellStyle name="Normal 39 6" xfId="2037" xr:uid="{00000000-0005-0000-0000-0000540B0000}"/>
    <cellStyle name="Normal 39 6 2" xfId="4260" xr:uid="{00000000-0005-0000-0000-0000550B0000}"/>
    <cellStyle name="Normal 39 7" xfId="2038" xr:uid="{00000000-0005-0000-0000-0000560B0000}"/>
    <cellStyle name="Normal 39 7 2" xfId="4261" xr:uid="{00000000-0005-0000-0000-0000570B0000}"/>
    <cellStyle name="Normal 39 8" xfId="2039" xr:uid="{00000000-0005-0000-0000-0000580B0000}"/>
    <cellStyle name="Normal 39 8 2" xfId="4262" xr:uid="{00000000-0005-0000-0000-0000590B0000}"/>
    <cellStyle name="Normal 39 9" xfId="2040" xr:uid="{00000000-0005-0000-0000-00005A0B0000}"/>
    <cellStyle name="Normal 39 9 2" xfId="4263" xr:uid="{00000000-0005-0000-0000-00005B0B0000}"/>
    <cellStyle name="Normal 39_Sheet3" xfId="2041" xr:uid="{00000000-0005-0000-0000-00005C0B0000}"/>
    <cellStyle name="Normal 4" xfId="2042" xr:uid="{00000000-0005-0000-0000-00005D0B0000}"/>
    <cellStyle name="Normal 4 2" xfId="2043" xr:uid="{00000000-0005-0000-0000-00005E0B0000}"/>
    <cellStyle name="Normal 4 2 2" xfId="2044" xr:uid="{00000000-0005-0000-0000-00005F0B0000}"/>
    <cellStyle name="Normal 4 3" xfId="2045" xr:uid="{00000000-0005-0000-0000-0000600B0000}"/>
    <cellStyle name="Normal 4 4" xfId="2046" xr:uid="{00000000-0005-0000-0000-0000610B0000}"/>
    <cellStyle name="Normal 4 4 10" xfId="2047" xr:uid="{00000000-0005-0000-0000-0000620B0000}"/>
    <cellStyle name="Normal 4 4 10 2" xfId="4266" xr:uid="{00000000-0005-0000-0000-0000630B0000}"/>
    <cellStyle name="Normal 4 4 11" xfId="4265" xr:uid="{00000000-0005-0000-0000-0000640B0000}"/>
    <cellStyle name="Normal 4 4 2" xfId="2048" xr:uid="{00000000-0005-0000-0000-0000650B0000}"/>
    <cellStyle name="Normal 4 4 2 2" xfId="4267" xr:uid="{00000000-0005-0000-0000-0000660B0000}"/>
    <cellStyle name="Normal 4 4 3" xfId="2049" xr:uid="{00000000-0005-0000-0000-0000670B0000}"/>
    <cellStyle name="Normal 4 4 3 2" xfId="4268" xr:uid="{00000000-0005-0000-0000-0000680B0000}"/>
    <cellStyle name="Normal 4 4 4" xfId="2050" xr:uid="{00000000-0005-0000-0000-0000690B0000}"/>
    <cellStyle name="Normal 4 4 4 2" xfId="4269" xr:uid="{00000000-0005-0000-0000-00006A0B0000}"/>
    <cellStyle name="Normal 4 4 5" xfId="2051" xr:uid="{00000000-0005-0000-0000-00006B0B0000}"/>
    <cellStyle name="Normal 4 4 5 2" xfId="4270" xr:uid="{00000000-0005-0000-0000-00006C0B0000}"/>
    <cellStyle name="Normal 4 4 6" xfId="2052" xr:uid="{00000000-0005-0000-0000-00006D0B0000}"/>
    <cellStyle name="Normal 4 4 6 2" xfId="4271" xr:uid="{00000000-0005-0000-0000-00006E0B0000}"/>
    <cellStyle name="Normal 4 4 7" xfId="2053" xr:uid="{00000000-0005-0000-0000-00006F0B0000}"/>
    <cellStyle name="Normal 4 4 7 2" xfId="4272" xr:uid="{00000000-0005-0000-0000-0000700B0000}"/>
    <cellStyle name="Normal 4 4 8" xfId="2054" xr:uid="{00000000-0005-0000-0000-0000710B0000}"/>
    <cellStyle name="Normal 4 4 8 2" xfId="4273" xr:uid="{00000000-0005-0000-0000-0000720B0000}"/>
    <cellStyle name="Normal 4 4 9" xfId="2055" xr:uid="{00000000-0005-0000-0000-0000730B0000}"/>
    <cellStyle name="Normal 4 4 9 2" xfId="4274" xr:uid="{00000000-0005-0000-0000-0000740B0000}"/>
    <cellStyle name="Normal 4 4_Sheet3" xfId="2056" xr:uid="{00000000-0005-0000-0000-0000750B0000}"/>
    <cellStyle name="Normal 4 5" xfId="4264" xr:uid="{00000000-0005-0000-0000-0000760B0000}"/>
    <cellStyle name="Normal 40" xfId="2057" xr:uid="{00000000-0005-0000-0000-0000770B0000}"/>
    <cellStyle name="Normal 40 10" xfId="2058" xr:uid="{00000000-0005-0000-0000-0000780B0000}"/>
    <cellStyle name="Normal 40 10 2" xfId="4276" xr:uid="{00000000-0005-0000-0000-0000790B0000}"/>
    <cellStyle name="Normal 40 11" xfId="4275" xr:uid="{00000000-0005-0000-0000-00007A0B0000}"/>
    <cellStyle name="Normal 40 2" xfId="2059" xr:uid="{00000000-0005-0000-0000-00007B0B0000}"/>
    <cellStyle name="Normal 40 2 2" xfId="4277" xr:uid="{00000000-0005-0000-0000-00007C0B0000}"/>
    <cellStyle name="Normal 40 3" xfId="2060" xr:uid="{00000000-0005-0000-0000-00007D0B0000}"/>
    <cellStyle name="Normal 40 3 2" xfId="4278" xr:uid="{00000000-0005-0000-0000-00007E0B0000}"/>
    <cellStyle name="Normal 40 4" xfId="2061" xr:uid="{00000000-0005-0000-0000-00007F0B0000}"/>
    <cellStyle name="Normal 40 4 2" xfId="4279" xr:uid="{00000000-0005-0000-0000-0000800B0000}"/>
    <cellStyle name="Normal 40 5" xfId="2062" xr:uid="{00000000-0005-0000-0000-0000810B0000}"/>
    <cellStyle name="Normal 40 5 2" xfId="4280" xr:uid="{00000000-0005-0000-0000-0000820B0000}"/>
    <cellStyle name="Normal 40 6" xfId="2063" xr:uid="{00000000-0005-0000-0000-0000830B0000}"/>
    <cellStyle name="Normal 40 6 2" xfId="4281" xr:uid="{00000000-0005-0000-0000-0000840B0000}"/>
    <cellStyle name="Normal 40 7" xfId="2064" xr:uid="{00000000-0005-0000-0000-0000850B0000}"/>
    <cellStyle name="Normal 40 7 2" xfId="4282" xr:uid="{00000000-0005-0000-0000-0000860B0000}"/>
    <cellStyle name="Normal 40 8" xfId="2065" xr:uid="{00000000-0005-0000-0000-0000870B0000}"/>
    <cellStyle name="Normal 40 8 2" xfId="4283" xr:uid="{00000000-0005-0000-0000-0000880B0000}"/>
    <cellStyle name="Normal 40 9" xfId="2066" xr:uid="{00000000-0005-0000-0000-0000890B0000}"/>
    <cellStyle name="Normal 40 9 2" xfId="4284" xr:uid="{00000000-0005-0000-0000-00008A0B0000}"/>
    <cellStyle name="Normal 40_Sheet3" xfId="2067" xr:uid="{00000000-0005-0000-0000-00008B0B0000}"/>
    <cellStyle name="Normal 41" xfId="2068" xr:uid="{00000000-0005-0000-0000-00008C0B0000}"/>
    <cellStyle name="Normal 41 10" xfId="2069" xr:uid="{00000000-0005-0000-0000-00008D0B0000}"/>
    <cellStyle name="Normal 41 10 2" xfId="4286" xr:uid="{00000000-0005-0000-0000-00008E0B0000}"/>
    <cellStyle name="Normal 41 11" xfId="2070" xr:uid="{00000000-0005-0000-0000-00008F0B0000}"/>
    <cellStyle name="Normal 41 11 2" xfId="4287" xr:uid="{00000000-0005-0000-0000-0000900B0000}"/>
    <cellStyle name="Normal 41 12" xfId="4285" xr:uid="{00000000-0005-0000-0000-0000910B0000}"/>
    <cellStyle name="Normal 41 2" xfId="2071" xr:uid="{00000000-0005-0000-0000-0000920B0000}"/>
    <cellStyle name="Normal 41 2 10" xfId="2072" xr:uid="{00000000-0005-0000-0000-0000930B0000}"/>
    <cellStyle name="Normal 41 2 10 2" xfId="4289" xr:uid="{00000000-0005-0000-0000-0000940B0000}"/>
    <cellStyle name="Normal 41 2 11" xfId="4288" xr:uid="{00000000-0005-0000-0000-0000950B0000}"/>
    <cellStyle name="Normal 41 2 2" xfId="2073" xr:uid="{00000000-0005-0000-0000-0000960B0000}"/>
    <cellStyle name="Normal 41 2 2 2" xfId="4290" xr:uid="{00000000-0005-0000-0000-0000970B0000}"/>
    <cellStyle name="Normal 41 2 3" xfId="2074" xr:uid="{00000000-0005-0000-0000-0000980B0000}"/>
    <cellStyle name="Normal 41 2 3 2" xfId="4291" xr:uid="{00000000-0005-0000-0000-0000990B0000}"/>
    <cellStyle name="Normal 41 2 4" xfId="2075" xr:uid="{00000000-0005-0000-0000-00009A0B0000}"/>
    <cellStyle name="Normal 41 2 4 2" xfId="4292" xr:uid="{00000000-0005-0000-0000-00009B0B0000}"/>
    <cellStyle name="Normal 41 2 5" xfId="2076" xr:uid="{00000000-0005-0000-0000-00009C0B0000}"/>
    <cellStyle name="Normal 41 2 5 2" xfId="4293" xr:uid="{00000000-0005-0000-0000-00009D0B0000}"/>
    <cellStyle name="Normal 41 2 6" xfId="2077" xr:uid="{00000000-0005-0000-0000-00009E0B0000}"/>
    <cellStyle name="Normal 41 2 6 2" xfId="4294" xr:uid="{00000000-0005-0000-0000-00009F0B0000}"/>
    <cellStyle name="Normal 41 2 7" xfId="2078" xr:uid="{00000000-0005-0000-0000-0000A00B0000}"/>
    <cellStyle name="Normal 41 2 7 2" xfId="4295" xr:uid="{00000000-0005-0000-0000-0000A10B0000}"/>
    <cellStyle name="Normal 41 2 8" xfId="2079" xr:uid="{00000000-0005-0000-0000-0000A20B0000}"/>
    <cellStyle name="Normal 41 2 8 2" xfId="4296" xr:uid="{00000000-0005-0000-0000-0000A30B0000}"/>
    <cellStyle name="Normal 41 2 9" xfId="2080" xr:uid="{00000000-0005-0000-0000-0000A40B0000}"/>
    <cellStyle name="Normal 41 2 9 2" xfId="4297" xr:uid="{00000000-0005-0000-0000-0000A50B0000}"/>
    <cellStyle name="Normal 41 2_Sheet3" xfId="2081" xr:uid="{00000000-0005-0000-0000-0000A60B0000}"/>
    <cellStyle name="Normal 41 3" xfId="2082" xr:uid="{00000000-0005-0000-0000-0000A70B0000}"/>
    <cellStyle name="Normal 41 3 2" xfId="4298" xr:uid="{00000000-0005-0000-0000-0000A80B0000}"/>
    <cellStyle name="Normal 41 4" xfId="2083" xr:uid="{00000000-0005-0000-0000-0000A90B0000}"/>
    <cellStyle name="Normal 41 4 2" xfId="4299" xr:uid="{00000000-0005-0000-0000-0000AA0B0000}"/>
    <cellStyle name="Normal 41 5" xfId="2084" xr:uid="{00000000-0005-0000-0000-0000AB0B0000}"/>
    <cellStyle name="Normal 41 5 2" xfId="4300" xr:uid="{00000000-0005-0000-0000-0000AC0B0000}"/>
    <cellStyle name="Normal 41 6" xfId="2085" xr:uid="{00000000-0005-0000-0000-0000AD0B0000}"/>
    <cellStyle name="Normal 41 6 2" xfId="4301" xr:uid="{00000000-0005-0000-0000-0000AE0B0000}"/>
    <cellStyle name="Normal 41 7" xfId="2086" xr:uid="{00000000-0005-0000-0000-0000AF0B0000}"/>
    <cellStyle name="Normal 41 7 2" xfId="4302" xr:uid="{00000000-0005-0000-0000-0000B00B0000}"/>
    <cellStyle name="Normal 41 8" xfId="2087" xr:uid="{00000000-0005-0000-0000-0000B10B0000}"/>
    <cellStyle name="Normal 41 8 2" xfId="4303" xr:uid="{00000000-0005-0000-0000-0000B20B0000}"/>
    <cellStyle name="Normal 41 9" xfId="2088" xr:uid="{00000000-0005-0000-0000-0000B30B0000}"/>
    <cellStyle name="Normal 41 9 2" xfId="4304" xr:uid="{00000000-0005-0000-0000-0000B40B0000}"/>
    <cellStyle name="Normal 41_Sheet3" xfId="2089" xr:uid="{00000000-0005-0000-0000-0000B50B0000}"/>
    <cellStyle name="Normal 42" xfId="2090" xr:uid="{00000000-0005-0000-0000-0000B60B0000}"/>
    <cellStyle name="Normal 42 10" xfId="2091" xr:uid="{00000000-0005-0000-0000-0000B70B0000}"/>
    <cellStyle name="Normal 42 10 2" xfId="4306" xr:uid="{00000000-0005-0000-0000-0000B80B0000}"/>
    <cellStyle name="Normal 42 11" xfId="4305" xr:uid="{00000000-0005-0000-0000-0000B90B0000}"/>
    <cellStyle name="Normal 42 2" xfId="2092" xr:uid="{00000000-0005-0000-0000-0000BA0B0000}"/>
    <cellStyle name="Normal 42 2 2" xfId="4307" xr:uid="{00000000-0005-0000-0000-0000BB0B0000}"/>
    <cellStyle name="Normal 42 3" xfId="2093" xr:uid="{00000000-0005-0000-0000-0000BC0B0000}"/>
    <cellStyle name="Normal 42 3 2" xfId="4308" xr:uid="{00000000-0005-0000-0000-0000BD0B0000}"/>
    <cellStyle name="Normal 42 4" xfId="2094" xr:uid="{00000000-0005-0000-0000-0000BE0B0000}"/>
    <cellStyle name="Normal 42 4 2" xfId="4309" xr:uid="{00000000-0005-0000-0000-0000BF0B0000}"/>
    <cellStyle name="Normal 42 5" xfId="2095" xr:uid="{00000000-0005-0000-0000-0000C00B0000}"/>
    <cellStyle name="Normal 42 5 2" xfId="4310" xr:uid="{00000000-0005-0000-0000-0000C10B0000}"/>
    <cellStyle name="Normal 42 6" xfId="2096" xr:uid="{00000000-0005-0000-0000-0000C20B0000}"/>
    <cellStyle name="Normal 42 6 2" xfId="4311" xr:uid="{00000000-0005-0000-0000-0000C30B0000}"/>
    <cellStyle name="Normal 42 7" xfId="2097" xr:uid="{00000000-0005-0000-0000-0000C40B0000}"/>
    <cellStyle name="Normal 42 7 2" xfId="4312" xr:uid="{00000000-0005-0000-0000-0000C50B0000}"/>
    <cellStyle name="Normal 42 8" xfId="2098" xr:uid="{00000000-0005-0000-0000-0000C60B0000}"/>
    <cellStyle name="Normal 42 8 2" xfId="4313" xr:uid="{00000000-0005-0000-0000-0000C70B0000}"/>
    <cellStyle name="Normal 42 9" xfId="2099" xr:uid="{00000000-0005-0000-0000-0000C80B0000}"/>
    <cellStyle name="Normal 42 9 2" xfId="4314" xr:uid="{00000000-0005-0000-0000-0000C90B0000}"/>
    <cellStyle name="Normal 42_Sheet3" xfId="2100" xr:uid="{00000000-0005-0000-0000-0000CA0B0000}"/>
    <cellStyle name="Normal 43" xfId="2101" xr:uid="{00000000-0005-0000-0000-0000CB0B0000}"/>
    <cellStyle name="Normal 43 10" xfId="2102" xr:uid="{00000000-0005-0000-0000-0000CC0B0000}"/>
    <cellStyle name="Normal 43 10 2" xfId="4316" xr:uid="{00000000-0005-0000-0000-0000CD0B0000}"/>
    <cellStyle name="Normal 43 11" xfId="4315" xr:uid="{00000000-0005-0000-0000-0000CE0B0000}"/>
    <cellStyle name="Normal 43 2" xfId="2103" xr:uid="{00000000-0005-0000-0000-0000CF0B0000}"/>
    <cellStyle name="Normal 43 2 2" xfId="4317" xr:uid="{00000000-0005-0000-0000-0000D00B0000}"/>
    <cellStyle name="Normal 43 3" xfId="2104" xr:uid="{00000000-0005-0000-0000-0000D10B0000}"/>
    <cellStyle name="Normal 43 3 2" xfId="4318" xr:uid="{00000000-0005-0000-0000-0000D20B0000}"/>
    <cellStyle name="Normal 43 4" xfId="2105" xr:uid="{00000000-0005-0000-0000-0000D30B0000}"/>
    <cellStyle name="Normal 43 4 2" xfId="4319" xr:uid="{00000000-0005-0000-0000-0000D40B0000}"/>
    <cellStyle name="Normal 43 5" xfId="2106" xr:uid="{00000000-0005-0000-0000-0000D50B0000}"/>
    <cellStyle name="Normal 43 5 2" xfId="4320" xr:uid="{00000000-0005-0000-0000-0000D60B0000}"/>
    <cellStyle name="Normal 43 6" xfId="2107" xr:uid="{00000000-0005-0000-0000-0000D70B0000}"/>
    <cellStyle name="Normal 43 6 2" xfId="4321" xr:uid="{00000000-0005-0000-0000-0000D80B0000}"/>
    <cellStyle name="Normal 43 7" xfId="2108" xr:uid="{00000000-0005-0000-0000-0000D90B0000}"/>
    <cellStyle name="Normal 43 7 2" xfId="4322" xr:uid="{00000000-0005-0000-0000-0000DA0B0000}"/>
    <cellStyle name="Normal 43 8" xfId="2109" xr:uid="{00000000-0005-0000-0000-0000DB0B0000}"/>
    <cellStyle name="Normal 43 8 2" xfId="4323" xr:uid="{00000000-0005-0000-0000-0000DC0B0000}"/>
    <cellStyle name="Normal 43 9" xfId="2110" xr:uid="{00000000-0005-0000-0000-0000DD0B0000}"/>
    <cellStyle name="Normal 43 9 2" xfId="4324" xr:uid="{00000000-0005-0000-0000-0000DE0B0000}"/>
    <cellStyle name="Normal 43_Sheet3" xfId="2111" xr:uid="{00000000-0005-0000-0000-0000DF0B0000}"/>
    <cellStyle name="Normal 44" xfId="2112" xr:uid="{00000000-0005-0000-0000-0000E00B0000}"/>
    <cellStyle name="Normal 44 10" xfId="2113" xr:uid="{00000000-0005-0000-0000-0000E10B0000}"/>
    <cellStyle name="Normal 44 10 2" xfId="4326" xr:uid="{00000000-0005-0000-0000-0000E20B0000}"/>
    <cellStyle name="Normal 44 11" xfId="4325" xr:uid="{00000000-0005-0000-0000-0000E30B0000}"/>
    <cellStyle name="Normal 44 2" xfId="2114" xr:uid="{00000000-0005-0000-0000-0000E40B0000}"/>
    <cellStyle name="Normal 44 2 2" xfId="4327" xr:uid="{00000000-0005-0000-0000-0000E50B0000}"/>
    <cellStyle name="Normal 44 3" xfId="2115" xr:uid="{00000000-0005-0000-0000-0000E60B0000}"/>
    <cellStyle name="Normal 44 3 2" xfId="4328" xr:uid="{00000000-0005-0000-0000-0000E70B0000}"/>
    <cellStyle name="Normal 44 4" xfId="2116" xr:uid="{00000000-0005-0000-0000-0000E80B0000}"/>
    <cellStyle name="Normal 44 4 2" xfId="4329" xr:uid="{00000000-0005-0000-0000-0000E90B0000}"/>
    <cellStyle name="Normal 44 5" xfId="2117" xr:uid="{00000000-0005-0000-0000-0000EA0B0000}"/>
    <cellStyle name="Normal 44 5 2" xfId="4330" xr:uid="{00000000-0005-0000-0000-0000EB0B0000}"/>
    <cellStyle name="Normal 44 6" xfId="2118" xr:uid="{00000000-0005-0000-0000-0000EC0B0000}"/>
    <cellStyle name="Normal 44 6 2" xfId="4331" xr:uid="{00000000-0005-0000-0000-0000ED0B0000}"/>
    <cellStyle name="Normal 44 7" xfId="2119" xr:uid="{00000000-0005-0000-0000-0000EE0B0000}"/>
    <cellStyle name="Normal 44 7 2" xfId="4332" xr:uid="{00000000-0005-0000-0000-0000EF0B0000}"/>
    <cellStyle name="Normal 44 8" xfId="2120" xr:uid="{00000000-0005-0000-0000-0000F00B0000}"/>
    <cellStyle name="Normal 44 8 2" xfId="4333" xr:uid="{00000000-0005-0000-0000-0000F10B0000}"/>
    <cellStyle name="Normal 44 9" xfId="2121" xr:uid="{00000000-0005-0000-0000-0000F20B0000}"/>
    <cellStyle name="Normal 44 9 2" xfId="4334" xr:uid="{00000000-0005-0000-0000-0000F30B0000}"/>
    <cellStyle name="Normal 44_Sheet3" xfId="2122" xr:uid="{00000000-0005-0000-0000-0000F40B0000}"/>
    <cellStyle name="Normal 45" xfId="2123" xr:uid="{00000000-0005-0000-0000-0000F50B0000}"/>
    <cellStyle name="Normal 45 10" xfId="2124" xr:uid="{00000000-0005-0000-0000-0000F60B0000}"/>
    <cellStyle name="Normal 45 10 2" xfId="4336" xr:uid="{00000000-0005-0000-0000-0000F70B0000}"/>
    <cellStyle name="Normal 45 11" xfId="4335" xr:uid="{00000000-0005-0000-0000-0000F80B0000}"/>
    <cellStyle name="Normal 45 2" xfId="2125" xr:uid="{00000000-0005-0000-0000-0000F90B0000}"/>
    <cellStyle name="Normal 45 2 2" xfId="4337" xr:uid="{00000000-0005-0000-0000-0000FA0B0000}"/>
    <cellStyle name="Normal 45 3" xfId="2126" xr:uid="{00000000-0005-0000-0000-0000FB0B0000}"/>
    <cellStyle name="Normal 45 3 2" xfId="4338" xr:uid="{00000000-0005-0000-0000-0000FC0B0000}"/>
    <cellStyle name="Normal 45 4" xfId="2127" xr:uid="{00000000-0005-0000-0000-0000FD0B0000}"/>
    <cellStyle name="Normal 45 4 2" xfId="4339" xr:uid="{00000000-0005-0000-0000-0000FE0B0000}"/>
    <cellStyle name="Normal 45 5" xfId="2128" xr:uid="{00000000-0005-0000-0000-0000FF0B0000}"/>
    <cellStyle name="Normal 45 5 2" xfId="4340" xr:uid="{00000000-0005-0000-0000-0000000C0000}"/>
    <cellStyle name="Normal 45 6" xfId="2129" xr:uid="{00000000-0005-0000-0000-0000010C0000}"/>
    <cellStyle name="Normal 45 6 2" xfId="4341" xr:uid="{00000000-0005-0000-0000-0000020C0000}"/>
    <cellStyle name="Normal 45 7" xfId="2130" xr:uid="{00000000-0005-0000-0000-0000030C0000}"/>
    <cellStyle name="Normal 45 7 2" xfId="4342" xr:uid="{00000000-0005-0000-0000-0000040C0000}"/>
    <cellStyle name="Normal 45 8" xfId="2131" xr:uid="{00000000-0005-0000-0000-0000050C0000}"/>
    <cellStyle name="Normal 45 8 2" xfId="4343" xr:uid="{00000000-0005-0000-0000-0000060C0000}"/>
    <cellStyle name="Normal 45 9" xfId="2132" xr:uid="{00000000-0005-0000-0000-0000070C0000}"/>
    <cellStyle name="Normal 45 9 2" xfId="4344" xr:uid="{00000000-0005-0000-0000-0000080C0000}"/>
    <cellStyle name="Normal 45_Sheet3" xfId="2133" xr:uid="{00000000-0005-0000-0000-0000090C0000}"/>
    <cellStyle name="Normal 46" xfId="2134" xr:uid="{00000000-0005-0000-0000-00000A0C0000}"/>
    <cellStyle name="Normal 46 10" xfId="2135" xr:uid="{00000000-0005-0000-0000-00000B0C0000}"/>
    <cellStyle name="Normal 46 10 2" xfId="4346" xr:uid="{00000000-0005-0000-0000-00000C0C0000}"/>
    <cellStyle name="Normal 46 11" xfId="2136" xr:uid="{00000000-0005-0000-0000-00000D0C0000}"/>
    <cellStyle name="Normal 46 11 2" xfId="4347" xr:uid="{00000000-0005-0000-0000-00000E0C0000}"/>
    <cellStyle name="Normal 46 12" xfId="4345" xr:uid="{00000000-0005-0000-0000-00000F0C0000}"/>
    <cellStyle name="Normal 46 2" xfId="2137" xr:uid="{00000000-0005-0000-0000-0000100C0000}"/>
    <cellStyle name="Normal 46 2 10" xfId="2138" xr:uid="{00000000-0005-0000-0000-0000110C0000}"/>
    <cellStyle name="Normal 46 2 10 2" xfId="4349" xr:uid="{00000000-0005-0000-0000-0000120C0000}"/>
    <cellStyle name="Normal 46 2 11" xfId="4348" xr:uid="{00000000-0005-0000-0000-0000130C0000}"/>
    <cellStyle name="Normal 46 2 2" xfId="2139" xr:uid="{00000000-0005-0000-0000-0000140C0000}"/>
    <cellStyle name="Normal 46 2 2 2" xfId="4350" xr:uid="{00000000-0005-0000-0000-0000150C0000}"/>
    <cellStyle name="Normal 46 2 3" xfId="2140" xr:uid="{00000000-0005-0000-0000-0000160C0000}"/>
    <cellStyle name="Normal 46 2 3 2" xfId="4351" xr:uid="{00000000-0005-0000-0000-0000170C0000}"/>
    <cellStyle name="Normal 46 2 4" xfId="2141" xr:uid="{00000000-0005-0000-0000-0000180C0000}"/>
    <cellStyle name="Normal 46 2 4 2" xfId="4352" xr:uid="{00000000-0005-0000-0000-0000190C0000}"/>
    <cellStyle name="Normal 46 2 5" xfId="2142" xr:uid="{00000000-0005-0000-0000-00001A0C0000}"/>
    <cellStyle name="Normal 46 2 5 2" xfId="4353" xr:uid="{00000000-0005-0000-0000-00001B0C0000}"/>
    <cellStyle name="Normal 46 2 6" xfId="2143" xr:uid="{00000000-0005-0000-0000-00001C0C0000}"/>
    <cellStyle name="Normal 46 2 6 2" xfId="4354" xr:uid="{00000000-0005-0000-0000-00001D0C0000}"/>
    <cellStyle name="Normal 46 2 7" xfId="2144" xr:uid="{00000000-0005-0000-0000-00001E0C0000}"/>
    <cellStyle name="Normal 46 2 7 2" xfId="4355" xr:uid="{00000000-0005-0000-0000-00001F0C0000}"/>
    <cellStyle name="Normal 46 2 8" xfId="2145" xr:uid="{00000000-0005-0000-0000-0000200C0000}"/>
    <cellStyle name="Normal 46 2 8 2" xfId="4356" xr:uid="{00000000-0005-0000-0000-0000210C0000}"/>
    <cellStyle name="Normal 46 2 9" xfId="2146" xr:uid="{00000000-0005-0000-0000-0000220C0000}"/>
    <cellStyle name="Normal 46 2 9 2" xfId="4357" xr:uid="{00000000-0005-0000-0000-0000230C0000}"/>
    <cellStyle name="Normal 46 2_Sheet3" xfId="2147" xr:uid="{00000000-0005-0000-0000-0000240C0000}"/>
    <cellStyle name="Normal 46 3" xfId="2148" xr:uid="{00000000-0005-0000-0000-0000250C0000}"/>
    <cellStyle name="Normal 46 3 2" xfId="4358" xr:uid="{00000000-0005-0000-0000-0000260C0000}"/>
    <cellStyle name="Normal 46 4" xfId="2149" xr:uid="{00000000-0005-0000-0000-0000270C0000}"/>
    <cellStyle name="Normal 46 4 2" xfId="4359" xr:uid="{00000000-0005-0000-0000-0000280C0000}"/>
    <cellStyle name="Normal 46 5" xfId="2150" xr:uid="{00000000-0005-0000-0000-0000290C0000}"/>
    <cellStyle name="Normal 46 5 2" xfId="4360" xr:uid="{00000000-0005-0000-0000-00002A0C0000}"/>
    <cellStyle name="Normal 46 6" xfId="2151" xr:uid="{00000000-0005-0000-0000-00002B0C0000}"/>
    <cellStyle name="Normal 46 6 2" xfId="4361" xr:uid="{00000000-0005-0000-0000-00002C0C0000}"/>
    <cellStyle name="Normal 46 7" xfId="2152" xr:uid="{00000000-0005-0000-0000-00002D0C0000}"/>
    <cellStyle name="Normal 46 7 2" xfId="4362" xr:uid="{00000000-0005-0000-0000-00002E0C0000}"/>
    <cellStyle name="Normal 46 8" xfId="2153" xr:uid="{00000000-0005-0000-0000-00002F0C0000}"/>
    <cellStyle name="Normal 46 8 2" xfId="4363" xr:uid="{00000000-0005-0000-0000-0000300C0000}"/>
    <cellStyle name="Normal 46 9" xfId="2154" xr:uid="{00000000-0005-0000-0000-0000310C0000}"/>
    <cellStyle name="Normal 46 9 2" xfId="4364" xr:uid="{00000000-0005-0000-0000-0000320C0000}"/>
    <cellStyle name="Normal 46_Sheet3" xfId="2155" xr:uid="{00000000-0005-0000-0000-0000330C0000}"/>
    <cellStyle name="Normal 47" xfId="2156" xr:uid="{00000000-0005-0000-0000-0000340C0000}"/>
    <cellStyle name="Normal 47 10" xfId="2157" xr:uid="{00000000-0005-0000-0000-0000350C0000}"/>
    <cellStyle name="Normal 47 10 2" xfId="4366" xr:uid="{00000000-0005-0000-0000-0000360C0000}"/>
    <cellStyle name="Normal 47 11" xfId="2158" xr:uid="{00000000-0005-0000-0000-0000370C0000}"/>
    <cellStyle name="Normal 47 11 2" xfId="4367" xr:uid="{00000000-0005-0000-0000-0000380C0000}"/>
    <cellStyle name="Normal 47 12" xfId="4365" xr:uid="{00000000-0005-0000-0000-0000390C0000}"/>
    <cellStyle name="Normal 47 2" xfId="2159" xr:uid="{00000000-0005-0000-0000-00003A0C0000}"/>
    <cellStyle name="Normal 47 2 10" xfId="2160" xr:uid="{00000000-0005-0000-0000-00003B0C0000}"/>
    <cellStyle name="Normal 47 2 10 2" xfId="4369" xr:uid="{00000000-0005-0000-0000-00003C0C0000}"/>
    <cellStyle name="Normal 47 2 11" xfId="4368" xr:uid="{00000000-0005-0000-0000-00003D0C0000}"/>
    <cellStyle name="Normal 47 2 2" xfId="2161" xr:uid="{00000000-0005-0000-0000-00003E0C0000}"/>
    <cellStyle name="Normal 47 2 2 2" xfId="4370" xr:uid="{00000000-0005-0000-0000-00003F0C0000}"/>
    <cellStyle name="Normal 47 2 3" xfId="2162" xr:uid="{00000000-0005-0000-0000-0000400C0000}"/>
    <cellStyle name="Normal 47 2 3 2" xfId="4371" xr:uid="{00000000-0005-0000-0000-0000410C0000}"/>
    <cellStyle name="Normal 47 2 4" xfId="2163" xr:uid="{00000000-0005-0000-0000-0000420C0000}"/>
    <cellStyle name="Normal 47 2 4 2" xfId="4372" xr:uid="{00000000-0005-0000-0000-0000430C0000}"/>
    <cellStyle name="Normal 47 2 5" xfId="2164" xr:uid="{00000000-0005-0000-0000-0000440C0000}"/>
    <cellStyle name="Normal 47 2 5 2" xfId="4373" xr:uid="{00000000-0005-0000-0000-0000450C0000}"/>
    <cellStyle name="Normal 47 2 6" xfId="2165" xr:uid="{00000000-0005-0000-0000-0000460C0000}"/>
    <cellStyle name="Normal 47 2 6 2" xfId="4374" xr:uid="{00000000-0005-0000-0000-0000470C0000}"/>
    <cellStyle name="Normal 47 2 7" xfId="2166" xr:uid="{00000000-0005-0000-0000-0000480C0000}"/>
    <cellStyle name="Normal 47 2 7 2" xfId="4375" xr:uid="{00000000-0005-0000-0000-0000490C0000}"/>
    <cellStyle name="Normal 47 2 8" xfId="2167" xr:uid="{00000000-0005-0000-0000-00004A0C0000}"/>
    <cellStyle name="Normal 47 2 8 2" xfId="4376" xr:uid="{00000000-0005-0000-0000-00004B0C0000}"/>
    <cellStyle name="Normal 47 2 9" xfId="2168" xr:uid="{00000000-0005-0000-0000-00004C0C0000}"/>
    <cellStyle name="Normal 47 2 9 2" xfId="4377" xr:uid="{00000000-0005-0000-0000-00004D0C0000}"/>
    <cellStyle name="Normal 47 2_Sheet3" xfId="2169" xr:uid="{00000000-0005-0000-0000-00004E0C0000}"/>
    <cellStyle name="Normal 47 3" xfId="2170" xr:uid="{00000000-0005-0000-0000-00004F0C0000}"/>
    <cellStyle name="Normal 47 3 2" xfId="4378" xr:uid="{00000000-0005-0000-0000-0000500C0000}"/>
    <cellStyle name="Normal 47 4" xfId="2171" xr:uid="{00000000-0005-0000-0000-0000510C0000}"/>
    <cellStyle name="Normal 47 4 2" xfId="4379" xr:uid="{00000000-0005-0000-0000-0000520C0000}"/>
    <cellStyle name="Normal 47 5" xfId="2172" xr:uid="{00000000-0005-0000-0000-0000530C0000}"/>
    <cellStyle name="Normal 47 5 2" xfId="4380" xr:uid="{00000000-0005-0000-0000-0000540C0000}"/>
    <cellStyle name="Normal 47 6" xfId="2173" xr:uid="{00000000-0005-0000-0000-0000550C0000}"/>
    <cellStyle name="Normal 47 6 2" xfId="4381" xr:uid="{00000000-0005-0000-0000-0000560C0000}"/>
    <cellStyle name="Normal 47 7" xfId="2174" xr:uid="{00000000-0005-0000-0000-0000570C0000}"/>
    <cellStyle name="Normal 47 7 2" xfId="4382" xr:uid="{00000000-0005-0000-0000-0000580C0000}"/>
    <cellStyle name="Normal 47 8" xfId="2175" xr:uid="{00000000-0005-0000-0000-0000590C0000}"/>
    <cellStyle name="Normal 47 8 2" xfId="4383" xr:uid="{00000000-0005-0000-0000-00005A0C0000}"/>
    <cellStyle name="Normal 47 9" xfId="2176" xr:uid="{00000000-0005-0000-0000-00005B0C0000}"/>
    <cellStyle name="Normal 47 9 2" xfId="4384" xr:uid="{00000000-0005-0000-0000-00005C0C0000}"/>
    <cellStyle name="Normal 47_Sheet3" xfId="2177" xr:uid="{00000000-0005-0000-0000-00005D0C0000}"/>
    <cellStyle name="Normal 48" xfId="2178" xr:uid="{00000000-0005-0000-0000-00005E0C0000}"/>
    <cellStyle name="Normal 48 10" xfId="2179" xr:uid="{00000000-0005-0000-0000-00005F0C0000}"/>
    <cellStyle name="Normal 48 10 2" xfId="4386" xr:uid="{00000000-0005-0000-0000-0000600C0000}"/>
    <cellStyle name="Normal 48 11" xfId="4385" xr:uid="{00000000-0005-0000-0000-0000610C0000}"/>
    <cellStyle name="Normal 48 2" xfId="2180" xr:uid="{00000000-0005-0000-0000-0000620C0000}"/>
    <cellStyle name="Normal 48 2 2" xfId="4387" xr:uid="{00000000-0005-0000-0000-0000630C0000}"/>
    <cellStyle name="Normal 48 3" xfId="2181" xr:uid="{00000000-0005-0000-0000-0000640C0000}"/>
    <cellStyle name="Normal 48 3 2" xfId="4388" xr:uid="{00000000-0005-0000-0000-0000650C0000}"/>
    <cellStyle name="Normal 48 4" xfId="2182" xr:uid="{00000000-0005-0000-0000-0000660C0000}"/>
    <cellStyle name="Normal 48 4 2" xfId="4389" xr:uid="{00000000-0005-0000-0000-0000670C0000}"/>
    <cellStyle name="Normal 48 5" xfId="2183" xr:uid="{00000000-0005-0000-0000-0000680C0000}"/>
    <cellStyle name="Normal 48 5 2" xfId="4390" xr:uid="{00000000-0005-0000-0000-0000690C0000}"/>
    <cellStyle name="Normal 48 6" xfId="2184" xr:uid="{00000000-0005-0000-0000-00006A0C0000}"/>
    <cellStyle name="Normal 48 6 2" xfId="4391" xr:uid="{00000000-0005-0000-0000-00006B0C0000}"/>
    <cellStyle name="Normal 48 7" xfId="2185" xr:uid="{00000000-0005-0000-0000-00006C0C0000}"/>
    <cellStyle name="Normal 48 7 2" xfId="4392" xr:uid="{00000000-0005-0000-0000-00006D0C0000}"/>
    <cellStyle name="Normal 48 8" xfId="2186" xr:uid="{00000000-0005-0000-0000-00006E0C0000}"/>
    <cellStyle name="Normal 48 8 2" xfId="4393" xr:uid="{00000000-0005-0000-0000-00006F0C0000}"/>
    <cellStyle name="Normal 48 9" xfId="2187" xr:uid="{00000000-0005-0000-0000-0000700C0000}"/>
    <cellStyle name="Normal 48 9 2" xfId="4394" xr:uid="{00000000-0005-0000-0000-0000710C0000}"/>
    <cellStyle name="Normal 48_Sheet3" xfId="2188" xr:uid="{00000000-0005-0000-0000-0000720C0000}"/>
    <cellStyle name="Normal 49" xfId="2189" xr:uid="{00000000-0005-0000-0000-0000730C0000}"/>
    <cellStyle name="Normal 49 10" xfId="2190" xr:uid="{00000000-0005-0000-0000-0000740C0000}"/>
    <cellStyle name="Normal 49 10 2" xfId="4396" xr:uid="{00000000-0005-0000-0000-0000750C0000}"/>
    <cellStyle name="Normal 49 11" xfId="4395" xr:uid="{00000000-0005-0000-0000-0000760C0000}"/>
    <cellStyle name="Normal 49 2" xfId="2191" xr:uid="{00000000-0005-0000-0000-0000770C0000}"/>
    <cellStyle name="Normal 49 2 2" xfId="4397" xr:uid="{00000000-0005-0000-0000-0000780C0000}"/>
    <cellStyle name="Normal 49 3" xfId="2192" xr:uid="{00000000-0005-0000-0000-0000790C0000}"/>
    <cellStyle name="Normal 49 3 2" xfId="4398" xr:uid="{00000000-0005-0000-0000-00007A0C0000}"/>
    <cellStyle name="Normal 49 4" xfId="2193" xr:uid="{00000000-0005-0000-0000-00007B0C0000}"/>
    <cellStyle name="Normal 49 4 2" xfId="4399" xr:uid="{00000000-0005-0000-0000-00007C0C0000}"/>
    <cellStyle name="Normal 49 5" xfId="2194" xr:uid="{00000000-0005-0000-0000-00007D0C0000}"/>
    <cellStyle name="Normal 49 5 2" xfId="4400" xr:uid="{00000000-0005-0000-0000-00007E0C0000}"/>
    <cellStyle name="Normal 49 6" xfId="2195" xr:uid="{00000000-0005-0000-0000-00007F0C0000}"/>
    <cellStyle name="Normal 49 6 2" xfId="4401" xr:uid="{00000000-0005-0000-0000-0000800C0000}"/>
    <cellStyle name="Normal 49 7" xfId="2196" xr:uid="{00000000-0005-0000-0000-0000810C0000}"/>
    <cellStyle name="Normal 49 7 2" xfId="4402" xr:uid="{00000000-0005-0000-0000-0000820C0000}"/>
    <cellStyle name="Normal 49 8" xfId="2197" xr:uid="{00000000-0005-0000-0000-0000830C0000}"/>
    <cellStyle name="Normal 49 8 2" xfId="4403" xr:uid="{00000000-0005-0000-0000-0000840C0000}"/>
    <cellStyle name="Normal 49 9" xfId="2198" xr:uid="{00000000-0005-0000-0000-0000850C0000}"/>
    <cellStyle name="Normal 49 9 2" xfId="4404" xr:uid="{00000000-0005-0000-0000-0000860C0000}"/>
    <cellStyle name="Normal 49_Sheet3" xfId="2199" xr:uid="{00000000-0005-0000-0000-0000870C0000}"/>
    <cellStyle name="Normal 5" xfId="2200" xr:uid="{00000000-0005-0000-0000-0000880C0000}"/>
    <cellStyle name="Normal 5 2" xfId="2201" xr:uid="{00000000-0005-0000-0000-0000890C0000}"/>
    <cellStyle name="Normal 5 3" xfId="2202" xr:uid="{00000000-0005-0000-0000-00008A0C0000}"/>
    <cellStyle name="Normal 5 4" xfId="4405" xr:uid="{00000000-0005-0000-0000-00008B0C0000}"/>
    <cellStyle name="Normal 5_Sheet3" xfId="2203" xr:uid="{00000000-0005-0000-0000-00008C0C0000}"/>
    <cellStyle name="Normal 50" xfId="2204" xr:uid="{00000000-0005-0000-0000-00008D0C0000}"/>
    <cellStyle name="Normal 50 10" xfId="2205" xr:uid="{00000000-0005-0000-0000-00008E0C0000}"/>
    <cellStyle name="Normal 50 10 2" xfId="4407" xr:uid="{00000000-0005-0000-0000-00008F0C0000}"/>
    <cellStyle name="Normal 50 11" xfId="4406" xr:uid="{00000000-0005-0000-0000-0000900C0000}"/>
    <cellStyle name="Normal 50 2" xfId="2206" xr:uid="{00000000-0005-0000-0000-0000910C0000}"/>
    <cellStyle name="Normal 50 2 2" xfId="4408" xr:uid="{00000000-0005-0000-0000-0000920C0000}"/>
    <cellStyle name="Normal 50 3" xfId="2207" xr:uid="{00000000-0005-0000-0000-0000930C0000}"/>
    <cellStyle name="Normal 50 3 2" xfId="4409" xr:uid="{00000000-0005-0000-0000-0000940C0000}"/>
    <cellStyle name="Normal 50 4" xfId="2208" xr:uid="{00000000-0005-0000-0000-0000950C0000}"/>
    <cellStyle name="Normal 50 4 2" xfId="4410" xr:uid="{00000000-0005-0000-0000-0000960C0000}"/>
    <cellStyle name="Normal 50 5" xfId="2209" xr:uid="{00000000-0005-0000-0000-0000970C0000}"/>
    <cellStyle name="Normal 50 5 2" xfId="4411" xr:uid="{00000000-0005-0000-0000-0000980C0000}"/>
    <cellStyle name="Normal 50 6" xfId="2210" xr:uid="{00000000-0005-0000-0000-0000990C0000}"/>
    <cellStyle name="Normal 50 6 2" xfId="4412" xr:uid="{00000000-0005-0000-0000-00009A0C0000}"/>
    <cellStyle name="Normal 50 7" xfId="2211" xr:uid="{00000000-0005-0000-0000-00009B0C0000}"/>
    <cellStyle name="Normal 50 7 2" xfId="4413" xr:uid="{00000000-0005-0000-0000-00009C0C0000}"/>
    <cellStyle name="Normal 50 8" xfId="2212" xr:uid="{00000000-0005-0000-0000-00009D0C0000}"/>
    <cellStyle name="Normal 50 8 2" xfId="4414" xr:uid="{00000000-0005-0000-0000-00009E0C0000}"/>
    <cellStyle name="Normal 50 9" xfId="2213" xr:uid="{00000000-0005-0000-0000-00009F0C0000}"/>
    <cellStyle name="Normal 50 9 2" xfId="4415" xr:uid="{00000000-0005-0000-0000-0000A00C0000}"/>
    <cellStyle name="Normal 50_Sheet3" xfId="2214" xr:uid="{00000000-0005-0000-0000-0000A10C0000}"/>
    <cellStyle name="Normal 51" xfId="2215" xr:uid="{00000000-0005-0000-0000-0000A20C0000}"/>
    <cellStyle name="Normal 51 10" xfId="2216" xr:uid="{00000000-0005-0000-0000-0000A30C0000}"/>
    <cellStyle name="Normal 51 10 2" xfId="4417" xr:uid="{00000000-0005-0000-0000-0000A40C0000}"/>
    <cellStyle name="Normal 51 11" xfId="2217" xr:uid="{00000000-0005-0000-0000-0000A50C0000}"/>
    <cellStyle name="Normal 51 11 2" xfId="4418" xr:uid="{00000000-0005-0000-0000-0000A60C0000}"/>
    <cellStyle name="Normal 51 12" xfId="4416" xr:uid="{00000000-0005-0000-0000-0000A70C0000}"/>
    <cellStyle name="Normal 51 2" xfId="2218" xr:uid="{00000000-0005-0000-0000-0000A80C0000}"/>
    <cellStyle name="Normal 51 2 10" xfId="2219" xr:uid="{00000000-0005-0000-0000-0000A90C0000}"/>
    <cellStyle name="Normal 51 2 10 2" xfId="4420" xr:uid="{00000000-0005-0000-0000-0000AA0C0000}"/>
    <cellStyle name="Normal 51 2 11" xfId="4419" xr:uid="{00000000-0005-0000-0000-0000AB0C0000}"/>
    <cellStyle name="Normal 51 2 2" xfId="2220" xr:uid="{00000000-0005-0000-0000-0000AC0C0000}"/>
    <cellStyle name="Normal 51 2 2 2" xfId="4421" xr:uid="{00000000-0005-0000-0000-0000AD0C0000}"/>
    <cellStyle name="Normal 51 2 3" xfId="2221" xr:uid="{00000000-0005-0000-0000-0000AE0C0000}"/>
    <cellStyle name="Normal 51 2 3 2" xfId="4422" xr:uid="{00000000-0005-0000-0000-0000AF0C0000}"/>
    <cellStyle name="Normal 51 2 4" xfId="2222" xr:uid="{00000000-0005-0000-0000-0000B00C0000}"/>
    <cellStyle name="Normal 51 2 4 2" xfId="4423" xr:uid="{00000000-0005-0000-0000-0000B10C0000}"/>
    <cellStyle name="Normal 51 2 5" xfId="2223" xr:uid="{00000000-0005-0000-0000-0000B20C0000}"/>
    <cellStyle name="Normal 51 2 5 2" xfId="4424" xr:uid="{00000000-0005-0000-0000-0000B30C0000}"/>
    <cellStyle name="Normal 51 2 6" xfId="2224" xr:uid="{00000000-0005-0000-0000-0000B40C0000}"/>
    <cellStyle name="Normal 51 2 6 2" xfId="4425" xr:uid="{00000000-0005-0000-0000-0000B50C0000}"/>
    <cellStyle name="Normal 51 2 7" xfId="2225" xr:uid="{00000000-0005-0000-0000-0000B60C0000}"/>
    <cellStyle name="Normal 51 2 7 2" xfId="4426" xr:uid="{00000000-0005-0000-0000-0000B70C0000}"/>
    <cellStyle name="Normal 51 2 8" xfId="2226" xr:uid="{00000000-0005-0000-0000-0000B80C0000}"/>
    <cellStyle name="Normal 51 2 8 2" xfId="4427" xr:uid="{00000000-0005-0000-0000-0000B90C0000}"/>
    <cellStyle name="Normal 51 2 9" xfId="2227" xr:uid="{00000000-0005-0000-0000-0000BA0C0000}"/>
    <cellStyle name="Normal 51 2 9 2" xfId="4428" xr:uid="{00000000-0005-0000-0000-0000BB0C0000}"/>
    <cellStyle name="Normal 51 2_Sheet3" xfId="2228" xr:uid="{00000000-0005-0000-0000-0000BC0C0000}"/>
    <cellStyle name="Normal 51 3" xfId="2229" xr:uid="{00000000-0005-0000-0000-0000BD0C0000}"/>
    <cellStyle name="Normal 51 3 2" xfId="4429" xr:uid="{00000000-0005-0000-0000-0000BE0C0000}"/>
    <cellStyle name="Normal 51 4" xfId="2230" xr:uid="{00000000-0005-0000-0000-0000BF0C0000}"/>
    <cellStyle name="Normal 51 4 2" xfId="4430" xr:uid="{00000000-0005-0000-0000-0000C00C0000}"/>
    <cellStyle name="Normal 51 5" xfId="2231" xr:uid="{00000000-0005-0000-0000-0000C10C0000}"/>
    <cellStyle name="Normal 51 5 2" xfId="4431" xr:uid="{00000000-0005-0000-0000-0000C20C0000}"/>
    <cellStyle name="Normal 51 6" xfId="2232" xr:uid="{00000000-0005-0000-0000-0000C30C0000}"/>
    <cellStyle name="Normal 51 6 2" xfId="4432" xr:uid="{00000000-0005-0000-0000-0000C40C0000}"/>
    <cellStyle name="Normal 51 7" xfId="2233" xr:uid="{00000000-0005-0000-0000-0000C50C0000}"/>
    <cellStyle name="Normal 51 7 2" xfId="4433" xr:uid="{00000000-0005-0000-0000-0000C60C0000}"/>
    <cellStyle name="Normal 51 8" xfId="2234" xr:uid="{00000000-0005-0000-0000-0000C70C0000}"/>
    <cellStyle name="Normal 51 8 2" xfId="4434" xr:uid="{00000000-0005-0000-0000-0000C80C0000}"/>
    <cellStyle name="Normal 51 9" xfId="2235" xr:uid="{00000000-0005-0000-0000-0000C90C0000}"/>
    <cellStyle name="Normal 51 9 2" xfId="4435" xr:uid="{00000000-0005-0000-0000-0000CA0C0000}"/>
    <cellStyle name="Normal 51_Sheet3" xfId="2236" xr:uid="{00000000-0005-0000-0000-0000CB0C0000}"/>
    <cellStyle name="Normal 52" xfId="2237" xr:uid="{00000000-0005-0000-0000-0000CC0C0000}"/>
    <cellStyle name="Normal 52 10" xfId="2238" xr:uid="{00000000-0005-0000-0000-0000CD0C0000}"/>
    <cellStyle name="Normal 52 10 2" xfId="4437" xr:uid="{00000000-0005-0000-0000-0000CE0C0000}"/>
    <cellStyle name="Normal 52 11" xfId="4436" xr:uid="{00000000-0005-0000-0000-0000CF0C0000}"/>
    <cellStyle name="Normal 52 2" xfId="2239" xr:uid="{00000000-0005-0000-0000-0000D00C0000}"/>
    <cellStyle name="Normal 52 2 2" xfId="4438" xr:uid="{00000000-0005-0000-0000-0000D10C0000}"/>
    <cellStyle name="Normal 52 3" xfId="2240" xr:uid="{00000000-0005-0000-0000-0000D20C0000}"/>
    <cellStyle name="Normal 52 3 2" xfId="4439" xr:uid="{00000000-0005-0000-0000-0000D30C0000}"/>
    <cellStyle name="Normal 52 4" xfId="2241" xr:uid="{00000000-0005-0000-0000-0000D40C0000}"/>
    <cellStyle name="Normal 52 4 2" xfId="4440" xr:uid="{00000000-0005-0000-0000-0000D50C0000}"/>
    <cellStyle name="Normal 52 5" xfId="2242" xr:uid="{00000000-0005-0000-0000-0000D60C0000}"/>
    <cellStyle name="Normal 52 5 2" xfId="4441" xr:uid="{00000000-0005-0000-0000-0000D70C0000}"/>
    <cellStyle name="Normal 52 6" xfId="2243" xr:uid="{00000000-0005-0000-0000-0000D80C0000}"/>
    <cellStyle name="Normal 52 6 2" xfId="4442" xr:uid="{00000000-0005-0000-0000-0000D90C0000}"/>
    <cellStyle name="Normal 52 7" xfId="2244" xr:uid="{00000000-0005-0000-0000-0000DA0C0000}"/>
    <cellStyle name="Normal 52 7 2" xfId="4443" xr:uid="{00000000-0005-0000-0000-0000DB0C0000}"/>
    <cellStyle name="Normal 52 8" xfId="2245" xr:uid="{00000000-0005-0000-0000-0000DC0C0000}"/>
    <cellStyle name="Normal 52 8 2" xfId="4444" xr:uid="{00000000-0005-0000-0000-0000DD0C0000}"/>
    <cellStyle name="Normal 52 9" xfId="2246" xr:uid="{00000000-0005-0000-0000-0000DE0C0000}"/>
    <cellStyle name="Normal 52 9 2" xfId="4445" xr:uid="{00000000-0005-0000-0000-0000DF0C0000}"/>
    <cellStyle name="Normal 52_Sheet3" xfId="2247" xr:uid="{00000000-0005-0000-0000-0000E00C0000}"/>
    <cellStyle name="Normal 53" xfId="2248" xr:uid="{00000000-0005-0000-0000-0000E10C0000}"/>
    <cellStyle name="Normal 53 10" xfId="2249" xr:uid="{00000000-0005-0000-0000-0000E20C0000}"/>
    <cellStyle name="Normal 53 10 2" xfId="4447" xr:uid="{00000000-0005-0000-0000-0000E30C0000}"/>
    <cellStyle name="Normal 53 11" xfId="4446" xr:uid="{00000000-0005-0000-0000-0000E40C0000}"/>
    <cellStyle name="Normal 53 2" xfId="2250" xr:uid="{00000000-0005-0000-0000-0000E50C0000}"/>
    <cellStyle name="Normal 53 2 2" xfId="4448" xr:uid="{00000000-0005-0000-0000-0000E60C0000}"/>
    <cellStyle name="Normal 53 3" xfId="2251" xr:uid="{00000000-0005-0000-0000-0000E70C0000}"/>
    <cellStyle name="Normal 53 3 2" xfId="4449" xr:uid="{00000000-0005-0000-0000-0000E80C0000}"/>
    <cellStyle name="Normal 53 4" xfId="2252" xr:uid="{00000000-0005-0000-0000-0000E90C0000}"/>
    <cellStyle name="Normal 53 4 2" xfId="4450" xr:uid="{00000000-0005-0000-0000-0000EA0C0000}"/>
    <cellStyle name="Normal 53 5" xfId="2253" xr:uid="{00000000-0005-0000-0000-0000EB0C0000}"/>
    <cellStyle name="Normal 53 5 2" xfId="4451" xr:uid="{00000000-0005-0000-0000-0000EC0C0000}"/>
    <cellStyle name="Normal 53 6" xfId="2254" xr:uid="{00000000-0005-0000-0000-0000ED0C0000}"/>
    <cellStyle name="Normal 53 6 2" xfId="4452" xr:uid="{00000000-0005-0000-0000-0000EE0C0000}"/>
    <cellStyle name="Normal 53 7" xfId="2255" xr:uid="{00000000-0005-0000-0000-0000EF0C0000}"/>
    <cellStyle name="Normal 53 7 2" xfId="4453" xr:uid="{00000000-0005-0000-0000-0000F00C0000}"/>
    <cellStyle name="Normal 53 8" xfId="2256" xr:uid="{00000000-0005-0000-0000-0000F10C0000}"/>
    <cellStyle name="Normal 53 8 2" xfId="4454" xr:uid="{00000000-0005-0000-0000-0000F20C0000}"/>
    <cellStyle name="Normal 53 9" xfId="2257" xr:uid="{00000000-0005-0000-0000-0000F30C0000}"/>
    <cellStyle name="Normal 53 9 2" xfId="4455" xr:uid="{00000000-0005-0000-0000-0000F40C0000}"/>
    <cellStyle name="Normal 53_Sheet3" xfId="2258" xr:uid="{00000000-0005-0000-0000-0000F50C0000}"/>
    <cellStyle name="Normal 54" xfId="2259" xr:uid="{00000000-0005-0000-0000-0000F60C0000}"/>
    <cellStyle name="Normal 54 10" xfId="2260" xr:uid="{00000000-0005-0000-0000-0000F70C0000}"/>
    <cellStyle name="Normal 54 10 2" xfId="4457" xr:uid="{00000000-0005-0000-0000-0000F80C0000}"/>
    <cellStyle name="Normal 54 11" xfId="4456" xr:uid="{00000000-0005-0000-0000-0000F90C0000}"/>
    <cellStyle name="Normal 54 2" xfId="2261" xr:uid="{00000000-0005-0000-0000-0000FA0C0000}"/>
    <cellStyle name="Normal 54 2 2" xfId="4458" xr:uid="{00000000-0005-0000-0000-0000FB0C0000}"/>
    <cellStyle name="Normal 54 3" xfId="2262" xr:uid="{00000000-0005-0000-0000-0000FC0C0000}"/>
    <cellStyle name="Normal 54 3 2" xfId="4459" xr:uid="{00000000-0005-0000-0000-0000FD0C0000}"/>
    <cellStyle name="Normal 54 4" xfId="2263" xr:uid="{00000000-0005-0000-0000-0000FE0C0000}"/>
    <cellStyle name="Normal 54 4 2" xfId="4460" xr:uid="{00000000-0005-0000-0000-0000FF0C0000}"/>
    <cellStyle name="Normal 54 5" xfId="2264" xr:uid="{00000000-0005-0000-0000-0000000D0000}"/>
    <cellStyle name="Normal 54 5 2" xfId="4461" xr:uid="{00000000-0005-0000-0000-0000010D0000}"/>
    <cellStyle name="Normal 54 6" xfId="2265" xr:uid="{00000000-0005-0000-0000-0000020D0000}"/>
    <cellStyle name="Normal 54 6 2" xfId="4462" xr:uid="{00000000-0005-0000-0000-0000030D0000}"/>
    <cellStyle name="Normal 54 7" xfId="2266" xr:uid="{00000000-0005-0000-0000-0000040D0000}"/>
    <cellStyle name="Normal 54 7 2" xfId="4463" xr:uid="{00000000-0005-0000-0000-0000050D0000}"/>
    <cellStyle name="Normal 54 8" xfId="2267" xr:uid="{00000000-0005-0000-0000-0000060D0000}"/>
    <cellStyle name="Normal 54 8 2" xfId="4464" xr:uid="{00000000-0005-0000-0000-0000070D0000}"/>
    <cellStyle name="Normal 54 9" xfId="2268" xr:uid="{00000000-0005-0000-0000-0000080D0000}"/>
    <cellStyle name="Normal 54 9 2" xfId="4465" xr:uid="{00000000-0005-0000-0000-0000090D0000}"/>
    <cellStyle name="Normal 54_Sheet3" xfId="2269" xr:uid="{00000000-0005-0000-0000-00000A0D0000}"/>
    <cellStyle name="Normal 55" xfId="2270" xr:uid="{00000000-0005-0000-0000-00000B0D0000}"/>
    <cellStyle name="Normal 55 10" xfId="2271" xr:uid="{00000000-0005-0000-0000-00000C0D0000}"/>
    <cellStyle name="Normal 55 10 2" xfId="4467" xr:uid="{00000000-0005-0000-0000-00000D0D0000}"/>
    <cellStyle name="Normal 55 11" xfId="4466" xr:uid="{00000000-0005-0000-0000-00000E0D0000}"/>
    <cellStyle name="Normal 55 2" xfId="2272" xr:uid="{00000000-0005-0000-0000-00000F0D0000}"/>
    <cellStyle name="Normal 55 2 2" xfId="4468" xr:uid="{00000000-0005-0000-0000-0000100D0000}"/>
    <cellStyle name="Normal 55 3" xfId="2273" xr:uid="{00000000-0005-0000-0000-0000110D0000}"/>
    <cellStyle name="Normal 55 3 2" xfId="4469" xr:uid="{00000000-0005-0000-0000-0000120D0000}"/>
    <cellStyle name="Normal 55 4" xfId="2274" xr:uid="{00000000-0005-0000-0000-0000130D0000}"/>
    <cellStyle name="Normal 55 4 2" xfId="4470" xr:uid="{00000000-0005-0000-0000-0000140D0000}"/>
    <cellStyle name="Normal 55 5" xfId="2275" xr:uid="{00000000-0005-0000-0000-0000150D0000}"/>
    <cellStyle name="Normal 55 5 2" xfId="4471" xr:uid="{00000000-0005-0000-0000-0000160D0000}"/>
    <cellStyle name="Normal 55 6" xfId="2276" xr:uid="{00000000-0005-0000-0000-0000170D0000}"/>
    <cellStyle name="Normal 55 6 2" xfId="4472" xr:uid="{00000000-0005-0000-0000-0000180D0000}"/>
    <cellStyle name="Normal 55 7" xfId="2277" xr:uid="{00000000-0005-0000-0000-0000190D0000}"/>
    <cellStyle name="Normal 55 7 2" xfId="4473" xr:uid="{00000000-0005-0000-0000-00001A0D0000}"/>
    <cellStyle name="Normal 55 8" xfId="2278" xr:uid="{00000000-0005-0000-0000-00001B0D0000}"/>
    <cellStyle name="Normal 55 8 2" xfId="4474" xr:uid="{00000000-0005-0000-0000-00001C0D0000}"/>
    <cellStyle name="Normal 55 9" xfId="2279" xr:uid="{00000000-0005-0000-0000-00001D0D0000}"/>
    <cellStyle name="Normal 55 9 2" xfId="4475" xr:uid="{00000000-0005-0000-0000-00001E0D0000}"/>
    <cellStyle name="Normal 55_Sheet3" xfId="2280" xr:uid="{00000000-0005-0000-0000-00001F0D0000}"/>
    <cellStyle name="Normal 56" xfId="2281" xr:uid="{00000000-0005-0000-0000-0000200D0000}"/>
    <cellStyle name="Normal 56 10" xfId="2282" xr:uid="{00000000-0005-0000-0000-0000210D0000}"/>
    <cellStyle name="Normal 56 10 2" xfId="4477" xr:uid="{00000000-0005-0000-0000-0000220D0000}"/>
    <cellStyle name="Normal 56 11" xfId="4476" xr:uid="{00000000-0005-0000-0000-0000230D0000}"/>
    <cellStyle name="Normal 56 2" xfId="2283" xr:uid="{00000000-0005-0000-0000-0000240D0000}"/>
    <cellStyle name="Normal 56 2 2" xfId="4478" xr:uid="{00000000-0005-0000-0000-0000250D0000}"/>
    <cellStyle name="Normal 56 3" xfId="2284" xr:uid="{00000000-0005-0000-0000-0000260D0000}"/>
    <cellStyle name="Normal 56 3 2" xfId="4479" xr:uid="{00000000-0005-0000-0000-0000270D0000}"/>
    <cellStyle name="Normal 56 4" xfId="2285" xr:uid="{00000000-0005-0000-0000-0000280D0000}"/>
    <cellStyle name="Normal 56 4 2" xfId="4480" xr:uid="{00000000-0005-0000-0000-0000290D0000}"/>
    <cellStyle name="Normal 56 5" xfId="2286" xr:uid="{00000000-0005-0000-0000-00002A0D0000}"/>
    <cellStyle name="Normal 56 5 2" xfId="4481" xr:uid="{00000000-0005-0000-0000-00002B0D0000}"/>
    <cellStyle name="Normal 56 6" xfId="2287" xr:uid="{00000000-0005-0000-0000-00002C0D0000}"/>
    <cellStyle name="Normal 56 6 2" xfId="4482" xr:uid="{00000000-0005-0000-0000-00002D0D0000}"/>
    <cellStyle name="Normal 56 7" xfId="2288" xr:uid="{00000000-0005-0000-0000-00002E0D0000}"/>
    <cellStyle name="Normal 56 7 2" xfId="4483" xr:uid="{00000000-0005-0000-0000-00002F0D0000}"/>
    <cellStyle name="Normal 56 8" xfId="2289" xr:uid="{00000000-0005-0000-0000-0000300D0000}"/>
    <cellStyle name="Normal 56 8 2" xfId="4484" xr:uid="{00000000-0005-0000-0000-0000310D0000}"/>
    <cellStyle name="Normal 56 9" xfId="2290" xr:uid="{00000000-0005-0000-0000-0000320D0000}"/>
    <cellStyle name="Normal 56 9 2" xfId="4485" xr:uid="{00000000-0005-0000-0000-0000330D0000}"/>
    <cellStyle name="Normal 56_Sheet3" xfId="2291" xr:uid="{00000000-0005-0000-0000-0000340D0000}"/>
    <cellStyle name="Normal 57" xfId="2292" xr:uid="{00000000-0005-0000-0000-0000350D0000}"/>
    <cellStyle name="Normal 57 10" xfId="2293" xr:uid="{00000000-0005-0000-0000-0000360D0000}"/>
    <cellStyle name="Normal 57 10 2" xfId="4487" xr:uid="{00000000-0005-0000-0000-0000370D0000}"/>
    <cellStyle name="Normal 57 11" xfId="4486" xr:uid="{00000000-0005-0000-0000-0000380D0000}"/>
    <cellStyle name="Normal 57 2" xfId="2294" xr:uid="{00000000-0005-0000-0000-0000390D0000}"/>
    <cellStyle name="Normal 57 2 2" xfId="4488" xr:uid="{00000000-0005-0000-0000-00003A0D0000}"/>
    <cellStyle name="Normal 57 3" xfId="2295" xr:uid="{00000000-0005-0000-0000-00003B0D0000}"/>
    <cellStyle name="Normal 57 3 2" xfId="4489" xr:uid="{00000000-0005-0000-0000-00003C0D0000}"/>
    <cellStyle name="Normal 57 4" xfId="2296" xr:uid="{00000000-0005-0000-0000-00003D0D0000}"/>
    <cellStyle name="Normal 57 4 2" xfId="4490" xr:uid="{00000000-0005-0000-0000-00003E0D0000}"/>
    <cellStyle name="Normal 57 5" xfId="2297" xr:uid="{00000000-0005-0000-0000-00003F0D0000}"/>
    <cellStyle name="Normal 57 5 2" xfId="4491" xr:uid="{00000000-0005-0000-0000-0000400D0000}"/>
    <cellStyle name="Normal 57 6" xfId="2298" xr:uid="{00000000-0005-0000-0000-0000410D0000}"/>
    <cellStyle name="Normal 57 6 2" xfId="4492" xr:uid="{00000000-0005-0000-0000-0000420D0000}"/>
    <cellStyle name="Normal 57 7" xfId="2299" xr:uid="{00000000-0005-0000-0000-0000430D0000}"/>
    <cellStyle name="Normal 57 7 2" xfId="4493" xr:uid="{00000000-0005-0000-0000-0000440D0000}"/>
    <cellStyle name="Normal 57 8" xfId="2300" xr:uid="{00000000-0005-0000-0000-0000450D0000}"/>
    <cellStyle name="Normal 57 8 2" xfId="4494" xr:uid="{00000000-0005-0000-0000-0000460D0000}"/>
    <cellStyle name="Normal 57 9" xfId="2301" xr:uid="{00000000-0005-0000-0000-0000470D0000}"/>
    <cellStyle name="Normal 57 9 2" xfId="4495" xr:uid="{00000000-0005-0000-0000-0000480D0000}"/>
    <cellStyle name="Normal 57_Sheet3" xfId="2302" xr:uid="{00000000-0005-0000-0000-0000490D0000}"/>
    <cellStyle name="Normal 58" xfId="2303" xr:uid="{00000000-0005-0000-0000-00004A0D0000}"/>
    <cellStyle name="Normal 58 10" xfId="2304" xr:uid="{00000000-0005-0000-0000-00004B0D0000}"/>
    <cellStyle name="Normal 58 10 2" xfId="4497" xr:uid="{00000000-0005-0000-0000-00004C0D0000}"/>
    <cellStyle name="Normal 58 11" xfId="4496" xr:uid="{00000000-0005-0000-0000-00004D0D0000}"/>
    <cellStyle name="Normal 58 2" xfId="2305" xr:uid="{00000000-0005-0000-0000-00004E0D0000}"/>
    <cellStyle name="Normal 58 2 2" xfId="4498" xr:uid="{00000000-0005-0000-0000-00004F0D0000}"/>
    <cellStyle name="Normal 58 3" xfId="2306" xr:uid="{00000000-0005-0000-0000-0000500D0000}"/>
    <cellStyle name="Normal 58 3 2" xfId="4499" xr:uid="{00000000-0005-0000-0000-0000510D0000}"/>
    <cellStyle name="Normal 58 4" xfId="2307" xr:uid="{00000000-0005-0000-0000-0000520D0000}"/>
    <cellStyle name="Normal 58 4 2" xfId="4500" xr:uid="{00000000-0005-0000-0000-0000530D0000}"/>
    <cellStyle name="Normal 58 5" xfId="2308" xr:uid="{00000000-0005-0000-0000-0000540D0000}"/>
    <cellStyle name="Normal 58 5 2" xfId="4501" xr:uid="{00000000-0005-0000-0000-0000550D0000}"/>
    <cellStyle name="Normal 58 6" xfId="2309" xr:uid="{00000000-0005-0000-0000-0000560D0000}"/>
    <cellStyle name="Normal 58 6 2" xfId="4502" xr:uid="{00000000-0005-0000-0000-0000570D0000}"/>
    <cellStyle name="Normal 58 7" xfId="2310" xr:uid="{00000000-0005-0000-0000-0000580D0000}"/>
    <cellStyle name="Normal 58 7 2" xfId="4503" xr:uid="{00000000-0005-0000-0000-0000590D0000}"/>
    <cellStyle name="Normal 58 8" xfId="2311" xr:uid="{00000000-0005-0000-0000-00005A0D0000}"/>
    <cellStyle name="Normal 58 8 2" xfId="4504" xr:uid="{00000000-0005-0000-0000-00005B0D0000}"/>
    <cellStyle name="Normal 58 9" xfId="2312" xr:uid="{00000000-0005-0000-0000-00005C0D0000}"/>
    <cellStyle name="Normal 58 9 2" xfId="4505" xr:uid="{00000000-0005-0000-0000-00005D0D0000}"/>
    <cellStyle name="Normal 58_Sheet3" xfId="2313" xr:uid="{00000000-0005-0000-0000-00005E0D0000}"/>
    <cellStyle name="Normal 59" xfId="2314" xr:uid="{00000000-0005-0000-0000-00005F0D0000}"/>
    <cellStyle name="Normal 59 10" xfId="2315" xr:uid="{00000000-0005-0000-0000-0000600D0000}"/>
    <cellStyle name="Normal 59 10 2" xfId="4507" xr:uid="{00000000-0005-0000-0000-0000610D0000}"/>
    <cellStyle name="Normal 59 11" xfId="4506" xr:uid="{00000000-0005-0000-0000-0000620D0000}"/>
    <cellStyle name="Normal 59 2" xfId="2316" xr:uid="{00000000-0005-0000-0000-0000630D0000}"/>
    <cellStyle name="Normal 59 2 2" xfId="4508" xr:uid="{00000000-0005-0000-0000-0000640D0000}"/>
    <cellStyle name="Normal 59 3" xfId="2317" xr:uid="{00000000-0005-0000-0000-0000650D0000}"/>
    <cellStyle name="Normal 59 3 2" xfId="4509" xr:uid="{00000000-0005-0000-0000-0000660D0000}"/>
    <cellStyle name="Normal 59 4" xfId="2318" xr:uid="{00000000-0005-0000-0000-0000670D0000}"/>
    <cellStyle name="Normal 59 4 2" xfId="4510" xr:uid="{00000000-0005-0000-0000-0000680D0000}"/>
    <cellStyle name="Normal 59 5" xfId="2319" xr:uid="{00000000-0005-0000-0000-0000690D0000}"/>
    <cellStyle name="Normal 59 5 2" xfId="4511" xr:uid="{00000000-0005-0000-0000-00006A0D0000}"/>
    <cellStyle name="Normal 59 6" xfId="2320" xr:uid="{00000000-0005-0000-0000-00006B0D0000}"/>
    <cellStyle name="Normal 59 6 2" xfId="4512" xr:uid="{00000000-0005-0000-0000-00006C0D0000}"/>
    <cellStyle name="Normal 59 7" xfId="2321" xr:uid="{00000000-0005-0000-0000-00006D0D0000}"/>
    <cellStyle name="Normal 59 7 2" xfId="4513" xr:uid="{00000000-0005-0000-0000-00006E0D0000}"/>
    <cellStyle name="Normal 59 8" xfId="2322" xr:uid="{00000000-0005-0000-0000-00006F0D0000}"/>
    <cellStyle name="Normal 59 8 2" xfId="4514" xr:uid="{00000000-0005-0000-0000-0000700D0000}"/>
    <cellStyle name="Normal 59 9" xfId="2323" xr:uid="{00000000-0005-0000-0000-0000710D0000}"/>
    <cellStyle name="Normal 59 9 2" xfId="4515" xr:uid="{00000000-0005-0000-0000-0000720D0000}"/>
    <cellStyle name="Normal 59_Sheet3" xfId="2324" xr:uid="{00000000-0005-0000-0000-0000730D0000}"/>
    <cellStyle name="Normal 6" xfId="2325" xr:uid="{00000000-0005-0000-0000-0000740D0000}"/>
    <cellStyle name="Normal 6 10" xfId="2326" xr:uid="{00000000-0005-0000-0000-0000750D0000}"/>
    <cellStyle name="Normal 6 10 2" xfId="4517" xr:uid="{00000000-0005-0000-0000-0000760D0000}"/>
    <cellStyle name="Normal 6 11" xfId="2327" xr:uid="{00000000-0005-0000-0000-0000770D0000}"/>
    <cellStyle name="Normal 6 11 2" xfId="4518" xr:uid="{00000000-0005-0000-0000-0000780D0000}"/>
    <cellStyle name="Normal 6 12" xfId="4516" xr:uid="{00000000-0005-0000-0000-0000790D0000}"/>
    <cellStyle name="Normal 6 2" xfId="2328" xr:uid="{00000000-0005-0000-0000-00007A0D0000}"/>
    <cellStyle name="Normal 6 2 10" xfId="2329" xr:uid="{00000000-0005-0000-0000-00007B0D0000}"/>
    <cellStyle name="Normal 6 2 10 2" xfId="4520" xr:uid="{00000000-0005-0000-0000-00007C0D0000}"/>
    <cellStyle name="Normal 6 2 11" xfId="2330" xr:uid="{00000000-0005-0000-0000-00007D0D0000}"/>
    <cellStyle name="Normal 6 2 11 2" xfId="4521" xr:uid="{00000000-0005-0000-0000-00007E0D0000}"/>
    <cellStyle name="Normal 6 2 12" xfId="4519" xr:uid="{00000000-0005-0000-0000-00007F0D0000}"/>
    <cellStyle name="Normal 6 2 2" xfId="2331" xr:uid="{00000000-0005-0000-0000-0000800D0000}"/>
    <cellStyle name="Normal 6 2 3" xfId="2332" xr:uid="{00000000-0005-0000-0000-0000810D0000}"/>
    <cellStyle name="Normal 6 2 3 2" xfId="4522" xr:uid="{00000000-0005-0000-0000-0000820D0000}"/>
    <cellStyle name="Normal 6 2 4" xfId="2333" xr:uid="{00000000-0005-0000-0000-0000830D0000}"/>
    <cellStyle name="Normal 6 2 4 2" xfId="4523" xr:uid="{00000000-0005-0000-0000-0000840D0000}"/>
    <cellStyle name="Normal 6 2 5" xfId="2334" xr:uid="{00000000-0005-0000-0000-0000850D0000}"/>
    <cellStyle name="Normal 6 2 5 2" xfId="4524" xr:uid="{00000000-0005-0000-0000-0000860D0000}"/>
    <cellStyle name="Normal 6 2 6" xfId="2335" xr:uid="{00000000-0005-0000-0000-0000870D0000}"/>
    <cellStyle name="Normal 6 2 6 2" xfId="4525" xr:uid="{00000000-0005-0000-0000-0000880D0000}"/>
    <cellStyle name="Normal 6 2 7" xfId="2336" xr:uid="{00000000-0005-0000-0000-0000890D0000}"/>
    <cellStyle name="Normal 6 2 7 2" xfId="4526" xr:uid="{00000000-0005-0000-0000-00008A0D0000}"/>
    <cellStyle name="Normal 6 2 8" xfId="2337" xr:uid="{00000000-0005-0000-0000-00008B0D0000}"/>
    <cellStyle name="Normal 6 2 8 2" xfId="4527" xr:uid="{00000000-0005-0000-0000-00008C0D0000}"/>
    <cellStyle name="Normal 6 2 9" xfId="2338" xr:uid="{00000000-0005-0000-0000-00008D0D0000}"/>
    <cellStyle name="Normal 6 2 9 2" xfId="4528" xr:uid="{00000000-0005-0000-0000-00008E0D0000}"/>
    <cellStyle name="Normal 6 2_Sheet3" xfId="2339" xr:uid="{00000000-0005-0000-0000-00008F0D0000}"/>
    <cellStyle name="Normal 6 3" xfId="2340" xr:uid="{00000000-0005-0000-0000-0000900D0000}"/>
    <cellStyle name="Normal 6 3 2" xfId="4529" xr:uid="{00000000-0005-0000-0000-0000910D0000}"/>
    <cellStyle name="Normal 6 4" xfId="2341" xr:uid="{00000000-0005-0000-0000-0000920D0000}"/>
    <cellStyle name="Normal 6 4 2" xfId="4530" xr:uid="{00000000-0005-0000-0000-0000930D0000}"/>
    <cellStyle name="Normal 6 5" xfId="2342" xr:uid="{00000000-0005-0000-0000-0000940D0000}"/>
    <cellStyle name="Normal 6 5 2" xfId="4531" xr:uid="{00000000-0005-0000-0000-0000950D0000}"/>
    <cellStyle name="Normal 6 6" xfId="2343" xr:uid="{00000000-0005-0000-0000-0000960D0000}"/>
    <cellStyle name="Normal 6 6 2" xfId="4532" xr:uid="{00000000-0005-0000-0000-0000970D0000}"/>
    <cellStyle name="Normal 6 7" xfId="2344" xr:uid="{00000000-0005-0000-0000-0000980D0000}"/>
    <cellStyle name="Normal 6 7 2" xfId="4533" xr:uid="{00000000-0005-0000-0000-0000990D0000}"/>
    <cellStyle name="Normal 6 8" xfId="2345" xr:uid="{00000000-0005-0000-0000-00009A0D0000}"/>
    <cellStyle name="Normal 6 8 2" xfId="4534" xr:uid="{00000000-0005-0000-0000-00009B0D0000}"/>
    <cellStyle name="Normal 6 9" xfId="2346" xr:uid="{00000000-0005-0000-0000-00009C0D0000}"/>
    <cellStyle name="Normal 6 9 2" xfId="4535" xr:uid="{00000000-0005-0000-0000-00009D0D0000}"/>
    <cellStyle name="Normal 6_Sheet3" xfId="2347" xr:uid="{00000000-0005-0000-0000-00009E0D0000}"/>
    <cellStyle name="Normal 60" xfId="2348" xr:uid="{00000000-0005-0000-0000-00009F0D0000}"/>
    <cellStyle name="Normal 60 10" xfId="2349" xr:uid="{00000000-0005-0000-0000-0000A00D0000}"/>
    <cellStyle name="Normal 60 10 2" xfId="4537" xr:uid="{00000000-0005-0000-0000-0000A10D0000}"/>
    <cellStyle name="Normal 60 11" xfId="4536" xr:uid="{00000000-0005-0000-0000-0000A20D0000}"/>
    <cellStyle name="Normal 60 2" xfId="2350" xr:uid="{00000000-0005-0000-0000-0000A30D0000}"/>
    <cellStyle name="Normal 60 2 2" xfId="4538" xr:uid="{00000000-0005-0000-0000-0000A40D0000}"/>
    <cellStyle name="Normal 60 3" xfId="2351" xr:uid="{00000000-0005-0000-0000-0000A50D0000}"/>
    <cellStyle name="Normal 60 3 2" xfId="4539" xr:uid="{00000000-0005-0000-0000-0000A60D0000}"/>
    <cellStyle name="Normal 60 4" xfId="2352" xr:uid="{00000000-0005-0000-0000-0000A70D0000}"/>
    <cellStyle name="Normal 60 4 2" xfId="4540" xr:uid="{00000000-0005-0000-0000-0000A80D0000}"/>
    <cellStyle name="Normal 60 5" xfId="2353" xr:uid="{00000000-0005-0000-0000-0000A90D0000}"/>
    <cellStyle name="Normal 60 5 2" xfId="4541" xr:uid="{00000000-0005-0000-0000-0000AA0D0000}"/>
    <cellStyle name="Normal 60 6" xfId="2354" xr:uid="{00000000-0005-0000-0000-0000AB0D0000}"/>
    <cellStyle name="Normal 60 6 2" xfId="4542" xr:uid="{00000000-0005-0000-0000-0000AC0D0000}"/>
    <cellStyle name="Normal 60 7" xfId="2355" xr:uid="{00000000-0005-0000-0000-0000AD0D0000}"/>
    <cellStyle name="Normal 60 7 2" xfId="4543" xr:uid="{00000000-0005-0000-0000-0000AE0D0000}"/>
    <cellStyle name="Normal 60 8" xfId="2356" xr:uid="{00000000-0005-0000-0000-0000AF0D0000}"/>
    <cellStyle name="Normal 60 8 2" xfId="4544" xr:uid="{00000000-0005-0000-0000-0000B00D0000}"/>
    <cellStyle name="Normal 60 9" xfId="2357" xr:uid="{00000000-0005-0000-0000-0000B10D0000}"/>
    <cellStyle name="Normal 60 9 2" xfId="4545" xr:uid="{00000000-0005-0000-0000-0000B20D0000}"/>
    <cellStyle name="Normal 60_Sheet3" xfId="2358" xr:uid="{00000000-0005-0000-0000-0000B30D0000}"/>
    <cellStyle name="Normal 61" xfId="2359" xr:uid="{00000000-0005-0000-0000-0000B40D0000}"/>
    <cellStyle name="Normal 61 10" xfId="2360" xr:uid="{00000000-0005-0000-0000-0000B50D0000}"/>
    <cellStyle name="Normal 61 10 2" xfId="4547" xr:uid="{00000000-0005-0000-0000-0000B60D0000}"/>
    <cellStyle name="Normal 61 11" xfId="4546" xr:uid="{00000000-0005-0000-0000-0000B70D0000}"/>
    <cellStyle name="Normal 61 2" xfId="2361" xr:uid="{00000000-0005-0000-0000-0000B80D0000}"/>
    <cellStyle name="Normal 61 2 2" xfId="4548" xr:uid="{00000000-0005-0000-0000-0000B90D0000}"/>
    <cellStyle name="Normal 61 3" xfId="2362" xr:uid="{00000000-0005-0000-0000-0000BA0D0000}"/>
    <cellStyle name="Normal 61 3 2" xfId="4549" xr:uid="{00000000-0005-0000-0000-0000BB0D0000}"/>
    <cellStyle name="Normal 61 4" xfId="2363" xr:uid="{00000000-0005-0000-0000-0000BC0D0000}"/>
    <cellStyle name="Normal 61 4 2" xfId="4550" xr:uid="{00000000-0005-0000-0000-0000BD0D0000}"/>
    <cellStyle name="Normal 61 5" xfId="2364" xr:uid="{00000000-0005-0000-0000-0000BE0D0000}"/>
    <cellStyle name="Normal 61 5 2" xfId="4551" xr:uid="{00000000-0005-0000-0000-0000BF0D0000}"/>
    <cellStyle name="Normal 61 6" xfId="2365" xr:uid="{00000000-0005-0000-0000-0000C00D0000}"/>
    <cellStyle name="Normal 61 6 2" xfId="4552" xr:uid="{00000000-0005-0000-0000-0000C10D0000}"/>
    <cellStyle name="Normal 61 7" xfId="2366" xr:uid="{00000000-0005-0000-0000-0000C20D0000}"/>
    <cellStyle name="Normal 61 7 2" xfId="4553" xr:uid="{00000000-0005-0000-0000-0000C30D0000}"/>
    <cellStyle name="Normal 61 8" xfId="2367" xr:uid="{00000000-0005-0000-0000-0000C40D0000}"/>
    <cellStyle name="Normal 61 8 2" xfId="4554" xr:uid="{00000000-0005-0000-0000-0000C50D0000}"/>
    <cellStyle name="Normal 61 9" xfId="2368" xr:uid="{00000000-0005-0000-0000-0000C60D0000}"/>
    <cellStyle name="Normal 61 9 2" xfId="4555" xr:uid="{00000000-0005-0000-0000-0000C70D0000}"/>
    <cellStyle name="Normal 61_Sheet3" xfId="2369" xr:uid="{00000000-0005-0000-0000-0000C80D0000}"/>
    <cellStyle name="Normal 62" xfId="2370" xr:uid="{00000000-0005-0000-0000-0000C90D0000}"/>
    <cellStyle name="Normal 62 10" xfId="2371" xr:uid="{00000000-0005-0000-0000-0000CA0D0000}"/>
    <cellStyle name="Normal 62 10 2" xfId="4557" xr:uid="{00000000-0005-0000-0000-0000CB0D0000}"/>
    <cellStyle name="Normal 62 11" xfId="4556" xr:uid="{00000000-0005-0000-0000-0000CC0D0000}"/>
    <cellStyle name="Normal 62 2" xfId="2372" xr:uid="{00000000-0005-0000-0000-0000CD0D0000}"/>
    <cellStyle name="Normal 62 2 2" xfId="4558" xr:uid="{00000000-0005-0000-0000-0000CE0D0000}"/>
    <cellStyle name="Normal 62 3" xfId="2373" xr:uid="{00000000-0005-0000-0000-0000CF0D0000}"/>
    <cellStyle name="Normal 62 3 2" xfId="4559" xr:uid="{00000000-0005-0000-0000-0000D00D0000}"/>
    <cellStyle name="Normal 62 4" xfId="2374" xr:uid="{00000000-0005-0000-0000-0000D10D0000}"/>
    <cellStyle name="Normal 62 4 2" xfId="4560" xr:uid="{00000000-0005-0000-0000-0000D20D0000}"/>
    <cellStyle name="Normal 62 5" xfId="2375" xr:uid="{00000000-0005-0000-0000-0000D30D0000}"/>
    <cellStyle name="Normal 62 5 2" xfId="4561" xr:uid="{00000000-0005-0000-0000-0000D40D0000}"/>
    <cellStyle name="Normal 62 6" xfId="2376" xr:uid="{00000000-0005-0000-0000-0000D50D0000}"/>
    <cellStyle name="Normal 62 6 2" xfId="4562" xr:uid="{00000000-0005-0000-0000-0000D60D0000}"/>
    <cellStyle name="Normal 62 7" xfId="2377" xr:uid="{00000000-0005-0000-0000-0000D70D0000}"/>
    <cellStyle name="Normal 62 7 2" xfId="4563" xr:uid="{00000000-0005-0000-0000-0000D80D0000}"/>
    <cellStyle name="Normal 62 8" xfId="2378" xr:uid="{00000000-0005-0000-0000-0000D90D0000}"/>
    <cellStyle name="Normal 62 8 2" xfId="4564" xr:uid="{00000000-0005-0000-0000-0000DA0D0000}"/>
    <cellStyle name="Normal 62 9" xfId="2379" xr:uid="{00000000-0005-0000-0000-0000DB0D0000}"/>
    <cellStyle name="Normal 62 9 2" xfId="4565" xr:uid="{00000000-0005-0000-0000-0000DC0D0000}"/>
    <cellStyle name="Normal 62_Sheet3" xfId="2380" xr:uid="{00000000-0005-0000-0000-0000DD0D0000}"/>
    <cellStyle name="Normal 63" xfId="2381" xr:uid="{00000000-0005-0000-0000-0000DE0D0000}"/>
    <cellStyle name="Normal 63 10" xfId="2382" xr:uid="{00000000-0005-0000-0000-0000DF0D0000}"/>
    <cellStyle name="Normal 63 10 2" xfId="4567" xr:uid="{00000000-0005-0000-0000-0000E00D0000}"/>
    <cellStyle name="Normal 63 11" xfId="4566" xr:uid="{00000000-0005-0000-0000-0000E10D0000}"/>
    <cellStyle name="Normal 63 2" xfId="2383" xr:uid="{00000000-0005-0000-0000-0000E20D0000}"/>
    <cellStyle name="Normal 63 2 2" xfId="4568" xr:uid="{00000000-0005-0000-0000-0000E30D0000}"/>
    <cellStyle name="Normal 63 3" xfId="2384" xr:uid="{00000000-0005-0000-0000-0000E40D0000}"/>
    <cellStyle name="Normal 63 3 2" xfId="4569" xr:uid="{00000000-0005-0000-0000-0000E50D0000}"/>
    <cellStyle name="Normal 63 4" xfId="2385" xr:uid="{00000000-0005-0000-0000-0000E60D0000}"/>
    <cellStyle name="Normal 63 4 2" xfId="4570" xr:uid="{00000000-0005-0000-0000-0000E70D0000}"/>
    <cellStyle name="Normal 63 5" xfId="2386" xr:uid="{00000000-0005-0000-0000-0000E80D0000}"/>
    <cellStyle name="Normal 63 5 2" xfId="4571" xr:uid="{00000000-0005-0000-0000-0000E90D0000}"/>
    <cellStyle name="Normal 63 6" xfId="2387" xr:uid="{00000000-0005-0000-0000-0000EA0D0000}"/>
    <cellStyle name="Normal 63 6 2" xfId="4572" xr:uid="{00000000-0005-0000-0000-0000EB0D0000}"/>
    <cellStyle name="Normal 63 7" xfId="2388" xr:uid="{00000000-0005-0000-0000-0000EC0D0000}"/>
    <cellStyle name="Normal 63 7 2" xfId="4573" xr:uid="{00000000-0005-0000-0000-0000ED0D0000}"/>
    <cellStyle name="Normal 63 8" xfId="2389" xr:uid="{00000000-0005-0000-0000-0000EE0D0000}"/>
    <cellStyle name="Normal 63 8 2" xfId="4574" xr:uid="{00000000-0005-0000-0000-0000EF0D0000}"/>
    <cellStyle name="Normal 63 9" xfId="2390" xr:uid="{00000000-0005-0000-0000-0000F00D0000}"/>
    <cellStyle name="Normal 63 9 2" xfId="4575" xr:uid="{00000000-0005-0000-0000-0000F10D0000}"/>
    <cellStyle name="Normal 63_Sheet3" xfId="2391" xr:uid="{00000000-0005-0000-0000-0000F20D0000}"/>
    <cellStyle name="Normal 64" xfId="2392" xr:uid="{00000000-0005-0000-0000-0000F30D0000}"/>
    <cellStyle name="Normal 64 10" xfId="2393" xr:uid="{00000000-0005-0000-0000-0000F40D0000}"/>
    <cellStyle name="Normal 64 10 2" xfId="4577" xr:uid="{00000000-0005-0000-0000-0000F50D0000}"/>
    <cellStyle name="Normal 64 11" xfId="4576" xr:uid="{00000000-0005-0000-0000-0000F60D0000}"/>
    <cellStyle name="Normal 64 2" xfId="2394" xr:uid="{00000000-0005-0000-0000-0000F70D0000}"/>
    <cellStyle name="Normal 64 2 2" xfId="4578" xr:uid="{00000000-0005-0000-0000-0000F80D0000}"/>
    <cellStyle name="Normal 64 3" xfId="2395" xr:uid="{00000000-0005-0000-0000-0000F90D0000}"/>
    <cellStyle name="Normal 64 3 2" xfId="4579" xr:uid="{00000000-0005-0000-0000-0000FA0D0000}"/>
    <cellStyle name="Normal 64 4" xfId="2396" xr:uid="{00000000-0005-0000-0000-0000FB0D0000}"/>
    <cellStyle name="Normal 64 4 2" xfId="4580" xr:uid="{00000000-0005-0000-0000-0000FC0D0000}"/>
    <cellStyle name="Normal 64 5" xfId="2397" xr:uid="{00000000-0005-0000-0000-0000FD0D0000}"/>
    <cellStyle name="Normal 64 5 2" xfId="4581" xr:uid="{00000000-0005-0000-0000-0000FE0D0000}"/>
    <cellStyle name="Normal 64 6" xfId="2398" xr:uid="{00000000-0005-0000-0000-0000FF0D0000}"/>
    <cellStyle name="Normal 64 6 2" xfId="4582" xr:uid="{00000000-0005-0000-0000-0000000E0000}"/>
    <cellStyle name="Normal 64 7" xfId="2399" xr:uid="{00000000-0005-0000-0000-0000010E0000}"/>
    <cellStyle name="Normal 64 7 2" xfId="4583" xr:uid="{00000000-0005-0000-0000-0000020E0000}"/>
    <cellStyle name="Normal 64 8" xfId="2400" xr:uid="{00000000-0005-0000-0000-0000030E0000}"/>
    <cellStyle name="Normal 64 8 2" xfId="4584" xr:uid="{00000000-0005-0000-0000-0000040E0000}"/>
    <cellStyle name="Normal 64 9" xfId="2401" xr:uid="{00000000-0005-0000-0000-0000050E0000}"/>
    <cellStyle name="Normal 64 9 2" xfId="4585" xr:uid="{00000000-0005-0000-0000-0000060E0000}"/>
    <cellStyle name="Normal 64_Sheet3" xfId="2402" xr:uid="{00000000-0005-0000-0000-0000070E0000}"/>
    <cellStyle name="Normal 65" xfId="2403" xr:uid="{00000000-0005-0000-0000-0000080E0000}"/>
    <cellStyle name="Normal 65 10" xfId="2404" xr:uid="{00000000-0005-0000-0000-0000090E0000}"/>
    <cellStyle name="Normal 65 10 2" xfId="4587" xr:uid="{00000000-0005-0000-0000-00000A0E0000}"/>
    <cellStyle name="Normal 65 11" xfId="4586" xr:uid="{00000000-0005-0000-0000-00000B0E0000}"/>
    <cellStyle name="Normal 65 2" xfId="2405" xr:uid="{00000000-0005-0000-0000-00000C0E0000}"/>
    <cellStyle name="Normal 65 2 2" xfId="4588" xr:uid="{00000000-0005-0000-0000-00000D0E0000}"/>
    <cellStyle name="Normal 65 3" xfId="2406" xr:uid="{00000000-0005-0000-0000-00000E0E0000}"/>
    <cellStyle name="Normal 65 3 2" xfId="4589" xr:uid="{00000000-0005-0000-0000-00000F0E0000}"/>
    <cellStyle name="Normal 65 4" xfId="2407" xr:uid="{00000000-0005-0000-0000-0000100E0000}"/>
    <cellStyle name="Normal 65 4 2" xfId="4590" xr:uid="{00000000-0005-0000-0000-0000110E0000}"/>
    <cellStyle name="Normal 65 5" xfId="2408" xr:uid="{00000000-0005-0000-0000-0000120E0000}"/>
    <cellStyle name="Normal 65 5 2" xfId="4591" xr:uid="{00000000-0005-0000-0000-0000130E0000}"/>
    <cellStyle name="Normal 65 6" xfId="2409" xr:uid="{00000000-0005-0000-0000-0000140E0000}"/>
    <cellStyle name="Normal 65 6 2" xfId="4592" xr:uid="{00000000-0005-0000-0000-0000150E0000}"/>
    <cellStyle name="Normal 65 7" xfId="2410" xr:uid="{00000000-0005-0000-0000-0000160E0000}"/>
    <cellStyle name="Normal 65 7 2" xfId="4593" xr:uid="{00000000-0005-0000-0000-0000170E0000}"/>
    <cellStyle name="Normal 65 8" xfId="2411" xr:uid="{00000000-0005-0000-0000-0000180E0000}"/>
    <cellStyle name="Normal 65 8 2" xfId="4594" xr:uid="{00000000-0005-0000-0000-0000190E0000}"/>
    <cellStyle name="Normal 65 9" xfId="2412" xr:uid="{00000000-0005-0000-0000-00001A0E0000}"/>
    <cellStyle name="Normal 65 9 2" xfId="4595" xr:uid="{00000000-0005-0000-0000-00001B0E0000}"/>
    <cellStyle name="Normal 65_Sheet3" xfId="2413" xr:uid="{00000000-0005-0000-0000-00001C0E0000}"/>
    <cellStyle name="Normal 66" xfId="2414" xr:uid="{00000000-0005-0000-0000-00001D0E0000}"/>
    <cellStyle name="Normal 66 10" xfId="2415" xr:uid="{00000000-0005-0000-0000-00001E0E0000}"/>
    <cellStyle name="Normal 66 10 2" xfId="4597" xr:uid="{00000000-0005-0000-0000-00001F0E0000}"/>
    <cellStyle name="Normal 66 11" xfId="4596" xr:uid="{00000000-0005-0000-0000-0000200E0000}"/>
    <cellStyle name="Normal 66 2" xfId="2416" xr:uid="{00000000-0005-0000-0000-0000210E0000}"/>
    <cellStyle name="Normal 66 2 2" xfId="4598" xr:uid="{00000000-0005-0000-0000-0000220E0000}"/>
    <cellStyle name="Normal 66 3" xfId="2417" xr:uid="{00000000-0005-0000-0000-0000230E0000}"/>
    <cellStyle name="Normal 66 3 2" xfId="4599" xr:uid="{00000000-0005-0000-0000-0000240E0000}"/>
    <cellStyle name="Normal 66 4" xfId="2418" xr:uid="{00000000-0005-0000-0000-0000250E0000}"/>
    <cellStyle name="Normal 66 4 2" xfId="4600" xr:uid="{00000000-0005-0000-0000-0000260E0000}"/>
    <cellStyle name="Normal 66 5" xfId="2419" xr:uid="{00000000-0005-0000-0000-0000270E0000}"/>
    <cellStyle name="Normal 66 5 2" xfId="4601" xr:uid="{00000000-0005-0000-0000-0000280E0000}"/>
    <cellStyle name="Normal 66 6" xfId="2420" xr:uid="{00000000-0005-0000-0000-0000290E0000}"/>
    <cellStyle name="Normal 66 6 2" xfId="4602" xr:uid="{00000000-0005-0000-0000-00002A0E0000}"/>
    <cellStyle name="Normal 66 7" xfId="2421" xr:uid="{00000000-0005-0000-0000-00002B0E0000}"/>
    <cellStyle name="Normal 66 7 2" xfId="4603" xr:uid="{00000000-0005-0000-0000-00002C0E0000}"/>
    <cellStyle name="Normal 66 8" xfId="2422" xr:uid="{00000000-0005-0000-0000-00002D0E0000}"/>
    <cellStyle name="Normal 66 8 2" xfId="4604" xr:uid="{00000000-0005-0000-0000-00002E0E0000}"/>
    <cellStyle name="Normal 66 9" xfId="2423" xr:uid="{00000000-0005-0000-0000-00002F0E0000}"/>
    <cellStyle name="Normal 66 9 2" xfId="4605" xr:uid="{00000000-0005-0000-0000-0000300E0000}"/>
    <cellStyle name="Normal 66_Sheet3" xfId="2424" xr:uid="{00000000-0005-0000-0000-0000310E0000}"/>
    <cellStyle name="Normal 67" xfId="2425" xr:uid="{00000000-0005-0000-0000-0000320E0000}"/>
    <cellStyle name="Normal 67 10" xfId="2426" xr:uid="{00000000-0005-0000-0000-0000330E0000}"/>
    <cellStyle name="Normal 67 10 2" xfId="4607" xr:uid="{00000000-0005-0000-0000-0000340E0000}"/>
    <cellStyle name="Normal 67 11" xfId="4606" xr:uid="{00000000-0005-0000-0000-0000350E0000}"/>
    <cellStyle name="Normal 67 2" xfId="2427" xr:uid="{00000000-0005-0000-0000-0000360E0000}"/>
    <cellStyle name="Normal 67 2 2" xfId="4608" xr:uid="{00000000-0005-0000-0000-0000370E0000}"/>
    <cellStyle name="Normal 67 3" xfId="2428" xr:uid="{00000000-0005-0000-0000-0000380E0000}"/>
    <cellStyle name="Normal 67 3 2" xfId="4609" xr:uid="{00000000-0005-0000-0000-0000390E0000}"/>
    <cellStyle name="Normal 67 4" xfId="2429" xr:uid="{00000000-0005-0000-0000-00003A0E0000}"/>
    <cellStyle name="Normal 67 4 2" xfId="4610" xr:uid="{00000000-0005-0000-0000-00003B0E0000}"/>
    <cellStyle name="Normal 67 5" xfId="2430" xr:uid="{00000000-0005-0000-0000-00003C0E0000}"/>
    <cellStyle name="Normal 67 5 2" xfId="4611" xr:uid="{00000000-0005-0000-0000-00003D0E0000}"/>
    <cellStyle name="Normal 67 6" xfId="2431" xr:uid="{00000000-0005-0000-0000-00003E0E0000}"/>
    <cellStyle name="Normal 67 6 2" xfId="4612" xr:uid="{00000000-0005-0000-0000-00003F0E0000}"/>
    <cellStyle name="Normal 67 7" xfId="2432" xr:uid="{00000000-0005-0000-0000-0000400E0000}"/>
    <cellStyle name="Normal 67 7 2" xfId="4613" xr:uid="{00000000-0005-0000-0000-0000410E0000}"/>
    <cellStyle name="Normal 67 8" xfId="2433" xr:uid="{00000000-0005-0000-0000-0000420E0000}"/>
    <cellStyle name="Normal 67 8 2" xfId="4614" xr:uid="{00000000-0005-0000-0000-0000430E0000}"/>
    <cellStyle name="Normal 67 9" xfId="2434" xr:uid="{00000000-0005-0000-0000-0000440E0000}"/>
    <cellStyle name="Normal 67 9 2" xfId="4615" xr:uid="{00000000-0005-0000-0000-0000450E0000}"/>
    <cellStyle name="Normal 67_Sheet3" xfId="2435" xr:uid="{00000000-0005-0000-0000-0000460E0000}"/>
    <cellStyle name="Normal 68" xfId="2436" xr:uid="{00000000-0005-0000-0000-0000470E0000}"/>
    <cellStyle name="Normal 68 10" xfId="2437" xr:uid="{00000000-0005-0000-0000-0000480E0000}"/>
    <cellStyle name="Normal 68 10 2" xfId="4617" xr:uid="{00000000-0005-0000-0000-0000490E0000}"/>
    <cellStyle name="Normal 68 11" xfId="4616" xr:uid="{00000000-0005-0000-0000-00004A0E0000}"/>
    <cellStyle name="Normal 68 2" xfId="2438" xr:uid="{00000000-0005-0000-0000-00004B0E0000}"/>
    <cellStyle name="Normal 68 2 2" xfId="4618" xr:uid="{00000000-0005-0000-0000-00004C0E0000}"/>
    <cellStyle name="Normal 68 3" xfId="2439" xr:uid="{00000000-0005-0000-0000-00004D0E0000}"/>
    <cellStyle name="Normal 68 3 2" xfId="4619" xr:uid="{00000000-0005-0000-0000-00004E0E0000}"/>
    <cellStyle name="Normal 68 4" xfId="2440" xr:uid="{00000000-0005-0000-0000-00004F0E0000}"/>
    <cellStyle name="Normal 68 4 2" xfId="4620" xr:uid="{00000000-0005-0000-0000-0000500E0000}"/>
    <cellStyle name="Normal 68 5" xfId="2441" xr:uid="{00000000-0005-0000-0000-0000510E0000}"/>
    <cellStyle name="Normal 68 5 2" xfId="4621" xr:uid="{00000000-0005-0000-0000-0000520E0000}"/>
    <cellStyle name="Normal 68 6" xfId="2442" xr:uid="{00000000-0005-0000-0000-0000530E0000}"/>
    <cellStyle name="Normal 68 6 2" xfId="4622" xr:uid="{00000000-0005-0000-0000-0000540E0000}"/>
    <cellStyle name="Normal 68 7" xfId="2443" xr:uid="{00000000-0005-0000-0000-0000550E0000}"/>
    <cellStyle name="Normal 68 7 2" xfId="4623" xr:uid="{00000000-0005-0000-0000-0000560E0000}"/>
    <cellStyle name="Normal 68 8" xfId="2444" xr:uid="{00000000-0005-0000-0000-0000570E0000}"/>
    <cellStyle name="Normal 68 8 2" xfId="4624" xr:uid="{00000000-0005-0000-0000-0000580E0000}"/>
    <cellStyle name="Normal 68 9" xfId="2445" xr:uid="{00000000-0005-0000-0000-0000590E0000}"/>
    <cellStyle name="Normal 68 9 2" xfId="4625" xr:uid="{00000000-0005-0000-0000-00005A0E0000}"/>
    <cellStyle name="Normal 68_Sheet3" xfId="2446" xr:uid="{00000000-0005-0000-0000-00005B0E0000}"/>
    <cellStyle name="Normal 69" xfId="2447" xr:uid="{00000000-0005-0000-0000-00005C0E0000}"/>
    <cellStyle name="Normal 69 10" xfId="2448" xr:uid="{00000000-0005-0000-0000-00005D0E0000}"/>
    <cellStyle name="Normal 69 10 2" xfId="4627" xr:uid="{00000000-0005-0000-0000-00005E0E0000}"/>
    <cellStyle name="Normal 69 11" xfId="4626" xr:uid="{00000000-0005-0000-0000-00005F0E0000}"/>
    <cellStyle name="Normal 69 2" xfId="2449" xr:uid="{00000000-0005-0000-0000-0000600E0000}"/>
    <cellStyle name="Normal 69 2 2" xfId="4628" xr:uid="{00000000-0005-0000-0000-0000610E0000}"/>
    <cellStyle name="Normal 69 3" xfId="2450" xr:uid="{00000000-0005-0000-0000-0000620E0000}"/>
    <cellStyle name="Normal 69 3 2" xfId="4629" xr:uid="{00000000-0005-0000-0000-0000630E0000}"/>
    <cellStyle name="Normal 69 4" xfId="2451" xr:uid="{00000000-0005-0000-0000-0000640E0000}"/>
    <cellStyle name="Normal 69 4 2" xfId="4630" xr:uid="{00000000-0005-0000-0000-0000650E0000}"/>
    <cellStyle name="Normal 69 5" xfId="2452" xr:uid="{00000000-0005-0000-0000-0000660E0000}"/>
    <cellStyle name="Normal 69 5 2" xfId="4631" xr:uid="{00000000-0005-0000-0000-0000670E0000}"/>
    <cellStyle name="Normal 69 6" xfId="2453" xr:uid="{00000000-0005-0000-0000-0000680E0000}"/>
    <cellStyle name="Normal 69 6 2" xfId="4632" xr:uid="{00000000-0005-0000-0000-0000690E0000}"/>
    <cellStyle name="Normal 69 7" xfId="2454" xr:uid="{00000000-0005-0000-0000-00006A0E0000}"/>
    <cellStyle name="Normal 69 7 2" xfId="4633" xr:uid="{00000000-0005-0000-0000-00006B0E0000}"/>
    <cellStyle name="Normal 69 8" xfId="2455" xr:uid="{00000000-0005-0000-0000-00006C0E0000}"/>
    <cellStyle name="Normal 69 8 2" xfId="4634" xr:uid="{00000000-0005-0000-0000-00006D0E0000}"/>
    <cellStyle name="Normal 69 9" xfId="2456" xr:uid="{00000000-0005-0000-0000-00006E0E0000}"/>
    <cellStyle name="Normal 69 9 2" xfId="4635" xr:uid="{00000000-0005-0000-0000-00006F0E0000}"/>
    <cellStyle name="Normal 69_Sheet3" xfId="2457" xr:uid="{00000000-0005-0000-0000-0000700E0000}"/>
    <cellStyle name="Normal 7" xfId="2458" xr:uid="{00000000-0005-0000-0000-0000710E0000}"/>
    <cellStyle name="Normal 7 2" xfId="2459" xr:uid="{00000000-0005-0000-0000-0000720E0000}"/>
    <cellStyle name="Normal 7 2 10" xfId="2460" xr:uid="{00000000-0005-0000-0000-0000730E0000}"/>
    <cellStyle name="Normal 7 2 10 2" xfId="4637" xr:uid="{00000000-0005-0000-0000-0000740E0000}"/>
    <cellStyle name="Normal 7 2 11" xfId="2461" xr:uid="{00000000-0005-0000-0000-0000750E0000}"/>
    <cellStyle name="Normal 7 2 11 2" xfId="4638" xr:uid="{00000000-0005-0000-0000-0000760E0000}"/>
    <cellStyle name="Normal 7 2 2" xfId="2462" xr:uid="{00000000-0005-0000-0000-0000770E0000}"/>
    <cellStyle name="Normal 7 2 2 10" xfId="2463" xr:uid="{00000000-0005-0000-0000-0000780E0000}"/>
    <cellStyle name="Normal 7 2 2 10 2" xfId="4640" xr:uid="{00000000-0005-0000-0000-0000790E0000}"/>
    <cellStyle name="Normal 7 2 2 11" xfId="4639" xr:uid="{00000000-0005-0000-0000-00007A0E0000}"/>
    <cellStyle name="Normal 7 2 2 2" xfId="2464" xr:uid="{00000000-0005-0000-0000-00007B0E0000}"/>
    <cellStyle name="Normal 7 2 2 2 2" xfId="4641" xr:uid="{00000000-0005-0000-0000-00007C0E0000}"/>
    <cellStyle name="Normal 7 2 2 3" xfId="2465" xr:uid="{00000000-0005-0000-0000-00007D0E0000}"/>
    <cellStyle name="Normal 7 2 2 3 2" xfId="4642" xr:uid="{00000000-0005-0000-0000-00007E0E0000}"/>
    <cellStyle name="Normal 7 2 2 4" xfId="2466" xr:uid="{00000000-0005-0000-0000-00007F0E0000}"/>
    <cellStyle name="Normal 7 2 2 4 2" xfId="4643" xr:uid="{00000000-0005-0000-0000-0000800E0000}"/>
    <cellStyle name="Normal 7 2 2 5" xfId="2467" xr:uid="{00000000-0005-0000-0000-0000810E0000}"/>
    <cellStyle name="Normal 7 2 2 5 2" xfId="4644" xr:uid="{00000000-0005-0000-0000-0000820E0000}"/>
    <cellStyle name="Normal 7 2 2 6" xfId="2468" xr:uid="{00000000-0005-0000-0000-0000830E0000}"/>
    <cellStyle name="Normal 7 2 2 6 2" xfId="4645" xr:uid="{00000000-0005-0000-0000-0000840E0000}"/>
    <cellStyle name="Normal 7 2 2 7" xfId="2469" xr:uid="{00000000-0005-0000-0000-0000850E0000}"/>
    <cellStyle name="Normal 7 2 2 7 2" xfId="4646" xr:uid="{00000000-0005-0000-0000-0000860E0000}"/>
    <cellStyle name="Normal 7 2 2 8" xfId="2470" xr:uid="{00000000-0005-0000-0000-0000870E0000}"/>
    <cellStyle name="Normal 7 2 2 8 2" xfId="4647" xr:uid="{00000000-0005-0000-0000-0000880E0000}"/>
    <cellStyle name="Normal 7 2 2 9" xfId="2471" xr:uid="{00000000-0005-0000-0000-0000890E0000}"/>
    <cellStyle name="Normal 7 2 2 9 2" xfId="4648" xr:uid="{00000000-0005-0000-0000-00008A0E0000}"/>
    <cellStyle name="Normal 7 2 2_Sheet3" xfId="2472" xr:uid="{00000000-0005-0000-0000-00008B0E0000}"/>
    <cellStyle name="Normal 7 2 3" xfId="2473" xr:uid="{00000000-0005-0000-0000-00008C0E0000}"/>
    <cellStyle name="Normal 7 2 3 2" xfId="4649" xr:uid="{00000000-0005-0000-0000-00008D0E0000}"/>
    <cellStyle name="Normal 7 2 4" xfId="2474" xr:uid="{00000000-0005-0000-0000-00008E0E0000}"/>
    <cellStyle name="Normal 7 2 4 2" xfId="4650" xr:uid="{00000000-0005-0000-0000-00008F0E0000}"/>
    <cellStyle name="Normal 7 2 5" xfId="2475" xr:uid="{00000000-0005-0000-0000-0000900E0000}"/>
    <cellStyle name="Normal 7 2 5 2" xfId="4651" xr:uid="{00000000-0005-0000-0000-0000910E0000}"/>
    <cellStyle name="Normal 7 2 6" xfId="2476" xr:uid="{00000000-0005-0000-0000-0000920E0000}"/>
    <cellStyle name="Normal 7 2 6 2" xfId="4652" xr:uid="{00000000-0005-0000-0000-0000930E0000}"/>
    <cellStyle name="Normal 7 2 7" xfId="2477" xr:uid="{00000000-0005-0000-0000-0000940E0000}"/>
    <cellStyle name="Normal 7 2 7 2" xfId="4653" xr:uid="{00000000-0005-0000-0000-0000950E0000}"/>
    <cellStyle name="Normal 7 2 8" xfId="2478" xr:uid="{00000000-0005-0000-0000-0000960E0000}"/>
    <cellStyle name="Normal 7 2 8 2" xfId="4654" xr:uid="{00000000-0005-0000-0000-0000970E0000}"/>
    <cellStyle name="Normal 7 2 9" xfId="2479" xr:uid="{00000000-0005-0000-0000-0000980E0000}"/>
    <cellStyle name="Normal 7 2 9 2" xfId="4655" xr:uid="{00000000-0005-0000-0000-0000990E0000}"/>
    <cellStyle name="Normal 7 2_Sheet3" xfId="2480" xr:uid="{00000000-0005-0000-0000-00009A0E0000}"/>
    <cellStyle name="Normal 7 3" xfId="2481" xr:uid="{00000000-0005-0000-0000-00009B0E0000}"/>
    <cellStyle name="Normal 7 4" xfId="2482" xr:uid="{00000000-0005-0000-0000-00009C0E0000}"/>
    <cellStyle name="Normal 7 5" xfId="2483" xr:uid="{00000000-0005-0000-0000-00009D0E0000}"/>
    <cellStyle name="Normal 7 5 10" xfId="2484" xr:uid="{00000000-0005-0000-0000-00009E0E0000}"/>
    <cellStyle name="Normal 7 5 10 2" xfId="4657" xr:uid="{00000000-0005-0000-0000-00009F0E0000}"/>
    <cellStyle name="Normal 7 5 11" xfId="4656" xr:uid="{00000000-0005-0000-0000-0000A00E0000}"/>
    <cellStyle name="Normal 7 5 2" xfId="2485" xr:uid="{00000000-0005-0000-0000-0000A10E0000}"/>
    <cellStyle name="Normal 7 5 2 2" xfId="4658" xr:uid="{00000000-0005-0000-0000-0000A20E0000}"/>
    <cellStyle name="Normal 7 5 3" xfId="2486" xr:uid="{00000000-0005-0000-0000-0000A30E0000}"/>
    <cellStyle name="Normal 7 5 3 2" xfId="4659" xr:uid="{00000000-0005-0000-0000-0000A40E0000}"/>
    <cellStyle name="Normal 7 5 4" xfId="2487" xr:uid="{00000000-0005-0000-0000-0000A50E0000}"/>
    <cellStyle name="Normal 7 5 4 2" xfId="4660" xr:uid="{00000000-0005-0000-0000-0000A60E0000}"/>
    <cellStyle name="Normal 7 5 5" xfId="2488" xr:uid="{00000000-0005-0000-0000-0000A70E0000}"/>
    <cellStyle name="Normal 7 5 5 2" xfId="4661" xr:uid="{00000000-0005-0000-0000-0000A80E0000}"/>
    <cellStyle name="Normal 7 5 6" xfId="2489" xr:uid="{00000000-0005-0000-0000-0000A90E0000}"/>
    <cellStyle name="Normal 7 5 6 2" xfId="4662" xr:uid="{00000000-0005-0000-0000-0000AA0E0000}"/>
    <cellStyle name="Normal 7 5 7" xfId="2490" xr:uid="{00000000-0005-0000-0000-0000AB0E0000}"/>
    <cellStyle name="Normal 7 5 7 2" xfId="4663" xr:uid="{00000000-0005-0000-0000-0000AC0E0000}"/>
    <cellStyle name="Normal 7 5 8" xfId="2491" xr:uid="{00000000-0005-0000-0000-0000AD0E0000}"/>
    <cellStyle name="Normal 7 5 8 2" xfId="4664" xr:uid="{00000000-0005-0000-0000-0000AE0E0000}"/>
    <cellStyle name="Normal 7 5 9" xfId="2492" xr:uid="{00000000-0005-0000-0000-0000AF0E0000}"/>
    <cellStyle name="Normal 7 5 9 2" xfId="4665" xr:uid="{00000000-0005-0000-0000-0000B00E0000}"/>
    <cellStyle name="Normal 7 5_Sheet3" xfId="2493" xr:uid="{00000000-0005-0000-0000-0000B10E0000}"/>
    <cellStyle name="Normal 7 6" xfId="2494" xr:uid="{00000000-0005-0000-0000-0000B20E0000}"/>
    <cellStyle name="Normal 7 6 10" xfId="2495" xr:uid="{00000000-0005-0000-0000-0000B30E0000}"/>
    <cellStyle name="Normal 7 6 10 2" xfId="4667" xr:uid="{00000000-0005-0000-0000-0000B40E0000}"/>
    <cellStyle name="Normal 7 6 11" xfId="4666" xr:uid="{00000000-0005-0000-0000-0000B50E0000}"/>
    <cellStyle name="Normal 7 6 2" xfId="2496" xr:uid="{00000000-0005-0000-0000-0000B60E0000}"/>
    <cellStyle name="Normal 7 6 2 2" xfId="4668" xr:uid="{00000000-0005-0000-0000-0000B70E0000}"/>
    <cellStyle name="Normal 7 6 3" xfId="2497" xr:uid="{00000000-0005-0000-0000-0000B80E0000}"/>
    <cellStyle name="Normal 7 6 3 2" xfId="4669" xr:uid="{00000000-0005-0000-0000-0000B90E0000}"/>
    <cellStyle name="Normal 7 6 4" xfId="2498" xr:uid="{00000000-0005-0000-0000-0000BA0E0000}"/>
    <cellStyle name="Normal 7 6 4 2" xfId="4670" xr:uid="{00000000-0005-0000-0000-0000BB0E0000}"/>
    <cellStyle name="Normal 7 6 5" xfId="2499" xr:uid="{00000000-0005-0000-0000-0000BC0E0000}"/>
    <cellStyle name="Normal 7 6 5 2" xfId="4671" xr:uid="{00000000-0005-0000-0000-0000BD0E0000}"/>
    <cellStyle name="Normal 7 6 6" xfId="2500" xr:uid="{00000000-0005-0000-0000-0000BE0E0000}"/>
    <cellStyle name="Normal 7 6 6 2" xfId="4672" xr:uid="{00000000-0005-0000-0000-0000BF0E0000}"/>
    <cellStyle name="Normal 7 6 7" xfId="2501" xr:uid="{00000000-0005-0000-0000-0000C00E0000}"/>
    <cellStyle name="Normal 7 6 7 2" xfId="4673" xr:uid="{00000000-0005-0000-0000-0000C10E0000}"/>
    <cellStyle name="Normal 7 6 8" xfId="2502" xr:uid="{00000000-0005-0000-0000-0000C20E0000}"/>
    <cellStyle name="Normal 7 6 8 2" xfId="4674" xr:uid="{00000000-0005-0000-0000-0000C30E0000}"/>
    <cellStyle name="Normal 7 6 9" xfId="2503" xr:uid="{00000000-0005-0000-0000-0000C40E0000}"/>
    <cellStyle name="Normal 7 6 9 2" xfId="4675" xr:uid="{00000000-0005-0000-0000-0000C50E0000}"/>
    <cellStyle name="Normal 7 6_Sheet3" xfId="2504" xr:uid="{00000000-0005-0000-0000-0000C60E0000}"/>
    <cellStyle name="Normal 7 7" xfId="2505" xr:uid="{00000000-0005-0000-0000-0000C70E0000}"/>
    <cellStyle name="Normal 7 7 10" xfId="2506" xr:uid="{00000000-0005-0000-0000-0000C80E0000}"/>
    <cellStyle name="Normal 7 7 10 2" xfId="4677" xr:uid="{00000000-0005-0000-0000-0000C90E0000}"/>
    <cellStyle name="Normal 7 7 11" xfId="4676" xr:uid="{00000000-0005-0000-0000-0000CA0E0000}"/>
    <cellStyle name="Normal 7 7 2" xfId="2507" xr:uid="{00000000-0005-0000-0000-0000CB0E0000}"/>
    <cellStyle name="Normal 7 7 2 2" xfId="4678" xr:uid="{00000000-0005-0000-0000-0000CC0E0000}"/>
    <cellStyle name="Normal 7 7 3" xfId="2508" xr:uid="{00000000-0005-0000-0000-0000CD0E0000}"/>
    <cellStyle name="Normal 7 7 3 2" xfId="4679" xr:uid="{00000000-0005-0000-0000-0000CE0E0000}"/>
    <cellStyle name="Normal 7 7 4" xfId="2509" xr:uid="{00000000-0005-0000-0000-0000CF0E0000}"/>
    <cellStyle name="Normal 7 7 4 2" xfId="4680" xr:uid="{00000000-0005-0000-0000-0000D00E0000}"/>
    <cellStyle name="Normal 7 7 5" xfId="2510" xr:uid="{00000000-0005-0000-0000-0000D10E0000}"/>
    <cellStyle name="Normal 7 7 5 2" xfId="4681" xr:uid="{00000000-0005-0000-0000-0000D20E0000}"/>
    <cellStyle name="Normal 7 7 6" xfId="2511" xr:uid="{00000000-0005-0000-0000-0000D30E0000}"/>
    <cellStyle name="Normal 7 7 6 2" xfId="4682" xr:uid="{00000000-0005-0000-0000-0000D40E0000}"/>
    <cellStyle name="Normal 7 7 7" xfId="2512" xr:uid="{00000000-0005-0000-0000-0000D50E0000}"/>
    <cellStyle name="Normal 7 7 7 2" xfId="4683" xr:uid="{00000000-0005-0000-0000-0000D60E0000}"/>
    <cellStyle name="Normal 7 7 8" xfId="2513" xr:uid="{00000000-0005-0000-0000-0000D70E0000}"/>
    <cellStyle name="Normal 7 7 8 2" xfId="4684" xr:uid="{00000000-0005-0000-0000-0000D80E0000}"/>
    <cellStyle name="Normal 7 7 9" xfId="2514" xr:uid="{00000000-0005-0000-0000-0000D90E0000}"/>
    <cellStyle name="Normal 7 7 9 2" xfId="4685" xr:uid="{00000000-0005-0000-0000-0000DA0E0000}"/>
    <cellStyle name="Normal 7 7_Sheet3" xfId="2515" xr:uid="{00000000-0005-0000-0000-0000DB0E0000}"/>
    <cellStyle name="Normal 7 8" xfId="2516" xr:uid="{00000000-0005-0000-0000-0000DC0E0000}"/>
    <cellStyle name="Normal 7 8 10" xfId="2517" xr:uid="{00000000-0005-0000-0000-0000DD0E0000}"/>
    <cellStyle name="Normal 7 8 10 2" xfId="4687" xr:uid="{00000000-0005-0000-0000-0000DE0E0000}"/>
    <cellStyle name="Normal 7 8 11" xfId="4686" xr:uid="{00000000-0005-0000-0000-0000DF0E0000}"/>
    <cellStyle name="Normal 7 8 2" xfId="2518" xr:uid="{00000000-0005-0000-0000-0000E00E0000}"/>
    <cellStyle name="Normal 7 8 2 2" xfId="4688" xr:uid="{00000000-0005-0000-0000-0000E10E0000}"/>
    <cellStyle name="Normal 7 8 3" xfId="2519" xr:uid="{00000000-0005-0000-0000-0000E20E0000}"/>
    <cellStyle name="Normal 7 8 3 2" xfId="4689" xr:uid="{00000000-0005-0000-0000-0000E30E0000}"/>
    <cellStyle name="Normal 7 8 4" xfId="2520" xr:uid="{00000000-0005-0000-0000-0000E40E0000}"/>
    <cellStyle name="Normal 7 8 4 2" xfId="4690" xr:uid="{00000000-0005-0000-0000-0000E50E0000}"/>
    <cellStyle name="Normal 7 8 5" xfId="2521" xr:uid="{00000000-0005-0000-0000-0000E60E0000}"/>
    <cellStyle name="Normal 7 8 5 2" xfId="4691" xr:uid="{00000000-0005-0000-0000-0000E70E0000}"/>
    <cellStyle name="Normal 7 8 6" xfId="2522" xr:uid="{00000000-0005-0000-0000-0000E80E0000}"/>
    <cellStyle name="Normal 7 8 6 2" xfId="4692" xr:uid="{00000000-0005-0000-0000-0000E90E0000}"/>
    <cellStyle name="Normal 7 8 7" xfId="2523" xr:uid="{00000000-0005-0000-0000-0000EA0E0000}"/>
    <cellStyle name="Normal 7 8 7 2" xfId="4693" xr:uid="{00000000-0005-0000-0000-0000EB0E0000}"/>
    <cellStyle name="Normal 7 8 8" xfId="2524" xr:uid="{00000000-0005-0000-0000-0000EC0E0000}"/>
    <cellStyle name="Normal 7 8 8 2" xfId="4694" xr:uid="{00000000-0005-0000-0000-0000ED0E0000}"/>
    <cellStyle name="Normal 7 8 9" xfId="2525" xr:uid="{00000000-0005-0000-0000-0000EE0E0000}"/>
    <cellStyle name="Normal 7 8 9 2" xfId="4695" xr:uid="{00000000-0005-0000-0000-0000EF0E0000}"/>
    <cellStyle name="Normal 7 8_Sheet3" xfId="2526" xr:uid="{00000000-0005-0000-0000-0000F00E0000}"/>
    <cellStyle name="Normal 7 9" xfId="4636" xr:uid="{00000000-0005-0000-0000-0000F10E0000}"/>
    <cellStyle name="Normal 7_Sheet3" xfId="2527" xr:uid="{00000000-0005-0000-0000-0000F20E0000}"/>
    <cellStyle name="Normal 70" xfId="2528" xr:uid="{00000000-0005-0000-0000-0000F30E0000}"/>
    <cellStyle name="Normal 70 10" xfId="2529" xr:uid="{00000000-0005-0000-0000-0000F40E0000}"/>
    <cellStyle name="Normal 70 10 2" xfId="4697" xr:uid="{00000000-0005-0000-0000-0000F50E0000}"/>
    <cellStyle name="Normal 70 11" xfId="4696" xr:uid="{00000000-0005-0000-0000-0000F60E0000}"/>
    <cellStyle name="Normal 70 2" xfId="2530" xr:uid="{00000000-0005-0000-0000-0000F70E0000}"/>
    <cellStyle name="Normal 70 2 2" xfId="4698" xr:uid="{00000000-0005-0000-0000-0000F80E0000}"/>
    <cellStyle name="Normal 70 3" xfId="2531" xr:uid="{00000000-0005-0000-0000-0000F90E0000}"/>
    <cellStyle name="Normal 70 3 2" xfId="4699" xr:uid="{00000000-0005-0000-0000-0000FA0E0000}"/>
    <cellStyle name="Normal 70 4" xfId="2532" xr:uid="{00000000-0005-0000-0000-0000FB0E0000}"/>
    <cellStyle name="Normal 70 4 2" xfId="4700" xr:uid="{00000000-0005-0000-0000-0000FC0E0000}"/>
    <cellStyle name="Normal 70 5" xfId="2533" xr:uid="{00000000-0005-0000-0000-0000FD0E0000}"/>
    <cellStyle name="Normal 70 5 2" xfId="4701" xr:uid="{00000000-0005-0000-0000-0000FE0E0000}"/>
    <cellStyle name="Normal 70 6" xfId="2534" xr:uid="{00000000-0005-0000-0000-0000FF0E0000}"/>
    <cellStyle name="Normal 70 6 2" xfId="4702" xr:uid="{00000000-0005-0000-0000-0000000F0000}"/>
    <cellStyle name="Normal 70 7" xfId="2535" xr:uid="{00000000-0005-0000-0000-0000010F0000}"/>
    <cellStyle name="Normal 70 7 2" xfId="4703" xr:uid="{00000000-0005-0000-0000-0000020F0000}"/>
    <cellStyle name="Normal 70 8" xfId="2536" xr:uid="{00000000-0005-0000-0000-0000030F0000}"/>
    <cellStyle name="Normal 70 8 2" xfId="4704" xr:uid="{00000000-0005-0000-0000-0000040F0000}"/>
    <cellStyle name="Normal 70 9" xfId="2537" xr:uid="{00000000-0005-0000-0000-0000050F0000}"/>
    <cellStyle name="Normal 70 9 2" xfId="4705" xr:uid="{00000000-0005-0000-0000-0000060F0000}"/>
    <cellStyle name="Normal 70_Sheet3" xfId="2538" xr:uid="{00000000-0005-0000-0000-0000070F0000}"/>
    <cellStyle name="Normal 71" xfId="2539" xr:uid="{00000000-0005-0000-0000-0000080F0000}"/>
    <cellStyle name="Normal 71 10" xfId="2540" xr:uid="{00000000-0005-0000-0000-0000090F0000}"/>
    <cellStyle name="Normal 71 10 2" xfId="4707" xr:uid="{00000000-0005-0000-0000-00000A0F0000}"/>
    <cellStyle name="Normal 71 11" xfId="4706" xr:uid="{00000000-0005-0000-0000-00000B0F0000}"/>
    <cellStyle name="Normal 71 2" xfId="2541" xr:uid="{00000000-0005-0000-0000-00000C0F0000}"/>
    <cellStyle name="Normal 71 2 2" xfId="4708" xr:uid="{00000000-0005-0000-0000-00000D0F0000}"/>
    <cellStyle name="Normal 71 3" xfId="2542" xr:uid="{00000000-0005-0000-0000-00000E0F0000}"/>
    <cellStyle name="Normal 71 3 2" xfId="4709" xr:uid="{00000000-0005-0000-0000-00000F0F0000}"/>
    <cellStyle name="Normal 71 4" xfId="2543" xr:uid="{00000000-0005-0000-0000-0000100F0000}"/>
    <cellStyle name="Normal 71 4 2" xfId="4710" xr:uid="{00000000-0005-0000-0000-0000110F0000}"/>
    <cellStyle name="Normal 71 5" xfId="2544" xr:uid="{00000000-0005-0000-0000-0000120F0000}"/>
    <cellStyle name="Normal 71 5 2" xfId="4711" xr:uid="{00000000-0005-0000-0000-0000130F0000}"/>
    <cellStyle name="Normal 71 6" xfId="2545" xr:uid="{00000000-0005-0000-0000-0000140F0000}"/>
    <cellStyle name="Normal 71 6 2" xfId="4712" xr:uid="{00000000-0005-0000-0000-0000150F0000}"/>
    <cellStyle name="Normal 71 7" xfId="2546" xr:uid="{00000000-0005-0000-0000-0000160F0000}"/>
    <cellStyle name="Normal 71 7 2" xfId="4713" xr:uid="{00000000-0005-0000-0000-0000170F0000}"/>
    <cellStyle name="Normal 71 8" xfId="2547" xr:uid="{00000000-0005-0000-0000-0000180F0000}"/>
    <cellStyle name="Normal 71 8 2" xfId="4714" xr:uid="{00000000-0005-0000-0000-0000190F0000}"/>
    <cellStyle name="Normal 71 9" xfId="2548" xr:uid="{00000000-0005-0000-0000-00001A0F0000}"/>
    <cellStyle name="Normal 71 9 2" xfId="4715" xr:uid="{00000000-0005-0000-0000-00001B0F0000}"/>
    <cellStyle name="Normal 71_Sheet3" xfId="2549" xr:uid="{00000000-0005-0000-0000-00001C0F0000}"/>
    <cellStyle name="Normal 72" xfId="2550" xr:uid="{00000000-0005-0000-0000-00001D0F0000}"/>
    <cellStyle name="Normal 72 10" xfId="2551" xr:uid="{00000000-0005-0000-0000-00001E0F0000}"/>
    <cellStyle name="Normal 72 10 2" xfId="4717" xr:uid="{00000000-0005-0000-0000-00001F0F0000}"/>
    <cellStyle name="Normal 72 11" xfId="4716" xr:uid="{00000000-0005-0000-0000-0000200F0000}"/>
    <cellStyle name="Normal 72 2" xfId="2552" xr:uid="{00000000-0005-0000-0000-0000210F0000}"/>
    <cellStyle name="Normal 72 2 2" xfId="4718" xr:uid="{00000000-0005-0000-0000-0000220F0000}"/>
    <cellStyle name="Normal 72 3" xfId="2553" xr:uid="{00000000-0005-0000-0000-0000230F0000}"/>
    <cellStyle name="Normal 72 3 2" xfId="4719" xr:uid="{00000000-0005-0000-0000-0000240F0000}"/>
    <cellStyle name="Normal 72 4" xfId="2554" xr:uid="{00000000-0005-0000-0000-0000250F0000}"/>
    <cellStyle name="Normal 72 4 2" xfId="4720" xr:uid="{00000000-0005-0000-0000-0000260F0000}"/>
    <cellStyle name="Normal 72 5" xfId="2555" xr:uid="{00000000-0005-0000-0000-0000270F0000}"/>
    <cellStyle name="Normal 72 5 2" xfId="4721" xr:uid="{00000000-0005-0000-0000-0000280F0000}"/>
    <cellStyle name="Normal 72 6" xfId="2556" xr:uid="{00000000-0005-0000-0000-0000290F0000}"/>
    <cellStyle name="Normal 72 6 2" xfId="4722" xr:uid="{00000000-0005-0000-0000-00002A0F0000}"/>
    <cellStyle name="Normal 72 7" xfId="2557" xr:uid="{00000000-0005-0000-0000-00002B0F0000}"/>
    <cellStyle name="Normal 72 7 2" xfId="4723" xr:uid="{00000000-0005-0000-0000-00002C0F0000}"/>
    <cellStyle name="Normal 72 8" xfId="2558" xr:uid="{00000000-0005-0000-0000-00002D0F0000}"/>
    <cellStyle name="Normal 72 8 2" xfId="4724" xr:uid="{00000000-0005-0000-0000-00002E0F0000}"/>
    <cellStyle name="Normal 72 9" xfId="2559" xr:uid="{00000000-0005-0000-0000-00002F0F0000}"/>
    <cellStyle name="Normal 72 9 2" xfId="4725" xr:uid="{00000000-0005-0000-0000-0000300F0000}"/>
    <cellStyle name="Normal 72_Sheet3" xfId="2560" xr:uid="{00000000-0005-0000-0000-0000310F0000}"/>
    <cellStyle name="Normal 73" xfId="2561" xr:uid="{00000000-0005-0000-0000-0000320F0000}"/>
    <cellStyle name="Normal 73 10" xfId="2562" xr:uid="{00000000-0005-0000-0000-0000330F0000}"/>
    <cellStyle name="Normal 73 10 2" xfId="4727" xr:uid="{00000000-0005-0000-0000-0000340F0000}"/>
    <cellStyle name="Normal 73 11" xfId="4726" xr:uid="{00000000-0005-0000-0000-0000350F0000}"/>
    <cellStyle name="Normal 73 2" xfId="2563" xr:uid="{00000000-0005-0000-0000-0000360F0000}"/>
    <cellStyle name="Normal 73 2 2" xfId="4728" xr:uid="{00000000-0005-0000-0000-0000370F0000}"/>
    <cellStyle name="Normal 73 3" xfId="2564" xr:uid="{00000000-0005-0000-0000-0000380F0000}"/>
    <cellStyle name="Normal 73 3 2" xfId="4729" xr:uid="{00000000-0005-0000-0000-0000390F0000}"/>
    <cellStyle name="Normal 73 4" xfId="2565" xr:uid="{00000000-0005-0000-0000-00003A0F0000}"/>
    <cellStyle name="Normal 73 4 2" xfId="4730" xr:uid="{00000000-0005-0000-0000-00003B0F0000}"/>
    <cellStyle name="Normal 73 5" xfId="2566" xr:uid="{00000000-0005-0000-0000-00003C0F0000}"/>
    <cellStyle name="Normal 73 5 2" xfId="4731" xr:uid="{00000000-0005-0000-0000-00003D0F0000}"/>
    <cellStyle name="Normal 73 6" xfId="2567" xr:uid="{00000000-0005-0000-0000-00003E0F0000}"/>
    <cellStyle name="Normal 73 6 2" xfId="4732" xr:uid="{00000000-0005-0000-0000-00003F0F0000}"/>
    <cellStyle name="Normal 73 7" xfId="2568" xr:uid="{00000000-0005-0000-0000-0000400F0000}"/>
    <cellStyle name="Normal 73 7 2" xfId="4733" xr:uid="{00000000-0005-0000-0000-0000410F0000}"/>
    <cellStyle name="Normal 73 8" xfId="2569" xr:uid="{00000000-0005-0000-0000-0000420F0000}"/>
    <cellStyle name="Normal 73 8 2" xfId="4734" xr:uid="{00000000-0005-0000-0000-0000430F0000}"/>
    <cellStyle name="Normal 73 9" xfId="2570" xr:uid="{00000000-0005-0000-0000-0000440F0000}"/>
    <cellStyle name="Normal 73 9 2" xfId="4735" xr:uid="{00000000-0005-0000-0000-0000450F0000}"/>
    <cellStyle name="Normal 73_Sheet3" xfId="2571" xr:uid="{00000000-0005-0000-0000-0000460F0000}"/>
    <cellStyle name="Normal 74" xfId="2572" xr:uid="{00000000-0005-0000-0000-0000470F0000}"/>
    <cellStyle name="Normal 74 10" xfId="2573" xr:uid="{00000000-0005-0000-0000-0000480F0000}"/>
    <cellStyle name="Normal 74 10 2" xfId="4737" xr:uid="{00000000-0005-0000-0000-0000490F0000}"/>
    <cellStyle name="Normal 74 11" xfId="4736" xr:uid="{00000000-0005-0000-0000-00004A0F0000}"/>
    <cellStyle name="Normal 74 2" xfId="2574" xr:uid="{00000000-0005-0000-0000-00004B0F0000}"/>
    <cellStyle name="Normal 74 2 2" xfId="4738" xr:uid="{00000000-0005-0000-0000-00004C0F0000}"/>
    <cellStyle name="Normal 74 3" xfId="2575" xr:uid="{00000000-0005-0000-0000-00004D0F0000}"/>
    <cellStyle name="Normal 74 3 2" xfId="4739" xr:uid="{00000000-0005-0000-0000-00004E0F0000}"/>
    <cellStyle name="Normal 74 4" xfId="2576" xr:uid="{00000000-0005-0000-0000-00004F0F0000}"/>
    <cellStyle name="Normal 74 4 2" xfId="4740" xr:uid="{00000000-0005-0000-0000-0000500F0000}"/>
    <cellStyle name="Normal 74 5" xfId="2577" xr:uid="{00000000-0005-0000-0000-0000510F0000}"/>
    <cellStyle name="Normal 74 5 2" xfId="4741" xr:uid="{00000000-0005-0000-0000-0000520F0000}"/>
    <cellStyle name="Normal 74 6" xfId="2578" xr:uid="{00000000-0005-0000-0000-0000530F0000}"/>
    <cellStyle name="Normal 74 6 2" xfId="4742" xr:uid="{00000000-0005-0000-0000-0000540F0000}"/>
    <cellStyle name="Normal 74 7" xfId="2579" xr:uid="{00000000-0005-0000-0000-0000550F0000}"/>
    <cellStyle name="Normal 74 7 2" xfId="4743" xr:uid="{00000000-0005-0000-0000-0000560F0000}"/>
    <cellStyle name="Normal 74 8" xfId="2580" xr:uid="{00000000-0005-0000-0000-0000570F0000}"/>
    <cellStyle name="Normal 74 8 2" xfId="4744" xr:uid="{00000000-0005-0000-0000-0000580F0000}"/>
    <cellStyle name="Normal 74 9" xfId="2581" xr:uid="{00000000-0005-0000-0000-0000590F0000}"/>
    <cellStyle name="Normal 74 9 2" xfId="4745" xr:uid="{00000000-0005-0000-0000-00005A0F0000}"/>
    <cellStyle name="Normal 74_Sheet3" xfId="2582" xr:uid="{00000000-0005-0000-0000-00005B0F0000}"/>
    <cellStyle name="Normal 75" xfId="2583" xr:uid="{00000000-0005-0000-0000-00005C0F0000}"/>
    <cellStyle name="Normal 75 10" xfId="2584" xr:uid="{00000000-0005-0000-0000-00005D0F0000}"/>
    <cellStyle name="Normal 75 10 2" xfId="4747" xr:uid="{00000000-0005-0000-0000-00005E0F0000}"/>
    <cellStyle name="Normal 75 11" xfId="4746" xr:uid="{00000000-0005-0000-0000-00005F0F0000}"/>
    <cellStyle name="Normal 75 2" xfId="2585" xr:uid="{00000000-0005-0000-0000-0000600F0000}"/>
    <cellStyle name="Normal 75 2 2" xfId="4748" xr:uid="{00000000-0005-0000-0000-0000610F0000}"/>
    <cellStyle name="Normal 75 3" xfId="2586" xr:uid="{00000000-0005-0000-0000-0000620F0000}"/>
    <cellStyle name="Normal 75 3 2" xfId="4749" xr:uid="{00000000-0005-0000-0000-0000630F0000}"/>
    <cellStyle name="Normal 75 4" xfId="2587" xr:uid="{00000000-0005-0000-0000-0000640F0000}"/>
    <cellStyle name="Normal 75 4 2" xfId="4750" xr:uid="{00000000-0005-0000-0000-0000650F0000}"/>
    <cellStyle name="Normal 75 5" xfId="2588" xr:uid="{00000000-0005-0000-0000-0000660F0000}"/>
    <cellStyle name="Normal 75 5 2" xfId="4751" xr:uid="{00000000-0005-0000-0000-0000670F0000}"/>
    <cellStyle name="Normal 75 6" xfId="2589" xr:uid="{00000000-0005-0000-0000-0000680F0000}"/>
    <cellStyle name="Normal 75 6 2" xfId="4752" xr:uid="{00000000-0005-0000-0000-0000690F0000}"/>
    <cellStyle name="Normal 75 7" xfId="2590" xr:uid="{00000000-0005-0000-0000-00006A0F0000}"/>
    <cellStyle name="Normal 75 7 2" xfId="4753" xr:uid="{00000000-0005-0000-0000-00006B0F0000}"/>
    <cellStyle name="Normal 75 8" xfId="2591" xr:uid="{00000000-0005-0000-0000-00006C0F0000}"/>
    <cellStyle name="Normal 75 8 2" xfId="4754" xr:uid="{00000000-0005-0000-0000-00006D0F0000}"/>
    <cellStyle name="Normal 75 9" xfId="2592" xr:uid="{00000000-0005-0000-0000-00006E0F0000}"/>
    <cellStyle name="Normal 75 9 2" xfId="4755" xr:uid="{00000000-0005-0000-0000-00006F0F0000}"/>
    <cellStyle name="Normal 75_Sheet3" xfId="2593" xr:uid="{00000000-0005-0000-0000-0000700F0000}"/>
    <cellStyle name="Normal 76" xfId="2594" xr:uid="{00000000-0005-0000-0000-0000710F0000}"/>
    <cellStyle name="Normal 76 10" xfId="2595" xr:uid="{00000000-0005-0000-0000-0000720F0000}"/>
    <cellStyle name="Normal 76 10 2" xfId="4757" xr:uid="{00000000-0005-0000-0000-0000730F0000}"/>
    <cellStyle name="Normal 76 11" xfId="4756" xr:uid="{00000000-0005-0000-0000-0000740F0000}"/>
    <cellStyle name="Normal 76 2" xfId="2596" xr:uid="{00000000-0005-0000-0000-0000750F0000}"/>
    <cellStyle name="Normal 76 2 2" xfId="4758" xr:uid="{00000000-0005-0000-0000-0000760F0000}"/>
    <cellStyle name="Normal 76 3" xfId="2597" xr:uid="{00000000-0005-0000-0000-0000770F0000}"/>
    <cellStyle name="Normal 76 3 2" xfId="4759" xr:uid="{00000000-0005-0000-0000-0000780F0000}"/>
    <cellStyle name="Normal 76 4" xfId="2598" xr:uid="{00000000-0005-0000-0000-0000790F0000}"/>
    <cellStyle name="Normal 76 4 2" xfId="4760" xr:uid="{00000000-0005-0000-0000-00007A0F0000}"/>
    <cellStyle name="Normal 76 5" xfId="2599" xr:uid="{00000000-0005-0000-0000-00007B0F0000}"/>
    <cellStyle name="Normal 76 5 2" xfId="4761" xr:uid="{00000000-0005-0000-0000-00007C0F0000}"/>
    <cellStyle name="Normal 76 6" xfId="2600" xr:uid="{00000000-0005-0000-0000-00007D0F0000}"/>
    <cellStyle name="Normal 76 6 2" xfId="4762" xr:uid="{00000000-0005-0000-0000-00007E0F0000}"/>
    <cellStyle name="Normal 76 7" xfId="2601" xr:uid="{00000000-0005-0000-0000-00007F0F0000}"/>
    <cellStyle name="Normal 76 7 2" xfId="4763" xr:uid="{00000000-0005-0000-0000-0000800F0000}"/>
    <cellStyle name="Normal 76 8" xfId="2602" xr:uid="{00000000-0005-0000-0000-0000810F0000}"/>
    <cellStyle name="Normal 76 8 2" xfId="4764" xr:uid="{00000000-0005-0000-0000-0000820F0000}"/>
    <cellStyle name="Normal 76 9" xfId="2603" xr:uid="{00000000-0005-0000-0000-0000830F0000}"/>
    <cellStyle name="Normal 76 9 2" xfId="4765" xr:uid="{00000000-0005-0000-0000-0000840F0000}"/>
    <cellStyle name="Normal 76_Sheet3" xfId="2604" xr:uid="{00000000-0005-0000-0000-0000850F0000}"/>
    <cellStyle name="Normal 77" xfId="2605" xr:uid="{00000000-0005-0000-0000-0000860F0000}"/>
    <cellStyle name="Normal 77 10" xfId="2606" xr:uid="{00000000-0005-0000-0000-0000870F0000}"/>
    <cellStyle name="Normal 77 10 2" xfId="4767" xr:uid="{00000000-0005-0000-0000-0000880F0000}"/>
    <cellStyle name="Normal 77 11" xfId="4766" xr:uid="{00000000-0005-0000-0000-0000890F0000}"/>
    <cellStyle name="Normal 77 2" xfId="2607" xr:uid="{00000000-0005-0000-0000-00008A0F0000}"/>
    <cellStyle name="Normal 77 2 2" xfId="4768" xr:uid="{00000000-0005-0000-0000-00008B0F0000}"/>
    <cellStyle name="Normal 77 3" xfId="2608" xr:uid="{00000000-0005-0000-0000-00008C0F0000}"/>
    <cellStyle name="Normal 77 3 2" xfId="4769" xr:uid="{00000000-0005-0000-0000-00008D0F0000}"/>
    <cellStyle name="Normal 77 4" xfId="2609" xr:uid="{00000000-0005-0000-0000-00008E0F0000}"/>
    <cellStyle name="Normal 77 4 2" xfId="4770" xr:uid="{00000000-0005-0000-0000-00008F0F0000}"/>
    <cellStyle name="Normal 77 5" xfId="2610" xr:uid="{00000000-0005-0000-0000-0000900F0000}"/>
    <cellStyle name="Normal 77 5 2" xfId="4771" xr:uid="{00000000-0005-0000-0000-0000910F0000}"/>
    <cellStyle name="Normal 77 6" xfId="2611" xr:uid="{00000000-0005-0000-0000-0000920F0000}"/>
    <cellStyle name="Normal 77 6 2" xfId="4772" xr:uid="{00000000-0005-0000-0000-0000930F0000}"/>
    <cellStyle name="Normal 77 7" xfId="2612" xr:uid="{00000000-0005-0000-0000-0000940F0000}"/>
    <cellStyle name="Normal 77 7 2" xfId="4773" xr:uid="{00000000-0005-0000-0000-0000950F0000}"/>
    <cellStyle name="Normal 77 8" xfId="2613" xr:uid="{00000000-0005-0000-0000-0000960F0000}"/>
    <cellStyle name="Normal 77 8 2" xfId="4774" xr:uid="{00000000-0005-0000-0000-0000970F0000}"/>
    <cellStyle name="Normal 77 9" xfId="2614" xr:uid="{00000000-0005-0000-0000-0000980F0000}"/>
    <cellStyle name="Normal 77 9 2" xfId="4775" xr:uid="{00000000-0005-0000-0000-0000990F0000}"/>
    <cellStyle name="Normal 77_Sheet3" xfId="2615" xr:uid="{00000000-0005-0000-0000-00009A0F0000}"/>
    <cellStyle name="Normal 78" xfId="2616" xr:uid="{00000000-0005-0000-0000-00009B0F0000}"/>
    <cellStyle name="Normal 78 10" xfId="2617" xr:uid="{00000000-0005-0000-0000-00009C0F0000}"/>
    <cellStyle name="Normal 78 10 2" xfId="4777" xr:uid="{00000000-0005-0000-0000-00009D0F0000}"/>
    <cellStyle name="Normal 78 11" xfId="4776" xr:uid="{00000000-0005-0000-0000-00009E0F0000}"/>
    <cellStyle name="Normal 78 2" xfId="2618" xr:uid="{00000000-0005-0000-0000-00009F0F0000}"/>
    <cellStyle name="Normal 78 2 2" xfId="4778" xr:uid="{00000000-0005-0000-0000-0000A00F0000}"/>
    <cellStyle name="Normal 78 3" xfId="2619" xr:uid="{00000000-0005-0000-0000-0000A10F0000}"/>
    <cellStyle name="Normal 78 3 2" xfId="4779" xr:uid="{00000000-0005-0000-0000-0000A20F0000}"/>
    <cellStyle name="Normal 78 4" xfId="2620" xr:uid="{00000000-0005-0000-0000-0000A30F0000}"/>
    <cellStyle name="Normal 78 4 2" xfId="4780" xr:uid="{00000000-0005-0000-0000-0000A40F0000}"/>
    <cellStyle name="Normal 78 5" xfId="2621" xr:uid="{00000000-0005-0000-0000-0000A50F0000}"/>
    <cellStyle name="Normal 78 5 2" xfId="4781" xr:uid="{00000000-0005-0000-0000-0000A60F0000}"/>
    <cellStyle name="Normal 78 6" xfId="2622" xr:uid="{00000000-0005-0000-0000-0000A70F0000}"/>
    <cellStyle name="Normal 78 6 2" xfId="4782" xr:uid="{00000000-0005-0000-0000-0000A80F0000}"/>
    <cellStyle name="Normal 78 7" xfId="2623" xr:uid="{00000000-0005-0000-0000-0000A90F0000}"/>
    <cellStyle name="Normal 78 7 2" xfId="4783" xr:uid="{00000000-0005-0000-0000-0000AA0F0000}"/>
    <cellStyle name="Normal 78 8" xfId="2624" xr:uid="{00000000-0005-0000-0000-0000AB0F0000}"/>
    <cellStyle name="Normal 78 8 2" xfId="4784" xr:uid="{00000000-0005-0000-0000-0000AC0F0000}"/>
    <cellStyle name="Normal 78 9" xfId="2625" xr:uid="{00000000-0005-0000-0000-0000AD0F0000}"/>
    <cellStyle name="Normal 78 9 2" xfId="4785" xr:uid="{00000000-0005-0000-0000-0000AE0F0000}"/>
    <cellStyle name="Normal 78_Sheet3" xfId="2626" xr:uid="{00000000-0005-0000-0000-0000AF0F0000}"/>
    <cellStyle name="Normal 79" xfId="2627" xr:uid="{00000000-0005-0000-0000-0000B00F0000}"/>
    <cellStyle name="Normal 79 10" xfId="2628" xr:uid="{00000000-0005-0000-0000-0000B10F0000}"/>
    <cellStyle name="Normal 79 10 2" xfId="4787" xr:uid="{00000000-0005-0000-0000-0000B20F0000}"/>
    <cellStyle name="Normal 79 11" xfId="4786" xr:uid="{00000000-0005-0000-0000-0000B30F0000}"/>
    <cellStyle name="Normal 79 2" xfId="2629" xr:uid="{00000000-0005-0000-0000-0000B40F0000}"/>
    <cellStyle name="Normal 79 2 2" xfId="4788" xr:uid="{00000000-0005-0000-0000-0000B50F0000}"/>
    <cellStyle name="Normal 79 3" xfId="2630" xr:uid="{00000000-0005-0000-0000-0000B60F0000}"/>
    <cellStyle name="Normal 79 3 2" xfId="4789" xr:uid="{00000000-0005-0000-0000-0000B70F0000}"/>
    <cellStyle name="Normal 79 4" xfId="2631" xr:uid="{00000000-0005-0000-0000-0000B80F0000}"/>
    <cellStyle name="Normal 79 4 2" xfId="4790" xr:uid="{00000000-0005-0000-0000-0000B90F0000}"/>
    <cellStyle name="Normal 79 5" xfId="2632" xr:uid="{00000000-0005-0000-0000-0000BA0F0000}"/>
    <cellStyle name="Normal 79 5 2" xfId="4791" xr:uid="{00000000-0005-0000-0000-0000BB0F0000}"/>
    <cellStyle name="Normal 79 6" xfId="2633" xr:uid="{00000000-0005-0000-0000-0000BC0F0000}"/>
    <cellStyle name="Normal 79 6 2" xfId="4792" xr:uid="{00000000-0005-0000-0000-0000BD0F0000}"/>
    <cellStyle name="Normal 79 7" xfId="2634" xr:uid="{00000000-0005-0000-0000-0000BE0F0000}"/>
    <cellStyle name="Normal 79 7 2" xfId="4793" xr:uid="{00000000-0005-0000-0000-0000BF0F0000}"/>
    <cellStyle name="Normal 79 8" xfId="2635" xr:uid="{00000000-0005-0000-0000-0000C00F0000}"/>
    <cellStyle name="Normal 79 8 2" xfId="4794" xr:uid="{00000000-0005-0000-0000-0000C10F0000}"/>
    <cellStyle name="Normal 79 9" xfId="2636" xr:uid="{00000000-0005-0000-0000-0000C20F0000}"/>
    <cellStyle name="Normal 79 9 2" xfId="4795" xr:uid="{00000000-0005-0000-0000-0000C30F0000}"/>
    <cellStyle name="Normal 79_Sheet3" xfId="2637" xr:uid="{00000000-0005-0000-0000-0000C40F0000}"/>
    <cellStyle name="Normal 8" xfId="2638" xr:uid="{00000000-0005-0000-0000-0000C50F0000}"/>
    <cellStyle name="Normal 8 2" xfId="2639" xr:uid="{00000000-0005-0000-0000-0000C60F0000}"/>
    <cellStyle name="Normal 8 2 2" xfId="2640" xr:uid="{00000000-0005-0000-0000-0000C70F0000}"/>
    <cellStyle name="Normal 8 2 3" xfId="4797" xr:uid="{00000000-0005-0000-0000-0000C80F0000}"/>
    <cellStyle name="Normal 8 2_Sheet3" xfId="2641" xr:uid="{00000000-0005-0000-0000-0000C90F0000}"/>
    <cellStyle name="Normal 8 3" xfId="4796" xr:uid="{00000000-0005-0000-0000-0000CA0F0000}"/>
    <cellStyle name="Normal 8_Sheet3" xfId="2642" xr:uid="{00000000-0005-0000-0000-0000CB0F0000}"/>
    <cellStyle name="Normal 80" xfId="2643" xr:uid="{00000000-0005-0000-0000-0000CC0F0000}"/>
    <cellStyle name="Normal 80 10" xfId="2644" xr:uid="{00000000-0005-0000-0000-0000CD0F0000}"/>
    <cellStyle name="Normal 80 10 2" xfId="4799" xr:uid="{00000000-0005-0000-0000-0000CE0F0000}"/>
    <cellStyle name="Normal 80 11" xfId="4798" xr:uid="{00000000-0005-0000-0000-0000CF0F0000}"/>
    <cellStyle name="Normal 80 2" xfId="2645" xr:uid="{00000000-0005-0000-0000-0000D00F0000}"/>
    <cellStyle name="Normal 80 2 2" xfId="4800" xr:uid="{00000000-0005-0000-0000-0000D10F0000}"/>
    <cellStyle name="Normal 80 3" xfId="2646" xr:uid="{00000000-0005-0000-0000-0000D20F0000}"/>
    <cellStyle name="Normal 80 3 2" xfId="4801" xr:uid="{00000000-0005-0000-0000-0000D30F0000}"/>
    <cellStyle name="Normal 80 4" xfId="2647" xr:uid="{00000000-0005-0000-0000-0000D40F0000}"/>
    <cellStyle name="Normal 80 4 2" xfId="4802" xr:uid="{00000000-0005-0000-0000-0000D50F0000}"/>
    <cellStyle name="Normal 80 5" xfId="2648" xr:uid="{00000000-0005-0000-0000-0000D60F0000}"/>
    <cellStyle name="Normal 80 5 2" xfId="4803" xr:uid="{00000000-0005-0000-0000-0000D70F0000}"/>
    <cellStyle name="Normal 80 6" xfId="2649" xr:uid="{00000000-0005-0000-0000-0000D80F0000}"/>
    <cellStyle name="Normal 80 6 2" xfId="4804" xr:uid="{00000000-0005-0000-0000-0000D90F0000}"/>
    <cellStyle name="Normal 80 7" xfId="2650" xr:uid="{00000000-0005-0000-0000-0000DA0F0000}"/>
    <cellStyle name="Normal 80 7 2" xfId="4805" xr:uid="{00000000-0005-0000-0000-0000DB0F0000}"/>
    <cellStyle name="Normal 80 8" xfId="2651" xr:uid="{00000000-0005-0000-0000-0000DC0F0000}"/>
    <cellStyle name="Normal 80 8 2" xfId="4806" xr:uid="{00000000-0005-0000-0000-0000DD0F0000}"/>
    <cellStyle name="Normal 80 9" xfId="2652" xr:uid="{00000000-0005-0000-0000-0000DE0F0000}"/>
    <cellStyle name="Normal 80 9 2" xfId="4807" xr:uid="{00000000-0005-0000-0000-0000DF0F0000}"/>
    <cellStyle name="Normal 80_Sheet3" xfId="2653" xr:uid="{00000000-0005-0000-0000-0000E00F0000}"/>
    <cellStyle name="Normal 81" xfId="2654" xr:uid="{00000000-0005-0000-0000-0000E10F0000}"/>
    <cellStyle name="Normal 81 10" xfId="2655" xr:uid="{00000000-0005-0000-0000-0000E20F0000}"/>
    <cellStyle name="Normal 81 10 2" xfId="4809" xr:uid="{00000000-0005-0000-0000-0000E30F0000}"/>
    <cellStyle name="Normal 81 11" xfId="4808" xr:uid="{00000000-0005-0000-0000-0000E40F0000}"/>
    <cellStyle name="Normal 81 2" xfId="2656" xr:uid="{00000000-0005-0000-0000-0000E50F0000}"/>
    <cellStyle name="Normal 81 2 2" xfId="4810" xr:uid="{00000000-0005-0000-0000-0000E60F0000}"/>
    <cellStyle name="Normal 81 3" xfId="2657" xr:uid="{00000000-0005-0000-0000-0000E70F0000}"/>
    <cellStyle name="Normal 81 3 2" xfId="4811" xr:uid="{00000000-0005-0000-0000-0000E80F0000}"/>
    <cellStyle name="Normal 81 4" xfId="2658" xr:uid="{00000000-0005-0000-0000-0000E90F0000}"/>
    <cellStyle name="Normal 81 4 2" xfId="4812" xr:uid="{00000000-0005-0000-0000-0000EA0F0000}"/>
    <cellStyle name="Normal 81 5" xfId="2659" xr:uid="{00000000-0005-0000-0000-0000EB0F0000}"/>
    <cellStyle name="Normal 81 5 2" xfId="4813" xr:uid="{00000000-0005-0000-0000-0000EC0F0000}"/>
    <cellStyle name="Normal 81 6" xfId="2660" xr:uid="{00000000-0005-0000-0000-0000ED0F0000}"/>
    <cellStyle name="Normal 81 6 2" xfId="4814" xr:uid="{00000000-0005-0000-0000-0000EE0F0000}"/>
    <cellStyle name="Normal 81 7" xfId="2661" xr:uid="{00000000-0005-0000-0000-0000EF0F0000}"/>
    <cellStyle name="Normal 81 7 2" xfId="4815" xr:uid="{00000000-0005-0000-0000-0000F00F0000}"/>
    <cellStyle name="Normal 81 8" xfId="2662" xr:uid="{00000000-0005-0000-0000-0000F10F0000}"/>
    <cellStyle name="Normal 81 8 2" xfId="4816" xr:uid="{00000000-0005-0000-0000-0000F20F0000}"/>
    <cellStyle name="Normal 81 9" xfId="2663" xr:uid="{00000000-0005-0000-0000-0000F30F0000}"/>
    <cellStyle name="Normal 81 9 2" xfId="4817" xr:uid="{00000000-0005-0000-0000-0000F40F0000}"/>
    <cellStyle name="Normal 81_Sheet3" xfId="2664" xr:uid="{00000000-0005-0000-0000-0000F50F0000}"/>
    <cellStyle name="Normal 82" xfId="2665" xr:uid="{00000000-0005-0000-0000-0000F60F0000}"/>
    <cellStyle name="Normal 82 2" xfId="4818" xr:uid="{00000000-0005-0000-0000-0000F70F0000}"/>
    <cellStyle name="Normal 83" xfId="2666" xr:uid="{00000000-0005-0000-0000-0000F80F0000}"/>
    <cellStyle name="Normal 83 2" xfId="4819" xr:uid="{00000000-0005-0000-0000-0000F90F0000}"/>
    <cellStyle name="Normal 84" xfId="2667" xr:uid="{00000000-0005-0000-0000-0000FA0F0000}"/>
    <cellStyle name="Normal 84 2" xfId="4820" xr:uid="{00000000-0005-0000-0000-0000FB0F0000}"/>
    <cellStyle name="Normal 85" xfId="2668" xr:uid="{00000000-0005-0000-0000-0000FC0F0000}"/>
    <cellStyle name="Normal 85 2" xfId="4821" xr:uid="{00000000-0005-0000-0000-0000FD0F0000}"/>
    <cellStyle name="Normal 86" xfId="2669" xr:uid="{00000000-0005-0000-0000-0000FE0F0000}"/>
    <cellStyle name="Normal 86 2" xfId="4822" xr:uid="{00000000-0005-0000-0000-0000FF0F0000}"/>
    <cellStyle name="Normal 87" xfId="2670" xr:uid="{00000000-0005-0000-0000-000000100000}"/>
    <cellStyle name="Normal 87 2" xfId="4823" xr:uid="{00000000-0005-0000-0000-000001100000}"/>
    <cellStyle name="Normal 88" xfId="2671" xr:uid="{00000000-0005-0000-0000-000002100000}"/>
    <cellStyle name="Normal 88 2" xfId="4824" xr:uid="{00000000-0005-0000-0000-000003100000}"/>
    <cellStyle name="Normal 89" xfId="2672" xr:uid="{00000000-0005-0000-0000-000004100000}"/>
    <cellStyle name="Normal 89 2" xfId="4825" xr:uid="{00000000-0005-0000-0000-000005100000}"/>
    <cellStyle name="Normal 9" xfId="2673" xr:uid="{00000000-0005-0000-0000-000006100000}"/>
    <cellStyle name="Normal 9 10" xfId="2674" xr:uid="{00000000-0005-0000-0000-000007100000}"/>
    <cellStyle name="Normal 9 10 2" xfId="4827" xr:uid="{00000000-0005-0000-0000-000008100000}"/>
    <cellStyle name="Normal 9 11" xfId="2675" xr:uid="{00000000-0005-0000-0000-000009100000}"/>
    <cellStyle name="Normal 9 11 2" xfId="4828" xr:uid="{00000000-0005-0000-0000-00000A100000}"/>
    <cellStyle name="Normal 9 12" xfId="2676" xr:uid="{00000000-0005-0000-0000-00000B100000}"/>
    <cellStyle name="Normal 9 12 2" xfId="4829" xr:uid="{00000000-0005-0000-0000-00000C100000}"/>
    <cellStyle name="Normal 9 13" xfId="4826" xr:uid="{00000000-0005-0000-0000-00000D100000}"/>
    <cellStyle name="Normal 9 2" xfId="2677" xr:uid="{00000000-0005-0000-0000-00000E100000}"/>
    <cellStyle name="Normal 9 2 2" xfId="2678" xr:uid="{00000000-0005-0000-0000-00000F100000}"/>
    <cellStyle name="Normal 9 2 2 2" xfId="4831" xr:uid="{00000000-0005-0000-0000-000010100000}"/>
    <cellStyle name="Normal 9 2 3" xfId="2679" xr:uid="{00000000-0005-0000-0000-000011100000}"/>
    <cellStyle name="Normal 9 2 3 2" xfId="4832" xr:uid="{00000000-0005-0000-0000-000012100000}"/>
    <cellStyle name="Normal 9 2 4" xfId="4830" xr:uid="{00000000-0005-0000-0000-000013100000}"/>
    <cellStyle name="Normal 9 3" xfId="2680" xr:uid="{00000000-0005-0000-0000-000014100000}"/>
    <cellStyle name="Normal 9 3 10" xfId="2681" xr:uid="{00000000-0005-0000-0000-000015100000}"/>
    <cellStyle name="Normal 9 3 10 2" xfId="4834" xr:uid="{00000000-0005-0000-0000-000016100000}"/>
    <cellStyle name="Normal 9 3 11" xfId="4833" xr:uid="{00000000-0005-0000-0000-000017100000}"/>
    <cellStyle name="Normal 9 3 2" xfId="2682" xr:uid="{00000000-0005-0000-0000-000018100000}"/>
    <cellStyle name="Normal 9 3 2 2" xfId="4835" xr:uid="{00000000-0005-0000-0000-000019100000}"/>
    <cellStyle name="Normal 9 3 3" xfId="2683" xr:uid="{00000000-0005-0000-0000-00001A100000}"/>
    <cellStyle name="Normal 9 3 3 2" xfId="4836" xr:uid="{00000000-0005-0000-0000-00001B100000}"/>
    <cellStyle name="Normal 9 3 4" xfId="2684" xr:uid="{00000000-0005-0000-0000-00001C100000}"/>
    <cellStyle name="Normal 9 3 4 2" xfId="4837" xr:uid="{00000000-0005-0000-0000-00001D100000}"/>
    <cellStyle name="Normal 9 3 5" xfId="2685" xr:uid="{00000000-0005-0000-0000-00001E100000}"/>
    <cellStyle name="Normal 9 3 5 2" xfId="4838" xr:uid="{00000000-0005-0000-0000-00001F100000}"/>
    <cellStyle name="Normal 9 3 6" xfId="2686" xr:uid="{00000000-0005-0000-0000-000020100000}"/>
    <cellStyle name="Normal 9 3 6 2" xfId="4839" xr:uid="{00000000-0005-0000-0000-000021100000}"/>
    <cellStyle name="Normal 9 3 7" xfId="2687" xr:uid="{00000000-0005-0000-0000-000022100000}"/>
    <cellStyle name="Normal 9 3 7 2" xfId="4840" xr:uid="{00000000-0005-0000-0000-000023100000}"/>
    <cellStyle name="Normal 9 3 8" xfId="2688" xr:uid="{00000000-0005-0000-0000-000024100000}"/>
    <cellStyle name="Normal 9 3 8 2" xfId="4841" xr:uid="{00000000-0005-0000-0000-000025100000}"/>
    <cellStyle name="Normal 9 3 9" xfId="2689" xr:uid="{00000000-0005-0000-0000-000026100000}"/>
    <cellStyle name="Normal 9 3 9 2" xfId="4842" xr:uid="{00000000-0005-0000-0000-000027100000}"/>
    <cellStyle name="Normal 9 3_Sheet3" xfId="2690" xr:uid="{00000000-0005-0000-0000-000028100000}"/>
    <cellStyle name="Normal 9 4" xfId="2691" xr:uid="{00000000-0005-0000-0000-000029100000}"/>
    <cellStyle name="Normal 9 4 2" xfId="4843" xr:uid="{00000000-0005-0000-0000-00002A100000}"/>
    <cellStyle name="Normal 9 5" xfId="2692" xr:uid="{00000000-0005-0000-0000-00002B100000}"/>
    <cellStyle name="Normal 9 5 2" xfId="4844" xr:uid="{00000000-0005-0000-0000-00002C100000}"/>
    <cellStyle name="Normal 9 6" xfId="2693" xr:uid="{00000000-0005-0000-0000-00002D100000}"/>
    <cellStyle name="Normal 9 6 2" xfId="4845" xr:uid="{00000000-0005-0000-0000-00002E100000}"/>
    <cellStyle name="Normal 9 7" xfId="2694" xr:uid="{00000000-0005-0000-0000-00002F100000}"/>
    <cellStyle name="Normal 9 7 2" xfId="4846" xr:uid="{00000000-0005-0000-0000-000030100000}"/>
    <cellStyle name="Normal 9 8" xfId="2695" xr:uid="{00000000-0005-0000-0000-000031100000}"/>
    <cellStyle name="Normal 9 8 2" xfId="4847" xr:uid="{00000000-0005-0000-0000-000032100000}"/>
    <cellStyle name="Normal 9 9" xfId="2696" xr:uid="{00000000-0005-0000-0000-000033100000}"/>
    <cellStyle name="Normal 9 9 2" xfId="4848" xr:uid="{00000000-0005-0000-0000-000034100000}"/>
    <cellStyle name="Normal 9_Sheet3" xfId="2697" xr:uid="{00000000-0005-0000-0000-000035100000}"/>
    <cellStyle name="Normal 90" xfId="2698" xr:uid="{00000000-0005-0000-0000-000036100000}"/>
    <cellStyle name="Normal 91" xfId="2699" xr:uid="{00000000-0005-0000-0000-000037100000}"/>
    <cellStyle name="Normal 91 2" xfId="4849" xr:uid="{00000000-0005-0000-0000-000038100000}"/>
    <cellStyle name="Normal 92" xfId="3412" xr:uid="{00000000-0005-0000-0000-000039100000}"/>
    <cellStyle name="Normal 92 2" xfId="4854" xr:uid="{00000000-0005-0000-0000-00003A100000}"/>
    <cellStyle name="Normal 93" xfId="3414" xr:uid="{00000000-0005-0000-0000-00003B100000}"/>
    <cellStyle name="Normal 93 2" xfId="4856" xr:uid="{00000000-0005-0000-0000-00003C100000}"/>
    <cellStyle name="Normal 94" xfId="3415" xr:uid="{00000000-0005-0000-0000-00003D100000}"/>
    <cellStyle name="Normal 94 2" xfId="4857" xr:uid="{00000000-0005-0000-0000-00003E100000}"/>
    <cellStyle name="Normal 95" xfId="3416" xr:uid="{00000000-0005-0000-0000-00003F100000}"/>
    <cellStyle name="Normal 95 2" xfId="4858" xr:uid="{00000000-0005-0000-0000-000040100000}"/>
    <cellStyle name="Normal 96" xfId="3417" xr:uid="{00000000-0005-0000-0000-000041100000}"/>
    <cellStyle name="Normal 96 2" xfId="4859" xr:uid="{00000000-0005-0000-0000-000042100000}"/>
    <cellStyle name="Normal 97" xfId="3418" xr:uid="{00000000-0005-0000-0000-000043100000}"/>
    <cellStyle name="Normal 97 2" xfId="4860" xr:uid="{00000000-0005-0000-0000-000044100000}"/>
    <cellStyle name="Normal 98" xfId="3419" xr:uid="{00000000-0005-0000-0000-000045100000}"/>
    <cellStyle name="Normal 98 2" xfId="4861" xr:uid="{00000000-0005-0000-0000-000046100000}"/>
    <cellStyle name="Normal 99" xfId="3420" xr:uid="{00000000-0005-0000-0000-000047100000}"/>
    <cellStyle name="Normal 99 2" xfId="4862" xr:uid="{00000000-0005-0000-0000-000048100000}"/>
    <cellStyle name="Normalny_P Ls_Poland_August 2007" xfId="2700" xr:uid="{00000000-0005-0000-0000-000049100000}"/>
    <cellStyle name="NormalOPrint_Module_E (2)" xfId="2701" xr:uid="{00000000-0005-0000-0000-00004A100000}"/>
    <cellStyle name="Norm伀l_D_TR_OI" xfId="2702" xr:uid="{00000000-0005-0000-0000-00004B100000}"/>
    <cellStyle name="Note" xfId="16" builtinId="10" customBuiltin="1"/>
    <cellStyle name="Note 2" xfId="2703" xr:uid="{00000000-0005-0000-0000-00004D100000}"/>
    <cellStyle name="Note 3" xfId="2704" xr:uid="{00000000-0005-0000-0000-00004E100000}"/>
    <cellStyle name="Note 4" xfId="2705" xr:uid="{00000000-0005-0000-0000-00004F100000}"/>
    <cellStyle name="Note 5" xfId="2706" xr:uid="{00000000-0005-0000-0000-000050100000}"/>
    <cellStyle name="Note 6" xfId="3430" xr:uid="{00000000-0005-0000-0000-000051100000}"/>
    <cellStyle name="Œ…‹æØ‚è [0.00]_CF(5yrs)" xfId="2707" xr:uid="{00000000-0005-0000-0000-000052100000}"/>
    <cellStyle name="Œ…‹æØ‚è_Kyowa2 " xfId="2708" xr:uid="{00000000-0005-0000-0000-000053100000}"/>
    <cellStyle name="oft Excel]_x000d__x000a_Comment=open=/f ‚ðw’è‚·‚é‚ÆAƒ†[ƒU[’è‹`ŠÖ”‚ðŠÖ”“\‚è•t‚¯‚Ìˆê——‚É“o˜^‚·‚é‚±‚Æ‚ª‚Å‚«‚Ü‚·B_x000d__x000a_Maximized" xfId="2709" xr:uid="{00000000-0005-0000-0000-000054100000}"/>
    <cellStyle name="OtherSEEntry" xfId="2710" xr:uid="{00000000-0005-0000-0000-000055100000}"/>
    <cellStyle name="Output" xfId="11" builtinId="21" customBuiltin="1"/>
    <cellStyle name="Output 2" xfId="2711" xr:uid="{00000000-0005-0000-0000-000057100000}"/>
    <cellStyle name="Output 3" xfId="2712" xr:uid="{00000000-0005-0000-0000-000058100000}"/>
    <cellStyle name="Output 4" xfId="2713" xr:uid="{00000000-0005-0000-0000-000059100000}"/>
    <cellStyle name="Output 5" xfId="2714" xr:uid="{00000000-0005-0000-0000-00005A100000}"/>
    <cellStyle name="Page Heading Large" xfId="2715" xr:uid="{00000000-0005-0000-0000-00005B100000}"/>
    <cellStyle name="Page Heading Small" xfId="2716" xr:uid="{00000000-0005-0000-0000-00005C100000}"/>
    <cellStyle name="Percent" xfId="4893" builtinId="5"/>
    <cellStyle name="Percent [0]" xfId="2717" xr:uid="{00000000-0005-0000-0000-00005E100000}"/>
    <cellStyle name="Percent [00]" xfId="2718" xr:uid="{00000000-0005-0000-0000-00005F100000}"/>
    <cellStyle name="Percent [1]" xfId="2719" xr:uid="{00000000-0005-0000-0000-000060100000}"/>
    <cellStyle name="Percent [2]" xfId="2720" xr:uid="{00000000-0005-0000-0000-000061100000}"/>
    <cellStyle name="Percent [2] 2" xfId="2721" xr:uid="{00000000-0005-0000-0000-000062100000}"/>
    <cellStyle name="Percent [3]" xfId="2722" xr:uid="{00000000-0005-0000-0000-000063100000}"/>
    <cellStyle name="Percent 10" xfId="2723" xr:uid="{00000000-0005-0000-0000-000064100000}"/>
    <cellStyle name="Percent 11" xfId="2724" xr:uid="{00000000-0005-0000-0000-000065100000}"/>
    <cellStyle name="Percent 12" xfId="2725" xr:uid="{00000000-0005-0000-0000-000066100000}"/>
    <cellStyle name="Percent 12 2" xfId="4850" xr:uid="{00000000-0005-0000-0000-000067100000}"/>
    <cellStyle name="Percent 13" xfId="4872" xr:uid="{00000000-0005-0000-0000-000068100000}"/>
    <cellStyle name="Percent 14" xfId="4875" xr:uid="{00000000-0005-0000-0000-000069100000}"/>
    <cellStyle name="Percent 15" xfId="4877" xr:uid="{00000000-0005-0000-0000-00006A100000}"/>
    <cellStyle name="Percent 16" xfId="4879" xr:uid="{00000000-0005-0000-0000-00006B100000}"/>
    <cellStyle name="Percent 2" xfId="2726" xr:uid="{00000000-0005-0000-0000-00006C100000}"/>
    <cellStyle name="Percent 2 2" xfId="2727" xr:uid="{00000000-0005-0000-0000-00006D100000}"/>
    <cellStyle name="Percent 2 2 10" xfId="2728" xr:uid="{00000000-0005-0000-0000-00006E100000}"/>
    <cellStyle name="Percent 2 2 11" xfId="2729" xr:uid="{00000000-0005-0000-0000-00006F100000}"/>
    <cellStyle name="Percent 2 2 12" xfId="2730" xr:uid="{00000000-0005-0000-0000-000070100000}"/>
    <cellStyle name="Percent 2 2 2" xfId="2731" xr:uid="{00000000-0005-0000-0000-000071100000}"/>
    <cellStyle name="Percent 2 2 2 10" xfId="2732" xr:uid="{00000000-0005-0000-0000-000072100000}"/>
    <cellStyle name="Percent 2 2 2 2" xfId="2733" xr:uid="{00000000-0005-0000-0000-000073100000}"/>
    <cellStyle name="Percent 2 2 2 3" xfId="2734" xr:uid="{00000000-0005-0000-0000-000074100000}"/>
    <cellStyle name="Percent 2 2 2 4" xfId="2735" xr:uid="{00000000-0005-0000-0000-000075100000}"/>
    <cellStyle name="Percent 2 2 2 5" xfId="2736" xr:uid="{00000000-0005-0000-0000-000076100000}"/>
    <cellStyle name="Percent 2 2 2 6" xfId="2737" xr:uid="{00000000-0005-0000-0000-000077100000}"/>
    <cellStyle name="Percent 2 2 2 7" xfId="2738" xr:uid="{00000000-0005-0000-0000-000078100000}"/>
    <cellStyle name="Percent 2 2 2 8" xfId="2739" xr:uid="{00000000-0005-0000-0000-000079100000}"/>
    <cellStyle name="Percent 2 2 2 9" xfId="2740" xr:uid="{00000000-0005-0000-0000-00007A100000}"/>
    <cellStyle name="Percent 2 2 3" xfId="2741" xr:uid="{00000000-0005-0000-0000-00007B100000}"/>
    <cellStyle name="Percent 2 2 4" xfId="2742" xr:uid="{00000000-0005-0000-0000-00007C100000}"/>
    <cellStyle name="Percent 2 2 5" xfId="2743" xr:uid="{00000000-0005-0000-0000-00007D100000}"/>
    <cellStyle name="Percent 2 2 6" xfId="2744" xr:uid="{00000000-0005-0000-0000-00007E100000}"/>
    <cellStyle name="Percent 2 2 7" xfId="2745" xr:uid="{00000000-0005-0000-0000-00007F100000}"/>
    <cellStyle name="Percent 2 2 8" xfId="2746" xr:uid="{00000000-0005-0000-0000-000080100000}"/>
    <cellStyle name="Percent 2 2 9" xfId="2747" xr:uid="{00000000-0005-0000-0000-000081100000}"/>
    <cellStyle name="Percent 2 3" xfId="2748" xr:uid="{00000000-0005-0000-0000-000082100000}"/>
    <cellStyle name="Percent 2 4" xfId="2749" xr:uid="{00000000-0005-0000-0000-000083100000}"/>
    <cellStyle name="Percent 3" xfId="2750" xr:uid="{00000000-0005-0000-0000-000084100000}"/>
    <cellStyle name="Percent 3 2" xfId="2751" xr:uid="{00000000-0005-0000-0000-000085100000}"/>
    <cellStyle name="Percent 3 2 2" xfId="4852" xr:uid="{00000000-0005-0000-0000-000086100000}"/>
    <cellStyle name="Percent 3 3" xfId="4851" xr:uid="{00000000-0005-0000-0000-000087100000}"/>
    <cellStyle name="Percent 4" xfId="2752" xr:uid="{00000000-0005-0000-0000-000088100000}"/>
    <cellStyle name="Percent 4 2" xfId="2753" xr:uid="{00000000-0005-0000-0000-000089100000}"/>
    <cellStyle name="Percent 4 2 2" xfId="2754" xr:uid="{00000000-0005-0000-0000-00008A100000}"/>
    <cellStyle name="Percent 4 3" xfId="2755" xr:uid="{00000000-0005-0000-0000-00008B100000}"/>
    <cellStyle name="Percent 5" xfId="2756" xr:uid="{00000000-0005-0000-0000-00008C100000}"/>
    <cellStyle name="Percent 5 2" xfId="2757" xr:uid="{00000000-0005-0000-0000-00008D100000}"/>
    <cellStyle name="Percent 5 2 2" xfId="2758" xr:uid="{00000000-0005-0000-0000-00008E100000}"/>
    <cellStyle name="Percent 6" xfId="2759" xr:uid="{00000000-0005-0000-0000-00008F100000}"/>
    <cellStyle name="Percent 7" xfId="2760" xr:uid="{00000000-0005-0000-0000-000090100000}"/>
    <cellStyle name="Percent 8" xfId="2761" xr:uid="{00000000-0005-0000-0000-000091100000}"/>
    <cellStyle name="Percent 9" xfId="2762" xr:uid="{00000000-0005-0000-0000-000092100000}"/>
    <cellStyle name="Percent Hard" xfId="2763" xr:uid="{00000000-0005-0000-0000-000093100000}"/>
    <cellStyle name="Percent[0]" xfId="2764" xr:uid="{00000000-0005-0000-0000-000094100000}"/>
    <cellStyle name="Percent[2]" xfId="2765" xr:uid="{00000000-0005-0000-0000-000095100000}"/>
    <cellStyle name="PrePop Currency (0)" xfId="2766" xr:uid="{00000000-0005-0000-0000-000096100000}"/>
    <cellStyle name="PrePop Currency (2)" xfId="2767" xr:uid="{00000000-0005-0000-0000-000097100000}"/>
    <cellStyle name="PrePop Units (0)" xfId="2768" xr:uid="{00000000-0005-0000-0000-000098100000}"/>
    <cellStyle name="PrePop Units (1)" xfId="2769" xr:uid="{00000000-0005-0000-0000-000099100000}"/>
    <cellStyle name="PrePop Units (2)" xfId="2770" xr:uid="{00000000-0005-0000-0000-00009A100000}"/>
    <cellStyle name="price" xfId="2771" xr:uid="{00000000-0005-0000-0000-00009B100000}"/>
    <cellStyle name="pricing" xfId="2772" xr:uid="{00000000-0005-0000-0000-00009C100000}"/>
    <cellStyle name="PSChar" xfId="2773" xr:uid="{00000000-0005-0000-0000-00009D100000}"/>
    <cellStyle name="PSDate" xfId="2774" xr:uid="{00000000-0005-0000-0000-00009E100000}"/>
    <cellStyle name="PSDec" xfId="2775" xr:uid="{00000000-0005-0000-0000-00009F100000}"/>
    <cellStyle name="PSHeading" xfId="2776" xr:uid="{00000000-0005-0000-0000-0000A0100000}"/>
    <cellStyle name="PSInt" xfId="2777" xr:uid="{00000000-0005-0000-0000-0000A1100000}"/>
    <cellStyle name="PSSpacer" xfId="2778" xr:uid="{00000000-0005-0000-0000-0000A2100000}"/>
    <cellStyle name="pvtRow" xfId="4895" xr:uid="{00000000-0005-0000-0000-0000A3100000}"/>
    <cellStyle name="Quantity" xfId="2779" xr:uid="{00000000-0005-0000-0000-0000A4100000}"/>
    <cellStyle name="revised" xfId="2780" xr:uid="{00000000-0005-0000-0000-0000A5100000}"/>
    <cellStyle name="RevList" xfId="2781" xr:uid="{00000000-0005-0000-0000-0000A6100000}"/>
    <cellStyle name="RevList 2" xfId="2782" xr:uid="{00000000-0005-0000-0000-0000A7100000}"/>
    <cellStyle name="SAPBEXaggData" xfId="2783" xr:uid="{00000000-0005-0000-0000-0000A8100000}"/>
    <cellStyle name="SAPBEXaggData 2" xfId="2784" xr:uid="{00000000-0005-0000-0000-0000A9100000}"/>
    <cellStyle name="SAPBEXaggData 3" xfId="2785" xr:uid="{00000000-0005-0000-0000-0000AA100000}"/>
    <cellStyle name="SAPBEXaggData 4" xfId="2786" xr:uid="{00000000-0005-0000-0000-0000AB100000}"/>
    <cellStyle name="SAPBEXaggData 5" xfId="2787" xr:uid="{00000000-0005-0000-0000-0000AC100000}"/>
    <cellStyle name="SAPBEXaggData 6" xfId="2788" xr:uid="{00000000-0005-0000-0000-0000AD100000}"/>
    <cellStyle name="SAPBEXaggData 7" xfId="2789" xr:uid="{00000000-0005-0000-0000-0000AE100000}"/>
    <cellStyle name="SAPBEXaggData 8" xfId="2790" xr:uid="{00000000-0005-0000-0000-0000AF100000}"/>
    <cellStyle name="SAPBEXaggData 9" xfId="2791" xr:uid="{00000000-0005-0000-0000-0000B0100000}"/>
    <cellStyle name="SAPBEXaggData_Sheet3" xfId="2792" xr:uid="{00000000-0005-0000-0000-0000B1100000}"/>
    <cellStyle name="SAPBEXaggDataEmph" xfId="2793" xr:uid="{00000000-0005-0000-0000-0000B2100000}"/>
    <cellStyle name="SAPBEXaggDataEmph 2" xfId="2794" xr:uid="{00000000-0005-0000-0000-0000B3100000}"/>
    <cellStyle name="SAPBEXaggDataEmph 3" xfId="2795" xr:uid="{00000000-0005-0000-0000-0000B4100000}"/>
    <cellStyle name="SAPBEXaggDataEmph 4" xfId="2796" xr:uid="{00000000-0005-0000-0000-0000B5100000}"/>
    <cellStyle name="SAPBEXaggDataEmph 5" xfId="2797" xr:uid="{00000000-0005-0000-0000-0000B6100000}"/>
    <cellStyle name="SAPBEXaggDataEmph 6" xfId="2798" xr:uid="{00000000-0005-0000-0000-0000B7100000}"/>
    <cellStyle name="SAPBEXaggDataEmph 7" xfId="2799" xr:uid="{00000000-0005-0000-0000-0000B8100000}"/>
    <cellStyle name="SAPBEXaggDataEmph 8" xfId="2800" xr:uid="{00000000-0005-0000-0000-0000B9100000}"/>
    <cellStyle name="SAPBEXaggDataEmph 9" xfId="2801" xr:uid="{00000000-0005-0000-0000-0000BA100000}"/>
    <cellStyle name="SAPBEXaggDataEmph_Sheet3" xfId="2802" xr:uid="{00000000-0005-0000-0000-0000BB100000}"/>
    <cellStyle name="SAPBEXaggItem" xfId="2803" xr:uid="{00000000-0005-0000-0000-0000BC100000}"/>
    <cellStyle name="SAPBEXaggItem 2" xfId="2804" xr:uid="{00000000-0005-0000-0000-0000BD100000}"/>
    <cellStyle name="SAPBEXaggItem 3" xfId="2805" xr:uid="{00000000-0005-0000-0000-0000BE100000}"/>
    <cellStyle name="SAPBEXaggItem 4" xfId="2806" xr:uid="{00000000-0005-0000-0000-0000BF100000}"/>
    <cellStyle name="SAPBEXaggItem 5" xfId="2807" xr:uid="{00000000-0005-0000-0000-0000C0100000}"/>
    <cellStyle name="SAPBEXaggItem 6" xfId="2808" xr:uid="{00000000-0005-0000-0000-0000C1100000}"/>
    <cellStyle name="SAPBEXaggItem 7" xfId="2809" xr:uid="{00000000-0005-0000-0000-0000C2100000}"/>
    <cellStyle name="SAPBEXaggItem 8" xfId="2810" xr:uid="{00000000-0005-0000-0000-0000C3100000}"/>
    <cellStyle name="SAPBEXaggItem 9" xfId="2811" xr:uid="{00000000-0005-0000-0000-0000C4100000}"/>
    <cellStyle name="SAPBEXaggItem_Sheet3" xfId="2812" xr:uid="{00000000-0005-0000-0000-0000C5100000}"/>
    <cellStyle name="SAPBEXaggItemX" xfId="2813" xr:uid="{00000000-0005-0000-0000-0000C6100000}"/>
    <cellStyle name="SAPBEXaggItemX 2" xfId="2814" xr:uid="{00000000-0005-0000-0000-0000C7100000}"/>
    <cellStyle name="SAPBEXaggItemX 3" xfId="2815" xr:uid="{00000000-0005-0000-0000-0000C8100000}"/>
    <cellStyle name="SAPBEXaggItemX 4" xfId="2816" xr:uid="{00000000-0005-0000-0000-0000C9100000}"/>
    <cellStyle name="SAPBEXaggItemX 5" xfId="2817" xr:uid="{00000000-0005-0000-0000-0000CA100000}"/>
    <cellStyle name="SAPBEXaggItemX 6" xfId="2818" xr:uid="{00000000-0005-0000-0000-0000CB100000}"/>
    <cellStyle name="SAPBEXaggItemX 7" xfId="2819" xr:uid="{00000000-0005-0000-0000-0000CC100000}"/>
    <cellStyle name="SAPBEXaggItemX 8" xfId="2820" xr:uid="{00000000-0005-0000-0000-0000CD100000}"/>
    <cellStyle name="SAPBEXaggItemX 9" xfId="2821" xr:uid="{00000000-0005-0000-0000-0000CE100000}"/>
    <cellStyle name="SAPBEXaggItemX_Sheet3" xfId="2822" xr:uid="{00000000-0005-0000-0000-0000CF100000}"/>
    <cellStyle name="SAPBEXchaText" xfId="2823" xr:uid="{00000000-0005-0000-0000-0000D0100000}"/>
    <cellStyle name="SAPBEXchaText 2" xfId="2824" xr:uid="{00000000-0005-0000-0000-0000D1100000}"/>
    <cellStyle name="SAPBEXchaText 3" xfId="2825" xr:uid="{00000000-0005-0000-0000-0000D2100000}"/>
    <cellStyle name="SAPBEXchaText 4" xfId="2826" xr:uid="{00000000-0005-0000-0000-0000D3100000}"/>
    <cellStyle name="SAPBEXchaText 5" xfId="2827" xr:uid="{00000000-0005-0000-0000-0000D4100000}"/>
    <cellStyle name="SAPBEXchaText 6" xfId="2828" xr:uid="{00000000-0005-0000-0000-0000D5100000}"/>
    <cellStyle name="SAPBEXchaText 7" xfId="2829" xr:uid="{00000000-0005-0000-0000-0000D6100000}"/>
    <cellStyle name="SAPBEXchaText 8" xfId="2830" xr:uid="{00000000-0005-0000-0000-0000D7100000}"/>
    <cellStyle name="SAPBEXchaText 9" xfId="2831" xr:uid="{00000000-0005-0000-0000-0000D8100000}"/>
    <cellStyle name="SAPBEXchaText_Sheet3" xfId="2832" xr:uid="{00000000-0005-0000-0000-0000D9100000}"/>
    <cellStyle name="SAPBEXexcBad7" xfId="2833" xr:uid="{00000000-0005-0000-0000-0000DA100000}"/>
    <cellStyle name="SAPBEXexcBad7 2" xfId="2834" xr:uid="{00000000-0005-0000-0000-0000DB100000}"/>
    <cellStyle name="SAPBEXexcBad7 3" xfId="2835" xr:uid="{00000000-0005-0000-0000-0000DC100000}"/>
    <cellStyle name="SAPBEXexcBad7 4" xfId="2836" xr:uid="{00000000-0005-0000-0000-0000DD100000}"/>
    <cellStyle name="SAPBEXexcBad7 5" xfId="2837" xr:uid="{00000000-0005-0000-0000-0000DE100000}"/>
    <cellStyle name="SAPBEXexcBad7 6" xfId="2838" xr:uid="{00000000-0005-0000-0000-0000DF100000}"/>
    <cellStyle name="SAPBEXexcBad7 7" xfId="2839" xr:uid="{00000000-0005-0000-0000-0000E0100000}"/>
    <cellStyle name="SAPBEXexcBad7 8" xfId="2840" xr:uid="{00000000-0005-0000-0000-0000E1100000}"/>
    <cellStyle name="SAPBEXexcBad7 9" xfId="2841" xr:uid="{00000000-0005-0000-0000-0000E2100000}"/>
    <cellStyle name="SAPBEXexcBad7_Sheet3" xfId="2842" xr:uid="{00000000-0005-0000-0000-0000E3100000}"/>
    <cellStyle name="SAPBEXexcBad8" xfId="2843" xr:uid="{00000000-0005-0000-0000-0000E4100000}"/>
    <cellStyle name="SAPBEXexcBad8 2" xfId="2844" xr:uid="{00000000-0005-0000-0000-0000E5100000}"/>
    <cellStyle name="SAPBEXexcBad8 3" xfId="2845" xr:uid="{00000000-0005-0000-0000-0000E6100000}"/>
    <cellStyle name="SAPBEXexcBad8 4" xfId="2846" xr:uid="{00000000-0005-0000-0000-0000E7100000}"/>
    <cellStyle name="SAPBEXexcBad8 5" xfId="2847" xr:uid="{00000000-0005-0000-0000-0000E8100000}"/>
    <cellStyle name="SAPBEXexcBad8 6" xfId="2848" xr:uid="{00000000-0005-0000-0000-0000E9100000}"/>
    <cellStyle name="SAPBEXexcBad8 7" xfId="2849" xr:uid="{00000000-0005-0000-0000-0000EA100000}"/>
    <cellStyle name="SAPBEXexcBad8 8" xfId="2850" xr:uid="{00000000-0005-0000-0000-0000EB100000}"/>
    <cellStyle name="SAPBEXexcBad8 9" xfId="2851" xr:uid="{00000000-0005-0000-0000-0000EC100000}"/>
    <cellStyle name="SAPBEXexcBad8_Sheet3" xfId="2852" xr:uid="{00000000-0005-0000-0000-0000ED100000}"/>
    <cellStyle name="SAPBEXexcBad9" xfId="2853" xr:uid="{00000000-0005-0000-0000-0000EE100000}"/>
    <cellStyle name="SAPBEXexcBad9 2" xfId="2854" xr:uid="{00000000-0005-0000-0000-0000EF100000}"/>
    <cellStyle name="SAPBEXexcBad9 3" xfId="2855" xr:uid="{00000000-0005-0000-0000-0000F0100000}"/>
    <cellStyle name="SAPBEXexcBad9 4" xfId="2856" xr:uid="{00000000-0005-0000-0000-0000F1100000}"/>
    <cellStyle name="SAPBEXexcBad9 5" xfId="2857" xr:uid="{00000000-0005-0000-0000-0000F2100000}"/>
    <cellStyle name="SAPBEXexcBad9 6" xfId="2858" xr:uid="{00000000-0005-0000-0000-0000F3100000}"/>
    <cellStyle name="SAPBEXexcBad9 7" xfId="2859" xr:uid="{00000000-0005-0000-0000-0000F4100000}"/>
    <cellStyle name="SAPBEXexcBad9 8" xfId="2860" xr:uid="{00000000-0005-0000-0000-0000F5100000}"/>
    <cellStyle name="SAPBEXexcBad9 9" xfId="2861" xr:uid="{00000000-0005-0000-0000-0000F6100000}"/>
    <cellStyle name="SAPBEXexcBad9_Sheet3" xfId="2862" xr:uid="{00000000-0005-0000-0000-0000F7100000}"/>
    <cellStyle name="SAPBEXexcCritical4" xfId="2863" xr:uid="{00000000-0005-0000-0000-0000F8100000}"/>
    <cellStyle name="SAPBEXexcCritical4 2" xfId="2864" xr:uid="{00000000-0005-0000-0000-0000F9100000}"/>
    <cellStyle name="SAPBEXexcCritical4 3" xfId="2865" xr:uid="{00000000-0005-0000-0000-0000FA100000}"/>
    <cellStyle name="SAPBEXexcCritical4 4" xfId="2866" xr:uid="{00000000-0005-0000-0000-0000FB100000}"/>
    <cellStyle name="SAPBEXexcCritical4 5" xfId="2867" xr:uid="{00000000-0005-0000-0000-0000FC100000}"/>
    <cellStyle name="SAPBEXexcCritical4 6" xfId="2868" xr:uid="{00000000-0005-0000-0000-0000FD100000}"/>
    <cellStyle name="SAPBEXexcCritical4 7" xfId="2869" xr:uid="{00000000-0005-0000-0000-0000FE100000}"/>
    <cellStyle name="SAPBEXexcCritical4 8" xfId="2870" xr:uid="{00000000-0005-0000-0000-0000FF100000}"/>
    <cellStyle name="SAPBEXexcCritical4 9" xfId="2871" xr:uid="{00000000-0005-0000-0000-000000110000}"/>
    <cellStyle name="SAPBEXexcCritical4_Sheet3" xfId="2872" xr:uid="{00000000-0005-0000-0000-000001110000}"/>
    <cellStyle name="SAPBEXexcCritical5" xfId="2873" xr:uid="{00000000-0005-0000-0000-000002110000}"/>
    <cellStyle name="SAPBEXexcCritical5 2" xfId="2874" xr:uid="{00000000-0005-0000-0000-000003110000}"/>
    <cellStyle name="SAPBEXexcCritical5 3" xfId="2875" xr:uid="{00000000-0005-0000-0000-000004110000}"/>
    <cellStyle name="SAPBEXexcCritical5 4" xfId="2876" xr:uid="{00000000-0005-0000-0000-000005110000}"/>
    <cellStyle name="SAPBEXexcCritical5 5" xfId="2877" xr:uid="{00000000-0005-0000-0000-000006110000}"/>
    <cellStyle name="SAPBEXexcCritical5 6" xfId="2878" xr:uid="{00000000-0005-0000-0000-000007110000}"/>
    <cellStyle name="SAPBEXexcCritical5 7" xfId="2879" xr:uid="{00000000-0005-0000-0000-000008110000}"/>
    <cellStyle name="SAPBEXexcCritical5 8" xfId="2880" xr:uid="{00000000-0005-0000-0000-000009110000}"/>
    <cellStyle name="SAPBEXexcCritical5 9" xfId="2881" xr:uid="{00000000-0005-0000-0000-00000A110000}"/>
    <cellStyle name="SAPBEXexcCritical5_Sheet3" xfId="2882" xr:uid="{00000000-0005-0000-0000-00000B110000}"/>
    <cellStyle name="SAPBEXexcCritical6" xfId="2883" xr:uid="{00000000-0005-0000-0000-00000C110000}"/>
    <cellStyle name="SAPBEXexcCritical6 2" xfId="2884" xr:uid="{00000000-0005-0000-0000-00000D110000}"/>
    <cellStyle name="SAPBEXexcCritical6 3" xfId="2885" xr:uid="{00000000-0005-0000-0000-00000E110000}"/>
    <cellStyle name="SAPBEXexcCritical6 4" xfId="2886" xr:uid="{00000000-0005-0000-0000-00000F110000}"/>
    <cellStyle name="SAPBEXexcCritical6 5" xfId="2887" xr:uid="{00000000-0005-0000-0000-000010110000}"/>
    <cellStyle name="SAPBEXexcCritical6 6" xfId="2888" xr:uid="{00000000-0005-0000-0000-000011110000}"/>
    <cellStyle name="SAPBEXexcCritical6 7" xfId="2889" xr:uid="{00000000-0005-0000-0000-000012110000}"/>
    <cellStyle name="SAPBEXexcCritical6 8" xfId="2890" xr:uid="{00000000-0005-0000-0000-000013110000}"/>
    <cellStyle name="SAPBEXexcCritical6 9" xfId="2891" xr:uid="{00000000-0005-0000-0000-000014110000}"/>
    <cellStyle name="SAPBEXexcCritical6_Sheet3" xfId="2892" xr:uid="{00000000-0005-0000-0000-000015110000}"/>
    <cellStyle name="SAPBEXexcGood1" xfId="2893" xr:uid="{00000000-0005-0000-0000-000016110000}"/>
    <cellStyle name="SAPBEXexcGood1 2" xfId="2894" xr:uid="{00000000-0005-0000-0000-000017110000}"/>
    <cellStyle name="SAPBEXexcGood1 3" xfId="2895" xr:uid="{00000000-0005-0000-0000-000018110000}"/>
    <cellStyle name="SAPBEXexcGood1 4" xfId="2896" xr:uid="{00000000-0005-0000-0000-000019110000}"/>
    <cellStyle name="SAPBEXexcGood1 5" xfId="2897" xr:uid="{00000000-0005-0000-0000-00001A110000}"/>
    <cellStyle name="SAPBEXexcGood1 6" xfId="2898" xr:uid="{00000000-0005-0000-0000-00001B110000}"/>
    <cellStyle name="SAPBEXexcGood1 7" xfId="2899" xr:uid="{00000000-0005-0000-0000-00001C110000}"/>
    <cellStyle name="SAPBEXexcGood1 8" xfId="2900" xr:uid="{00000000-0005-0000-0000-00001D110000}"/>
    <cellStyle name="SAPBEXexcGood1 9" xfId="2901" xr:uid="{00000000-0005-0000-0000-00001E110000}"/>
    <cellStyle name="SAPBEXexcGood1_Sheet3" xfId="2902" xr:uid="{00000000-0005-0000-0000-00001F110000}"/>
    <cellStyle name="SAPBEXexcGood2" xfId="2903" xr:uid="{00000000-0005-0000-0000-000020110000}"/>
    <cellStyle name="SAPBEXexcGood2 2" xfId="2904" xr:uid="{00000000-0005-0000-0000-000021110000}"/>
    <cellStyle name="SAPBEXexcGood2 3" xfId="2905" xr:uid="{00000000-0005-0000-0000-000022110000}"/>
    <cellStyle name="SAPBEXexcGood2 4" xfId="2906" xr:uid="{00000000-0005-0000-0000-000023110000}"/>
    <cellStyle name="SAPBEXexcGood2 5" xfId="2907" xr:uid="{00000000-0005-0000-0000-000024110000}"/>
    <cellStyle name="SAPBEXexcGood2 6" xfId="2908" xr:uid="{00000000-0005-0000-0000-000025110000}"/>
    <cellStyle name="SAPBEXexcGood2 7" xfId="2909" xr:uid="{00000000-0005-0000-0000-000026110000}"/>
    <cellStyle name="SAPBEXexcGood2 8" xfId="2910" xr:uid="{00000000-0005-0000-0000-000027110000}"/>
    <cellStyle name="SAPBEXexcGood2 9" xfId="2911" xr:uid="{00000000-0005-0000-0000-000028110000}"/>
    <cellStyle name="SAPBEXexcGood2_Sheet3" xfId="2912" xr:uid="{00000000-0005-0000-0000-000029110000}"/>
    <cellStyle name="SAPBEXexcGood3" xfId="2913" xr:uid="{00000000-0005-0000-0000-00002A110000}"/>
    <cellStyle name="SAPBEXexcGood3 2" xfId="2914" xr:uid="{00000000-0005-0000-0000-00002B110000}"/>
    <cellStyle name="SAPBEXexcGood3 3" xfId="2915" xr:uid="{00000000-0005-0000-0000-00002C110000}"/>
    <cellStyle name="SAPBEXexcGood3 4" xfId="2916" xr:uid="{00000000-0005-0000-0000-00002D110000}"/>
    <cellStyle name="SAPBEXexcGood3 5" xfId="2917" xr:uid="{00000000-0005-0000-0000-00002E110000}"/>
    <cellStyle name="SAPBEXexcGood3 6" xfId="2918" xr:uid="{00000000-0005-0000-0000-00002F110000}"/>
    <cellStyle name="SAPBEXexcGood3 7" xfId="2919" xr:uid="{00000000-0005-0000-0000-000030110000}"/>
    <cellStyle name="SAPBEXexcGood3 8" xfId="2920" xr:uid="{00000000-0005-0000-0000-000031110000}"/>
    <cellStyle name="SAPBEXexcGood3 9" xfId="2921" xr:uid="{00000000-0005-0000-0000-000032110000}"/>
    <cellStyle name="SAPBEXexcGood3_Sheet3" xfId="2922" xr:uid="{00000000-0005-0000-0000-000033110000}"/>
    <cellStyle name="SAPBEXfilterDrill" xfId="2923" xr:uid="{00000000-0005-0000-0000-000034110000}"/>
    <cellStyle name="SAPBEXfilterDrill 2" xfId="2924" xr:uid="{00000000-0005-0000-0000-000035110000}"/>
    <cellStyle name="SAPBEXfilterDrill 3" xfId="2925" xr:uid="{00000000-0005-0000-0000-000036110000}"/>
    <cellStyle name="SAPBEXfilterDrill 4" xfId="2926" xr:uid="{00000000-0005-0000-0000-000037110000}"/>
    <cellStyle name="SAPBEXfilterDrill 5" xfId="2927" xr:uid="{00000000-0005-0000-0000-000038110000}"/>
    <cellStyle name="SAPBEXfilterDrill 6" xfId="2928" xr:uid="{00000000-0005-0000-0000-000039110000}"/>
    <cellStyle name="SAPBEXfilterDrill 7" xfId="2929" xr:uid="{00000000-0005-0000-0000-00003A110000}"/>
    <cellStyle name="SAPBEXfilterDrill 8" xfId="2930" xr:uid="{00000000-0005-0000-0000-00003B110000}"/>
    <cellStyle name="SAPBEXfilterDrill 9" xfId="2931" xr:uid="{00000000-0005-0000-0000-00003C110000}"/>
    <cellStyle name="SAPBEXfilterDrill_Sheet3" xfId="2932" xr:uid="{00000000-0005-0000-0000-00003D110000}"/>
    <cellStyle name="SAPBEXfilterItem" xfId="2933" xr:uid="{00000000-0005-0000-0000-00003E110000}"/>
    <cellStyle name="SAPBEXfilterText" xfId="2934" xr:uid="{00000000-0005-0000-0000-00003F110000}"/>
    <cellStyle name="SAPBEXformats" xfId="2935" xr:uid="{00000000-0005-0000-0000-000040110000}"/>
    <cellStyle name="SAPBEXformats 2" xfId="2936" xr:uid="{00000000-0005-0000-0000-000041110000}"/>
    <cellStyle name="SAPBEXformats 3" xfId="2937" xr:uid="{00000000-0005-0000-0000-000042110000}"/>
    <cellStyle name="SAPBEXformats 4" xfId="2938" xr:uid="{00000000-0005-0000-0000-000043110000}"/>
    <cellStyle name="SAPBEXformats 5" xfId="2939" xr:uid="{00000000-0005-0000-0000-000044110000}"/>
    <cellStyle name="SAPBEXformats 6" xfId="2940" xr:uid="{00000000-0005-0000-0000-000045110000}"/>
    <cellStyle name="SAPBEXformats 7" xfId="2941" xr:uid="{00000000-0005-0000-0000-000046110000}"/>
    <cellStyle name="SAPBEXformats 8" xfId="2942" xr:uid="{00000000-0005-0000-0000-000047110000}"/>
    <cellStyle name="SAPBEXformats 9" xfId="2943" xr:uid="{00000000-0005-0000-0000-000048110000}"/>
    <cellStyle name="SAPBEXformats_Sheet3" xfId="2944" xr:uid="{00000000-0005-0000-0000-000049110000}"/>
    <cellStyle name="SAPBEXheaderItem" xfId="2945" xr:uid="{00000000-0005-0000-0000-00004A110000}"/>
    <cellStyle name="SAPBEXheaderItem 2" xfId="2946" xr:uid="{00000000-0005-0000-0000-00004B110000}"/>
    <cellStyle name="SAPBEXheaderItem 3" xfId="2947" xr:uid="{00000000-0005-0000-0000-00004C110000}"/>
    <cellStyle name="SAPBEXheaderItem 4" xfId="2948" xr:uid="{00000000-0005-0000-0000-00004D110000}"/>
    <cellStyle name="SAPBEXheaderItem 5" xfId="2949" xr:uid="{00000000-0005-0000-0000-00004E110000}"/>
    <cellStyle name="SAPBEXheaderItem 6" xfId="2950" xr:uid="{00000000-0005-0000-0000-00004F110000}"/>
    <cellStyle name="SAPBEXheaderItem 7" xfId="2951" xr:uid="{00000000-0005-0000-0000-000050110000}"/>
    <cellStyle name="SAPBEXheaderItem 8" xfId="2952" xr:uid="{00000000-0005-0000-0000-000051110000}"/>
    <cellStyle name="SAPBEXheaderItem 9" xfId="2953" xr:uid="{00000000-0005-0000-0000-000052110000}"/>
    <cellStyle name="SAPBEXheaderItem_Sheet3" xfId="2954" xr:uid="{00000000-0005-0000-0000-000053110000}"/>
    <cellStyle name="SAPBEXheaderText" xfId="2955" xr:uid="{00000000-0005-0000-0000-000054110000}"/>
    <cellStyle name="SAPBEXheaderText 2" xfId="2956" xr:uid="{00000000-0005-0000-0000-000055110000}"/>
    <cellStyle name="SAPBEXheaderText 3" xfId="2957" xr:uid="{00000000-0005-0000-0000-000056110000}"/>
    <cellStyle name="SAPBEXheaderText 4" xfId="2958" xr:uid="{00000000-0005-0000-0000-000057110000}"/>
    <cellStyle name="SAPBEXheaderText 5" xfId="2959" xr:uid="{00000000-0005-0000-0000-000058110000}"/>
    <cellStyle name="SAPBEXheaderText 6" xfId="2960" xr:uid="{00000000-0005-0000-0000-000059110000}"/>
    <cellStyle name="SAPBEXheaderText 7" xfId="2961" xr:uid="{00000000-0005-0000-0000-00005A110000}"/>
    <cellStyle name="SAPBEXheaderText 8" xfId="2962" xr:uid="{00000000-0005-0000-0000-00005B110000}"/>
    <cellStyle name="SAPBEXheaderText 9" xfId="2963" xr:uid="{00000000-0005-0000-0000-00005C110000}"/>
    <cellStyle name="SAPBEXheaderText_Sheet3" xfId="2964" xr:uid="{00000000-0005-0000-0000-00005D110000}"/>
    <cellStyle name="SAPBEXHLevel0" xfId="2965" xr:uid="{00000000-0005-0000-0000-00005E110000}"/>
    <cellStyle name="SAPBEXHLevel0 2" xfId="2966" xr:uid="{00000000-0005-0000-0000-00005F110000}"/>
    <cellStyle name="SAPBEXHLevel0 3" xfId="2967" xr:uid="{00000000-0005-0000-0000-000060110000}"/>
    <cellStyle name="SAPBEXHLevel0 4" xfId="2968" xr:uid="{00000000-0005-0000-0000-000061110000}"/>
    <cellStyle name="SAPBEXHLevel0 5" xfId="2969" xr:uid="{00000000-0005-0000-0000-000062110000}"/>
    <cellStyle name="SAPBEXHLevel0 6" xfId="2970" xr:uid="{00000000-0005-0000-0000-000063110000}"/>
    <cellStyle name="SAPBEXHLevel0 7" xfId="2971" xr:uid="{00000000-0005-0000-0000-000064110000}"/>
    <cellStyle name="SAPBEXHLevel0 8" xfId="2972" xr:uid="{00000000-0005-0000-0000-000065110000}"/>
    <cellStyle name="SAPBEXHLevel0 9" xfId="2973" xr:uid="{00000000-0005-0000-0000-000066110000}"/>
    <cellStyle name="SAPBEXHLevel0_Sheet3" xfId="2974" xr:uid="{00000000-0005-0000-0000-000067110000}"/>
    <cellStyle name="SAPBEXHLevel0X" xfId="2975" xr:uid="{00000000-0005-0000-0000-000068110000}"/>
    <cellStyle name="SAPBEXHLevel0X 2" xfId="2976" xr:uid="{00000000-0005-0000-0000-000069110000}"/>
    <cellStyle name="SAPBEXHLevel0X 3" xfId="2977" xr:uid="{00000000-0005-0000-0000-00006A110000}"/>
    <cellStyle name="SAPBEXHLevel0X 4" xfId="2978" xr:uid="{00000000-0005-0000-0000-00006B110000}"/>
    <cellStyle name="SAPBEXHLevel0X 5" xfId="2979" xr:uid="{00000000-0005-0000-0000-00006C110000}"/>
    <cellStyle name="SAPBEXHLevel0X 6" xfId="2980" xr:uid="{00000000-0005-0000-0000-00006D110000}"/>
    <cellStyle name="SAPBEXHLevel0X 7" xfId="2981" xr:uid="{00000000-0005-0000-0000-00006E110000}"/>
    <cellStyle name="SAPBEXHLevel0X 8" xfId="2982" xr:uid="{00000000-0005-0000-0000-00006F110000}"/>
    <cellStyle name="SAPBEXHLevel0X 9" xfId="2983" xr:uid="{00000000-0005-0000-0000-000070110000}"/>
    <cellStyle name="SAPBEXHLevel0X_Sheet3" xfId="2984" xr:uid="{00000000-0005-0000-0000-000071110000}"/>
    <cellStyle name="SAPBEXHLevel1" xfId="2985" xr:uid="{00000000-0005-0000-0000-000072110000}"/>
    <cellStyle name="SAPBEXHLevel1 2" xfId="2986" xr:uid="{00000000-0005-0000-0000-000073110000}"/>
    <cellStyle name="SAPBEXHLevel1 3" xfId="2987" xr:uid="{00000000-0005-0000-0000-000074110000}"/>
    <cellStyle name="SAPBEXHLevel1 4" xfId="2988" xr:uid="{00000000-0005-0000-0000-000075110000}"/>
    <cellStyle name="SAPBEXHLevel1 5" xfId="2989" xr:uid="{00000000-0005-0000-0000-000076110000}"/>
    <cellStyle name="SAPBEXHLevel1 6" xfId="2990" xr:uid="{00000000-0005-0000-0000-000077110000}"/>
    <cellStyle name="SAPBEXHLevel1 7" xfId="2991" xr:uid="{00000000-0005-0000-0000-000078110000}"/>
    <cellStyle name="SAPBEXHLevel1 8" xfId="2992" xr:uid="{00000000-0005-0000-0000-000079110000}"/>
    <cellStyle name="SAPBEXHLevel1 9" xfId="2993" xr:uid="{00000000-0005-0000-0000-00007A110000}"/>
    <cellStyle name="SAPBEXHLevel1_Sheet3" xfId="2994" xr:uid="{00000000-0005-0000-0000-00007B110000}"/>
    <cellStyle name="SAPBEXHLevel1X" xfId="2995" xr:uid="{00000000-0005-0000-0000-00007C110000}"/>
    <cellStyle name="SAPBEXHLevel1X 2" xfId="2996" xr:uid="{00000000-0005-0000-0000-00007D110000}"/>
    <cellStyle name="SAPBEXHLevel1X 3" xfId="2997" xr:uid="{00000000-0005-0000-0000-00007E110000}"/>
    <cellStyle name="SAPBEXHLevel1X 4" xfId="2998" xr:uid="{00000000-0005-0000-0000-00007F110000}"/>
    <cellStyle name="SAPBEXHLevel1X 5" xfId="2999" xr:uid="{00000000-0005-0000-0000-000080110000}"/>
    <cellStyle name="SAPBEXHLevel1X 6" xfId="3000" xr:uid="{00000000-0005-0000-0000-000081110000}"/>
    <cellStyle name="SAPBEXHLevel1X 7" xfId="3001" xr:uid="{00000000-0005-0000-0000-000082110000}"/>
    <cellStyle name="SAPBEXHLevel1X 8" xfId="3002" xr:uid="{00000000-0005-0000-0000-000083110000}"/>
    <cellStyle name="SAPBEXHLevel1X 9" xfId="3003" xr:uid="{00000000-0005-0000-0000-000084110000}"/>
    <cellStyle name="SAPBEXHLevel1X_Sheet3" xfId="3004" xr:uid="{00000000-0005-0000-0000-000085110000}"/>
    <cellStyle name="SAPBEXHLevel2" xfId="3005" xr:uid="{00000000-0005-0000-0000-000086110000}"/>
    <cellStyle name="SAPBEXHLevel2 2" xfId="3006" xr:uid="{00000000-0005-0000-0000-000087110000}"/>
    <cellStyle name="SAPBEXHLevel2 3" xfId="3007" xr:uid="{00000000-0005-0000-0000-000088110000}"/>
    <cellStyle name="SAPBEXHLevel2 4" xfId="3008" xr:uid="{00000000-0005-0000-0000-000089110000}"/>
    <cellStyle name="SAPBEXHLevel2 5" xfId="3009" xr:uid="{00000000-0005-0000-0000-00008A110000}"/>
    <cellStyle name="SAPBEXHLevel2 6" xfId="3010" xr:uid="{00000000-0005-0000-0000-00008B110000}"/>
    <cellStyle name="SAPBEXHLevel2 7" xfId="3011" xr:uid="{00000000-0005-0000-0000-00008C110000}"/>
    <cellStyle name="SAPBEXHLevel2 8" xfId="3012" xr:uid="{00000000-0005-0000-0000-00008D110000}"/>
    <cellStyle name="SAPBEXHLevel2 9" xfId="3013" xr:uid="{00000000-0005-0000-0000-00008E110000}"/>
    <cellStyle name="SAPBEXHLevel2_Sheet3" xfId="3014" xr:uid="{00000000-0005-0000-0000-00008F110000}"/>
    <cellStyle name="SAPBEXHLevel2X" xfId="3015" xr:uid="{00000000-0005-0000-0000-000090110000}"/>
    <cellStyle name="SAPBEXHLevel2X 2" xfId="3016" xr:uid="{00000000-0005-0000-0000-000091110000}"/>
    <cellStyle name="SAPBEXHLevel2X 3" xfId="3017" xr:uid="{00000000-0005-0000-0000-000092110000}"/>
    <cellStyle name="SAPBEXHLevel2X 4" xfId="3018" xr:uid="{00000000-0005-0000-0000-000093110000}"/>
    <cellStyle name="SAPBEXHLevel2X 5" xfId="3019" xr:uid="{00000000-0005-0000-0000-000094110000}"/>
    <cellStyle name="SAPBEXHLevel2X 6" xfId="3020" xr:uid="{00000000-0005-0000-0000-000095110000}"/>
    <cellStyle name="SAPBEXHLevel2X 7" xfId="3021" xr:uid="{00000000-0005-0000-0000-000096110000}"/>
    <cellStyle name="SAPBEXHLevel2X 8" xfId="3022" xr:uid="{00000000-0005-0000-0000-000097110000}"/>
    <cellStyle name="SAPBEXHLevel2X 9" xfId="3023" xr:uid="{00000000-0005-0000-0000-000098110000}"/>
    <cellStyle name="SAPBEXHLevel2X_Sheet3" xfId="3024" xr:uid="{00000000-0005-0000-0000-000099110000}"/>
    <cellStyle name="SAPBEXHLevel3" xfId="3025" xr:uid="{00000000-0005-0000-0000-00009A110000}"/>
    <cellStyle name="SAPBEXHLevel3 2" xfId="3026" xr:uid="{00000000-0005-0000-0000-00009B110000}"/>
    <cellStyle name="SAPBEXHLevel3 3" xfId="3027" xr:uid="{00000000-0005-0000-0000-00009C110000}"/>
    <cellStyle name="SAPBEXHLevel3 4" xfId="3028" xr:uid="{00000000-0005-0000-0000-00009D110000}"/>
    <cellStyle name="SAPBEXHLevel3 5" xfId="3029" xr:uid="{00000000-0005-0000-0000-00009E110000}"/>
    <cellStyle name="SAPBEXHLevel3 6" xfId="3030" xr:uid="{00000000-0005-0000-0000-00009F110000}"/>
    <cellStyle name="SAPBEXHLevel3 7" xfId="3031" xr:uid="{00000000-0005-0000-0000-0000A0110000}"/>
    <cellStyle name="SAPBEXHLevel3 8" xfId="3032" xr:uid="{00000000-0005-0000-0000-0000A1110000}"/>
    <cellStyle name="SAPBEXHLevel3 9" xfId="3033" xr:uid="{00000000-0005-0000-0000-0000A2110000}"/>
    <cellStyle name="SAPBEXHLevel3_Sheet3" xfId="3034" xr:uid="{00000000-0005-0000-0000-0000A3110000}"/>
    <cellStyle name="SAPBEXHLevel3X" xfId="3035" xr:uid="{00000000-0005-0000-0000-0000A4110000}"/>
    <cellStyle name="SAPBEXHLevel3X 2" xfId="3036" xr:uid="{00000000-0005-0000-0000-0000A5110000}"/>
    <cellStyle name="SAPBEXHLevel3X 3" xfId="3037" xr:uid="{00000000-0005-0000-0000-0000A6110000}"/>
    <cellStyle name="SAPBEXHLevel3X 4" xfId="3038" xr:uid="{00000000-0005-0000-0000-0000A7110000}"/>
    <cellStyle name="SAPBEXHLevel3X 5" xfId="3039" xr:uid="{00000000-0005-0000-0000-0000A8110000}"/>
    <cellStyle name="SAPBEXHLevel3X 6" xfId="3040" xr:uid="{00000000-0005-0000-0000-0000A9110000}"/>
    <cellStyle name="SAPBEXHLevel3X 7" xfId="3041" xr:uid="{00000000-0005-0000-0000-0000AA110000}"/>
    <cellStyle name="SAPBEXHLevel3X 8" xfId="3042" xr:uid="{00000000-0005-0000-0000-0000AB110000}"/>
    <cellStyle name="SAPBEXHLevel3X 9" xfId="3043" xr:uid="{00000000-0005-0000-0000-0000AC110000}"/>
    <cellStyle name="SAPBEXHLevel3X_Sheet3" xfId="3044" xr:uid="{00000000-0005-0000-0000-0000AD110000}"/>
    <cellStyle name="SAPBEXresData" xfId="3045" xr:uid="{00000000-0005-0000-0000-0000AE110000}"/>
    <cellStyle name="SAPBEXresData 2" xfId="3046" xr:uid="{00000000-0005-0000-0000-0000AF110000}"/>
    <cellStyle name="SAPBEXresData 3" xfId="3047" xr:uid="{00000000-0005-0000-0000-0000B0110000}"/>
    <cellStyle name="SAPBEXresData 4" xfId="3048" xr:uid="{00000000-0005-0000-0000-0000B1110000}"/>
    <cellStyle name="SAPBEXresData 5" xfId="3049" xr:uid="{00000000-0005-0000-0000-0000B2110000}"/>
    <cellStyle name="SAPBEXresData 6" xfId="3050" xr:uid="{00000000-0005-0000-0000-0000B3110000}"/>
    <cellStyle name="SAPBEXresData 7" xfId="3051" xr:uid="{00000000-0005-0000-0000-0000B4110000}"/>
    <cellStyle name="SAPBEXresData 8" xfId="3052" xr:uid="{00000000-0005-0000-0000-0000B5110000}"/>
    <cellStyle name="SAPBEXresData 9" xfId="3053" xr:uid="{00000000-0005-0000-0000-0000B6110000}"/>
    <cellStyle name="SAPBEXresData_Sheet3" xfId="3054" xr:uid="{00000000-0005-0000-0000-0000B7110000}"/>
    <cellStyle name="SAPBEXresDataEmph" xfId="3055" xr:uid="{00000000-0005-0000-0000-0000B8110000}"/>
    <cellStyle name="SAPBEXresDataEmph 2" xfId="3056" xr:uid="{00000000-0005-0000-0000-0000B9110000}"/>
    <cellStyle name="SAPBEXresDataEmph 3" xfId="3057" xr:uid="{00000000-0005-0000-0000-0000BA110000}"/>
    <cellStyle name="SAPBEXresDataEmph 4" xfId="3058" xr:uid="{00000000-0005-0000-0000-0000BB110000}"/>
    <cellStyle name="SAPBEXresDataEmph 5" xfId="3059" xr:uid="{00000000-0005-0000-0000-0000BC110000}"/>
    <cellStyle name="SAPBEXresDataEmph 6" xfId="3060" xr:uid="{00000000-0005-0000-0000-0000BD110000}"/>
    <cellStyle name="SAPBEXresDataEmph 7" xfId="3061" xr:uid="{00000000-0005-0000-0000-0000BE110000}"/>
    <cellStyle name="SAPBEXresDataEmph 8" xfId="3062" xr:uid="{00000000-0005-0000-0000-0000BF110000}"/>
    <cellStyle name="SAPBEXresDataEmph 9" xfId="3063" xr:uid="{00000000-0005-0000-0000-0000C0110000}"/>
    <cellStyle name="SAPBEXresDataEmph_Sheet3" xfId="3064" xr:uid="{00000000-0005-0000-0000-0000C1110000}"/>
    <cellStyle name="SAPBEXresItem" xfId="3065" xr:uid="{00000000-0005-0000-0000-0000C2110000}"/>
    <cellStyle name="SAPBEXresItem 2" xfId="3066" xr:uid="{00000000-0005-0000-0000-0000C3110000}"/>
    <cellStyle name="SAPBEXresItem 3" xfId="3067" xr:uid="{00000000-0005-0000-0000-0000C4110000}"/>
    <cellStyle name="SAPBEXresItem 4" xfId="3068" xr:uid="{00000000-0005-0000-0000-0000C5110000}"/>
    <cellStyle name="SAPBEXresItem 5" xfId="3069" xr:uid="{00000000-0005-0000-0000-0000C6110000}"/>
    <cellStyle name="SAPBEXresItem 6" xfId="3070" xr:uid="{00000000-0005-0000-0000-0000C7110000}"/>
    <cellStyle name="SAPBEXresItem 7" xfId="3071" xr:uid="{00000000-0005-0000-0000-0000C8110000}"/>
    <cellStyle name="SAPBEXresItem 8" xfId="3072" xr:uid="{00000000-0005-0000-0000-0000C9110000}"/>
    <cellStyle name="SAPBEXresItem 9" xfId="3073" xr:uid="{00000000-0005-0000-0000-0000CA110000}"/>
    <cellStyle name="SAPBEXresItem_Sheet3" xfId="3074" xr:uid="{00000000-0005-0000-0000-0000CB110000}"/>
    <cellStyle name="SAPBEXresItemX" xfId="3075" xr:uid="{00000000-0005-0000-0000-0000CC110000}"/>
    <cellStyle name="SAPBEXresItemX 2" xfId="3076" xr:uid="{00000000-0005-0000-0000-0000CD110000}"/>
    <cellStyle name="SAPBEXresItemX 3" xfId="3077" xr:uid="{00000000-0005-0000-0000-0000CE110000}"/>
    <cellStyle name="SAPBEXresItemX 4" xfId="3078" xr:uid="{00000000-0005-0000-0000-0000CF110000}"/>
    <cellStyle name="SAPBEXresItemX 5" xfId="3079" xr:uid="{00000000-0005-0000-0000-0000D0110000}"/>
    <cellStyle name="SAPBEXresItemX 6" xfId="3080" xr:uid="{00000000-0005-0000-0000-0000D1110000}"/>
    <cellStyle name="SAPBEXresItemX 7" xfId="3081" xr:uid="{00000000-0005-0000-0000-0000D2110000}"/>
    <cellStyle name="SAPBEXresItemX 8" xfId="3082" xr:uid="{00000000-0005-0000-0000-0000D3110000}"/>
    <cellStyle name="SAPBEXresItemX 9" xfId="3083" xr:uid="{00000000-0005-0000-0000-0000D4110000}"/>
    <cellStyle name="SAPBEXresItemX_Sheet3" xfId="3084" xr:uid="{00000000-0005-0000-0000-0000D5110000}"/>
    <cellStyle name="SAPBEXstdData" xfId="3085" xr:uid="{00000000-0005-0000-0000-0000D6110000}"/>
    <cellStyle name="SAPBEXstdData 2" xfId="3086" xr:uid="{00000000-0005-0000-0000-0000D7110000}"/>
    <cellStyle name="SAPBEXstdData 3" xfId="3087" xr:uid="{00000000-0005-0000-0000-0000D8110000}"/>
    <cellStyle name="SAPBEXstdData 4" xfId="3088" xr:uid="{00000000-0005-0000-0000-0000D9110000}"/>
    <cellStyle name="SAPBEXstdData 5" xfId="3089" xr:uid="{00000000-0005-0000-0000-0000DA110000}"/>
    <cellStyle name="SAPBEXstdData 6" xfId="3090" xr:uid="{00000000-0005-0000-0000-0000DB110000}"/>
    <cellStyle name="SAPBEXstdData 7" xfId="3091" xr:uid="{00000000-0005-0000-0000-0000DC110000}"/>
    <cellStyle name="SAPBEXstdData 8" xfId="3092" xr:uid="{00000000-0005-0000-0000-0000DD110000}"/>
    <cellStyle name="SAPBEXstdData 9" xfId="3093" xr:uid="{00000000-0005-0000-0000-0000DE110000}"/>
    <cellStyle name="SAPBEXstdData_Sheet3" xfId="3094" xr:uid="{00000000-0005-0000-0000-0000DF110000}"/>
    <cellStyle name="SAPBEXstdDataEmph" xfId="3095" xr:uid="{00000000-0005-0000-0000-0000E0110000}"/>
    <cellStyle name="SAPBEXstdDataEmph 2" xfId="3096" xr:uid="{00000000-0005-0000-0000-0000E1110000}"/>
    <cellStyle name="SAPBEXstdDataEmph 3" xfId="3097" xr:uid="{00000000-0005-0000-0000-0000E2110000}"/>
    <cellStyle name="SAPBEXstdDataEmph 4" xfId="3098" xr:uid="{00000000-0005-0000-0000-0000E3110000}"/>
    <cellStyle name="SAPBEXstdDataEmph 5" xfId="3099" xr:uid="{00000000-0005-0000-0000-0000E4110000}"/>
    <cellStyle name="SAPBEXstdDataEmph 6" xfId="3100" xr:uid="{00000000-0005-0000-0000-0000E5110000}"/>
    <cellStyle name="SAPBEXstdDataEmph 7" xfId="3101" xr:uid="{00000000-0005-0000-0000-0000E6110000}"/>
    <cellStyle name="SAPBEXstdDataEmph 8" xfId="3102" xr:uid="{00000000-0005-0000-0000-0000E7110000}"/>
    <cellStyle name="SAPBEXstdDataEmph 9" xfId="3103" xr:uid="{00000000-0005-0000-0000-0000E8110000}"/>
    <cellStyle name="SAPBEXstdDataEmph_Sheet3" xfId="3104" xr:uid="{00000000-0005-0000-0000-0000E9110000}"/>
    <cellStyle name="SAPBEXstdItem" xfId="3105" xr:uid="{00000000-0005-0000-0000-0000EA110000}"/>
    <cellStyle name="SAPBEXstdItem 2" xfId="3106" xr:uid="{00000000-0005-0000-0000-0000EB110000}"/>
    <cellStyle name="SAPBEXstdItem 3" xfId="3107" xr:uid="{00000000-0005-0000-0000-0000EC110000}"/>
    <cellStyle name="SAPBEXstdItem 4" xfId="3108" xr:uid="{00000000-0005-0000-0000-0000ED110000}"/>
    <cellStyle name="SAPBEXstdItem 5" xfId="3109" xr:uid="{00000000-0005-0000-0000-0000EE110000}"/>
    <cellStyle name="SAPBEXstdItem 6" xfId="3110" xr:uid="{00000000-0005-0000-0000-0000EF110000}"/>
    <cellStyle name="SAPBEXstdItem 7" xfId="3111" xr:uid="{00000000-0005-0000-0000-0000F0110000}"/>
    <cellStyle name="SAPBEXstdItem 8" xfId="3112" xr:uid="{00000000-0005-0000-0000-0000F1110000}"/>
    <cellStyle name="SAPBEXstdItem 9" xfId="3113" xr:uid="{00000000-0005-0000-0000-0000F2110000}"/>
    <cellStyle name="SAPBEXstdItem_Sheet3" xfId="3114" xr:uid="{00000000-0005-0000-0000-0000F3110000}"/>
    <cellStyle name="SAPBEXstdItemX" xfId="3115" xr:uid="{00000000-0005-0000-0000-0000F4110000}"/>
    <cellStyle name="SAPBEXstdItemX 2" xfId="3116" xr:uid="{00000000-0005-0000-0000-0000F5110000}"/>
    <cellStyle name="SAPBEXstdItemX 3" xfId="3117" xr:uid="{00000000-0005-0000-0000-0000F6110000}"/>
    <cellStyle name="SAPBEXstdItemX 4" xfId="3118" xr:uid="{00000000-0005-0000-0000-0000F7110000}"/>
    <cellStyle name="SAPBEXstdItemX 5" xfId="3119" xr:uid="{00000000-0005-0000-0000-0000F8110000}"/>
    <cellStyle name="SAPBEXstdItemX 6" xfId="3120" xr:uid="{00000000-0005-0000-0000-0000F9110000}"/>
    <cellStyle name="SAPBEXstdItemX 7" xfId="3121" xr:uid="{00000000-0005-0000-0000-0000FA110000}"/>
    <cellStyle name="SAPBEXstdItemX 8" xfId="3122" xr:uid="{00000000-0005-0000-0000-0000FB110000}"/>
    <cellStyle name="SAPBEXstdItemX 9" xfId="3123" xr:uid="{00000000-0005-0000-0000-0000FC110000}"/>
    <cellStyle name="SAPBEXstdItemX_Sheet3" xfId="3124" xr:uid="{00000000-0005-0000-0000-0000FD110000}"/>
    <cellStyle name="SAPBEXtitle" xfId="3125" xr:uid="{00000000-0005-0000-0000-0000FE110000}"/>
    <cellStyle name="SAPBEXundefined" xfId="3126" xr:uid="{00000000-0005-0000-0000-0000FF110000}"/>
    <cellStyle name="SAPBEXundefined 2" xfId="3127" xr:uid="{00000000-0005-0000-0000-000000120000}"/>
    <cellStyle name="SAPBEXundefined 3" xfId="3128" xr:uid="{00000000-0005-0000-0000-000001120000}"/>
    <cellStyle name="SAPBEXundefined 4" xfId="3129" xr:uid="{00000000-0005-0000-0000-000002120000}"/>
    <cellStyle name="SAPBEXundefined 5" xfId="3130" xr:uid="{00000000-0005-0000-0000-000003120000}"/>
    <cellStyle name="SAPBEXundefined 6" xfId="3131" xr:uid="{00000000-0005-0000-0000-000004120000}"/>
    <cellStyle name="SAPBEXundefined 7" xfId="3132" xr:uid="{00000000-0005-0000-0000-000005120000}"/>
    <cellStyle name="SAPBEXundefined 8" xfId="3133" xr:uid="{00000000-0005-0000-0000-000006120000}"/>
    <cellStyle name="SAPBEXundefined 9" xfId="3134" xr:uid="{00000000-0005-0000-0000-000007120000}"/>
    <cellStyle name="SAPBEXundefined_Sheet3" xfId="3135" xr:uid="{00000000-0005-0000-0000-000008120000}"/>
    <cellStyle name="SDEntry" xfId="3136" xr:uid="{00000000-0005-0000-0000-000009120000}"/>
    <cellStyle name="SDHeader" xfId="3137" xr:uid="{00000000-0005-0000-0000-00000A120000}"/>
    <cellStyle name="SECategory" xfId="3138" xr:uid="{00000000-0005-0000-0000-00000B120000}"/>
    <cellStyle name="section" xfId="3139" xr:uid="{00000000-0005-0000-0000-00000C120000}"/>
    <cellStyle name="SEEntry" xfId="3140" xr:uid="{00000000-0005-0000-0000-00000D120000}"/>
    <cellStyle name="SEFormula" xfId="3141" xr:uid="{00000000-0005-0000-0000-00000E120000}"/>
    <cellStyle name="SEHeader" xfId="3142" xr:uid="{00000000-0005-0000-0000-00000F120000}"/>
    <cellStyle name="SELocked" xfId="3143" xr:uid="{00000000-0005-0000-0000-000010120000}"/>
    <cellStyle name="SEPEntry" xfId="3144" xr:uid="{00000000-0005-0000-0000-000011120000}"/>
    <cellStyle name="Shaded" xfId="3145" xr:uid="{00000000-0005-0000-0000-000012120000}"/>
    <cellStyle name="Sheet Title" xfId="3146" xr:uid="{00000000-0005-0000-0000-000013120000}"/>
    <cellStyle name="SPEntry" xfId="3147" xr:uid="{00000000-0005-0000-0000-000014120000}"/>
    <cellStyle name="SPFormula" xfId="3148" xr:uid="{00000000-0005-0000-0000-000015120000}"/>
    <cellStyle name="SPHeader" xfId="3149" xr:uid="{00000000-0005-0000-0000-000016120000}"/>
    <cellStyle name="SPLocked" xfId="3150" xr:uid="{00000000-0005-0000-0000-000017120000}"/>
    <cellStyle name="SRHeader" xfId="3151" xr:uid="{00000000-0005-0000-0000-000018120000}"/>
    <cellStyle name="Standard_Anpassen der Amortisation" xfId="3152" xr:uid="{00000000-0005-0000-0000-000019120000}"/>
    <cellStyle name="Style 1" xfId="3153" xr:uid="{00000000-0005-0000-0000-00001A120000}"/>
    <cellStyle name="Style 1 2" xfId="3154" xr:uid="{00000000-0005-0000-0000-00001B120000}"/>
    <cellStyle name="Style 2" xfId="3155" xr:uid="{00000000-0005-0000-0000-00001C120000}"/>
    <cellStyle name="Style 21" xfId="3156" xr:uid="{00000000-0005-0000-0000-00001D120000}"/>
    <cellStyle name="Style 22" xfId="3157" xr:uid="{00000000-0005-0000-0000-00001E120000}"/>
    <cellStyle name="Style 23" xfId="3158" xr:uid="{00000000-0005-0000-0000-00001F120000}"/>
    <cellStyle name="Style 24" xfId="3159" xr:uid="{00000000-0005-0000-0000-000020120000}"/>
    <cellStyle name="Style 25" xfId="3160" xr:uid="{00000000-0005-0000-0000-000021120000}"/>
    <cellStyle name="Style 26" xfId="3161" xr:uid="{00000000-0005-0000-0000-000022120000}"/>
    <cellStyle name="Style 27" xfId="3162" xr:uid="{00000000-0005-0000-0000-000023120000}"/>
    <cellStyle name="Style 28" xfId="3163" xr:uid="{00000000-0005-0000-0000-000024120000}"/>
    <cellStyle name="Style 29" xfId="3164" xr:uid="{00000000-0005-0000-0000-000025120000}"/>
    <cellStyle name="Style 30" xfId="3165" xr:uid="{00000000-0005-0000-0000-000026120000}"/>
    <cellStyle name="Style 31" xfId="3166" xr:uid="{00000000-0005-0000-0000-000027120000}"/>
    <cellStyle name="subhead" xfId="3167" xr:uid="{00000000-0005-0000-0000-000028120000}"/>
    <cellStyle name="subhead 2" xfId="3168" xr:uid="{00000000-0005-0000-0000-000029120000}"/>
    <cellStyle name="SubTotal" xfId="3169" xr:uid="{00000000-0005-0000-0000-00002A120000}"/>
    <cellStyle name="SubTotal 10" xfId="3170" xr:uid="{00000000-0005-0000-0000-00002B120000}"/>
    <cellStyle name="SubTotal 11" xfId="3171" xr:uid="{00000000-0005-0000-0000-00002C120000}"/>
    <cellStyle name="SubTotal 12" xfId="3172" xr:uid="{00000000-0005-0000-0000-00002D120000}"/>
    <cellStyle name="SubTotal 2" xfId="3173" xr:uid="{00000000-0005-0000-0000-00002E120000}"/>
    <cellStyle name="SubTotal 2 10" xfId="3174" xr:uid="{00000000-0005-0000-0000-00002F120000}"/>
    <cellStyle name="SubTotal 2 11" xfId="3175" xr:uid="{00000000-0005-0000-0000-000030120000}"/>
    <cellStyle name="SubTotal 2 2" xfId="3176" xr:uid="{00000000-0005-0000-0000-000031120000}"/>
    <cellStyle name="SubTotal 2 2 2" xfId="3177" xr:uid="{00000000-0005-0000-0000-000032120000}"/>
    <cellStyle name="SubTotal 2 2 3" xfId="3178" xr:uid="{00000000-0005-0000-0000-000033120000}"/>
    <cellStyle name="SubTotal 2 2 4" xfId="3179" xr:uid="{00000000-0005-0000-0000-000034120000}"/>
    <cellStyle name="SubTotal 2 2_Sheet3" xfId="3180" xr:uid="{00000000-0005-0000-0000-000035120000}"/>
    <cellStyle name="SubTotal 2 3" xfId="3181" xr:uid="{00000000-0005-0000-0000-000036120000}"/>
    <cellStyle name="SubTotal 2 3 2" xfId="3182" xr:uid="{00000000-0005-0000-0000-000037120000}"/>
    <cellStyle name="SubTotal 2 3 3" xfId="3183" xr:uid="{00000000-0005-0000-0000-000038120000}"/>
    <cellStyle name="SubTotal 2 3 4" xfId="3184" xr:uid="{00000000-0005-0000-0000-000039120000}"/>
    <cellStyle name="SubTotal 2 3_Sheet3" xfId="3185" xr:uid="{00000000-0005-0000-0000-00003A120000}"/>
    <cellStyle name="SubTotal 2 4" xfId="3186" xr:uid="{00000000-0005-0000-0000-00003B120000}"/>
    <cellStyle name="SubTotal 2 5" xfId="3187" xr:uid="{00000000-0005-0000-0000-00003C120000}"/>
    <cellStyle name="SubTotal 2 6" xfId="3188" xr:uid="{00000000-0005-0000-0000-00003D120000}"/>
    <cellStyle name="SubTotal 2 7" xfId="3189" xr:uid="{00000000-0005-0000-0000-00003E120000}"/>
    <cellStyle name="SubTotal 2 8" xfId="3190" xr:uid="{00000000-0005-0000-0000-00003F120000}"/>
    <cellStyle name="SubTotal 2 9" xfId="3191" xr:uid="{00000000-0005-0000-0000-000040120000}"/>
    <cellStyle name="SubTotal 2_Sheet3" xfId="3192" xr:uid="{00000000-0005-0000-0000-000041120000}"/>
    <cellStyle name="SubTotal 3" xfId="3193" xr:uid="{00000000-0005-0000-0000-000042120000}"/>
    <cellStyle name="SubTotal 3 2" xfId="3194" xr:uid="{00000000-0005-0000-0000-000043120000}"/>
    <cellStyle name="SubTotal 3 3" xfId="3195" xr:uid="{00000000-0005-0000-0000-000044120000}"/>
    <cellStyle name="SubTotal 3 4" xfId="3196" xr:uid="{00000000-0005-0000-0000-000045120000}"/>
    <cellStyle name="SubTotal 3_Sheet3" xfId="3197" xr:uid="{00000000-0005-0000-0000-000046120000}"/>
    <cellStyle name="SubTotal 4" xfId="3198" xr:uid="{00000000-0005-0000-0000-000047120000}"/>
    <cellStyle name="SubTotal 4 2" xfId="3199" xr:uid="{00000000-0005-0000-0000-000048120000}"/>
    <cellStyle name="SubTotal 4 3" xfId="3200" xr:uid="{00000000-0005-0000-0000-000049120000}"/>
    <cellStyle name="SubTotal 4 4" xfId="3201" xr:uid="{00000000-0005-0000-0000-00004A120000}"/>
    <cellStyle name="SubTotal 4_Sheet3" xfId="3202" xr:uid="{00000000-0005-0000-0000-00004B120000}"/>
    <cellStyle name="SubTotal 5" xfId="3203" xr:uid="{00000000-0005-0000-0000-00004C120000}"/>
    <cellStyle name="SubTotal 6" xfId="3204" xr:uid="{00000000-0005-0000-0000-00004D120000}"/>
    <cellStyle name="SubTotal 7" xfId="3205" xr:uid="{00000000-0005-0000-0000-00004E120000}"/>
    <cellStyle name="SubTotal 8" xfId="3206" xr:uid="{00000000-0005-0000-0000-00004F120000}"/>
    <cellStyle name="SubTotal 9" xfId="3207" xr:uid="{00000000-0005-0000-0000-000050120000}"/>
    <cellStyle name="SubTotal_Sheet3" xfId="3208" xr:uid="{00000000-0005-0000-0000-000051120000}"/>
    <cellStyle name="Table Col Head" xfId="3209" xr:uid="{00000000-0005-0000-0000-000052120000}"/>
    <cellStyle name="Table Sub Head" xfId="3210" xr:uid="{00000000-0005-0000-0000-000053120000}"/>
    <cellStyle name="Table Title" xfId="3211" xr:uid="{00000000-0005-0000-0000-000054120000}"/>
    <cellStyle name="Table Units" xfId="3212" xr:uid="{00000000-0005-0000-0000-000055120000}"/>
    <cellStyle name="Text [Bullet]" xfId="3213" xr:uid="{00000000-0005-0000-0000-000056120000}"/>
    <cellStyle name="Text [Dash]" xfId="3214" xr:uid="{00000000-0005-0000-0000-000057120000}"/>
    <cellStyle name="Text [Em-Dash]" xfId="3215" xr:uid="{00000000-0005-0000-0000-000058120000}"/>
    <cellStyle name="Text Indent A" xfId="3216" xr:uid="{00000000-0005-0000-0000-000059120000}"/>
    <cellStyle name="Text Indent B" xfId="3217" xr:uid="{00000000-0005-0000-0000-00005A120000}"/>
    <cellStyle name="Text Indent C" xfId="3218" xr:uid="{00000000-0005-0000-0000-00005B120000}"/>
    <cellStyle name="þ_x001d_ð¤_x000c_¯þ_x0014__x000d_¨þU_x0001_À_x0004_ _x0015__x000f__x0001__x0001_" xfId="3219" xr:uid="{00000000-0005-0000-0000-00005C120000}"/>
    <cellStyle name="þ_x001d_ðK_x000c_Fý_x001b__x000d_9ýU_x0001_Ð_x0008_¦)_x0007__x0001__x0001_" xfId="3220" xr:uid="{00000000-0005-0000-0000-00005D120000}"/>
    <cellStyle name="Times" xfId="3221" xr:uid="{00000000-0005-0000-0000-00005E120000}"/>
    <cellStyle name="Times [1]" xfId="3222" xr:uid="{00000000-0005-0000-0000-00005F120000}"/>
    <cellStyle name="Times [2]" xfId="3223" xr:uid="{00000000-0005-0000-0000-000060120000}"/>
    <cellStyle name="Times New Roman" xfId="3224" xr:uid="{00000000-0005-0000-0000-000061120000}"/>
    <cellStyle name="Title" xfId="2" builtinId="15" customBuiltin="1"/>
    <cellStyle name="Title 2" xfId="3225" xr:uid="{00000000-0005-0000-0000-000063120000}"/>
    <cellStyle name="Title 3" xfId="3226" xr:uid="{00000000-0005-0000-0000-000064120000}"/>
    <cellStyle name="Title 4" xfId="3227" xr:uid="{00000000-0005-0000-0000-000065120000}"/>
    <cellStyle name="Title 5" xfId="3228" xr:uid="{00000000-0005-0000-0000-000066120000}"/>
    <cellStyle name="Total" xfId="18" builtinId="25" customBuiltin="1"/>
    <cellStyle name="Total 2" xfId="3229" xr:uid="{00000000-0005-0000-0000-000068120000}"/>
    <cellStyle name="Total 3" xfId="3230" xr:uid="{00000000-0005-0000-0000-000069120000}"/>
    <cellStyle name="Total 4" xfId="3231" xr:uid="{00000000-0005-0000-0000-00006A120000}"/>
    <cellStyle name="Total 5" xfId="3232" xr:uid="{00000000-0005-0000-0000-00006B120000}"/>
    <cellStyle name="UB1" xfId="3233" xr:uid="{00000000-0005-0000-0000-00006C120000}"/>
    <cellStyle name="UB2" xfId="3234" xr:uid="{00000000-0005-0000-0000-00006D120000}"/>
    <cellStyle name="Virgulă_Buget 2006 draft 4.1 modificat 27 Noiembrie,concil Cami. xls" xfId="3235" xr:uid="{00000000-0005-0000-0000-00006E120000}"/>
    <cellStyle name="Vírgula_Global P&amp;L" xfId="3236" xr:uid="{00000000-0005-0000-0000-00006F120000}"/>
    <cellStyle name="Virgulă_MIS format 2006" xfId="3237" xr:uid="{00000000-0005-0000-0000-000070120000}"/>
    <cellStyle name="VN new romanNormal" xfId="3238" xr:uid="{00000000-0005-0000-0000-000071120000}"/>
    <cellStyle name="VN time new roman" xfId="3239" xr:uid="{00000000-0005-0000-0000-000072120000}"/>
    <cellStyle name="vnbo" xfId="3240" xr:uid="{00000000-0005-0000-0000-000073120000}"/>
    <cellStyle name="vnbo 10" xfId="3241" xr:uid="{00000000-0005-0000-0000-000074120000}"/>
    <cellStyle name="vnbo 2" xfId="3242" xr:uid="{00000000-0005-0000-0000-000075120000}"/>
    <cellStyle name="vnbo 3" xfId="3243" xr:uid="{00000000-0005-0000-0000-000076120000}"/>
    <cellStyle name="vnbo 4" xfId="3244" xr:uid="{00000000-0005-0000-0000-000077120000}"/>
    <cellStyle name="vnbo 5" xfId="3245" xr:uid="{00000000-0005-0000-0000-000078120000}"/>
    <cellStyle name="vnbo 6" xfId="3246" xr:uid="{00000000-0005-0000-0000-000079120000}"/>
    <cellStyle name="vnbo 7" xfId="3247" xr:uid="{00000000-0005-0000-0000-00007A120000}"/>
    <cellStyle name="vnbo 8" xfId="3248" xr:uid="{00000000-0005-0000-0000-00007B120000}"/>
    <cellStyle name="vnbo 9" xfId="3249" xr:uid="{00000000-0005-0000-0000-00007C120000}"/>
    <cellStyle name="vnbo_Sheet3" xfId="3250" xr:uid="{00000000-0005-0000-0000-00007D120000}"/>
    <cellStyle name="vnhead1" xfId="3251" xr:uid="{00000000-0005-0000-0000-00007E120000}"/>
    <cellStyle name="vnhead2" xfId="3252" xr:uid="{00000000-0005-0000-0000-00007F120000}"/>
    <cellStyle name="vnhead2 10" xfId="3253" xr:uid="{00000000-0005-0000-0000-000080120000}"/>
    <cellStyle name="vnhead2 2" xfId="3254" xr:uid="{00000000-0005-0000-0000-000081120000}"/>
    <cellStyle name="vnhead2 3" xfId="3255" xr:uid="{00000000-0005-0000-0000-000082120000}"/>
    <cellStyle name="vnhead2 4" xfId="3256" xr:uid="{00000000-0005-0000-0000-000083120000}"/>
    <cellStyle name="vnhead2 5" xfId="3257" xr:uid="{00000000-0005-0000-0000-000084120000}"/>
    <cellStyle name="vnhead2 6" xfId="3258" xr:uid="{00000000-0005-0000-0000-000085120000}"/>
    <cellStyle name="vnhead2 7" xfId="3259" xr:uid="{00000000-0005-0000-0000-000086120000}"/>
    <cellStyle name="vnhead2 8" xfId="3260" xr:uid="{00000000-0005-0000-0000-000087120000}"/>
    <cellStyle name="vnhead2 9" xfId="3261" xr:uid="{00000000-0005-0000-0000-000088120000}"/>
    <cellStyle name="vnhead2_Sheet3" xfId="3262" xr:uid="{00000000-0005-0000-0000-000089120000}"/>
    <cellStyle name="vnhead3" xfId="3263" xr:uid="{00000000-0005-0000-0000-00008A120000}"/>
    <cellStyle name="vnhead3 10" xfId="3264" xr:uid="{00000000-0005-0000-0000-00008B120000}"/>
    <cellStyle name="vnhead3 2" xfId="3265" xr:uid="{00000000-0005-0000-0000-00008C120000}"/>
    <cellStyle name="vnhead3 3" xfId="3266" xr:uid="{00000000-0005-0000-0000-00008D120000}"/>
    <cellStyle name="vnhead3 4" xfId="3267" xr:uid="{00000000-0005-0000-0000-00008E120000}"/>
    <cellStyle name="vnhead3 5" xfId="3268" xr:uid="{00000000-0005-0000-0000-00008F120000}"/>
    <cellStyle name="vnhead3 6" xfId="3269" xr:uid="{00000000-0005-0000-0000-000090120000}"/>
    <cellStyle name="vnhead3 7" xfId="3270" xr:uid="{00000000-0005-0000-0000-000091120000}"/>
    <cellStyle name="vnhead3 8" xfId="3271" xr:uid="{00000000-0005-0000-0000-000092120000}"/>
    <cellStyle name="vnhead3 9" xfId="3272" xr:uid="{00000000-0005-0000-0000-000093120000}"/>
    <cellStyle name="vnhead3_Sheet3" xfId="3273" xr:uid="{00000000-0005-0000-0000-000094120000}"/>
    <cellStyle name="vnhead4" xfId="3274" xr:uid="{00000000-0005-0000-0000-000095120000}"/>
    <cellStyle name="vntxt1" xfId="3275" xr:uid="{00000000-0005-0000-0000-000096120000}"/>
    <cellStyle name="vntxt2" xfId="3276" xr:uid="{00000000-0005-0000-0000-000097120000}"/>
    <cellStyle name="w12" xfId="3277" xr:uid="{00000000-0005-0000-0000-000098120000}"/>
    <cellStyle name="Währung [0]_Compiling Utility Macros" xfId="3278" xr:uid="{00000000-0005-0000-0000-000099120000}"/>
    <cellStyle name="Währung_Compiling Utility Macros" xfId="3279" xr:uid="{00000000-0005-0000-0000-00009A120000}"/>
    <cellStyle name="Warning Text" xfId="15" builtinId="11" customBuiltin="1"/>
    <cellStyle name="Warning Text 2" xfId="3280" xr:uid="{00000000-0005-0000-0000-00009C120000}"/>
    <cellStyle name="Warning Text 3" xfId="3281" xr:uid="{00000000-0005-0000-0000-00009D120000}"/>
    <cellStyle name="Warning Text 4" xfId="3282" xr:uid="{00000000-0005-0000-0000-00009E120000}"/>
    <cellStyle name="Warning Text 5" xfId="3283" xr:uid="{00000000-0005-0000-0000-00009F120000}"/>
    <cellStyle name="xuan" xfId="3284" xr:uid="{00000000-0005-0000-0000-0000A0120000}"/>
    <cellStyle name="Year" xfId="3285" xr:uid="{00000000-0005-0000-0000-0000A1120000}"/>
    <cellStyle name="ZERO" xfId="3286" xr:uid="{00000000-0005-0000-0000-0000A2120000}"/>
    <cellStyle name="Обычный_05-11-04" xfId="3287" xr:uid="{00000000-0005-0000-0000-0000A3120000}"/>
    <cellStyle name="Финансовый_01-03" xfId="3288" xr:uid="{00000000-0005-0000-0000-0000A4120000}"/>
    <cellStyle name="アクセント 1" xfId="3289" xr:uid="{00000000-0005-0000-0000-0000A5120000}"/>
    <cellStyle name="アクセント 2" xfId="3290" xr:uid="{00000000-0005-0000-0000-0000A6120000}"/>
    <cellStyle name="アクセント 3" xfId="3291" xr:uid="{00000000-0005-0000-0000-0000A7120000}"/>
    <cellStyle name="アクセント 4" xfId="3292" xr:uid="{00000000-0005-0000-0000-0000A8120000}"/>
    <cellStyle name="アクセント 5" xfId="3293" xr:uid="{00000000-0005-0000-0000-0000A9120000}"/>
    <cellStyle name="アクセント 6" xfId="3294" xr:uid="{00000000-0005-0000-0000-0000AA120000}"/>
    <cellStyle name="スタイル 1" xfId="3295" xr:uid="{00000000-0005-0000-0000-0000AB120000}"/>
    <cellStyle name="スタイル 2" xfId="3296" xr:uid="{00000000-0005-0000-0000-0000AC120000}"/>
    <cellStyle name="タイトル" xfId="3297" xr:uid="{00000000-0005-0000-0000-0000AD120000}"/>
    <cellStyle name="チェック セル" xfId="3298" xr:uid="{00000000-0005-0000-0000-0000AE120000}"/>
    <cellStyle name="どちらでもない" xfId="3299" xr:uid="{00000000-0005-0000-0000-0000AF120000}"/>
    <cellStyle name="ﾌｫﾝﾄだけ" xfId="3300" xr:uid="{00000000-0005-0000-0000-0000B0120000}"/>
    <cellStyle name="メモ" xfId="3301" xr:uid="{00000000-0005-0000-0000-0000B1120000}"/>
    <cellStyle name="メモ 10" xfId="3302" xr:uid="{00000000-0005-0000-0000-0000B2120000}"/>
    <cellStyle name="メモ 2" xfId="3303" xr:uid="{00000000-0005-0000-0000-0000B3120000}"/>
    <cellStyle name="メモ 3" xfId="3304" xr:uid="{00000000-0005-0000-0000-0000B4120000}"/>
    <cellStyle name="メモ 4" xfId="3305" xr:uid="{00000000-0005-0000-0000-0000B5120000}"/>
    <cellStyle name="メモ 5" xfId="3306" xr:uid="{00000000-0005-0000-0000-0000B6120000}"/>
    <cellStyle name="メモ 6" xfId="3307" xr:uid="{00000000-0005-0000-0000-0000B7120000}"/>
    <cellStyle name="メモ 7" xfId="3308" xr:uid="{00000000-0005-0000-0000-0000B8120000}"/>
    <cellStyle name="メモ 8" xfId="3309" xr:uid="{00000000-0005-0000-0000-0000B9120000}"/>
    <cellStyle name="メモ 9" xfId="3310" xr:uid="{00000000-0005-0000-0000-0000BA120000}"/>
    <cellStyle name="メモ_Sheet3" xfId="3311" xr:uid="{00000000-0005-0000-0000-0000BB120000}"/>
    <cellStyle name="リンク セル" xfId="3312" xr:uid="{00000000-0005-0000-0000-0000BC120000}"/>
    <cellStyle name=" [0.00]_ Att. 1- Cover" xfId="3313" xr:uid="{00000000-0005-0000-0000-0000BD120000}"/>
    <cellStyle name="_ Att. 1- Cover" xfId="3314" xr:uid="{00000000-0005-0000-0000-0000BE120000}"/>
    <cellStyle name="?_ Att. 1- Cover" xfId="3315" xr:uid="{00000000-0005-0000-0000-0000BF120000}"/>
    <cellStyle name="똿뗦먛귟 [0.00]_PRODUCT DETAIL Q1" xfId="3316" xr:uid="{00000000-0005-0000-0000-0000C0120000}"/>
    <cellStyle name="똿뗦먛귟_PRODUCT DETAIL Q1" xfId="3317" xr:uid="{00000000-0005-0000-0000-0000C1120000}"/>
    <cellStyle name="믅됞 [0.00]_PRODUCT DETAIL Q1" xfId="3318" xr:uid="{00000000-0005-0000-0000-0000C2120000}"/>
    <cellStyle name="믅됞_PRODUCT DETAIL Q1" xfId="3319" xr:uid="{00000000-0005-0000-0000-0000C3120000}"/>
    <cellStyle name="백분율_95" xfId="3320" xr:uid="{00000000-0005-0000-0000-0000C4120000}"/>
    <cellStyle name="뷭?_BOOKSHIP" xfId="3321" xr:uid="{00000000-0005-0000-0000-0000C5120000}"/>
    <cellStyle name="지정되지 않음" xfId="3322" xr:uid="{00000000-0005-0000-0000-0000C6120000}"/>
    <cellStyle name="콤마 [ - 유형1" xfId="3323" xr:uid="{00000000-0005-0000-0000-0000C7120000}"/>
    <cellStyle name="콤마 [ - 유형2" xfId="3324" xr:uid="{00000000-0005-0000-0000-0000C8120000}"/>
    <cellStyle name="콤마 [ - 유형3" xfId="3325" xr:uid="{00000000-0005-0000-0000-0000C9120000}"/>
    <cellStyle name="콤마 [ - 유형4" xfId="3326" xr:uid="{00000000-0005-0000-0000-0000CA120000}"/>
    <cellStyle name="콤마 [ - 유형5" xfId="3327" xr:uid="{00000000-0005-0000-0000-0000CB120000}"/>
    <cellStyle name="콤마 [ - 유형6" xfId="3328" xr:uid="{00000000-0005-0000-0000-0000CC120000}"/>
    <cellStyle name="콤마 [ - 유형7" xfId="3329" xr:uid="{00000000-0005-0000-0000-0000CD120000}"/>
    <cellStyle name="콤마 [ - 유형8" xfId="3330" xr:uid="{00000000-0005-0000-0000-0000CE120000}"/>
    <cellStyle name="콤마 [0]_0004 MECH COST  " xfId="3331" xr:uid="{00000000-0005-0000-0000-0000CF120000}"/>
    <cellStyle name="콤마_0004 MECH COST  " xfId="3332" xr:uid="{00000000-0005-0000-0000-0000D0120000}"/>
    <cellStyle name="통화 [0]_1202" xfId="3333" xr:uid="{00000000-0005-0000-0000-0000D1120000}"/>
    <cellStyle name="통화_1202" xfId="3334" xr:uid="{00000000-0005-0000-0000-0000D2120000}"/>
    <cellStyle name="표준_(정보부문)월별인원계획" xfId="3335" xr:uid="{00000000-0005-0000-0000-0000D3120000}"/>
    <cellStyle name="一般_00Q3902REV.1" xfId="3336" xr:uid="{00000000-0005-0000-0000-0000D4120000}"/>
    <cellStyle name="下点線" xfId="3337" xr:uid="{00000000-0005-0000-0000-0000D5120000}"/>
    <cellStyle name="入力" xfId="3338" xr:uid="{00000000-0005-0000-0000-0000D6120000}"/>
    <cellStyle name="入力 10" xfId="3339" xr:uid="{00000000-0005-0000-0000-0000D7120000}"/>
    <cellStyle name="入力 2" xfId="3340" xr:uid="{00000000-0005-0000-0000-0000D8120000}"/>
    <cellStyle name="入力 3" xfId="3341" xr:uid="{00000000-0005-0000-0000-0000D9120000}"/>
    <cellStyle name="入力 4" xfId="3342" xr:uid="{00000000-0005-0000-0000-0000DA120000}"/>
    <cellStyle name="入力 5" xfId="3343" xr:uid="{00000000-0005-0000-0000-0000DB120000}"/>
    <cellStyle name="入力 6" xfId="3344" xr:uid="{00000000-0005-0000-0000-0000DC120000}"/>
    <cellStyle name="入力 7" xfId="3345" xr:uid="{00000000-0005-0000-0000-0000DD120000}"/>
    <cellStyle name="入力 8" xfId="3346" xr:uid="{00000000-0005-0000-0000-0000DE120000}"/>
    <cellStyle name="入力 9" xfId="3347" xr:uid="{00000000-0005-0000-0000-0000DF120000}"/>
    <cellStyle name="入力_Sheet3" xfId="3348" xr:uid="{00000000-0005-0000-0000-0000E0120000}"/>
    <cellStyle name="出力" xfId="3349" xr:uid="{00000000-0005-0000-0000-0000E1120000}"/>
    <cellStyle name="出力 2" xfId="3350" xr:uid="{00000000-0005-0000-0000-0000E2120000}"/>
    <cellStyle name="出力 3" xfId="3351" xr:uid="{00000000-0005-0000-0000-0000E3120000}"/>
    <cellStyle name="出力 4" xfId="3352" xr:uid="{00000000-0005-0000-0000-0000E4120000}"/>
    <cellStyle name="出力 5" xfId="3353" xr:uid="{00000000-0005-0000-0000-0000E5120000}"/>
    <cellStyle name="出力 6" xfId="3354" xr:uid="{00000000-0005-0000-0000-0000E6120000}"/>
    <cellStyle name="出力 7" xfId="3355" xr:uid="{00000000-0005-0000-0000-0000E7120000}"/>
    <cellStyle name="出力 8" xfId="3356" xr:uid="{00000000-0005-0000-0000-0000E8120000}"/>
    <cellStyle name="出力 9" xfId="3357" xr:uid="{00000000-0005-0000-0000-0000E9120000}"/>
    <cellStyle name="出力_Sheet3" xfId="3358" xr:uid="{00000000-0005-0000-0000-0000EA120000}"/>
    <cellStyle name="出金" xfId="3359" xr:uid="{00000000-0005-0000-0000-0000EB120000}"/>
    <cellStyle name="千位分隔[0]_classfy" xfId="3360" xr:uid="{00000000-0005-0000-0000-0000EC120000}"/>
    <cellStyle name="千位分隔_Book2" xfId="3361" xr:uid="{00000000-0005-0000-0000-0000ED120000}"/>
    <cellStyle name="千分位[0]_00Q3902REV.1" xfId="3362" xr:uid="{00000000-0005-0000-0000-0000EE120000}"/>
    <cellStyle name="千分位_00Q3902REV.1" xfId="3363" xr:uid="{00000000-0005-0000-0000-0000EF120000}"/>
    <cellStyle name="常规_09GL(9.30)" xfId="3364" xr:uid="{00000000-0005-0000-0000-0000F0120000}"/>
    <cellStyle name="悪い" xfId="3365" xr:uid="{00000000-0005-0000-0000-0000F1120000}"/>
    <cellStyle name="未定義" xfId="3366" xr:uid="{00000000-0005-0000-0000-0000F2120000}"/>
    <cellStyle name="桁区切り [0.0]" xfId="3367" xr:uid="{00000000-0005-0000-0000-0000F3120000}"/>
    <cellStyle name="桁区切り [0.00]_☆TMK目黒Variance Report" xfId="3368" xr:uid="{00000000-0005-0000-0000-0000F4120000}"/>
    <cellStyle name="桁区切り_☆TMK目黒Variance Report" xfId="3369" xr:uid="{00000000-0005-0000-0000-0000F5120000}"/>
    <cellStyle name="標準[桁区切り無し]" xfId="3370" xr:uid="{00000000-0005-0000-0000-0000F6120000}"/>
    <cellStyle name="標準_☆TMK目黒Variance Report" xfId="3371" xr:uid="{00000000-0005-0000-0000-0000F7120000}"/>
    <cellStyle name="百分比_Lowexpiry0308" xfId="3372" xr:uid="{00000000-0005-0000-0000-0000F8120000}"/>
    <cellStyle name="禃宁垃㌠" xfId="3373" xr:uid="{00000000-0005-0000-0000-0000F9120000}"/>
    <cellStyle name="脱浦 [0.00]_?f?o疫善?ELp" xfId="3374" xr:uid="{00000000-0005-0000-0000-0000FA120000}"/>
    <cellStyle name="脱浦_?f?o疫善?ESO" xfId="3375" xr:uid="{00000000-0005-0000-0000-0000FB120000}"/>
    <cellStyle name="良い" xfId="3376" xr:uid="{00000000-0005-0000-0000-0000FC120000}"/>
    <cellStyle name="見出し 1" xfId="3377" xr:uid="{00000000-0005-0000-0000-0000FD120000}"/>
    <cellStyle name="見出し 2" xfId="3378" xr:uid="{00000000-0005-0000-0000-0000FE120000}"/>
    <cellStyle name="見出し 3" xfId="3379" xr:uid="{00000000-0005-0000-0000-0000FF120000}"/>
    <cellStyle name="見出し 4" xfId="3380" xr:uid="{00000000-0005-0000-0000-000000130000}"/>
    <cellStyle name="計算" xfId="3381" xr:uid="{00000000-0005-0000-0000-000001130000}"/>
    <cellStyle name="計算 10" xfId="3382" xr:uid="{00000000-0005-0000-0000-000002130000}"/>
    <cellStyle name="計算 2" xfId="3383" xr:uid="{00000000-0005-0000-0000-000003130000}"/>
    <cellStyle name="計算 3" xfId="3384" xr:uid="{00000000-0005-0000-0000-000004130000}"/>
    <cellStyle name="計算 4" xfId="3385" xr:uid="{00000000-0005-0000-0000-000005130000}"/>
    <cellStyle name="計算 5" xfId="3386" xr:uid="{00000000-0005-0000-0000-000006130000}"/>
    <cellStyle name="計算 6" xfId="3387" xr:uid="{00000000-0005-0000-0000-000007130000}"/>
    <cellStyle name="計算 7" xfId="3388" xr:uid="{00000000-0005-0000-0000-000008130000}"/>
    <cellStyle name="計算 8" xfId="3389" xr:uid="{00000000-0005-0000-0000-000009130000}"/>
    <cellStyle name="計算 9" xfId="3390" xr:uid="{00000000-0005-0000-0000-00000A130000}"/>
    <cellStyle name="計算_Sheet3" xfId="3391" xr:uid="{00000000-0005-0000-0000-00000B130000}"/>
    <cellStyle name="説明文" xfId="3392" xr:uid="{00000000-0005-0000-0000-00000C130000}"/>
    <cellStyle name="警告文" xfId="3393" xr:uid="{00000000-0005-0000-0000-00000D130000}"/>
    <cellStyle name="貨幣 [0]_00Q3902REV.1" xfId="3394" xr:uid="{00000000-0005-0000-0000-00000E130000}"/>
    <cellStyle name="貨幣[0]_BRE" xfId="3395" xr:uid="{00000000-0005-0000-0000-00000F130000}"/>
    <cellStyle name="貨幣_00Q3902REV.1" xfId="3396" xr:uid="{00000000-0005-0000-0000-000010130000}"/>
    <cellStyle name="通貨 [0.00]_12目黒修繕" xfId="3397" xr:uid="{00000000-0005-0000-0000-000011130000}"/>
    <cellStyle name="通貨[$]" xfId="3398" xr:uid="{00000000-0005-0000-0000-000012130000}"/>
    <cellStyle name="通貨_070623_小倉ビルリーシングプラン" xfId="3399" xr:uid="{00000000-0005-0000-0000-000013130000}"/>
    <cellStyle name="隨後的超連結_CSMV_Mthly_ Sept 03" xfId="3400" xr:uid="{00000000-0005-0000-0000-000014130000}"/>
    <cellStyle name="集計" xfId="3401" xr:uid="{00000000-0005-0000-0000-000015130000}"/>
    <cellStyle name="集計 10" xfId="3402" xr:uid="{00000000-0005-0000-0000-000016130000}"/>
    <cellStyle name="集計 2" xfId="3403" xr:uid="{00000000-0005-0000-0000-000017130000}"/>
    <cellStyle name="集計 3" xfId="3404" xr:uid="{00000000-0005-0000-0000-000018130000}"/>
    <cellStyle name="集計 4" xfId="3405" xr:uid="{00000000-0005-0000-0000-000019130000}"/>
    <cellStyle name="集計 5" xfId="3406" xr:uid="{00000000-0005-0000-0000-00001A130000}"/>
    <cellStyle name="集計 6" xfId="3407" xr:uid="{00000000-0005-0000-0000-00001B130000}"/>
    <cellStyle name="集計 7" xfId="3408" xr:uid="{00000000-0005-0000-0000-00001C130000}"/>
    <cellStyle name="集計 8" xfId="3409" xr:uid="{00000000-0005-0000-0000-00001D130000}"/>
    <cellStyle name="集計 9" xfId="3410" xr:uid="{00000000-0005-0000-0000-00001E130000}"/>
    <cellStyle name="集計_Sheet3" xfId="3411" xr:uid="{00000000-0005-0000-0000-00001F130000}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Z47"/>
  <sheetViews>
    <sheetView topLeftCell="A10" zoomScale="90" zoomScaleNormal="90" workbookViewId="0">
      <pane xSplit="2" topLeftCell="BX1" activePane="topRight" state="frozen"/>
      <selection pane="topRight" activeCell="BZ28" sqref="BZ28"/>
    </sheetView>
  </sheetViews>
  <sheetFormatPr defaultColWidth="9.140625" defaultRowHeight="15"/>
  <cols>
    <col min="1" max="1" width="42.7109375" style="132" bestFit="1" customWidth="1"/>
    <col min="2" max="2" width="13.7109375" style="132" customWidth="1"/>
    <col min="3" max="3" width="19.5703125" style="132" customWidth="1"/>
    <col min="4" max="36" width="13.85546875" style="132" bestFit="1" customWidth="1"/>
    <col min="37" max="37" width="13.7109375" style="132" customWidth="1"/>
    <col min="38" max="39" width="13.85546875" style="132" bestFit="1" customWidth="1"/>
    <col min="40" max="40" width="15.140625" style="132" customWidth="1"/>
    <col min="41" max="41" width="14.28515625" style="132" customWidth="1"/>
    <col min="42" max="47" width="13.85546875" style="132" customWidth="1"/>
    <col min="48" max="63" width="13.85546875" style="132" bestFit="1" customWidth="1"/>
    <col min="64" max="69" width="13.42578125" style="132" customWidth="1"/>
    <col min="70" max="78" width="13.85546875" style="132" bestFit="1" customWidth="1"/>
    <col min="79" max="16384" width="9.140625" style="132"/>
  </cols>
  <sheetData>
    <row r="1" spans="1:78">
      <c r="A1" s="131" t="s">
        <v>10</v>
      </c>
      <c r="B1" s="96"/>
      <c r="C1" s="97"/>
    </row>
    <row r="4" spans="1:78">
      <c r="A4" s="98"/>
      <c r="B4" s="99"/>
      <c r="C4" s="100"/>
      <c r="D4" s="16">
        <v>42735</v>
      </c>
      <c r="E4" s="16">
        <v>42766</v>
      </c>
      <c r="F4" s="16">
        <v>42794</v>
      </c>
      <c r="G4" s="16">
        <v>42825</v>
      </c>
      <c r="H4" s="16">
        <v>42855</v>
      </c>
      <c r="I4" s="16">
        <v>42886</v>
      </c>
      <c r="J4" s="16">
        <v>42916</v>
      </c>
      <c r="K4" s="16">
        <v>42947</v>
      </c>
      <c r="L4" s="16">
        <v>42978</v>
      </c>
      <c r="M4" s="16">
        <v>43008</v>
      </c>
      <c r="N4" s="16">
        <v>43039</v>
      </c>
      <c r="O4" s="16">
        <v>43069</v>
      </c>
      <c r="P4" s="16">
        <v>43100</v>
      </c>
      <c r="Q4" s="16">
        <v>43131</v>
      </c>
      <c r="R4" s="16">
        <v>43159</v>
      </c>
      <c r="S4" s="16">
        <v>43190</v>
      </c>
      <c r="T4" s="16">
        <v>43220</v>
      </c>
      <c r="U4" s="16">
        <v>43251</v>
      </c>
      <c r="V4" s="16">
        <v>43281</v>
      </c>
      <c r="W4" s="16">
        <v>43312</v>
      </c>
      <c r="X4" s="16">
        <v>43343</v>
      </c>
      <c r="Y4" s="16">
        <v>43373</v>
      </c>
      <c r="Z4" s="16">
        <v>43404</v>
      </c>
      <c r="AA4" s="16">
        <v>43434</v>
      </c>
      <c r="AB4" s="16">
        <v>43465</v>
      </c>
      <c r="AC4" s="16">
        <v>43496</v>
      </c>
      <c r="AD4" s="16">
        <v>43524</v>
      </c>
      <c r="AE4" s="16">
        <v>43555</v>
      </c>
      <c r="AF4" s="16">
        <v>43585</v>
      </c>
      <c r="AG4" s="16">
        <v>43616</v>
      </c>
      <c r="AH4" s="16">
        <v>43646</v>
      </c>
      <c r="AI4" s="16">
        <v>43677</v>
      </c>
      <c r="AJ4" s="16">
        <v>43708</v>
      </c>
      <c r="AK4" s="16">
        <v>43709</v>
      </c>
      <c r="AL4" s="16">
        <v>43739</v>
      </c>
      <c r="AM4" s="16">
        <v>43770</v>
      </c>
      <c r="AN4" s="16">
        <v>43800</v>
      </c>
      <c r="AO4" s="16">
        <v>43831</v>
      </c>
      <c r="AP4" s="16">
        <v>43862</v>
      </c>
      <c r="AQ4" s="16">
        <v>43891</v>
      </c>
      <c r="AR4" s="16">
        <v>43922</v>
      </c>
      <c r="AS4" s="16">
        <v>43952</v>
      </c>
      <c r="AT4" s="16">
        <v>43983</v>
      </c>
      <c r="AU4" s="16">
        <v>44013</v>
      </c>
      <c r="AV4" s="16">
        <v>44044</v>
      </c>
      <c r="AW4" s="16">
        <v>44075</v>
      </c>
      <c r="AX4" s="16">
        <v>44105</v>
      </c>
      <c r="AY4" s="16">
        <v>44136</v>
      </c>
      <c r="AZ4" s="16">
        <v>44166</v>
      </c>
      <c r="BA4" s="16">
        <v>44197</v>
      </c>
      <c r="BB4" s="16">
        <v>44228</v>
      </c>
      <c r="BC4" s="16">
        <v>44256</v>
      </c>
      <c r="BD4" s="16">
        <v>44287</v>
      </c>
      <c r="BE4" s="16">
        <v>44317</v>
      </c>
      <c r="BF4" s="16">
        <v>44348</v>
      </c>
      <c r="BG4" s="16">
        <v>44378</v>
      </c>
      <c r="BH4" s="16">
        <v>44409</v>
      </c>
      <c r="BI4" s="16">
        <v>44440</v>
      </c>
      <c r="BJ4" s="16">
        <v>44470</v>
      </c>
      <c r="BK4" s="16">
        <v>44501</v>
      </c>
      <c r="BL4" s="16">
        <v>44531</v>
      </c>
      <c r="BM4" s="16">
        <v>44562</v>
      </c>
      <c r="BN4" s="16">
        <v>44593</v>
      </c>
      <c r="BO4" s="16">
        <v>44621</v>
      </c>
      <c r="BP4" s="16">
        <v>44652</v>
      </c>
      <c r="BQ4" s="16">
        <v>44682</v>
      </c>
      <c r="BR4" s="16">
        <v>44713</v>
      </c>
      <c r="BS4" s="16">
        <v>44743</v>
      </c>
      <c r="BT4" s="16">
        <v>44774</v>
      </c>
      <c r="BU4" s="16">
        <v>44805</v>
      </c>
      <c r="BV4" s="16">
        <v>44835</v>
      </c>
      <c r="BW4" s="16">
        <v>44866</v>
      </c>
      <c r="BX4" s="16">
        <v>44896</v>
      </c>
      <c r="BY4" s="16">
        <v>44927</v>
      </c>
      <c r="BZ4" s="16">
        <v>44958</v>
      </c>
    </row>
    <row r="5" spans="1:78">
      <c r="A5" s="17"/>
      <c r="B5" s="101"/>
      <c r="C5" s="102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78">
      <c r="A6" s="13" t="s">
        <v>11</v>
      </c>
      <c r="B6" s="172"/>
      <c r="C6" s="103">
        <v>8375604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78">
      <c r="A7" s="13" t="s">
        <v>733</v>
      </c>
      <c r="B7" s="104" t="s">
        <v>12</v>
      </c>
      <c r="C7" s="103">
        <v>5075860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59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</row>
    <row r="8" spans="1:78">
      <c r="A8" s="13" t="s">
        <v>734</v>
      </c>
      <c r="B8" s="104" t="s">
        <v>13</v>
      </c>
      <c r="C8" s="106">
        <v>4508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59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>
      <c r="A9" s="105" t="s">
        <v>14</v>
      </c>
      <c r="B9" s="104" t="s">
        <v>15</v>
      </c>
      <c r="C9" s="107"/>
      <c r="D9" s="10">
        <v>9460</v>
      </c>
      <c r="E9" s="10">
        <v>15815</v>
      </c>
      <c r="F9" s="10">
        <v>17640</v>
      </c>
      <c r="G9" s="10">
        <v>26910</v>
      </c>
      <c r="H9" s="10">
        <f>28910+9800</f>
        <v>38710</v>
      </c>
      <c r="I9" s="10">
        <v>19915</v>
      </c>
      <c r="J9" s="10">
        <v>96285</v>
      </c>
      <c r="K9" s="10">
        <v>135470</v>
      </c>
      <c r="L9" s="10">
        <v>152695</v>
      </c>
      <c r="M9" s="10">
        <v>24040</v>
      </c>
      <c r="N9" s="10">
        <v>15065</v>
      </c>
      <c r="O9" s="10">
        <v>24505</v>
      </c>
      <c r="P9" s="10">
        <v>21575</v>
      </c>
      <c r="Q9" s="10">
        <v>39970</v>
      </c>
      <c r="R9" s="10">
        <v>60795</v>
      </c>
      <c r="S9" s="10">
        <v>102895</v>
      </c>
      <c r="T9" s="10">
        <v>17960</v>
      </c>
      <c r="U9" s="10">
        <v>23545</v>
      </c>
      <c r="V9" s="10">
        <v>28270</v>
      </c>
      <c r="W9" s="10">
        <v>77515</v>
      </c>
      <c r="X9" s="10">
        <v>60530</v>
      </c>
      <c r="Y9" s="10">
        <v>69300</v>
      </c>
      <c r="Z9" s="10">
        <f>200+51200</f>
        <v>51400</v>
      </c>
      <c r="AA9" s="10">
        <f>45860+10</f>
        <v>45870</v>
      </c>
      <c r="AB9" s="10">
        <v>43185</v>
      </c>
      <c r="AC9" s="10">
        <v>62815</v>
      </c>
      <c r="AD9" s="10">
        <v>62725</v>
      </c>
      <c r="AE9" s="10">
        <v>28665</v>
      </c>
      <c r="AF9" s="10">
        <v>122420</v>
      </c>
      <c r="AG9" s="10">
        <f>62825+200</f>
        <v>63025</v>
      </c>
      <c r="AH9" s="10">
        <v>72890</v>
      </c>
      <c r="AI9" s="10">
        <v>43605</v>
      </c>
      <c r="AJ9" s="10">
        <f>14840+210</f>
        <v>15050</v>
      </c>
      <c r="AK9" s="160">
        <v>23255</v>
      </c>
      <c r="AL9" s="10">
        <v>71395</v>
      </c>
      <c r="AM9" s="10">
        <v>41865</v>
      </c>
      <c r="AN9" s="10">
        <v>19340</v>
      </c>
      <c r="AO9" s="10">
        <v>12765</v>
      </c>
      <c r="AP9" s="10">
        <v>32265</v>
      </c>
      <c r="AQ9" s="10">
        <v>19845</v>
      </c>
      <c r="AR9" s="10">
        <v>0</v>
      </c>
      <c r="AS9" s="10">
        <v>14105</v>
      </c>
      <c r="AT9" s="10">
        <v>13225</v>
      </c>
      <c r="AU9" s="10">
        <v>13650</v>
      </c>
      <c r="AV9" s="10">
        <v>22185</v>
      </c>
      <c r="AW9" s="10">
        <v>7355</v>
      </c>
      <c r="AX9" s="10">
        <v>7185</v>
      </c>
      <c r="AY9" s="10">
        <f>12720+970</f>
        <v>13690</v>
      </c>
      <c r="AZ9" s="10">
        <v>19710</v>
      </c>
      <c r="BA9" s="10">
        <v>43250</v>
      </c>
      <c r="BB9" s="10">
        <v>21340</v>
      </c>
      <c r="BC9" s="10">
        <v>16020</v>
      </c>
      <c r="BD9" s="10">
        <v>8735</v>
      </c>
      <c r="BE9" s="10">
        <v>2760</v>
      </c>
      <c r="BF9" s="10">
        <v>14195</v>
      </c>
      <c r="BG9" s="10">
        <v>41600</v>
      </c>
      <c r="BH9" s="10">
        <v>26175</v>
      </c>
      <c r="BI9" s="10">
        <v>770</v>
      </c>
      <c r="BJ9" s="10">
        <v>34155</v>
      </c>
      <c r="BK9" s="10">
        <v>10080</v>
      </c>
      <c r="BL9" s="10">
        <f>15555+10000</f>
        <v>25555</v>
      </c>
      <c r="BM9" s="10">
        <v>34305</v>
      </c>
      <c r="BN9" s="10">
        <v>28565</v>
      </c>
      <c r="BO9" s="10">
        <v>51790</v>
      </c>
      <c r="BP9" s="10">
        <v>43385</v>
      </c>
      <c r="BQ9" s="10">
        <v>44893</v>
      </c>
      <c r="BR9" s="10">
        <v>22810</v>
      </c>
      <c r="BS9" s="10">
        <v>38630</v>
      </c>
      <c r="BT9" s="10">
        <v>26590</v>
      </c>
      <c r="BU9" s="10">
        <f>41985</f>
        <v>41985</v>
      </c>
      <c r="BV9" s="10">
        <v>19860</v>
      </c>
      <c r="BW9" s="10">
        <v>29165</v>
      </c>
      <c r="BX9" s="10">
        <v>37270</v>
      </c>
      <c r="BY9" s="10">
        <v>13780</v>
      </c>
      <c r="BZ9" s="10">
        <v>22595</v>
      </c>
    </row>
    <row r="10" spans="1:78">
      <c r="A10" s="105" t="s">
        <v>105</v>
      </c>
      <c r="B10" s="104" t="s">
        <v>13</v>
      </c>
      <c r="C10" s="107"/>
      <c r="D10" s="10">
        <v>7</v>
      </c>
      <c r="E10" s="10">
        <v>13</v>
      </c>
      <c r="F10" s="10">
        <v>14</v>
      </c>
      <c r="G10" s="10">
        <v>21</v>
      </c>
      <c r="H10" s="10">
        <v>32</v>
      </c>
      <c r="I10" s="10">
        <v>17</v>
      </c>
      <c r="J10" s="10">
        <v>83</v>
      </c>
      <c r="K10" s="10">
        <v>121</v>
      </c>
      <c r="L10" s="10">
        <v>133</v>
      </c>
      <c r="M10" s="10">
        <v>21</v>
      </c>
      <c r="N10" s="10">
        <v>13</v>
      </c>
      <c r="O10" s="10">
        <v>20</v>
      </c>
      <c r="P10" s="10">
        <v>18</v>
      </c>
      <c r="Q10" s="10">
        <v>34</v>
      </c>
      <c r="R10" s="10">
        <v>53</v>
      </c>
      <c r="S10" s="10">
        <v>88</v>
      </c>
      <c r="T10" s="10">
        <v>17</v>
      </c>
      <c r="U10" s="10">
        <v>16</v>
      </c>
      <c r="V10" s="10">
        <v>25</v>
      </c>
      <c r="W10" s="10">
        <v>68</v>
      </c>
      <c r="X10" s="10">
        <v>53</v>
      </c>
      <c r="Y10" s="10">
        <v>58</v>
      </c>
      <c r="Z10" s="10">
        <v>42</v>
      </c>
      <c r="AA10" s="10">
        <v>37</v>
      </c>
      <c r="AB10" s="10">
        <v>35</v>
      </c>
      <c r="AC10" s="10">
        <v>50</v>
      </c>
      <c r="AD10" s="10">
        <v>56</v>
      </c>
      <c r="AE10" s="10">
        <v>22</v>
      </c>
      <c r="AF10" s="10">
        <v>104</v>
      </c>
      <c r="AG10" s="10">
        <v>62</v>
      </c>
      <c r="AH10" s="10">
        <v>66</v>
      </c>
      <c r="AI10" s="10">
        <v>39</v>
      </c>
      <c r="AJ10" s="10">
        <v>14</v>
      </c>
      <c r="AK10" s="160">
        <v>21</v>
      </c>
      <c r="AL10" s="10">
        <v>63</v>
      </c>
      <c r="AM10" s="10">
        <v>38</v>
      </c>
      <c r="AN10" s="10">
        <v>17</v>
      </c>
      <c r="AO10" s="10">
        <v>10</v>
      </c>
      <c r="AP10" s="10">
        <v>29</v>
      </c>
      <c r="AQ10" s="10">
        <v>18</v>
      </c>
      <c r="AR10" s="10">
        <v>0</v>
      </c>
      <c r="AS10" s="10">
        <v>12</v>
      </c>
      <c r="AT10" s="10">
        <v>12</v>
      </c>
      <c r="AU10" s="10">
        <v>13</v>
      </c>
      <c r="AV10" s="10">
        <v>20</v>
      </c>
      <c r="AW10" s="10">
        <v>7</v>
      </c>
      <c r="AX10" s="10">
        <v>7</v>
      </c>
      <c r="AY10" s="10">
        <v>12</v>
      </c>
      <c r="AZ10" s="10">
        <v>17</v>
      </c>
      <c r="BA10" s="10">
        <v>39</v>
      </c>
      <c r="BB10" s="10">
        <v>21</v>
      </c>
      <c r="BC10" s="10">
        <v>13</v>
      </c>
      <c r="BD10" s="10">
        <v>9</v>
      </c>
      <c r="BE10" s="10">
        <v>2</v>
      </c>
      <c r="BF10" s="10">
        <v>14</v>
      </c>
      <c r="BG10" s="10">
        <v>35</v>
      </c>
      <c r="BH10" s="10">
        <v>25</v>
      </c>
      <c r="BI10" s="10">
        <v>1</v>
      </c>
      <c r="BJ10" s="10">
        <v>31</v>
      </c>
      <c r="BK10" s="10">
        <v>10</v>
      </c>
      <c r="BL10" s="10">
        <v>15</v>
      </c>
      <c r="BM10" s="10">
        <v>30</v>
      </c>
      <c r="BN10" s="10">
        <v>26</v>
      </c>
      <c r="BO10" s="10">
        <v>45</v>
      </c>
      <c r="BP10" s="10">
        <v>39</v>
      </c>
      <c r="BQ10" s="10">
        <v>37</v>
      </c>
      <c r="BR10" s="10">
        <v>20</v>
      </c>
      <c r="BS10" s="10">
        <v>33</v>
      </c>
      <c r="BT10" s="10">
        <v>22</v>
      </c>
      <c r="BU10" s="10">
        <v>35</v>
      </c>
      <c r="BV10" s="10">
        <v>19</v>
      </c>
      <c r="BW10" s="10">
        <v>22</v>
      </c>
      <c r="BX10" s="10">
        <v>31</v>
      </c>
      <c r="BY10" s="10">
        <v>13</v>
      </c>
      <c r="BZ10" s="10">
        <v>18</v>
      </c>
    </row>
    <row r="11" spans="1:78">
      <c r="A11" s="105" t="s">
        <v>16</v>
      </c>
      <c r="B11" s="104" t="s">
        <v>17</v>
      </c>
      <c r="C11" s="107"/>
      <c r="D11" s="10">
        <v>3.88</v>
      </c>
      <c r="E11" s="10">
        <v>6.76</v>
      </c>
      <c r="F11" s="10">
        <v>7.2</v>
      </c>
      <c r="G11" s="10">
        <v>11.14</v>
      </c>
      <c r="H11" s="10">
        <v>15.95</v>
      </c>
      <c r="I11" s="10">
        <v>8.3699999999999992</v>
      </c>
      <c r="J11" s="10">
        <v>41.53</v>
      </c>
      <c r="K11" s="10">
        <v>60.02</v>
      </c>
      <c r="L11" s="10">
        <v>67.459999999999994</v>
      </c>
      <c r="M11" s="10">
        <v>9.94</v>
      </c>
      <c r="N11" s="10">
        <v>6.47</v>
      </c>
      <c r="O11" s="10">
        <f>11.33+0.045</f>
        <v>11.375</v>
      </c>
      <c r="P11" s="10">
        <v>9.82</v>
      </c>
      <c r="Q11" s="10">
        <v>18.649999999999999</v>
      </c>
      <c r="R11" s="10">
        <v>29.62</v>
      </c>
      <c r="S11" s="10">
        <v>49.52</v>
      </c>
      <c r="T11" s="10">
        <v>8.35</v>
      </c>
      <c r="U11" s="10">
        <v>12.01</v>
      </c>
      <c r="V11" s="10">
        <v>14.7</v>
      </c>
      <c r="W11" s="10">
        <v>39.67</v>
      </c>
      <c r="X11" s="10">
        <v>31.02</v>
      </c>
      <c r="Y11" s="10">
        <v>35.35</v>
      </c>
      <c r="Z11" s="10">
        <v>26.28</v>
      </c>
      <c r="AA11" s="10">
        <v>25.83</v>
      </c>
      <c r="AB11" s="10">
        <v>21.05</v>
      </c>
      <c r="AC11" s="10">
        <v>31.97</v>
      </c>
      <c r="AD11" s="10">
        <v>31.38</v>
      </c>
      <c r="AE11" s="10">
        <v>14.11</v>
      </c>
      <c r="AF11" s="10">
        <v>61.87</v>
      </c>
      <c r="AG11" s="10">
        <v>31.63</v>
      </c>
      <c r="AH11" s="10">
        <v>37.42</v>
      </c>
      <c r="AI11" s="10">
        <v>20.82</v>
      </c>
      <c r="AJ11" s="10">
        <v>7.61</v>
      </c>
      <c r="AK11" s="160">
        <v>12.22</v>
      </c>
      <c r="AL11" s="10">
        <v>36.549999999999997</v>
      </c>
      <c r="AM11" s="10">
        <v>21.64</v>
      </c>
      <c r="AN11" s="10">
        <v>9.69</v>
      </c>
      <c r="AO11" s="10">
        <v>6.55</v>
      </c>
      <c r="AP11" s="10">
        <v>15.78</v>
      </c>
      <c r="AQ11" s="10">
        <v>10.14</v>
      </c>
      <c r="AR11" s="10">
        <v>0</v>
      </c>
      <c r="AS11" s="149" t="e">
        <f>SUM('Customer MIS '!#REF!)/10000000</f>
        <v>#REF!</v>
      </c>
      <c r="AT11" s="149">
        <v>7.24</v>
      </c>
      <c r="AU11" s="149">
        <v>7.04</v>
      </c>
      <c r="AV11" s="149">
        <v>11.68</v>
      </c>
      <c r="AW11" s="149">
        <v>3.78</v>
      </c>
      <c r="AX11" s="149">
        <v>4</v>
      </c>
      <c r="AY11" s="149">
        <v>7.26</v>
      </c>
      <c r="AZ11" s="149">
        <v>10.23</v>
      </c>
      <c r="BA11" s="149">
        <v>22.55</v>
      </c>
      <c r="BB11" s="149">
        <v>11.07</v>
      </c>
      <c r="BC11" s="149">
        <v>8.7100000000000009</v>
      </c>
      <c r="BD11" s="149">
        <v>4.9400000000000004</v>
      </c>
      <c r="BE11" s="149">
        <v>1.61</v>
      </c>
      <c r="BF11" s="149">
        <v>7.87</v>
      </c>
      <c r="BG11" s="149">
        <v>22.84</v>
      </c>
      <c r="BH11" s="149">
        <v>11.44</v>
      </c>
      <c r="BI11" s="149">
        <v>0.41</v>
      </c>
      <c r="BJ11" s="149">
        <v>18.93</v>
      </c>
      <c r="BK11" s="149">
        <v>5.28</v>
      </c>
      <c r="BL11" s="149">
        <v>12.67</v>
      </c>
      <c r="BM11" s="149">
        <v>18.96</v>
      </c>
      <c r="BN11" s="149">
        <v>16.87</v>
      </c>
      <c r="BO11" s="149">
        <v>28.87</v>
      </c>
      <c r="BP11" s="149">
        <v>24.13</v>
      </c>
      <c r="BQ11" s="149">
        <v>25.13</v>
      </c>
      <c r="BR11" s="149">
        <v>12.7</v>
      </c>
      <c r="BS11" s="149">
        <v>21.69</v>
      </c>
      <c r="BT11" s="149">
        <v>16.05</v>
      </c>
      <c r="BU11" s="149">
        <v>25.33</v>
      </c>
      <c r="BV11" s="149">
        <v>11.33</v>
      </c>
      <c r="BW11" s="149">
        <v>17.260000000000002</v>
      </c>
      <c r="BX11" s="149">
        <v>21.6</v>
      </c>
      <c r="BY11" s="149">
        <v>8.35</v>
      </c>
      <c r="BZ11" s="149">
        <v>14.31</v>
      </c>
    </row>
    <row r="12" spans="1:78">
      <c r="A12" s="105" t="s">
        <v>18</v>
      </c>
      <c r="B12" s="104" t="s">
        <v>12</v>
      </c>
      <c r="C12" s="107"/>
      <c r="D12" s="10">
        <v>0</v>
      </c>
      <c r="E12" s="10">
        <v>10320</v>
      </c>
      <c r="F12" s="10">
        <v>4705</v>
      </c>
      <c r="G12" s="10">
        <v>5300</v>
      </c>
      <c r="H12" s="10">
        <v>4050</v>
      </c>
      <c r="I12" s="10">
        <v>970</v>
      </c>
      <c r="J12" s="10">
        <v>5020</v>
      </c>
      <c r="K12" s="10">
        <v>2535</v>
      </c>
      <c r="L12" s="10">
        <v>19865</v>
      </c>
      <c r="M12" s="10">
        <v>28825</v>
      </c>
      <c r="N12" s="10">
        <v>21855</v>
      </c>
      <c r="O12" s="10">
        <v>8005</v>
      </c>
      <c r="P12" s="10">
        <v>970</v>
      </c>
      <c r="Q12" s="10">
        <v>13750</v>
      </c>
      <c r="R12" s="10">
        <v>1940</v>
      </c>
      <c r="S12" s="10">
        <f>7025+970</f>
        <v>7995</v>
      </c>
      <c r="T12" s="10">
        <v>7040</v>
      </c>
      <c r="U12" s="10">
        <v>0</v>
      </c>
      <c r="V12" s="10">
        <v>16415</v>
      </c>
      <c r="W12" s="10">
        <v>4120</v>
      </c>
      <c r="X12" s="10">
        <f>6055+2125</f>
        <v>8180</v>
      </c>
      <c r="Y12" s="10">
        <v>21640</v>
      </c>
      <c r="Z12" s="10">
        <v>8065</v>
      </c>
      <c r="AA12" s="10">
        <v>6215</v>
      </c>
      <c r="AB12" s="10">
        <v>7145</v>
      </c>
      <c r="AC12" s="10">
        <v>9110</v>
      </c>
      <c r="AD12" s="10">
        <v>15195</v>
      </c>
      <c r="AE12" s="10">
        <v>3170</v>
      </c>
      <c r="AF12" s="10">
        <v>14495</v>
      </c>
      <c r="AG12" s="10">
        <v>20645</v>
      </c>
      <c r="AH12" s="10">
        <v>11695</v>
      </c>
      <c r="AI12" s="10">
        <v>5880</v>
      </c>
      <c r="AJ12" s="10">
        <v>29765</v>
      </c>
      <c r="AK12" s="160">
        <v>19360</v>
      </c>
      <c r="AL12" s="10">
        <v>34180</v>
      </c>
      <c r="AM12" s="10">
        <v>20260</v>
      </c>
      <c r="AN12" s="10">
        <v>8775</v>
      </c>
      <c r="AO12" s="10">
        <v>6745</v>
      </c>
      <c r="AP12" s="10">
        <v>21150</v>
      </c>
      <c r="AQ12" s="10">
        <v>2510</v>
      </c>
      <c r="AR12" s="10">
        <v>0</v>
      </c>
      <c r="AS12" s="10">
        <v>770</v>
      </c>
      <c r="AT12" s="10">
        <v>13080</v>
      </c>
      <c r="AU12" s="10">
        <v>1380</v>
      </c>
      <c r="AV12" s="10">
        <v>9520</v>
      </c>
      <c r="AW12" s="10">
        <v>11235</v>
      </c>
      <c r="AX12" s="10">
        <v>5885</v>
      </c>
      <c r="AY12" s="10">
        <f>5880+770</f>
        <v>6650</v>
      </c>
      <c r="AZ12" s="10">
        <v>2695</v>
      </c>
      <c r="BA12" s="10">
        <v>23225</v>
      </c>
      <c r="BB12" s="10">
        <v>6985</v>
      </c>
      <c r="BC12" s="10">
        <v>5975</v>
      </c>
      <c r="BD12" s="10">
        <v>5655</v>
      </c>
      <c r="BE12" s="10">
        <v>0</v>
      </c>
      <c r="BF12" s="10">
        <v>0</v>
      </c>
      <c r="BG12" s="10">
        <v>970</v>
      </c>
      <c r="BH12" s="10">
        <v>4850</v>
      </c>
      <c r="BI12" s="10">
        <v>0</v>
      </c>
      <c r="BJ12" s="10">
        <v>8605</v>
      </c>
      <c r="BK12" s="10">
        <v>4250</v>
      </c>
      <c r="BL12" s="10">
        <v>6670</v>
      </c>
      <c r="BM12" s="10">
        <v>14235</v>
      </c>
      <c r="BN12" s="10">
        <v>9935</v>
      </c>
      <c r="BO12" s="10">
        <v>19150</v>
      </c>
      <c r="BP12" s="10">
        <v>19250</v>
      </c>
      <c r="BQ12" s="10">
        <f>42287+6706</f>
        <v>48993</v>
      </c>
      <c r="BR12" s="10">
        <v>46200</v>
      </c>
      <c r="BS12" s="10">
        <v>62385</v>
      </c>
      <c r="BT12" s="10">
        <v>8735</v>
      </c>
      <c r="BU12" s="10">
        <v>53165</v>
      </c>
      <c r="BV12" s="10">
        <v>0</v>
      </c>
      <c r="BW12" s="10">
        <v>4330</v>
      </c>
      <c r="BX12" s="10">
        <v>0</v>
      </c>
      <c r="BY12" s="10">
        <v>0</v>
      </c>
      <c r="BZ12" s="10">
        <v>2555</v>
      </c>
    </row>
    <row r="13" spans="1:78">
      <c r="A13" s="105" t="s">
        <v>18</v>
      </c>
      <c r="B13" s="104" t="s">
        <v>13</v>
      </c>
      <c r="C13" s="107"/>
      <c r="D13" s="10">
        <v>0</v>
      </c>
      <c r="E13" s="10">
        <v>9</v>
      </c>
      <c r="F13" s="10">
        <v>4</v>
      </c>
      <c r="G13" s="10">
        <v>4</v>
      </c>
      <c r="H13" s="10">
        <v>4</v>
      </c>
      <c r="I13" s="10">
        <v>1</v>
      </c>
      <c r="J13" s="10">
        <v>5</v>
      </c>
      <c r="K13" s="10">
        <v>2</v>
      </c>
      <c r="L13" s="10">
        <v>18</v>
      </c>
      <c r="M13" s="10">
        <v>24</v>
      </c>
      <c r="N13" s="10">
        <v>18</v>
      </c>
      <c r="O13" s="10">
        <v>7</v>
      </c>
      <c r="P13" s="10">
        <v>1</v>
      </c>
      <c r="Q13" s="10">
        <v>11</v>
      </c>
      <c r="R13" s="10">
        <v>2</v>
      </c>
      <c r="S13" s="10">
        <v>7</v>
      </c>
      <c r="T13" s="10">
        <v>6</v>
      </c>
      <c r="U13" s="10">
        <v>0</v>
      </c>
      <c r="V13" s="10">
        <v>15</v>
      </c>
      <c r="W13" s="10">
        <v>3</v>
      </c>
      <c r="X13" s="10">
        <v>8</v>
      </c>
      <c r="Y13" s="10">
        <v>19</v>
      </c>
      <c r="Z13" s="10">
        <v>6</v>
      </c>
      <c r="AA13" s="10">
        <v>6</v>
      </c>
      <c r="AB13" s="10">
        <v>8</v>
      </c>
      <c r="AC13" s="10">
        <v>9</v>
      </c>
      <c r="AD13" s="10">
        <f>7+13-6</f>
        <v>14</v>
      </c>
      <c r="AE13" s="10">
        <v>2</v>
      </c>
      <c r="AF13" s="10">
        <v>12</v>
      </c>
      <c r="AG13" s="10">
        <v>16</v>
      </c>
      <c r="AH13" s="10">
        <v>11</v>
      </c>
      <c r="AI13" s="10">
        <v>5</v>
      </c>
      <c r="AJ13" s="10">
        <v>29</v>
      </c>
      <c r="AK13" s="160">
        <v>18</v>
      </c>
      <c r="AL13" s="10">
        <v>30</v>
      </c>
      <c r="AM13" s="10">
        <v>18</v>
      </c>
      <c r="AN13" s="10">
        <v>8</v>
      </c>
      <c r="AO13" s="10">
        <v>8</v>
      </c>
      <c r="AP13" s="10">
        <v>17</v>
      </c>
      <c r="AQ13" s="10">
        <v>3</v>
      </c>
      <c r="AR13" s="10">
        <v>0</v>
      </c>
      <c r="AS13" s="10">
        <v>1</v>
      </c>
      <c r="AT13" s="10">
        <v>12</v>
      </c>
      <c r="AU13" s="10">
        <v>1</v>
      </c>
      <c r="AV13" s="10">
        <v>9</v>
      </c>
      <c r="AW13" s="10">
        <v>11</v>
      </c>
      <c r="AX13" s="10">
        <v>5</v>
      </c>
      <c r="AY13" s="10">
        <v>6</v>
      </c>
      <c r="AZ13" s="10">
        <v>3</v>
      </c>
      <c r="BA13" s="10">
        <v>21</v>
      </c>
      <c r="BB13" s="10">
        <v>7</v>
      </c>
      <c r="BC13" s="10">
        <v>6</v>
      </c>
      <c r="BD13" s="10">
        <v>5</v>
      </c>
      <c r="BE13" s="10">
        <v>0</v>
      </c>
      <c r="BF13" s="10">
        <v>0</v>
      </c>
      <c r="BG13" s="10">
        <v>1</v>
      </c>
      <c r="BH13" s="10">
        <v>4</v>
      </c>
      <c r="BI13" s="10">
        <v>0</v>
      </c>
      <c r="BJ13" s="10">
        <v>8</v>
      </c>
      <c r="BK13" s="10">
        <v>4</v>
      </c>
      <c r="BL13" s="10">
        <v>5</v>
      </c>
      <c r="BM13" s="10">
        <v>12</v>
      </c>
      <c r="BN13" s="10">
        <v>9</v>
      </c>
      <c r="BO13" s="10">
        <v>16</v>
      </c>
      <c r="BP13" s="10">
        <v>19</v>
      </c>
      <c r="BQ13" s="10">
        <v>49</v>
      </c>
      <c r="BR13" s="10">
        <v>39</v>
      </c>
      <c r="BS13" s="10">
        <v>57</v>
      </c>
      <c r="BT13" s="10">
        <v>8</v>
      </c>
      <c r="BU13" s="10">
        <v>45</v>
      </c>
      <c r="BV13" s="10">
        <v>0</v>
      </c>
      <c r="BW13" s="10">
        <v>3</v>
      </c>
      <c r="BX13" s="10">
        <v>0</v>
      </c>
      <c r="BY13" s="10">
        <v>0</v>
      </c>
      <c r="BZ13" s="10">
        <v>2</v>
      </c>
    </row>
    <row r="14" spans="1:78">
      <c r="A14" s="105" t="s">
        <v>19</v>
      </c>
      <c r="B14" s="104" t="s">
        <v>17</v>
      </c>
      <c r="C14" s="107"/>
      <c r="D14" s="10">
        <v>0</v>
      </c>
      <c r="E14" s="10">
        <v>4.4000000000000004</v>
      </c>
      <c r="F14" s="10">
        <v>2.16</v>
      </c>
      <c r="G14" s="10">
        <v>2.2599999999999998</v>
      </c>
      <c r="H14" s="10">
        <v>1.81</v>
      </c>
      <c r="I14" s="10">
        <v>0.41</v>
      </c>
      <c r="J14" s="10">
        <v>2</v>
      </c>
      <c r="K14" s="10">
        <v>1.04</v>
      </c>
      <c r="L14" s="10">
        <v>8.2799999999999994</v>
      </c>
      <c r="M14" s="10">
        <f>12.99-0.17</f>
        <v>12.82</v>
      </c>
      <c r="N14" s="10">
        <v>9.17</v>
      </c>
      <c r="O14" s="10">
        <v>3.41</v>
      </c>
      <c r="P14" s="10">
        <v>0.48</v>
      </c>
      <c r="Q14" s="10">
        <v>6.22</v>
      </c>
      <c r="R14" s="10">
        <v>0.92</v>
      </c>
      <c r="S14" s="10">
        <f>3.04+0.41</f>
        <v>3.45</v>
      </c>
      <c r="T14" s="10">
        <v>3.45</v>
      </c>
      <c r="U14" s="10">
        <v>0</v>
      </c>
      <c r="V14" s="10">
        <v>7.53</v>
      </c>
      <c r="W14" s="10">
        <v>2.0299999999999998</v>
      </c>
      <c r="X14" s="10">
        <v>3.28</v>
      </c>
      <c r="Y14" s="10">
        <v>10.77</v>
      </c>
      <c r="Z14" s="10">
        <v>3.94</v>
      </c>
      <c r="AA14" s="10">
        <v>2.97</v>
      </c>
      <c r="AB14" s="10">
        <v>7.24</v>
      </c>
      <c r="AC14" s="10">
        <v>4.04</v>
      </c>
      <c r="AD14" s="10">
        <f>3.44+7.8-3.8</f>
        <v>7.44</v>
      </c>
      <c r="AE14" s="10">
        <v>1.1100000000000001</v>
      </c>
      <c r="AF14" s="10">
        <v>7.67</v>
      </c>
      <c r="AG14" s="10">
        <v>10.52</v>
      </c>
      <c r="AH14" s="10">
        <v>6.05</v>
      </c>
      <c r="AI14" s="10">
        <v>3.03</v>
      </c>
      <c r="AJ14" s="10">
        <v>15.03</v>
      </c>
      <c r="AK14" s="161">
        <v>10.1</v>
      </c>
      <c r="AL14" s="149">
        <v>16.940000000000001</v>
      </c>
      <c r="AM14" s="149">
        <v>9.8000000000000007</v>
      </c>
      <c r="AN14" s="149">
        <v>4.0599999999999996</v>
      </c>
      <c r="AO14" s="149">
        <v>3.23</v>
      </c>
      <c r="AP14" s="149">
        <v>10.06</v>
      </c>
      <c r="AQ14" s="149">
        <v>1.21</v>
      </c>
      <c r="AR14" s="149">
        <v>0</v>
      </c>
      <c r="AS14" s="149">
        <v>0.37856000000000001</v>
      </c>
      <c r="AT14" s="149">
        <v>6.58</v>
      </c>
      <c r="AU14" s="149">
        <v>0.72</v>
      </c>
      <c r="AV14" s="149">
        <v>4.72</v>
      </c>
      <c r="AW14" s="149">
        <v>5.64</v>
      </c>
      <c r="AX14" s="149">
        <v>3.08</v>
      </c>
      <c r="AY14" s="149">
        <v>3.34</v>
      </c>
      <c r="AZ14" s="149">
        <v>1.4</v>
      </c>
      <c r="BA14" s="149">
        <v>10.53</v>
      </c>
      <c r="BB14" s="149">
        <v>3.69</v>
      </c>
      <c r="BC14" s="149">
        <v>3.09</v>
      </c>
      <c r="BD14" s="149">
        <v>3.03</v>
      </c>
      <c r="BE14" s="149">
        <v>0</v>
      </c>
      <c r="BF14" s="149">
        <v>0</v>
      </c>
      <c r="BG14" s="149">
        <v>0.55000000000000004</v>
      </c>
      <c r="BH14" s="149">
        <v>2.44</v>
      </c>
      <c r="BI14" s="149">
        <v>0</v>
      </c>
      <c r="BJ14" s="149">
        <v>4.2699999999999996</v>
      </c>
      <c r="BK14" s="149">
        <v>2.38</v>
      </c>
      <c r="BL14" s="149">
        <v>3.13</v>
      </c>
      <c r="BM14" s="149">
        <v>7.08</v>
      </c>
      <c r="BN14" s="149">
        <v>5.08</v>
      </c>
      <c r="BO14" s="149">
        <v>9.9600000000000009</v>
      </c>
      <c r="BP14" s="149">
        <v>11.07</v>
      </c>
      <c r="BQ14" s="149">
        <v>23.13</v>
      </c>
      <c r="BR14" s="149">
        <v>24.39</v>
      </c>
      <c r="BS14" s="149">
        <v>32.25</v>
      </c>
      <c r="BT14" s="149">
        <v>4.38</v>
      </c>
      <c r="BU14" s="149">
        <v>28.25</v>
      </c>
      <c r="BV14" s="149">
        <v>0</v>
      </c>
      <c r="BW14" s="149">
        <v>2.39</v>
      </c>
      <c r="BX14" s="149">
        <v>0</v>
      </c>
      <c r="BY14" s="149">
        <v>0</v>
      </c>
      <c r="BZ14" s="149">
        <v>1.0900000000000001</v>
      </c>
    </row>
    <row r="15" spans="1:78">
      <c r="A15" s="234" t="s">
        <v>907</v>
      </c>
      <c r="B15" s="104" t="s">
        <v>17</v>
      </c>
      <c r="C15" s="107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2.0299999999999998</v>
      </c>
      <c r="Z15" s="10">
        <v>1.06</v>
      </c>
      <c r="AA15" s="10">
        <v>1.76</v>
      </c>
      <c r="AB15" s="10">
        <v>0</v>
      </c>
      <c r="AC15" s="10">
        <f>2.8-1.25</f>
        <v>1.5499999999999998</v>
      </c>
      <c r="AD15" s="10">
        <v>0.79</v>
      </c>
      <c r="AE15" s="10">
        <v>0</v>
      </c>
      <c r="AF15" s="10">
        <v>3.68</v>
      </c>
      <c r="AG15" s="10">
        <v>1.01</v>
      </c>
      <c r="AH15" s="10">
        <v>0.46</v>
      </c>
      <c r="AI15" s="10">
        <v>0.47</v>
      </c>
      <c r="AJ15" s="10">
        <v>0.97</v>
      </c>
      <c r="AK15" s="161">
        <v>0.43</v>
      </c>
      <c r="AL15" s="149">
        <f>0.49+0.1+0.11+0.24</f>
        <v>0.94</v>
      </c>
      <c r="AM15" s="149">
        <v>2.4900000000000002</v>
      </c>
      <c r="AN15" s="149">
        <v>0.92</v>
      </c>
      <c r="AO15" s="149">
        <v>0.49</v>
      </c>
      <c r="AP15" s="149">
        <v>0.78</v>
      </c>
      <c r="AQ15" s="149">
        <v>0.45</v>
      </c>
      <c r="AR15" s="149">
        <v>0</v>
      </c>
      <c r="AS15" s="149">
        <v>0</v>
      </c>
      <c r="AT15" s="149">
        <v>0.62</v>
      </c>
      <c r="AU15" s="149">
        <v>0</v>
      </c>
      <c r="AV15" s="149">
        <v>0.83</v>
      </c>
      <c r="AW15" s="149">
        <v>1.24</v>
      </c>
      <c r="AX15" s="149">
        <v>0.11</v>
      </c>
      <c r="AY15" s="149">
        <v>0.39</v>
      </c>
      <c r="AZ15" s="149">
        <v>0.65</v>
      </c>
      <c r="BA15" s="149">
        <v>2.48</v>
      </c>
      <c r="BB15" s="149">
        <v>0.18</v>
      </c>
      <c r="BC15" s="149">
        <v>0.59</v>
      </c>
      <c r="BD15" s="149">
        <v>0.11</v>
      </c>
      <c r="BE15" s="149">
        <v>0</v>
      </c>
      <c r="BF15" s="149">
        <v>0</v>
      </c>
      <c r="BG15" s="149">
        <v>0.01</v>
      </c>
      <c r="BH15" s="149">
        <v>0</v>
      </c>
      <c r="BI15" s="149">
        <v>0</v>
      </c>
      <c r="BJ15" s="149">
        <v>0</v>
      </c>
      <c r="BK15" s="149">
        <v>0</v>
      </c>
      <c r="BL15" s="149">
        <v>0</v>
      </c>
      <c r="BM15" s="149">
        <v>0</v>
      </c>
      <c r="BN15" s="149">
        <v>0.1</v>
      </c>
      <c r="BO15" s="149">
        <v>0</v>
      </c>
      <c r="BP15" s="149">
        <v>0</v>
      </c>
      <c r="BQ15" s="149">
        <v>0.05</v>
      </c>
      <c r="BR15" s="149">
        <v>0.05</v>
      </c>
      <c r="BS15" s="149">
        <v>0.25</v>
      </c>
      <c r="BT15" s="149">
        <v>5</v>
      </c>
      <c r="BU15" s="149">
        <v>5</v>
      </c>
      <c r="BV15" s="149">
        <v>1</v>
      </c>
      <c r="BW15" s="149">
        <v>0.1</v>
      </c>
      <c r="BX15" s="149">
        <v>0.2</v>
      </c>
      <c r="BY15" s="149">
        <v>1.2</v>
      </c>
      <c r="BZ15" s="149">
        <v>0</v>
      </c>
    </row>
    <row r="16" spans="1:78">
      <c r="A16" s="105" t="s">
        <v>20</v>
      </c>
      <c r="B16" s="104" t="s">
        <v>17</v>
      </c>
      <c r="C16" s="107"/>
      <c r="D16" s="10">
        <f>21.87-0.09</f>
        <v>21.78</v>
      </c>
      <c r="E16" s="10">
        <f>15.06-0.92</f>
        <v>14.14</v>
      </c>
      <c r="F16" s="10">
        <f>15.73-0.45</f>
        <v>15.280000000000001</v>
      </c>
      <c r="G16" s="10">
        <v>13.07</v>
      </c>
      <c r="H16" s="10">
        <v>16.36</v>
      </c>
      <c r="I16" s="10">
        <v>15.91</v>
      </c>
      <c r="J16" s="10">
        <v>9.8000000000000007</v>
      </c>
      <c r="K16" s="10">
        <v>15.29</v>
      </c>
      <c r="L16" s="10">
        <v>19.170000000000002</v>
      </c>
      <c r="M16" s="10">
        <f>30.87-0.38</f>
        <v>30.490000000000002</v>
      </c>
      <c r="N16" s="10">
        <f>24.4-0.33</f>
        <v>24.07</v>
      </c>
      <c r="O16" s="10">
        <f>24.76-0.58</f>
        <v>24.180000000000003</v>
      </c>
      <c r="P16" s="10">
        <v>18.97</v>
      </c>
      <c r="Q16" s="10">
        <v>17.78</v>
      </c>
      <c r="R16" s="10">
        <v>21.21</v>
      </c>
      <c r="S16" s="10">
        <v>13.55</v>
      </c>
      <c r="T16" s="10">
        <v>17.52</v>
      </c>
      <c r="U16" s="10">
        <v>13.94</v>
      </c>
      <c r="V16" s="10">
        <v>14.74</v>
      </c>
      <c r="W16" s="10">
        <v>15.99</v>
      </c>
      <c r="X16" s="10">
        <v>19.3</v>
      </c>
      <c r="Y16" s="10">
        <v>20.170000000000002</v>
      </c>
      <c r="Z16" s="10">
        <v>23.13</v>
      </c>
      <c r="AA16" s="10">
        <v>19.190000000000001</v>
      </c>
      <c r="AB16" s="10">
        <v>17.39</v>
      </c>
      <c r="AC16" s="10">
        <v>14.44</v>
      </c>
      <c r="AD16" s="10">
        <v>27.28</v>
      </c>
      <c r="AE16" s="10">
        <v>23.28</v>
      </c>
      <c r="AF16" s="10">
        <v>23.27</v>
      </c>
      <c r="AG16" s="10">
        <v>24.35</v>
      </c>
      <c r="AH16" s="10">
        <v>19.989999999999998</v>
      </c>
      <c r="AI16" s="10">
        <v>15.96</v>
      </c>
      <c r="AJ16" s="10">
        <v>24.17</v>
      </c>
      <c r="AK16" s="161">
        <v>22.77</v>
      </c>
      <c r="AL16" s="149">
        <v>14.64</v>
      </c>
      <c r="AM16" s="149">
        <v>25.61</v>
      </c>
      <c r="AN16" s="149">
        <v>15.83</v>
      </c>
      <c r="AO16" s="149">
        <v>14.69</v>
      </c>
      <c r="AP16" s="149">
        <v>21.02</v>
      </c>
      <c r="AQ16" s="149">
        <v>11.88</v>
      </c>
      <c r="AR16" s="149">
        <v>1.22</v>
      </c>
      <c r="AS16" s="149">
        <v>2.59</v>
      </c>
      <c r="AT16" s="149">
        <v>5.2</v>
      </c>
      <c r="AU16" s="149">
        <v>19.96</v>
      </c>
      <c r="AV16" s="149">
        <v>16.22</v>
      </c>
      <c r="AW16" s="149">
        <v>17.68</v>
      </c>
      <c r="AX16" s="149">
        <f>15.03-0.12</f>
        <v>14.91</v>
      </c>
      <c r="AY16" s="149">
        <v>7.87</v>
      </c>
      <c r="AZ16" s="149">
        <v>8.35</v>
      </c>
      <c r="BA16" s="149">
        <v>3.33</v>
      </c>
      <c r="BB16" s="149">
        <v>17.600000000000001</v>
      </c>
      <c r="BC16" s="149">
        <v>45.82</v>
      </c>
      <c r="BD16" s="149">
        <v>22.64</v>
      </c>
      <c r="BE16" s="149">
        <v>7.48</v>
      </c>
      <c r="BF16" s="149">
        <v>14.88</v>
      </c>
      <c r="BG16" s="149">
        <v>26.61</v>
      </c>
      <c r="BH16" s="149">
        <v>16.53</v>
      </c>
      <c r="BI16" s="149">
        <v>31.49</v>
      </c>
      <c r="BJ16" s="149">
        <v>13.59</v>
      </c>
      <c r="BK16" s="149">
        <v>9.91</v>
      </c>
      <c r="BL16" s="149">
        <v>9.7200000000000006</v>
      </c>
      <c r="BM16" s="149">
        <v>5.82</v>
      </c>
      <c r="BN16" s="149">
        <v>7.94</v>
      </c>
      <c r="BO16" s="149">
        <v>11.26</v>
      </c>
      <c r="BP16" s="149">
        <v>12.89</v>
      </c>
      <c r="BQ16" s="149">
        <v>12.53</v>
      </c>
      <c r="BR16" s="149">
        <v>9.1300000000000008</v>
      </c>
      <c r="BS16" s="149">
        <v>10.93</v>
      </c>
      <c r="BT16" s="149">
        <v>8.86</v>
      </c>
      <c r="BU16" s="149">
        <v>7.13</v>
      </c>
      <c r="BV16" s="149">
        <v>8.35</v>
      </c>
      <c r="BW16" s="149">
        <v>6.95</v>
      </c>
      <c r="BX16" s="149">
        <v>9.19</v>
      </c>
      <c r="BY16" s="149">
        <v>10.28</v>
      </c>
      <c r="BZ16" s="149">
        <v>8.11</v>
      </c>
    </row>
    <row r="17" spans="1:78">
      <c r="A17" s="105" t="s">
        <v>21</v>
      </c>
      <c r="B17" s="104" t="s">
        <v>17</v>
      </c>
      <c r="C17" s="107"/>
      <c r="D17" s="10">
        <v>0.09</v>
      </c>
      <c r="E17" s="10">
        <v>0.92</v>
      </c>
      <c r="F17" s="10">
        <v>0.45</v>
      </c>
      <c r="G17" s="10">
        <v>0.44</v>
      </c>
      <c r="H17" s="10">
        <v>0.81</v>
      </c>
      <c r="I17" s="10">
        <v>0.56000000000000005</v>
      </c>
      <c r="J17" s="10">
        <v>6.21</v>
      </c>
      <c r="K17" s="10">
        <v>2.02</v>
      </c>
      <c r="L17" s="10">
        <v>3.19</v>
      </c>
      <c r="M17" s="10">
        <v>0.42</v>
      </c>
      <c r="N17" s="10">
        <v>0.33</v>
      </c>
      <c r="O17" s="10">
        <v>0.57999999999999996</v>
      </c>
      <c r="P17" s="10">
        <v>0.36</v>
      </c>
      <c r="Q17" s="10">
        <v>0.83</v>
      </c>
      <c r="R17" s="10">
        <v>1.1299999999999999</v>
      </c>
      <c r="S17" s="10">
        <v>0.78</v>
      </c>
      <c r="T17" s="10">
        <v>0.49</v>
      </c>
      <c r="U17" s="10">
        <v>0.55000000000000004</v>
      </c>
      <c r="V17" s="10">
        <v>0.23</v>
      </c>
      <c r="W17" s="10">
        <v>0.36</v>
      </c>
      <c r="X17" s="10">
        <v>1.27</v>
      </c>
      <c r="Y17" s="10">
        <v>0.46</v>
      </c>
      <c r="Z17" s="10">
        <v>1.81</v>
      </c>
      <c r="AA17" s="10">
        <v>0.69</v>
      </c>
      <c r="AB17" s="10">
        <f>2.98+0.15</f>
        <v>3.13</v>
      </c>
      <c r="AC17" s="10">
        <v>4.1900000000000004</v>
      </c>
      <c r="AD17" s="10">
        <v>0.72799999999999998</v>
      </c>
      <c r="AE17" s="10">
        <v>0.26</v>
      </c>
      <c r="AF17" s="10">
        <v>2.44</v>
      </c>
      <c r="AG17" s="10">
        <v>1.39</v>
      </c>
      <c r="AH17" s="10">
        <v>2.2200000000000002</v>
      </c>
      <c r="AI17" s="10">
        <v>0.87</v>
      </c>
      <c r="AJ17" s="10">
        <v>0.51</v>
      </c>
      <c r="AK17" s="161">
        <v>0.3</v>
      </c>
      <c r="AL17" s="149">
        <v>4.34</v>
      </c>
      <c r="AM17" s="149">
        <v>2.36</v>
      </c>
      <c r="AN17" s="149">
        <v>1.48</v>
      </c>
      <c r="AO17" s="149">
        <v>1.1100000000000001</v>
      </c>
      <c r="AP17" s="149">
        <v>2.44</v>
      </c>
      <c r="AQ17" s="149">
        <v>0.42</v>
      </c>
      <c r="AR17" s="149">
        <v>0</v>
      </c>
      <c r="AS17" s="149">
        <v>0.21</v>
      </c>
      <c r="AT17" s="149">
        <v>0.4</v>
      </c>
      <c r="AU17" s="149">
        <v>0.81</v>
      </c>
      <c r="AV17" s="149">
        <v>0.97</v>
      </c>
      <c r="AW17" s="149">
        <v>0.39</v>
      </c>
      <c r="AX17" s="149">
        <v>0.12</v>
      </c>
      <c r="AY17" s="149">
        <v>0.31</v>
      </c>
      <c r="AZ17" s="149">
        <v>0.79</v>
      </c>
      <c r="BA17" s="149">
        <v>1.39</v>
      </c>
      <c r="BB17" s="149">
        <v>0.9</v>
      </c>
      <c r="BC17" s="149">
        <v>0.83</v>
      </c>
      <c r="BD17" s="149">
        <v>0.57999999999999996</v>
      </c>
      <c r="BE17" s="149">
        <v>0.09</v>
      </c>
      <c r="BF17" s="149">
        <v>0.2</v>
      </c>
      <c r="BG17" s="149">
        <v>0.88</v>
      </c>
      <c r="BH17" s="149">
        <v>0.69</v>
      </c>
      <c r="BI17" s="149">
        <v>0.38</v>
      </c>
      <c r="BJ17" s="149">
        <v>1.84</v>
      </c>
      <c r="BK17" s="149">
        <v>0.7</v>
      </c>
      <c r="BL17" s="149">
        <v>0.53</v>
      </c>
      <c r="BM17" s="149">
        <v>2.44</v>
      </c>
      <c r="BN17" s="149">
        <v>1.97</v>
      </c>
      <c r="BO17" s="149">
        <v>3.02</v>
      </c>
      <c r="BP17" s="149">
        <v>2.15</v>
      </c>
      <c r="BQ17" s="149">
        <v>4.8</v>
      </c>
      <c r="BR17" s="149">
        <v>0.44</v>
      </c>
      <c r="BS17" s="149">
        <v>3.05</v>
      </c>
      <c r="BT17" s="149">
        <v>1.38</v>
      </c>
      <c r="BU17" s="149">
        <v>1.02</v>
      </c>
      <c r="BV17" s="149">
        <v>2.42</v>
      </c>
      <c r="BW17" s="149">
        <v>2.4900000000000002</v>
      </c>
      <c r="BX17" s="149">
        <v>3.27</v>
      </c>
      <c r="BY17" s="149">
        <v>0.53</v>
      </c>
      <c r="BZ17" s="149">
        <v>0.33</v>
      </c>
    </row>
    <row r="18" spans="1:78">
      <c r="A18" s="11" t="s">
        <v>872</v>
      </c>
      <c r="B18" s="108"/>
      <c r="C18" s="109"/>
      <c r="D18" s="133">
        <f>D16+D17</f>
        <v>21.87</v>
      </c>
      <c r="E18" s="133">
        <f t="shared" ref="E18:AI18" si="0">SUM(E16:E17)-E15</f>
        <v>15.06</v>
      </c>
      <c r="F18" s="133">
        <f t="shared" si="0"/>
        <v>15.73</v>
      </c>
      <c r="G18" s="133">
        <f t="shared" si="0"/>
        <v>13.51</v>
      </c>
      <c r="H18" s="133">
        <f>SUM(H16:H17)-H15</f>
        <v>17.169999999999998</v>
      </c>
      <c r="I18" s="133">
        <f t="shared" si="0"/>
        <v>16.47</v>
      </c>
      <c r="J18" s="133">
        <f t="shared" si="0"/>
        <v>16.010000000000002</v>
      </c>
      <c r="K18" s="133">
        <f t="shared" si="0"/>
        <v>17.309999999999999</v>
      </c>
      <c r="L18" s="133">
        <f t="shared" si="0"/>
        <v>22.360000000000003</v>
      </c>
      <c r="M18" s="133">
        <f t="shared" si="0"/>
        <v>30.910000000000004</v>
      </c>
      <c r="N18" s="133">
        <f t="shared" si="0"/>
        <v>24.4</v>
      </c>
      <c r="O18" s="133">
        <f t="shared" si="0"/>
        <v>24.76</v>
      </c>
      <c r="P18" s="133">
        <f t="shared" si="0"/>
        <v>19.329999999999998</v>
      </c>
      <c r="Q18" s="133">
        <f t="shared" si="0"/>
        <v>18.61</v>
      </c>
      <c r="R18" s="133">
        <f t="shared" si="0"/>
        <v>22.34</v>
      </c>
      <c r="S18" s="133">
        <f t="shared" si="0"/>
        <v>14.33</v>
      </c>
      <c r="T18" s="133">
        <f t="shared" si="0"/>
        <v>18.009999999999998</v>
      </c>
      <c r="U18" s="133">
        <f t="shared" si="0"/>
        <v>14.49</v>
      </c>
      <c r="V18" s="133">
        <f t="shared" si="0"/>
        <v>14.97</v>
      </c>
      <c r="W18" s="133">
        <f t="shared" si="0"/>
        <v>16.350000000000001</v>
      </c>
      <c r="X18" s="133">
        <f t="shared" si="0"/>
        <v>20.57</v>
      </c>
      <c r="Y18" s="133">
        <f t="shared" si="0"/>
        <v>18.600000000000001</v>
      </c>
      <c r="Z18" s="133">
        <f>SUM(Z16:Z17)-Z15</f>
        <v>23.88</v>
      </c>
      <c r="AA18" s="133">
        <f t="shared" si="0"/>
        <v>18.12</v>
      </c>
      <c r="AB18" s="133">
        <f t="shared" si="0"/>
        <v>20.52</v>
      </c>
      <c r="AC18" s="133">
        <f>SUM(AC16:AC17)-AC15</f>
        <v>17.079999999999998</v>
      </c>
      <c r="AD18" s="133">
        <f t="shared" si="0"/>
        <v>27.218000000000004</v>
      </c>
      <c r="AE18" s="133">
        <f t="shared" si="0"/>
        <v>23.540000000000003</v>
      </c>
      <c r="AF18" s="133">
        <f>SUM(AF16:AF17)-AF15</f>
        <v>22.03</v>
      </c>
      <c r="AG18" s="133">
        <f t="shared" si="0"/>
        <v>24.73</v>
      </c>
      <c r="AH18" s="133">
        <f t="shared" si="0"/>
        <v>21.749999999999996</v>
      </c>
      <c r="AI18" s="133">
        <f t="shared" si="0"/>
        <v>16.360000000000003</v>
      </c>
      <c r="AJ18" s="133">
        <f t="shared" ref="AJ18:AP18" si="1">SUM(AJ16:AJ17)-AJ15</f>
        <v>23.710000000000004</v>
      </c>
      <c r="AK18" s="162">
        <f t="shared" si="1"/>
        <v>22.64</v>
      </c>
      <c r="AL18" s="133">
        <f t="shared" si="1"/>
        <v>18.04</v>
      </c>
      <c r="AM18" s="133">
        <f t="shared" si="1"/>
        <v>25.479999999999997</v>
      </c>
      <c r="AN18" s="133">
        <f t="shared" si="1"/>
        <v>16.389999999999997</v>
      </c>
      <c r="AO18" s="133">
        <f t="shared" si="1"/>
        <v>15.309999999999999</v>
      </c>
      <c r="AP18" s="133">
        <f t="shared" si="1"/>
        <v>22.68</v>
      </c>
      <c r="AQ18" s="133">
        <f t="shared" ref="AQ18:AW18" si="2">SUM(AQ16:AQ17)-AQ15</f>
        <v>11.850000000000001</v>
      </c>
      <c r="AR18" s="133">
        <f t="shared" si="2"/>
        <v>1.22</v>
      </c>
      <c r="AS18" s="133">
        <f t="shared" si="2"/>
        <v>2.8</v>
      </c>
      <c r="AT18" s="133">
        <f t="shared" si="2"/>
        <v>4.9800000000000004</v>
      </c>
      <c r="AU18" s="133">
        <f t="shared" si="2"/>
        <v>20.77</v>
      </c>
      <c r="AV18" s="133">
        <f t="shared" si="2"/>
        <v>16.36</v>
      </c>
      <c r="AW18" s="133">
        <f t="shared" si="2"/>
        <v>16.830000000000002</v>
      </c>
      <c r="AX18" s="133">
        <f t="shared" ref="AX18:BG18" si="3">SUM(AX16:AX17)-AX15</f>
        <v>14.92</v>
      </c>
      <c r="AY18" s="133">
        <f t="shared" si="3"/>
        <v>7.79</v>
      </c>
      <c r="AZ18" s="133">
        <f t="shared" si="3"/>
        <v>8.49</v>
      </c>
      <c r="BA18" s="198">
        <f t="shared" si="3"/>
        <v>2.2399999999999998</v>
      </c>
      <c r="BB18" s="198">
        <f t="shared" si="3"/>
        <v>18.32</v>
      </c>
      <c r="BC18" s="198">
        <f t="shared" si="3"/>
        <v>46.059999999999995</v>
      </c>
      <c r="BD18" s="198">
        <f t="shared" si="3"/>
        <v>23.11</v>
      </c>
      <c r="BE18" s="198">
        <f t="shared" si="3"/>
        <v>7.57</v>
      </c>
      <c r="BF18" s="198">
        <f t="shared" si="3"/>
        <v>15.08</v>
      </c>
      <c r="BG18" s="198">
        <f t="shared" si="3"/>
        <v>27.479999999999997</v>
      </c>
      <c r="BH18" s="198">
        <f>BH17+BH16</f>
        <v>17.220000000000002</v>
      </c>
      <c r="BI18" s="198">
        <f>BI17+BI16</f>
        <v>31.869999999999997</v>
      </c>
      <c r="BJ18" s="198">
        <f t="shared" ref="BJ18:BP18" si="4">BJ16+BJ17</f>
        <v>15.43</v>
      </c>
      <c r="BK18" s="198">
        <f t="shared" si="4"/>
        <v>10.61</v>
      </c>
      <c r="BL18" s="198">
        <f t="shared" si="4"/>
        <v>10.25</v>
      </c>
      <c r="BM18" s="198">
        <f t="shared" si="4"/>
        <v>8.26</v>
      </c>
      <c r="BN18" s="198">
        <f t="shared" si="4"/>
        <v>9.91</v>
      </c>
      <c r="BO18" s="198">
        <f t="shared" si="4"/>
        <v>14.28</v>
      </c>
      <c r="BP18" s="198">
        <f t="shared" si="4"/>
        <v>15.040000000000001</v>
      </c>
      <c r="BQ18" s="198">
        <v>17.329999999999998</v>
      </c>
      <c r="BR18" s="198">
        <f t="shared" ref="BR18:BW18" si="5">BR16+BR17</f>
        <v>9.57</v>
      </c>
      <c r="BS18" s="198">
        <f t="shared" si="5"/>
        <v>13.98</v>
      </c>
      <c r="BT18" s="198">
        <f t="shared" si="5"/>
        <v>10.239999999999998</v>
      </c>
      <c r="BU18" s="198">
        <f t="shared" si="5"/>
        <v>8.15</v>
      </c>
      <c r="BV18" s="198">
        <f t="shared" si="5"/>
        <v>10.77</v>
      </c>
      <c r="BW18" s="198">
        <f t="shared" si="5"/>
        <v>9.4400000000000013</v>
      </c>
      <c r="BX18" s="198">
        <f t="shared" ref="BX18:BY18" si="6">BX16+BX17</f>
        <v>12.459999999999999</v>
      </c>
      <c r="BY18" s="198">
        <f t="shared" si="6"/>
        <v>10.809999999999999</v>
      </c>
      <c r="BZ18" s="198">
        <f t="shared" ref="BZ18" si="7">BZ16+BZ17</f>
        <v>8.44</v>
      </c>
    </row>
    <row r="19" spans="1:78">
      <c r="A19" s="72" t="s">
        <v>794</v>
      </c>
      <c r="B19" s="108"/>
      <c r="C19" s="109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>
        <v>1.44</v>
      </c>
      <c r="U19" s="133">
        <v>0.77</v>
      </c>
      <c r="V19" s="133">
        <v>0.87</v>
      </c>
      <c r="W19" s="133">
        <v>0.91</v>
      </c>
      <c r="X19" s="133">
        <v>2.15</v>
      </c>
      <c r="Y19" s="133">
        <v>1.38</v>
      </c>
      <c r="Z19" s="133">
        <v>1.37</v>
      </c>
      <c r="AA19" s="133">
        <v>1.33</v>
      </c>
      <c r="AB19" s="133">
        <v>0.98</v>
      </c>
      <c r="AC19" s="133">
        <v>1.57</v>
      </c>
      <c r="AD19" s="133">
        <v>2.2400000000000002</v>
      </c>
      <c r="AE19" s="133">
        <f>0.419+1.41</f>
        <v>1.829</v>
      </c>
      <c r="AF19" s="133">
        <f>3.25+1.22</f>
        <v>4.47</v>
      </c>
      <c r="AG19" s="133">
        <f>3.37+1.46+0.06</f>
        <v>4.8899999999999997</v>
      </c>
      <c r="AH19" s="133">
        <f>1.46+1.34+0.02</f>
        <v>2.82</v>
      </c>
      <c r="AI19" s="133">
        <f>2.44+0.68+0.05</f>
        <v>3.17</v>
      </c>
      <c r="AJ19" s="133">
        <f>2.66+0.04+0.11</f>
        <v>2.81</v>
      </c>
      <c r="AK19" s="162">
        <f>0.05+1.64+0.13</f>
        <v>1.8199999999999998</v>
      </c>
      <c r="AL19" s="133">
        <f>1.41+0.16+0.09</f>
        <v>1.66</v>
      </c>
      <c r="AM19" s="133">
        <f>2.71+0.81+0.05</f>
        <v>3.57</v>
      </c>
      <c r="AN19" s="133">
        <f>1.14+0.51+0.04</f>
        <v>1.69</v>
      </c>
      <c r="AO19" s="133">
        <f>1.01+0.04+0.75</f>
        <v>1.8</v>
      </c>
      <c r="AP19" s="133">
        <v>2.7199999999999998</v>
      </c>
      <c r="AQ19" s="133">
        <v>1.57</v>
      </c>
      <c r="AR19" s="133">
        <f>0.04+0.06</f>
        <v>0.1</v>
      </c>
      <c r="AS19" s="133">
        <f>0.43+0.08</f>
        <v>0.51</v>
      </c>
      <c r="AT19" s="133">
        <v>0.25</v>
      </c>
      <c r="AU19" s="133">
        <v>2.2400000000000002</v>
      </c>
      <c r="AV19" s="133">
        <v>10.41</v>
      </c>
      <c r="AW19" s="133">
        <f>1.64+0.06</f>
        <v>1.7</v>
      </c>
      <c r="AX19" s="133">
        <v>1.43</v>
      </c>
      <c r="AY19" s="133">
        <f>0.39+0.2+0.5</f>
        <v>1.0900000000000001</v>
      </c>
      <c r="AZ19" s="133">
        <v>0.66</v>
      </c>
      <c r="BA19" s="198">
        <v>0.7</v>
      </c>
      <c r="BB19" s="198">
        <v>7.12</v>
      </c>
      <c r="BC19" s="198">
        <v>0.13</v>
      </c>
      <c r="BD19" s="198">
        <v>0.88</v>
      </c>
      <c r="BE19" s="198">
        <v>0.17</v>
      </c>
      <c r="BF19" s="198">
        <v>7.0000000000000007E-2</v>
      </c>
      <c r="BG19" s="198">
        <v>2.78</v>
      </c>
      <c r="BH19" s="198">
        <v>0.97</v>
      </c>
      <c r="BI19" s="198">
        <v>3.1</v>
      </c>
      <c r="BJ19" s="198">
        <v>1.64</v>
      </c>
      <c r="BK19" s="198">
        <v>0.34</v>
      </c>
      <c r="BL19" s="198">
        <v>0.64</v>
      </c>
      <c r="BM19" s="198">
        <v>0.78</v>
      </c>
      <c r="BN19" s="198">
        <v>0.86</v>
      </c>
      <c r="BO19" s="198">
        <v>1.42</v>
      </c>
      <c r="BP19" s="198">
        <v>1.1100000000000001</v>
      </c>
      <c r="BQ19" s="198">
        <v>1.1100000000000001</v>
      </c>
      <c r="BR19" s="198">
        <v>0.69</v>
      </c>
      <c r="BS19" s="198">
        <v>1.05</v>
      </c>
      <c r="BT19" s="198">
        <v>0.89</v>
      </c>
      <c r="BU19" s="198">
        <v>0.33</v>
      </c>
      <c r="BV19" s="198">
        <v>0.26</v>
      </c>
      <c r="BW19" s="198">
        <v>0.15</v>
      </c>
      <c r="BX19" s="198">
        <v>0.53</v>
      </c>
      <c r="BY19" s="198">
        <v>0.54</v>
      </c>
      <c r="BZ19" s="198">
        <v>0.18</v>
      </c>
    </row>
    <row r="20" spans="1:78">
      <c r="A20" s="72" t="s">
        <v>871</v>
      </c>
      <c r="B20" s="108"/>
      <c r="C20" s="109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>
        <v>16.57</v>
      </c>
      <c r="U20" s="133">
        <v>13.72</v>
      </c>
      <c r="V20" s="133">
        <f t="shared" ref="V20:AI20" si="8">+V18-V19</f>
        <v>14.100000000000001</v>
      </c>
      <c r="W20" s="133">
        <f t="shared" si="8"/>
        <v>15.440000000000001</v>
      </c>
      <c r="X20" s="133">
        <f t="shared" si="8"/>
        <v>18.420000000000002</v>
      </c>
      <c r="Y20" s="133">
        <f t="shared" si="8"/>
        <v>17.220000000000002</v>
      </c>
      <c r="Z20" s="133">
        <f t="shared" si="8"/>
        <v>22.509999999999998</v>
      </c>
      <c r="AA20" s="133">
        <f t="shared" si="8"/>
        <v>16.79</v>
      </c>
      <c r="AB20" s="133">
        <f t="shared" si="8"/>
        <v>19.54</v>
      </c>
      <c r="AC20" s="133">
        <f t="shared" si="8"/>
        <v>15.509999999999998</v>
      </c>
      <c r="AD20" s="133">
        <f t="shared" si="8"/>
        <v>24.978000000000002</v>
      </c>
      <c r="AE20" s="133">
        <f t="shared" si="8"/>
        <v>21.711000000000002</v>
      </c>
      <c r="AF20" s="133">
        <f t="shared" si="8"/>
        <v>17.560000000000002</v>
      </c>
      <c r="AG20" s="133">
        <f t="shared" si="8"/>
        <v>19.84</v>
      </c>
      <c r="AH20" s="133">
        <f t="shared" si="8"/>
        <v>18.929999999999996</v>
      </c>
      <c r="AI20" s="133">
        <f t="shared" si="8"/>
        <v>13.190000000000003</v>
      </c>
      <c r="AJ20" s="133">
        <f t="shared" ref="AJ20:AP20" si="9">+AJ18-AJ19</f>
        <v>20.900000000000006</v>
      </c>
      <c r="AK20" s="162">
        <f t="shared" si="9"/>
        <v>20.82</v>
      </c>
      <c r="AL20" s="133">
        <f t="shared" si="9"/>
        <v>16.38</v>
      </c>
      <c r="AM20" s="133">
        <f t="shared" si="9"/>
        <v>21.909999999999997</v>
      </c>
      <c r="AN20" s="133">
        <f t="shared" si="9"/>
        <v>14.699999999999998</v>
      </c>
      <c r="AO20" s="133">
        <f t="shared" si="9"/>
        <v>13.509999999999998</v>
      </c>
      <c r="AP20" s="133">
        <f t="shared" si="9"/>
        <v>19.96</v>
      </c>
      <c r="AQ20" s="133">
        <f t="shared" ref="AQ20:AW20" si="10">+AQ18-AQ19</f>
        <v>10.280000000000001</v>
      </c>
      <c r="AR20" s="133">
        <f t="shared" si="10"/>
        <v>1.1199999999999999</v>
      </c>
      <c r="AS20" s="133">
        <f t="shared" si="10"/>
        <v>2.29</v>
      </c>
      <c r="AT20" s="133">
        <f t="shared" si="10"/>
        <v>4.7300000000000004</v>
      </c>
      <c r="AU20" s="133">
        <f t="shared" si="10"/>
        <v>18.53</v>
      </c>
      <c r="AV20" s="133">
        <f t="shared" si="10"/>
        <v>5.9499999999999993</v>
      </c>
      <c r="AW20" s="133">
        <f t="shared" si="10"/>
        <v>15.130000000000003</v>
      </c>
      <c r="AX20" s="133">
        <f t="shared" ref="AX20:BI20" si="11">+AX18-AX19</f>
        <v>13.49</v>
      </c>
      <c r="AY20" s="133">
        <f t="shared" si="11"/>
        <v>6.7</v>
      </c>
      <c r="AZ20" s="133">
        <f t="shared" si="11"/>
        <v>7.83</v>
      </c>
      <c r="BA20" s="133">
        <f t="shared" si="11"/>
        <v>1.5399999999999998</v>
      </c>
      <c r="BB20" s="198">
        <f t="shared" si="11"/>
        <v>11.2</v>
      </c>
      <c r="BC20" s="198">
        <f t="shared" si="11"/>
        <v>45.929999999999993</v>
      </c>
      <c r="BD20" s="198">
        <f t="shared" si="11"/>
        <v>22.23</v>
      </c>
      <c r="BE20" s="198">
        <f t="shared" si="11"/>
        <v>7.4</v>
      </c>
      <c r="BF20" s="198">
        <f t="shared" si="11"/>
        <v>15.01</v>
      </c>
      <c r="BG20" s="198">
        <f t="shared" si="11"/>
        <v>24.699999999999996</v>
      </c>
      <c r="BH20" s="198">
        <f t="shared" si="11"/>
        <v>16.250000000000004</v>
      </c>
      <c r="BI20" s="198">
        <f t="shared" si="11"/>
        <v>28.769999999999996</v>
      </c>
      <c r="BJ20" s="198">
        <f t="shared" ref="BJ20:BO20" si="12">BJ18-BJ19</f>
        <v>13.79</v>
      </c>
      <c r="BK20" s="198">
        <f t="shared" si="12"/>
        <v>10.27</v>
      </c>
      <c r="BL20" s="198">
        <f t="shared" si="12"/>
        <v>9.61</v>
      </c>
      <c r="BM20" s="198">
        <f t="shared" si="12"/>
        <v>7.4799999999999995</v>
      </c>
      <c r="BN20" s="198">
        <f t="shared" si="12"/>
        <v>9.0500000000000007</v>
      </c>
      <c r="BO20" s="198">
        <f t="shared" si="12"/>
        <v>12.86</v>
      </c>
      <c r="BP20" s="198">
        <f t="shared" ref="BP20:BU20" si="13">BP18-BP19</f>
        <v>13.930000000000001</v>
      </c>
      <c r="BQ20" s="198">
        <f t="shared" si="13"/>
        <v>16.22</v>
      </c>
      <c r="BR20" s="198">
        <f t="shared" si="13"/>
        <v>8.8800000000000008</v>
      </c>
      <c r="BS20" s="198">
        <f t="shared" si="13"/>
        <v>12.93</v>
      </c>
      <c r="BT20" s="198">
        <f t="shared" si="13"/>
        <v>9.3499999999999979</v>
      </c>
      <c r="BU20" s="198">
        <f t="shared" si="13"/>
        <v>7.82</v>
      </c>
      <c r="BV20" s="198">
        <f t="shared" ref="BV20:BW20" si="14">BV18-BV19</f>
        <v>10.51</v>
      </c>
      <c r="BW20" s="198">
        <f t="shared" si="14"/>
        <v>9.2900000000000009</v>
      </c>
      <c r="BX20" s="198">
        <f t="shared" ref="BX20:BY20" si="15">BX18-BX19</f>
        <v>11.93</v>
      </c>
      <c r="BY20" s="198">
        <f t="shared" si="15"/>
        <v>10.27</v>
      </c>
      <c r="BZ20" s="198">
        <f t="shared" ref="BZ20" si="16">BZ18-BZ19</f>
        <v>8.26</v>
      </c>
    </row>
    <row r="21" spans="1:78">
      <c r="A21" s="11" t="s">
        <v>22</v>
      </c>
      <c r="B21" s="108" t="s">
        <v>17</v>
      </c>
      <c r="C21" s="109"/>
      <c r="D21" s="133"/>
      <c r="E21" s="133">
        <f t="shared" ref="E21:AP21" si="17">SUM(E22:E23)</f>
        <v>0.59</v>
      </c>
      <c r="F21" s="133">
        <f t="shared" si="17"/>
        <v>1.52</v>
      </c>
      <c r="G21" s="133">
        <f t="shared" si="17"/>
        <v>0.97</v>
      </c>
      <c r="H21" s="133">
        <f t="shared" si="17"/>
        <v>0.75</v>
      </c>
      <c r="I21" s="133">
        <f t="shared" si="17"/>
        <v>0.73</v>
      </c>
      <c r="J21" s="133">
        <f t="shared" si="17"/>
        <v>0.78</v>
      </c>
      <c r="K21" s="133">
        <f t="shared" si="17"/>
        <v>0.56999999999999995</v>
      </c>
      <c r="L21" s="133">
        <f t="shared" si="17"/>
        <v>0.78</v>
      </c>
      <c r="M21" s="133">
        <f t="shared" si="17"/>
        <v>3.26</v>
      </c>
      <c r="N21" s="133">
        <f t="shared" si="17"/>
        <v>0.84</v>
      </c>
      <c r="O21" s="133">
        <f t="shared" si="17"/>
        <v>1.27</v>
      </c>
      <c r="P21" s="133">
        <f t="shared" si="17"/>
        <v>3.22</v>
      </c>
      <c r="Q21" s="133">
        <f t="shared" si="17"/>
        <v>2.09</v>
      </c>
      <c r="R21" s="133">
        <f t="shared" si="17"/>
        <v>2.2199999999999998</v>
      </c>
      <c r="S21" s="133">
        <f t="shared" si="17"/>
        <v>1.03</v>
      </c>
      <c r="T21" s="133">
        <v>2.5099999999999998</v>
      </c>
      <c r="U21" s="133">
        <v>2.02</v>
      </c>
      <c r="V21" s="133">
        <f t="shared" si="17"/>
        <v>1.1399999999999999</v>
      </c>
      <c r="W21" s="133">
        <f t="shared" si="17"/>
        <v>1.59</v>
      </c>
      <c r="X21" s="133">
        <f>SUM(X22:X23)</f>
        <v>1.3599999999999999</v>
      </c>
      <c r="Y21" s="133">
        <f>SUM(Y22:Y23)</f>
        <v>1.04</v>
      </c>
      <c r="Z21" s="133">
        <f>SUM(Z22:Z23)</f>
        <v>2.96</v>
      </c>
      <c r="AA21" s="133">
        <f t="shared" si="17"/>
        <v>2.2000000000000002</v>
      </c>
      <c r="AB21" s="133">
        <f t="shared" si="17"/>
        <v>1.05</v>
      </c>
      <c r="AC21" s="133">
        <f>SUM(AC22:AC23)</f>
        <v>0.87</v>
      </c>
      <c r="AD21" s="133">
        <f>SUM(AD22:AD23)</f>
        <v>4.07</v>
      </c>
      <c r="AE21" s="133">
        <f>SUM(AE22:AE23)</f>
        <v>2.4900000000000002</v>
      </c>
      <c r="AF21" s="133">
        <f t="shared" si="17"/>
        <v>3.51</v>
      </c>
      <c r="AG21" s="133">
        <f t="shared" si="17"/>
        <v>1.45</v>
      </c>
      <c r="AH21" s="133">
        <f t="shared" si="17"/>
        <v>1.95</v>
      </c>
      <c r="AI21" s="133">
        <f t="shared" si="17"/>
        <v>1.91</v>
      </c>
      <c r="AJ21" s="133">
        <f t="shared" si="17"/>
        <v>0.26</v>
      </c>
      <c r="AK21" s="162">
        <f t="shared" si="17"/>
        <v>1.55</v>
      </c>
      <c r="AL21" s="133">
        <f t="shared" si="17"/>
        <v>0.94</v>
      </c>
      <c r="AM21" s="133">
        <f t="shared" si="17"/>
        <v>0.57999999999999996</v>
      </c>
      <c r="AN21" s="133">
        <f t="shared" si="17"/>
        <v>2.4700000000000002</v>
      </c>
      <c r="AO21" s="133">
        <f t="shared" si="17"/>
        <v>0.78</v>
      </c>
      <c r="AP21" s="133">
        <f t="shared" si="17"/>
        <v>0.56999999999999995</v>
      </c>
      <c r="AQ21" s="133">
        <f t="shared" ref="AQ21:AW21" si="18">SUM(AQ22:AQ23)</f>
        <v>0.45</v>
      </c>
      <c r="AR21" s="133">
        <f t="shared" si="18"/>
        <v>0.45</v>
      </c>
      <c r="AS21" s="133">
        <f t="shared" si="18"/>
        <v>0.45</v>
      </c>
      <c r="AT21" s="198">
        <f t="shared" si="18"/>
        <v>0.43</v>
      </c>
      <c r="AU21" s="198">
        <f t="shared" si="18"/>
        <v>2.16</v>
      </c>
      <c r="AV21" s="198">
        <f t="shared" si="18"/>
        <v>2.16</v>
      </c>
      <c r="AW21" s="198">
        <f t="shared" si="18"/>
        <v>1.29</v>
      </c>
      <c r="AX21" s="198">
        <f>SUM(AX22:AX23)</f>
        <v>1.29</v>
      </c>
      <c r="AY21" s="198">
        <f>SUM(AY22:AY23)</f>
        <v>0.12</v>
      </c>
      <c r="AZ21" s="198">
        <f>SUM(AZ22:AZ23)</f>
        <v>0.72</v>
      </c>
      <c r="BA21" s="198">
        <f>SUM(BA22:BA23)</f>
        <v>0.72</v>
      </c>
      <c r="BB21" s="198">
        <f>SUM(BB22:BB23)</f>
        <v>0</v>
      </c>
      <c r="BC21" s="198">
        <v>2.27</v>
      </c>
      <c r="BD21" s="198">
        <v>2.27</v>
      </c>
      <c r="BE21" s="198">
        <v>0.44</v>
      </c>
      <c r="BF21" s="198">
        <f>0.54+0.64</f>
        <v>1.1800000000000002</v>
      </c>
      <c r="BG21" s="198">
        <f>0.77-0.15+0.83</f>
        <v>1.45</v>
      </c>
      <c r="BH21" s="198">
        <v>2.4300000000000002</v>
      </c>
      <c r="BI21" s="198">
        <v>1.71</v>
      </c>
      <c r="BJ21" s="198">
        <v>0.14000000000000001</v>
      </c>
      <c r="BK21" s="198">
        <v>0.03</v>
      </c>
      <c r="BL21" s="198">
        <v>0</v>
      </c>
      <c r="BM21" s="198">
        <v>0.05</v>
      </c>
      <c r="BN21" s="198">
        <v>0.12</v>
      </c>
      <c r="BO21" s="198">
        <v>0.98</v>
      </c>
      <c r="BP21" s="198">
        <v>0.45</v>
      </c>
      <c r="BQ21" s="198">
        <v>0</v>
      </c>
      <c r="BR21" s="198">
        <v>0.01</v>
      </c>
      <c r="BS21" s="198">
        <v>0.31</v>
      </c>
      <c r="BT21" s="198">
        <v>0</v>
      </c>
      <c r="BU21" s="198">
        <v>1.52</v>
      </c>
      <c r="BV21" s="198">
        <v>1.33</v>
      </c>
      <c r="BW21" s="198">
        <v>0</v>
      </c>
      <c r="BX21" s="198">
        <v>0</v>
      </c>
      <c r="BY21" s="198">
        <v>0</v>
      </c>
      <c r="BZ21" s="198">
        <v>0</v>
      </c>
    </row>
    <row r="22" spans="1:78">
      <c r="A22" s="110" t="s">
        <v>111</v>
      </c>
      <c r="B22" s="104" t="s">
        <v>17</v>
      </c>
      <c r="C22" s="111"/>
      <c r="D22" s="10"/>
      <c r="E22" s="10">
        <f>0.29+0.3</f>
        <v>0.59</v>
      </c>
      <c r="F22" s="10">
        <f>0.83+0.69</f>
        <v>1.52</v>
      </c>
      <c r="G22" s="10">
        <f>0.18+0.79</f>
        <v>0.97</v>
      </c>
      <c r="H22" s="10">
        <f>0.82-0.07</f>
        <v>0.75</v>
      </c>
      <c r="I22" s="10">
        <f>0.26+0.47</f>
        <v>0.73</v>
      </c>
      <c r="J22" s="10">
        <f>0.35+0.43</f>
        <v>0.78</v>
      </c>
      <c r="K22" s="10">
        <f>0.35+0.22</f>
        <v>0.56999999999999995</v>
      </c>
      <c r="L22" s="10">
        <f>0.62+0.16</f>
        <v>0.78</v>
      </c>
      <c r="M22" s="10">
        <f>2.51+0.75</f>
        <v>3.26</v>
      </c>
      <c r="N22" s="10">
        <f>0.36+0.48</f>
        <v>0.84</v>
      </c>
      <c r="O22" s="10">
        <f>0.75+0.52</f>
        <v>1.27</v>
      </c>
      <c r="P22" s="10">
        <f>1+2.22</f>
        <v>3.22</v>
      </c>
      <c r="Q22" s="10">
        <f>0.99+1.1</f>
        <v>2.09</v>
      </c>
      <c r="R22" s="10">
        <f>1.98+0.24</f>
        <v>2.2199999999999998</v>
      </c>
      <c r="S22" s="10">
        <f>0.89+0.14</f>
        <v>1.03</v>
      </c>
      <c r="T22" s="10">
        <v>2.5099999999999998</v>
      </c>
      <c r="U22" s="10">
        <v>2.02</v>
      </c>
      <c r="V22" s="10">
        <v>1.1399999999999999</v>
      </c>
      <c r="W22" s="10">
        <v>1.59</v>
      </c>
      <c r="X22" s="10">
        <f>1.14+0.22</f>
        <v>1.3599999999999999</v>
      </c>
      <c r="Y22" s="10">
        <f>0.93+0.11</f>
        <v>1.04</v>
      </c>
      <c r="Z22" s="10">
        <f>1.5+1.46</f>
        <v>2.96</v>
      </c>
      <c r="AA22" s="10">
        <f>2.2</f>
        <v>2.2000000000000002</v>
      </c>
      <c r="AB22" s="10">
        <v>1.05</v>
      </c>
      <c r="AC22" s="10">
        <f>0.66+0.21</f>
        <v>0.87</v>
      </c>
      <c r="AD22" s="10">
        <v>4.07</v>
      </c>
      <c r="AE22" s="10">
        <v>2.4900000000000002</v>
      </c>
      <c r="AF22" s="10">
        <v>3.51</v>
      </c>
      <c r="AG22" s="10">
        <v>1.45</v>
      </c>
      <c r="AH22" s="10">
        <v>1.95</v>
      </c>
      <c r="AI22" s="10">
        <v>1.91</v>
      </c>
      <c r="AJ22" s="10">
        <v>0.26</v>
      </c>
      <c r="AK22" s="160">
        <v>1.55</v>
      </c>
      <c r="AL22" s="10">
        <v>0.94</v>
      </c>
      <c r="AM22" s="10">
        <v>0.57999999999999996</v>
      </c>
      <c r="AN22" s="10">
        <v>2.4700000000000002</v>
      </c>
      <c r="AO22" s="10">
        <v>0.78</v>
      </c>
      <c r="AP22" s="10">
        <v>0.56999999999999995</v>
      </c>
      <c r="AQ22" s="10">
        <f>0.11+0.34</f>
        <v>0.45</v>
      </c>
      <c r="AR22" s="10">
        <f>0.11+0.34</f>
        <v>0.45</v>
      </c>
      <c r="AS22" s="10">
        <f>0.11+0.34</f>
        <v>0.45</v>
      </c>
      <c r="AT22" s="10">
        <v>0.43</v>
      </c>
      <c r="AU22" s="10">
        <f>0.11+0.05+2</f>
        <v>2.16</v>
      </c>
      <c r="AV22" s="10">
        <f>0.11+0.05+2</f>
        <v>2.16</v>
      </c>
      <c r="AW22" s="10">
        <v>1.29</v>
      </c>
      <c r="AX22" s="10">
        <v>1.29</v>
      </c>
      <c r="AY22" s="201">
        <v>0.12</v>
      </c>
      <c r="AZ22" s="201">
        <v>0.72</v>
      </c>
      <c r="BA22" s="201">
        <v>0.72</v>
      </c>
      <c r="BB22" s="201">
        <v>0</v>
      </c>
      <c r="BC22" s="201">
        <v>0</v>
      </c>
      <c r="BD22" s="201">
        <v>0</v>
      </c>
      <c r="BE22" s="201">
        <v>0</v>
      </c>
      <c r="BF22" s="201">
        <v>0</v>
      </c>
      <c r="BG22" s="201">
        <v>0</v>
      </c>
      <c r="BH22" s="201">
        <v>0</v>
      </c>
      <c r="BI22" s="201">
        <v>0</v>
      </c>
      <c r="BJ22" s="201">
        <v>0</v>
      </c>
      <c r="BK22" s="201">
        <v>0</v>
      </c>
      <c r="BL22" s="201">
        <v>0</v>
      </c>
      <c r="BM22" s="201">
        <v>0</v>
      </c>
      <c r="BN22" s="201">
        <v>0</v>
      </c>
      <c r="BO22" s="201">
        <v>0</v>
      </c>
      <c r="BP22" s="201">
        <v>0</v>
      </c>
      <c r="BQ22" s="201">
        <v>0</v>
      </c>
      <c r="BR22" s="201">
        <v>0</v>
      </c>
      <c r="BS22" s="201">
        <v>0</v>
      </c>
      <c r="BT22" s="201">
        <v>0</v>
      </c>
      <c r="BU22" s="201">
        <v>0</v>
      </c>
      <c r="BV22" s="201">
        <v>0</v>
      </c>
      <c r="BW22" s="201">
        <v>0</v>
      </c>
      <c r="BX22" s="201">
        <v>0</v>
      </c>
      <c r="BY22" s="201">
        <v>0</v>
      </c>
      <c r="BZ22" s="201">
        <v>0</v>
      </c>
    </row>
    <row r="23" spans="1:78">
      <c r="A23" s="178" t="s">
        <v>23</v>
      </c>
      <c r="B23" s="179" t="s">
        <v>17</v>
      </c>
      <c r="C23" s="180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176">
        <v>0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0</v>
      </c>
      <c r="AH23" s="176"/>
      <c r="AI23" s="176"/>
      <c r="AJ23" s="176"/>
      <c r="AK23" s="181"/>
      <c r="AL23" s="176"/>
      <c r="AM23" s="176"/>
      <c r="AN23" s="176"/>
      <c r="AO23" s="176"/>
      <c r="AP23" s="176"/>
      <c r="AQ23" s="176"/>
      <c r="AR23" s="176"/>
      <c r="AS23" s="176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>
      <c r="A24" s="159"/>
      <c r="B24" s="187"/>
      <c r="C24" s="188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</row>
    <row r="25" spans="1:78">
      <c r="A25" s="182"/>
      <c r="B25" s="183"/>
      <c r="C25" s="184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6"/>
      <c r="AL25" s="177"/>
      <c r="AM25" s="177"/>
      <c r="AN25" s="177"/>
      <c r="AO25" s="177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>
      <c r="A26" s="105" t="s">
        <v>24</v>
      </c>
      <c r="B26" s="104" t="s">
        <v>25</v>
      </c>
      <c r="C26" s="107">
        <v>2253090</v>
      </c>
      <c r="D26" s="60">
        <f t="shared" ref="D26:J27" si="19">C26+D9-D12</f>
        <v>2262550</v>
      </c>
      <c r="E26" s="60">
        <f t="shared" si="19"/>
        <v>2268045</v>
      </c>
      <c r="F26" s="60">
        <f t="shared" si="19"/>
        <v>2280980</v>
      </c>
      <c r="G26" s="60">
        <f t="shared" si="19"/>
        <v>2302590</v>
      </c>
      <c r="H26" s="60">
        <f t="shared" si="19"/>
        <v>2337250</v>
      </c>
      <c r="I26" s="60">
        <f t="shared" si="19"/>
        <v>2356195</v>
      </c>
      <c r="J26" s="60">
        <f t="shared" si="19"/>
        <v>2447460</v>
      </c>
      <c r="K26" s="60">
        <f>J26+K9-K12+1155</f>
        <v>2581550</v>
      </c>
      <c r="L26" s="60">
        <f t="shared" ref="L26:S27" si="20">K26+L9-L12</f>
        <v>2714380</v>
      </c>
      <c r="M26" s="60">
        <f t="shared" si="20"/>
        <v>2709595</v>
      </c>
      <c r="N26" s="60">
        <f t="shared" si="20"/>
        <v>2702805</v>
      </c>
      <c r="O26" s="60">
        <f t="shared" si="20"/>
        <v>2719305</v>
      </c>
      <c r="P26" s="60">
        <f t="shared" si="20"/>
        <v>2739910</v>
      </c>
      <c r="Q26" s="60">
        <f t="shared" si="20"/>
        <v>2766130</v>
      </c>
      <c r="R26" s="60">
        <f t="shared" si="20"/>
        <v>2824985</v>
      </c>
      <c r="S26" s="60">
        <f t="shared" si="20"/>
        <v>2919885</v>
      </c>
      <c r="T26" s="86">
        <v>2930805</v>
      </c>
      <c r="U26" s="86">
        <v>2954350</v>
      </c>
      <c r="V26" s="60">
        <f t="shared" ref="V26:X27" si="21">U26+V9-V12</f>
        <v>2966205</v>
      </c>
      <c r="W26" s="60">
        <f t="shared" si="21"/>
        <v>3039600</v>
      </c>
      <c r="X26" s="60">
        <f t="shared" si="21"/>
        <v>3091950</v>
      </c>
      <c r="Y26" s="60">
        <f>X26+Y9-Y12</f>
        <v>3139610</v>
      </c>
      <c r="Z26" s="60">
        <f>Y26+Z9-Z12</f>
        <v>3182945</v>
      </c>
      <c r="AA26" s="60">
        <f>Z26+AA9-AA12+10</f>
        <v>3222610</v>
      </c>
      <c r="AB26" s="60">
        <f t="shared" ref="AB26:BH27" si="22">AA26+AB9-AB12</f>
        <v>3258650</v>
      </c>
      <c r="AC26" s="60">
        <f t="shared" si="22"/>
        <v>3312355</v>
      </c>
      <c r="AD26" s="60">
        <f t="shared" si="22"/>
        <v>3359885</v>
      </c>
      <c r="AE26" s="60">
        <f t="shared" si="22"/>
        <v>3385380</v>
      </c>
      <c r="AF26" s="60">
        <f t="shared" si="22"/>
        <v>3493305</v>
      </c>
      <c r="AG26" s="60">
        <f>AF26+AG9-AG12+610</f>
        <v>3536295</v>
      </c>
      <c r="AH26" s="107">
        <f t="shared" si="22"/>
        <v>3597490</v>
      </c>
      <c r="AI26" s="107">
        <f t="shared" si="22"/>
        <v>3635215</v>
      </c>
      <c r="AJ26" s="107">
        <f t="shared" si="22"/>
        <v>3620500</v>
      </c>
      <c r="AK26" s="163">
        <f t="shared" si="22"/>
        <v>3624395</v>
      </c>
      <c r="AL26" s="107">
        <f t="shared" si="22"/>
        <v>3661610</v>
      </c>
      <c r="AM26" s="107">
        <f t="shared" si="22"/>
        <v>3683215</v>
      </c>
      <c r="AN26" s="107">
        <f t="shared" si="22"/>
        <v>3693780</v>
      </c>
      <c r="AO26" s="107">
        <f t="shared" si="22"/>
        <v>3699800</v>
      </c>
      <c r="AP26" s="107">
        <f t="shared" si="22"/>
        <v>3710915</v>
      </c>
      <c r="AQ26" s="107">
        <f t="shared" si="22"/>
        <v>3728250</v>
      </c>
      <c r="AR26" s="107">
        <f t="shared" si="22"/>
        <v>3728250</v>
      </c>
      <c r="AS26" s="107">
        <f t="shared" si="22"/>
        <v>3741585</v>
      </c>
      <c r="AT26" s="107">
        <f t="shared" si="22"/>
        <v>3741730</v>
      </c>
      <c r="AU26" s="107">
        <f t="shared" si="22"/>
        <v>3754000</v>
      </c>
      <c r="AV26" s="107">
        <f t="shared" si="22"/>
        <v>3766665</v>
      </c>
      <c r="AW26" s="107">
        <f t="shared" si="22"/>
        <v>3762785</v>
      </c>
      <c r="AX26" s="107">
        <f t="shared" si="22"/>
        <v>3764085</v>
      </c>
      <c r="AY26" s="107">
        <f t="shared" si="22"/>
        <v>3771125</v>
      </c>
      <c r="AZ26" s="107">
        <f t="shared" si="22"/>
        <v>3788140</v>
      </c>
      <c r="BA26" s="107">
        <f t="shared" si="22"/>
        <v>3808165</v>
      </c>
      <c r="BB26" s="107">
        <f t="shared" si="22"/>
        <v>3822520</v>
      </c>
      <c r="BC26" s="107">
        <f t="shared" si="22"/>
        <v>3832565</v>
      </c>
      <c r="BD26" s="107">
        <f t="shared" si="22"/>
        <v>3835645</v>
      </c>
      <c r="BE26" s="107">
        <f t="shared" si="22"/>
        <v>3838405</v>
      </c>
      <c r="BF26" s="107">
        <f t="shared" si="22"/>
        <v>3852600</v>
      </c>
      <c r="BG26" s="107">
        <f t="shared" ref="BG26:BL26" si="23">BF26+BG9-BG12</f>
        <v>3893230</v>
      </c>
      <c r="BH26" s="107">
        <f t="shared" si="23"/>
        <v>3914555</v>
      </c>
      <c r="BI26" s="107">
        <f t="shared" si="23"/>
        <v>3915325</v>
      </c>
      <c r="BJ26" s="107">
        <f t="shared" si="23"/>
        <v>3940875</v>
      </c>
      <c r="BK26" s="107">
        <f t="shared" si="23"/>
        <v>3946705</v>
      </c>
      <c r="BL26" s="107">
        <f t="shared" si="23"/>
        <v>3965590</v>
      </c>
      <c r="BM26" s="107">
        <f t="shared" ref="BM26:BR27" si="24">BL26+BM9-BM12</f>
        <v>3985660</v>
      </c>
      <c r="BN26" s="107">
        <f t="shared" si="24"/>
        <v>4004290</v>
      </c>
      <c r="BO26" s="107">
        <f t="shared" si="24"/>
        <v>4036930</v>
      </c>
      <c r="BP26" s="107">
        <f t="shared" si="24"/>
        <v>4061065</v>
      </c>
      <c r="BQ26" s="107">
        <f t="shared" si="24"/>
        <v>4056965</v>
      </c>
      <c r="BR26" s="107">
        <f t="shared" si="24"/>
        <v>4033575</v>
      </c>
      <c r="BS26" s="107">
        <f t="shared" ref="BS26:BZ27" si="25">BR26+BS9-BS12</f>
        <v>4009820</v>
      </c>
      <c r="BT26" s="107">
        <f t="shared" si="25"/>
        <v>4027675</v>
      </c>
      <c r="BU26" s="107">
        <f t="shared" si="25"/>
        <v>4016495</v>
      </c>
      <c r="BV26" s="107">
        <f t="shared" si="25"/>
        <v>4036355</v>
      </c>
      <c r="BW26" s="107">
        <f t="shared" si="25"/>
        <v>4061190</v>
      </c>
      <c r="BX26" s="107">
        <f t="shared" si="25"/>
        <v>4098460</v>
      </c>
      <c r="BY26" s="107">
        <f t="shared" si="25"/>
        <v>4112240</v>
      </c>
      <c r="BZ26" s="107">
        <f t="shared" si="25"/>
        <v>4132280</v>
      </c>
    </row>
    <row r="27" spans="1:78">
      <c r="A27" s="105" t="s">
        <v>24</v>
      </c>
      <c r="B27" s="104" t="s">
        <v>26</v>
      </c>
      <c r="C27" s="107">
        <v>1996</v>
      </c>
      <c r="D27" s="87">
        <f t="shared" si="19"/>
        <v>2003</v>
      </c>
      <c r="E27" s="87">
        <f t="shared" si="19"/>
        <v>2007</v>
      </c>
      <c r="F27" s="87">
        <f t="shared" si="19"/>
        <v>2017</v>
      </c>
      <c r="G27" s="87">
        <f t="shared" si="19"/>
        <v>2034</v>
      </c>
      <c r="H27" s="87">
        <f t="shared" si="19"/>
        <v>2062</v>
      </c>
      <c r="I27" s="87">
        <f t="shared" si="19"/>
        <v>2078</v>
      </c>
      <c r="J27" s="87">
        <f t="shared" si="19"/>
        <v>2156</v>
      </c>
      <c r="K27" s="87">
        <f>J27+K10-K13+1</f>
        <v>2276</v>
      </c>
      <c r="L27" s="87">
        <f t="shared" si="20"/>
        <v>2391</v>
      </c>
      <c r="M27" s="87">
        <f t="shared" si="20"/>
        <v>2388</v>
      </c>
      <c r="N27" s="87">
        <f t="shared" si="20"/>
        <v>2383</v>
      </c>
      <c r="O27" s="87">
        <f t="shared" si="20"/>
        <v>2396</v>
      </c>
      <c r="P27" s="87">
        <f t="shared" si="20"/>
        <v>2413</v>
      </c>
      <c r="Q27" s="87">
        <f t="shared" si="20"/>
        <v>2436</v>
      </c>
      <c r="R27" s="87">
        <f t="shared" si="20"/>
        <v>2487</v>
      </c>
      <c r="S27" s="87">
        <f t="shared" si="20"/>
        <v>2568</v>
      </c>
      <c r="T27" s="88">
        <v>2579</v>
      </c>
      <c r="U27" s="89">
        <v>2595</v>
      </c>
      <c r="V27" s="90">
        <f t="shared" si="21"/>
        <v>2605</v>
      </c>
      <c r="W27" s="90">
        <f t="shared" si="21"/>
        <v>2670</v>
      </c>
      <c r="X27" s="90">
        <f t="shared" si="21"/>
        <v>2715</v>
      </c>
      <c r="Y27" s="90">
        <f>X27+Y10-Y13</f>
        <v>2754</v>
      </c>
      <c r="Z27" s="90">
        <f>Y27+Z10-Z13</f>
        <v>2790</v>
      </c>
      <c r="AA27" s="90">
        <f>Z27+AA10-AA13</f>
        <v>2821</v>
      </c>
      <c r="AB27" s="90">
        <f t="shared" si="22"/>
        <v>2848</v>
      </c>
      <c r="AC27" s="90">
        <f t="shared" si="22"/>
        <v>2889</v>
      </c>
      <c r="AD27" s="90">
        <f t="shared" si="22"/>
        <v>2931</v>
      </c>
      <c r="AE27" s="90">
        <f t="shared" si="22"/>
        <v>2951</v>
      </c>
      <c r="AF27" s="90">
        <f t="shared" si="22"/>
        <v>3043</v>
      </c>
      <c r="AG27" s="90">
        <f t="shared" si="22"/>
        <v>3089</v>
      </c>
      <c r="AH27" s="112">
        <f t="shared" si="22"/>
        <v>3144</v>
      </c>
      <c r="AI27" s="112">
        <f t="shared" si="22"/>
        <v>3178</v>
      </c>
      <c r="AJ27" s="112">
        <f t="shared" si="22"/>
        <v>3163</v>
      </c>
      <c r="AK27" s="164">
        <f t="shared" si="22"/>
        <v>3166</v>
      </c>
      <c r="AL27" s="112">
        <f t="shared" si="22"/>
        <v>3199</v>
      </c>
      <c r="AM27" s="112">
        <f t="shared" si="22"/>
        <v>3219</v>
      </c>
      <c r="AN27" s="112">
        <f t="shared" si="22"/>
        <v>3228</v>
      </c>
      <c r="AO27" s="112">
        <f t="shared" si="22"/>
        <v>3230</v>
      </c>
      <c r="AP27" s="112">
        <f t="shared" si="22"/>
        <v>3242</v>
      </c>
      <c r="AQ27" s="112">
        <f t="shared" si="22"/>
        <v>3257</v>
      </c>
      <c r="AR27" s="112">
        <f t="shared" si="22"/>
        <v>3257</v>
      </c>
      <c r="AS27" s="112">
        <f t="shared" si="22"/>
        <v>3268</v>
      </c>
      <c r="AT27" s="112">
        <f t="shared" si="22"/>
        <v>3268</v>
      </c>
      <c r="AU27" s="112">
        <f t="shared" si="22"/>
        <v>3280</v>
      </c>
      <c r="AV27" s="112">
        <f t="shared" si="22"/>
        <v>3291</v>
      </c>
      <c r="AW27" s="112">
        <f t="shared" si="22"/>
        <v>3287</v>
      </c>
      <c r="AX27" s="112">
        <f t="shared" si="22"/>
        <v>3289</v>
      </c>
      <c r="AY27" s="112">
        <f t="shared" si="22"/>
        <v>3295</v>
      </c>
      <c r="AZ27" s="112">
        <f t="shared" si="22"/>
        <v>3309</v>
      </c>
      <c r="BA27" s="112">
        <f t="shared" si="22"/>
        <v>3327</v>
      </c>
      <c r="BB27" s="112">
        <f t="shared" si="22"/>
        <v>3341</v>
      </c>
      <c r="BC27" s="112">
        <f t="shared" si="22"/>
        <v>3348</v>
      </c>
      <c r="BD27" s="112">
        <f t="shared" si="22"/>
        <v>3352</v>
      </c>
      <c r="BE27" s="112">
        <f t="shared" si="22"/>
        <v>3354</v>
      </c>
      <c r="BF27" s="112">
        <f t="shared" si="22"/>
        <v>3368</v>
      </c>
      <c r="BG27" s="112">
        <f t="shared" si="22"/>
        <v>3402</v>
      </c>
      <c r="BH27" s="112">
        <f t="shared" si="22"/>
        <v>3423</v>
      </c>
      <c r="BI27" s="112">
        <f>BH27+BI10-BI13</f>
        <v>3424</v>
      </c>
      <c r="BJ27" s="112">
        <f>BI27+BJ10-BJ13</f>
        <v>3447</v>
      </c>
      <c r="BK27" s="112">
        <f>BJ27+BK10-BK13</f>
        <v>3453</v>
      </c>
      <c r="BL27" s="112">
        <f>BK27+BL10-BL13</f>
        <v>3463</v>
      </c>
      <c r="BM27" s="112">
        <f t="shared" si="24"/>
        <v>3481</v>
      </c>
      <c r="BN27" s="112">
        <f>BM27+BN10-BN13</f>
        <v>3498</v>
      </c>
      <c r="BO27" s="112">
        <f t="shared" si="24"/>
        <v>3527</v>
      </c>
      <c r="BP27" s="112">
        <f t="shared" si="24"/>
        <v>3547</v>
      </c>
      <c r="BQ27" s="112">
        <f t="shared" si="24"/>
        <v>3535</v>
      </c>
      <c r="BR27" s="112">
        <f t="shared" si="24"/>
        <v>3516</v>
      </c>
      <c r="BS27" s="112">
        <f t="shared" si="25"/>
        <v>3492</v>
      </c>
      <c r="BT27" s="112">
        <f t="shared" si="25"/>
        <v>3506</v>
      </c>
      <c r="BU27" s="112">
        <f t="shared" si="25"/>
        <v>3496</v>
      </c>
      <c r="BV27" s="112">
        <f>BU27+BV10-BV13</f>
        <v>3515</v>
      </c>
      <c r="BW27" s="112">
        <f>BV27+BW10-BW13</f>
        <v>3534</v>
      </c>
      <c r="BX27" s="112">
        <f>BW27+BX10-BX13</f>
        <v>3565</v>
      </c>
      <c r="BY27" s="112">
        <f>BX27+BY10-BY13</f>
        <v>3578</v>
      </c>
      <c r="BZ27" s="112">
        <f>BY27+BZ10-BZ13</f>
        <v>3594</v>
      </c>
    </row>
    <row r="28" spans="1:78">
      <c r="A28" s="105" t="s">
        <v>27</v>
      </c>
      <c r="B28" s="104" t="s">
        <v>25</v>
      </c>
      <c r="C28" s="107">
        <f>C7-C26</f>
        <v>2822770</v>
      </c>
      <c r="D28" s="107">
        <f t="shared" ref="D28:J28" si="26">$C$7-D26</f>
        <v>2813310</v>
      </c>
      <c r="E28" s="107">
        <f t="shared" si="26"/>
        <v>2807815</v>
      </c>
      <c r="F28" s="107">
        <f t="shared" si="26"/>
        <v>2794880</v>
      </c>
      <c r="G28" s="107">
        <f t="shared" si="26"/>
        <v>2773270</v>
      </c>
      <c r="H28" s="107">
        <f t="shared" si="26"/>
        <v>2738610</v>
      </c>
      <c r="I28" s="107">
        <f t="shared" si="26"/>
        <v>2719665</v>
      </c>
      <c r="J28" s="107">
        <f t="shared" si="26"/>
        <v>2628400</v>
      </c>
      <c r="K28" s="107">
        <f t="shared" ref="K28:P28" si="27">$C$7-K26</f>
        <v>2494310</v>
      </c>
      <c r="L28" s="107">
        <f t="shared" si="27"/>
        <v>2361480</v>
      </c>
      <c r="M28" s="107">
        <f t="shared" si="27"/>
        <v>2366265</v>
      </c>
      <c r="N28" s="107">
        <f t="shared" si="27"/>
        <v>2373055</v>
      </c>
      <c r="O28" s="107">
        <f t="shared" si="27"/>
        <v>2356555</v>
      </c>
      <c r="P28" s="107">
        <f t="shared" si="27"/>
        <v>2335950</v>
      </c>
      <c r="Q28" s="107">
        <f>$C$7-Q26</f>
        <v>2309730</v>
      </c>
      <c r="R28" s="107">
        <f>$C$7-R26</f>
        <v>2250875</v>
      </c>
      <c r="S28" s="107">
        <f>$C$7-S26</f>
        <v>2155975</v>
      </c>
      <c r="T28" s="113">
        <v>2152815</v>
      </c>
      <c r="U28" s="113">
        <v>2129270</v>
      </c>
      <c r="V28" s="107">
        <f>$C$7-V26</f>
        <v>2109655</v>
      </c>
      <c r="W28" s="107">
        <f t="shared" ref="W28:AB28" si="28">$C$7-W26</f>
        <v>2036260</v>
      </c>
      <c r="X28" s="107">
        <f t="shared" si="28"/>
        <v>1983910</v>
      </c>
      <c r="Y28" s="107">
        <f t="shared" si="28"/>
        <v>1936250</v>
      </c>
      <c r="Z28" s="107">
        <f t="shared" si="28"/>
        <v>1892915</v>
      </c>
      <c r="AA28" s="107">
        <f t="shared" si="28"/>
        <v>1853250</v>
      </c>
      <c r="AB28" s="107">
        <f t="shared" si="28"/>
        <v>1817210</v>
      </c>
      <c r="AC28" s="107">
        <f t="shared" ref="AC28:AW28" si="29">$C$7-AC26</f>
        <v>1763505</v>
      </c>
      <c r="AD28" s="107">
        <f t="shared" si="29"/>
        <v>1715975</v>
      </c>
      <c r="AE28" s="107">
        <f t="shared" si="29"/>
        <v>1690480</v>
      </c>
      <c r="AF28" s="107">
        <f t="shared" si="29"/>
        <v>1582555</v>
      </c>
      <c r="AG28" s="107">
        <f t="shared" si="29"/>
        <v>1539565</v>
      </c>
      <c r="AH28" s="107">
        <f t="shared" si="29"/>
        <v>1478370</v>
      </c>
      <c r="AI28" s="107">
        <f t="shared" si="29"/>
        <v>1440645</v>
      </c>
      <c r="AJ28" s="107">
        <f t="shared" si="29"/>
        <v>1455360</v>
      </c>
      <c r="AK28" s="163">
        <f t="shared" si="29"/>
        <v>1451465</v>
      </c>
      <c r="AL28" s="107">
        <f t="shared" si="29"/>
        <v>1414250</v>
      </c>
      <c r="AM28" s="107">
        <f t="shared" si="29"/>
        <v>1392645</v>
      </c>
      <c r="AN28" s="107">
        <f t="shared" si="29"/>
        <v>1382080</v>
      </c>
      <c r="AO28" s="107">
        <f t="shared" si="29"/>
        <v>1376060</v>
      </c>
      <c r="AP28" s="107">
        <f t="shared" si="29"/>
        <v>1364945</v>
      </c>
      <c r="AQ28" s="107">
        <f t="shared" si="29"/>
        <v>1347610</v>
      </c>
      <c r="AR28" s="107">
        <f t="shared" si="29"/>
        <v>1347610</v>
      </c>
      <c r="AS28" s="107">
        <f t="shared" si="29"/>
        <v>1334275</v>
      </c>
      <c r="AT28" s="107">
        <f t="shared" si="29"/>
        <v>1334130</v>
      </c>
      <c r="AU28" s="107">
        <f t="shared" si="29"/>
        <v>1321860</v>
      </c>
      <c r="AV28" s="107">
        <f t="shared" si="29"/>
        <v>1309195</v>
      </c>
      <c r="AW28" s="107">
        <f t="shared" si="29"/>
        <v>1313075</v>
      </c>
      <c r="AX28" s="107">
        <f t="shared" ref="AX28:BR28" si="30">$C$7-AX26</f>
        <v>1311775</v>
      </c>
      <c r="AY28" s="107">
        <f t="shared" si="30"/>
        <v>1304735</v>
      </c>
      <c r="AZ28" s="107">
        <f t="shared" si="30"/>
        <v>1287720</v>
      </c>
      <c r="BA28" s="107">
        <f t="shared" si="30"/>
        <v>1267695</v>
      </c>
      <c r="BB28" s="107">
        <f t="shared" si="30"/>
        <v>1253340</v>
      </c>
      <c r="BC28" s="107">
        <f t="shared" si="30"/>
        <v>1243295</v>
      </c>
      <c r="BD28" s="107">
        <f t="shared" si="30"/>
        <v>1240215</v>
      </c>
      <c r="BE28" s="107">
        <f t="shared" si="30"/>
        <v>1237455</v>
      </c>
      <c r="BF28" s="107">
        <f t="shared" si="30"/>
        <v>1223260</v>
      </c>
      <c r="BG28" s="107">
        <f t="shared" si="30"/>
        <v>1182630</v>
      </c>
      <c r="BH28" s="107">
        <f t="shared" si="30"/>
        <v>1161305</v>
      </c>
      <c r="BI28" s="107">
        <f t="shared" si="30"/>
        <v>1160535</v>
      </c>
      <c r="BJ28" s="107">
        <f t="shared" si="30"/>
        <v>1134985</v>
      </c>
      <c r="BK28" s="107">
        <f t="shared" si="30"/>
        <v>1129155</v>
      </c>
      <c r="BL28" s="107">
        <f t="shared" si="30"/>
        <v>1110270</v>
      </c>
      <c r="BM28" s="107">
        <f t="shared" si="30"/>
        <v>1090200</v>
      </c>
      <c r="BN28" s="107">
        <f t="shared" si="30"/>
        <v>1071570</v>
      </c>
      <c r="BO28" s="107">
        <f t="shared" si="30"/>
        <v>1038930</v>
      </c>
      <c r="BP28" s="107">
        <f t="shared" si="30"/>
        <v>1014795</v>
      </c>
      <c r="BQ28" s="107">
        <f t="shared" si="30"/>
        <v>1018895</v>
      </c>
      <c r="BR28" s="107">
        <f t="shared" si="30"/>
        <v>1042285</v>
      </c>
      <c r="BS28" s="107">
        <f t="shared" ref="BS28:BX28" si="31">$C$7-BS26</f>
        <v>1066040</v>
      </c>
      <c r="BT28" s="107">
        <f t="shared" si="31"/>
        <v>1048185</v>
      </c>
      <c r="BU28" s="107">
        <f t="shared" si="31"/>
        <v>1059365</v>
      </c>
      <c r="BV28" s="107">
        <f t="shared" si="31"/>
        <v>1039505</v>
      </c>
      <c r="BW28" s="107">
        <f t="shared" si="31"/>
        <v>1014670</v>
      </c>
      <c r="BX28" s="107">
        <f t="shared" si="31"/>
        <v>977400</v>
      </c>
      <c r="BY28" s="107">
        <f t="shared" ref="BY28:BZ28" si="32">$C$7-BY26</f>
        <v>963620</v>
      </c>
      <c r="BZ28" s="107">
        <f t="shared" si="32"/>
        <v>943580</v>
      </c>
    </row>
    <row r="29" spans="1:78">
      <c r="A29" s="105" t="s">
        <v>28</v>
      </c>
      <c r="B29" s="104" t="s">
        <v>13</v>
      </c>
      <c r="C29" s="107">
        <f>C8-C27</f>
        <v>2512</v>
      </c>
      <c r="D29" s="114">
        <f t="shared" ref="D29:J29" si="33">$C$8-D27</f>
        <v>2505</v>
      </c>
      <c r="E29" s="114">
        <f t="shared" si="33"/>
        <v>2501</v>
      </c>
      <c r="F29" s="114">
        <f t="shared" si="33"/>
        <v>2491</v>
      </c>
      <c r="G29" s="114">
        <f t="shared" si="33"/>
        <v>2474</v>
      </c>
      <c r="H29" s="114">
        <f t="shared" si="33"/>
        <v>2446</v>
      </c>
      <c r="I29" s="114">
        <f t="shared" si="33"/>
        <v>2430</v>
      </c>
      <c r="J29" s="114">
        <f t="shared" si="33"/>
        <v>2352</v>
      </c>
      <c r="K29" s="114">
        <f t="shared" ref="K29:P29" si="34">$C$8-K27</f>
        <v>2232</v>
      </c>
      <c r="L29" s="114">
        <f t="shared" si="34"/>
        <v>2117</v>
      </c>
      <c r="M29" s="114">
        <f t="shared" si="34"/>
        <v>2120</v>
      </c>
      <c r="N29" s="114">
        <f t="shared" si="34"/>
        <v>2125</v>
      </c>
      <c r="O29" s="114">
        <f t="shared" si="34"/>
        <v>2112</v>
      </c>
      <c r="P29" s="114">
        <f t="shared" si="34"/>
        <v>2095</v>
      </c>
      <c r="Q29" s="114">
        <f>$C$8-Q27</f>
        <v>2072</v>
      </c>
      <c r="R29" s="114">
        <f>$C$8-R27</f>
        <v>2021</v>
      </c>
      <c r="S29" s="114">
        <f>$C$8-S27</f>
        <v>1940</v>
      </c>
      <c r="T29" s="115">
        <v>1937</v>
      </c>
      <c r="U29" s="89">
        <v>1921</v>
      </c>
      <c r="V29" s="89">
        <f t="shared" ref="V29:AA29" si="35">$C$8-V27</f>
        <v>1903</v>
      </c>
      <c r="W29" s="89">
        <f t="shared" si="35"/>
        <v>1838</v>
      </c>
      <c r="X29" s="89">
        <f t="shared" si="35"/>
        <v>1793</v>
      </c>
      <c r="Y29" s="89">
        <f t="shared" si="35"/>
        <v>1754</v>
      </c>
      <c r="Z29" s="89">
        <f t="shared" si="35"/>
        <v>1718</v>
      </c>
      <c r="AA29" s="89">
        <f t="shared" si="35"/>
        <v>1687</v>
      </c>
      <c r="AB29" s="89">
        <f>$C$8-AB27</f>
        <v>1660</v>
      </c>
      <c r="AC29" s="89">
        <f>$C$8-AC27</f>
        <v>1619</v>
      </c>
      <c r="AD29" s="89">
        <f t="shared" ref="AD29:AI29" si="36">$C$8-AD27</f>
        <v>1577</v>
      </c>
      <c r="AE29" s="89">
        <f t="shared" si="36"/>
        <v>1557</v>
      </c>
      <c r="AF29" s="89">
        <f t="shared" si="36"/>
        <v>1465</v>
      </c>
      <c r="AG29" s="89">
        <f t="shared" si="36"/>
        <v>1419</v>
      </c>
      <c r="AH29" s="89">
        <f t="shared" si="36"/>
        <v>1364</v>
      </c>
      <c r="AI29" s="89">
        <f t="shared" si="36"/>
        <v>1330</v>
      </c>
      <c r="AJ29" s="89">
        <f t="shared" ref="AJ29:AW29" si="37">$C$8-AJ27</f>
        <v>1345</v>
      </c>
      <c r="AK29" s="165">
        <f t="shared" si="37"/>
        <v>1342</v>
      </c>
      <c r="AL29" s="89">
        <f t="shared" si="37"/>
        <v>1309</v>
      </c>
      <c r="AM29" s="89">
        <f t="shared" si="37"/>
        <v>1289</v>
      </c>
      <c r="AN29" s="89">
        <f t="shared" si="37"/>
        <v>1280</v>
      </c>
      <c r="AO29" s="89">
        <f t="shared" si="37"/>
        <v>1278</v>
      </c>
      <c r="AP29" s="89">
        <f t="shared" si="37"/>
        <v>1266</v>
      </c>
      <c r="AQ29" s="89">
        <f t="shared" si="37"/>
        <v>1251</v>
      </c>
      <c r="AR29" s="89">
        <f t="shared" si="37"/>
        <v>1251</v>
      </c>
      <c r="AS29" s="89">
        <f t="shared" si="37"/>
        <v>1240</v>
      </c>
      <c r="AT29" s="89">
        <f t="shared" si="37"/>
        <v>1240</v>
      </c>
      <c r="AU29" s="89">
        <f t="shared" si="37"/>
        <v>1228</v>
      </c>
      <c r="AV29" s="89">
        <f t="shared" si="37"/>
        <v>1217</v>
      </c>
      <c r="AW29" s="89">
        <f t="shared" si="37"/>
        <v>1221</v>
      </c>
      <c r="AX29" s="89">
        <f t="shared" ref="AX29:BI29" si="38">$C$8-AX27</f>
        <v>1219</v>
      </c>
      <c r="AY29" s="89">
        <f t="shared" si="38"/>
        <v>1213</v>
      </c>
      <c r="AZ29" s="89">
        <f t="shared" si="38"/>
        <v>1199</v>
      </c>
      <c r="BA29" s="89">
        <f t="shared" si="38"/>
        <v>1181</v>
      </c>
      <c r="BB29" s="89">
        <f t="shared" si="38"/>
        <v>1167</v>
      </c>
      <c r="BC29" s="89">
        <f t="shared" si="38"/>
        <v>1160</v>
      </c>
      <c r="BD29" s="89">
        <f t="shared" si="38"/>
        <v>1156</v>
      </c>
      <c r="BE29" s="89">
        <f t="shared" si="38"/>
        <v>1154</v>
      </c>
      <c r="BF29" s="89">
        <f t="shared" si="38"/>
        <v>1140</v>
      </c>
      <c r="BG29" s="89">
        <f t="shared" si="38"/>
        <v>1106</v>
      </c>
      <c r="BH29" s="89">
        <f t="shared" si="38"/>
        <v>1085</v>
      </c>
      <c r="BI29" s="89">
        <f t="shared" si="38"/>
        <v>1084</v>
      </c>
      <c r="BJ29" s="89">
        <f t="shared" ref="BJ29:BO29" si="39">$C$8-BJ27</f>
        <v>1061</v>
      </c>
      <c r="BK29" s="89">
        <f t="shared" si="39"/>
        <v>1055</v>
      </c>
      <c r="BL29" s="89">
        <f t="shared" si="39"/>
        <v>1045</v>
      </c>
      <c r="BM29" s="89">
        <f t="shared" si="39"/>
        <v>1027</v>
      </c>
      <c r="BN29" s="89">
        <f t="shared" si="39"/>
        <v>1010</v>
      </c>
      <c r="BO29" s="89">
        <f t="shared" si="39"/>
        <v>981</v>
      </c>
      <c r="BP29" s="89">
        <f t="shared" ref="BP29:BU29" si="40">$C$8-BP27</f>
        <v>961</v>
      </c>
      <c r="BQ29" s="89">
        <f t="shared" si="40"/>
        <v>973</v>
      </c>
      <c r="BR29" s="89">
        <f t="shared" si="40"/>
        <v>992</v>
      </c>
      <c r="BS29" s="89">
        <f t="shared" si="40"/>
        <v>1016</v>
      </c>
      <c r="BT29" s="89">
        <f t="shared" si="40"/>
        <v>1002</v>
      </c>
      <c r="BU29" s="89">
        <f t="shared" si="40"/>
        <v>1012</v>
      </c>
      <c r="BV29" s="89">
        <f t="shared" ref="BV29:BW29" si="41">$C$8-BV27</f>
        <v>993</v>
      </c>
      <c r="BW29" s="89">
        <f t="shared" si="41"/>
        <v>974</v>
      </c>
      <c r="BX29" s="89">
        <f t="shared" ref="BX29:BY29" si="42">$C$8-BX27</f>
        <v>943</v>
      </c>
      <c r="BY29" s="89">
        <f t="shared" si="42"/>
        <v>930</v>
      </c>
      <c r="BZ29" s="89">
        <f t="shared" ref="BZ29" si="43">$C$8-BZ27</f>
        <v>914</v>
      </c>
    </row>
    <row r="30" spans="1:78">
      <c r="A30" s="173" t="s">
        <v>803</v>
      </c>
      <c r="B30" s="104" t="s">
        <v>17</v>
      </c>
      <c r="C30" s="60">
        <v>991.19</v>
      </c>
      <c r="D30" s="12">
        <f t="shared" ref="D30:I30" si="44">C30+D11-D14</f>
        <v>995.07</v>
      </c>
      <c r="E30" s="12">
        <f t="shared" si="44"/>
        <v>997.43000000000006</v>
      </c>
      <c r="F30" s="12">
        <f t="shared" si="44"/>
        <v>1002.4700000000001</v>
      </c>
      <c r="G30" s="12">
        <f t="shared" si="44"/>
        <v>1011.3500000000001</v>
      </c>
      <c r="H30" s="12">
        <f t="shared" si="44"/>
        <v>1025.4900000000002</v>
      </c>
      <c r="I30" s="12">
        <f t="shared" si="44"/>
        <v>1033.45</v>
      </c>
      <c r="J30" s="12">
        <f t="shared" ref="J30:Q30" si="45">I30+J11-J14</f>
        <v>1072.98</v>
      </c>
      <c r="K30" s="12">
        <f t="shared" si="45"/>
        <v>1131.96</v>
      </c>
      <c r="L30" s="12">
        <f t="shared" si="45"/>
        <v>1191.1400000000001</v>
      </c>
      <c r="M30" s="12">
        <f t="shared" si="45"/>
        <v>1188.2600000000002</v>
      </c>
      <c r="N30" s="12">
        <f t="shared" si="45"/>
        <v>1185.5600000000002</v>
      </c>
      <c r="O30" s="12">
        <f t="shared" si="45"/>
        <v>1193.5250000000001</v>
      </c>
      <c r="P30" s="12">
        <f t="shared" si="45"/>
        <v>1202.865</v>
      </c>
      <c r="Q30" s="12">
        <f t="shared" si="45"/>
        <v>1215.2950000000001</v>
      </c>
      <c r="R30" s="12">
        <f>Q30+R11-R14+23.26</f>
        <v>1267.2549999999999</v>
      </c>
      <c r="S30" s="12">
        <f>R30+S11-S14</f>
        <v>1313.3249999999998</v>
      </c>
      <c r="T30" s="73">
        <v>1318.2249999999997</v>
      </c>
      <c r="U30" s="73">
        <v>1330.2349999999997</v>
      </c>
      <c r="V30" s="12">
        <f t="shared" ref="V30:AB30" si="46">U30+V11-V14</f>
        <v>1337.4049999999997</v>
      </c>
      <c r="W30" s="12">
        <f t="shared" si="46"/>
        <v>1375.0449999999998</v>
      </c>
      <c r="X30" s="12">
        <f t="shared" si="46"/>
        <v>1402.7849999999999</v>
      </c>
      <c r="Y30" s="12">
        <f t="shared" si="46"/>
        <v>1427.3649999999998</v>
      </c>
      <c r="Z30" s="12">
        <f t="shared" si="46"/>
        <v>1449.7049999999997</v>
      </c>
      <c r="AA30" s="12">
        <f t="shared" si="46"/>
        <v>1472.5649999999996</v>
      </c>
      <c r="AB30" s="12">
        <f t="shared" si="46"/>
        <v>1486.3749999999995</v>
      </c>
      <c r="AC30" s="12">
        <f>AB30+AC11-AC14</f>
        <v>1514.3049999999996</v>
      </c>
      <c r="AD30" s="12">
        <f>AC30+AD11-AD14</f>
        <v>1538.2449999999997</v>
      </c>
      <c r="AE30" s="12">
        <f>AD30+AE11-AE14</f>
        <v>1551.2449999999997</v>
      </c>
      <c r="AF30" s="12">
        <f>AE30+AF11-AF14</f>
        <v>1605.4449999999995</v>
      </c>
      <c r="AG30" s="12">
        <f>AF30+AG11-AG14-8.65</f>
        <v>1617.9049999999995</v>
      </c>
      <c r="AH30" s="12">
        <f t="shared" ref="AH30:AU30" si="47">AG30+AH11-AH14</f>
        <v>1649.2749999999996</v>
      </c>
      <c r="AI30" s="12">
        <f t="shared" si="47"/>
        <v>1667.0649999999996</v>
      </c>
      <c r="AJ30" s="12">
        <f t="shared" si="47"/>
        <v>1659.6449999999995</v>
      </c>
      <c r="AK30" s="166">
        <f t="shared" si="47"/>
        <v>1661.7649999999996</v>
      </c>
      <c r="AL30" s="12">
        <f t="shared" si="47"/>
        <v>1681.3749999999995</v>
      </c>
      <c r="AM30" s="12">
        <f t="shared" si="47"/>
        <v>1693.2149999999997</v>
      </c>
      <c r="AN30" s="12">
        <f t="shared" si="47"/>
        <v>1698.8449999999998</v>
      </c>
      <c r="AO30" s="12">
        <f t="shared" si="47"/>
        <v>1702.1649999999997</v>
      </c>
      <c r="AP30" s="12">
        <f t="shared" si="47"/>
        <v>1707.8849999999998</v>
      </c>
      <c r="AQ30" s="12">
        <f t="shared" si="47"/>
        <v>1716.8149999999998</v>
      </c>
      <c r="AR30" s="12">
        <f t="shared" si="47"/>
        <v>1716.8149999999998</v>
      </c>
      <c r="AS30" s="12" t="e">
        <f t="shared" si="47"/>
        <v>#REF!</v>
      </c>
      <c r="AT30" s="12" t="e">
        <f t="shared" si="47"/>
        <v>#REF!</v>
      </c>
      <c r="AU30" s="12" t="e">
        <f t="shared" si="47"/>
        <v>#REF!</v>
      </c>
      <c r="AV30" s="12" t="e">
        <f>AU30+AV11-AV14</f>
        <v>#REF!</v>
      </c>
      <c r="AW30" s="12" t="e">
        <f>AV30+AW11-AW14</f>
        <v>#REF!</v>
      </c>
      <c r="AX30" s="12" t="e">
        <f>AW30+AX11-AX14</f>
        <v>#REF!</v>
      </c>
      <c r="AY30" s="12" t="e">
        <f>AX30+AY11-AY14</f>
        <v>#REF!</v>
      </c>
      <c r="AZ30" s="12" t="e">
        <f t="shared" ref="AZ30:BZ30" si="48">AY30+AZ11-AZ14</f>
        <v>#REF!</v>
      </c>
      <c r="BA30" s="12" t="e">
        <f t="shared" si="48"/>
        <v>#REF!</v>
      </c>
      <c r="BB30" s="12" t="e">
        <f t="shared" si="48"/>
        <v>#REF!</v>
      </c>
      <c r="BC30" s="12" t="e">
        <f t="shared" si="48"/>
        <v>#REF!</v>
      </c>
      <c r="BD30" s="12" t="e">
        <f t="shared" si="48"/>
        <v>#REF!</v>
      </c>
      <c r="BE30" s="12" t="e">
        <f t="shared" si="48"/>
        <v>#REF!</v>
      </c>
      <c r="BF30" s="12" t="e">
        <f t="shared" si="48"/>
        <v>#REF!</v>
      </c>
      <c r="BG30" s="12" t="e">
        <f t="shared" si="48"/>
        <v>#REF!</v>
      </c>
      <c r="BH30" s="12" t="e">
        <f t="shared" si="48"/>
        <v>#REF!</v>
      </c>
      <c r="BI30" s="12" t="e">
        <f t="shared" si="48"/>
        <v>#REF!</v>
      </c>
      <c r="BJ30" s="12" t="e">
        <f t="shared" si="48"/>
        <v>#REF!</v>
      </c>
      <c r="BK30" s="12" t="e">
        <f t="shared" si="48"/>
        <v>#REF!</v>
      </c>
      <c r="BL30" s="12" t="e">
        <f t="shared" si="48"/>
        <v>#REF!</v>
      </c>
      <c r="BM30" s="12" t="e">
        <f t="shared" si="48"/>
        <v>#REF!</v>
      </c>
      <c r="BN30" s="12" t="e">
        <f t="shared" si="48"/>
        <v>#REF!</v>
      </c>
      <c r="BO30" s="12" t="e">
        <f t="shared" si="48"/>
        <v>#REF!</v>
      </c>
      <c r="BP30" s="12" t="e">
        <f t="shared" si="48"/>
        <v>#REF!</v>
      </c>
      <c r="BQ30" s="12" t="e">
        <f t="shared" si="48"/>
        <v>#REF!</v>
      </c>
      <c r="BR30" s="12" t="e">
        <f t="shared" si="48"/>
        <v>#REF!</v>
      </c>
      <c r="BS30" s="12" t="e">
        <f t="shared" si="48"/>
        <v>#REF!</v>
      </c>
      <c r="BT30" s="12" t="e">
        <f t="shared" si="48"/>
        <v>#REF!</v>
      </c>
      <c r="BU30" s="12" t="e">
        <f t="shared" si="48"/>
        <v>#REF!</v>
      </c>
      <c r="BV30" s="12" t="e">
        <f t="shared" si="48"/>
        <v>#REF!</v>
      </c>
      <c r="BW30" s="12" t="e">
        <f t="shared" si="48"/>
        <v>#REF!</v>
      </c>
      <c r="BX30" s="12" t="e">
        <f t="shared" si="48"/>
        <v>#REF!</v>
      </c>
      <c r="BY30" s="12" t="e">
        <f t="shared" si="48"/>
        <v>#REF!</v>
      </c>
      <c r="BZ30" s="12" t="e">
        <f t="shared" si="48"/>
        <v>#REF!</v>
      </c>
    </row>
    <row r="31" spans="1:78">
      <c r="A31" s="105" t="s">
        <v>29</v>
      </c>
      <c r="B31" s="104"/>
      <c r="C31" s="107">
        <v>532.82000000000005</v>
      </c>
      <c r="D31" s="116">
        <f>C31+D18</f>
        <v>554.69000000000005</v>
      </c>
      <c r="E31" s="116">
        <f>D31+E18-0.28</f>
        <v>569.47</v>
      </c>
      <c r="F31" s="116">
        <f>E31+F18-0.64</f>
        <v>584.56000000000006</v>
      </c>
      <c r="G31" s="116">
        <f>F31+G18-0.19+0.28</f>
        <v>598.16</v>
      </c>
      <c r="H31" s="116">
        <f>G31+H18-0.01</f>
        <v>615.31999999999994</v>
      </c>
      <c r="I31" s="116">
        <f>H31+I18-0.05-0.1</f>
        <v>631.64</v>
      </c>
      <c r="J31" s="116">
        <f>I31+J18-0.12</f>
        <v>647.53</v>
      </c>
      <c r="K31" s="116">
        <f>J31+K18-0.48</f>
        <v>664.3599999999999</v>
      </c>
      <c r="L31" s="116">
        <f>K31+L18-0.71</f>
        <v>686.00999999999988</v>
      </c>
      <c r="M31" s="116">
        <f>L31+M18-1.28</f>
        <v>715.63999999999987</v>
      </c>
      <c r="N31" s="116">
        <f>M31+N18-2.85</f>
        <v>737.18999999999983</v>
      </c>
      <c r="O31" s="116">
        <f>N31+O18+0.035-0.42-0.11</f>
        <v>761.45499999999981</v>
      </c>
      <c r="P31" s="116">
        <f>O31+P18+0.13-0.09</f>
        <v>780.82499999999982</v>
      </c>
      <c r="Q31" s="116">
        <f>P31+Q18-0.5+0.04-0.27</f>
        <v>798.70499999999981</v>
      </c>
      <c r="R31" s="116">
        <f>Q31+R18+0.13-0.19</f>
        <v>820.98499999999979</v>
      </c>
      <c r="S31" s="116">
        <f>R31+S18-0.4-0.05</f>
        <v>834.8649999999999</v>
      </c>
      <c r="T31" s="117">
        <v>852.87499999999989</v>
      </c>
      <c r="U31" s="117">
        <v>867.3649999999999</v>
      </c>
      <c r="V31" s="116">
        <f>U31+V18-V19</f>
        <v>881.46499999999992</v>
      </c>
      <c r="W31" s="116">
        <f t="shared" ref="W31:AB31" si="49">V31+W18</f>
        <v>897.81499999999994</v>
      </c>
      <c r="X31" s="116">
        <f t="shared" si="49"/>
        <v>918.38499999999999</v>
      </c>
      <c r="Y31" s="116">
        <f t="shared" si="49"/>
        <v>936.98500000000001</v>
      </c>
      <c r="Z31" s="116">
        <f t="shared" si="49"/>
        <v>960.86500000000001</v>
      </c>
      <c r="AA31" s="116">
        <f t="shared" si="49"/>
        <v>978.98500000000001</v>
      </c>
      <c r="AB31" s="116">
        <f t="shared" si="49"/>
        <v>999.505</v>
      </c>
      <c r="AC31" s="116">
        <f>AB31+AC18</f>
        <v>1016.585</v>
      </c>
      <c r="AD31" s="116">
        <f>AC31+AD18</f>
        <v>1043.8030000000001</v>
      </c>
      <c r="AE31" s="116">
        <f>AD31+AE18</f>
        <v>1067.3430000000001</v>
      </c>
      <c r="AF31" s="116">
        <v>1092.4730000000002</v>
      </c>
      <c r="AG31" s="116">
        <f>AF31+AG18</f>
        <v>1117.2030000000002</v>
      </c>
      <c r="AH31" s="116">
        <f>AG31+AH18</f>
        <v>1138.9530000000002</v>
      </c>
      <c r="AI31" s="116">
        <f>AH31+AI18</f>
        <v>1155.3130000000001</v>
      </c>
      <c r="AJ31" s="116">
        <f>AI31+AJ16+AJ17</f>
        <v>1179.9930000000002</v>
      </c>
      <c r="AK31" s="167">
        <f>AJ31+AK16+AK17</f>
        <v>1203.0630000000001</v>
      </c>
      <c r="AL31" s="116">
        <f>AK31+AL16+AL17</f>
        <v>1222.0430000000001</v>
      </c>
      <c r="AM31" s="116">
        <f t="shared" ref="AM31:AW31" si="50">AL31+AM16+AM17-AM15</f>
        <v>1247.5229999999999</v>
      </c>
      <c r="AN31" s="116">
        <f t="shared" si="50"/>
        <v>1263.9129999999998</v>
      </c>
      <c r="AO31" s="116">
        <f t="shared" si="50"/>
        <v>1279.2229999999997</v>
      </c>
      <c r="AP31" s="116">
        <f t="shared" si="50"/>
        <v>1301.9029999999998</v>
      </c>
      <c r="AQ31" s="116">
        <f t="shared" si="50"/>
        <v>1313.7529999999999</v>
      </c>
      <c r="AR31" s="116">
        <f t="shared" si="50"/>
        <v>1314.973</v>
      </c>
      <c r="AS31" s="116">
        <f t="shared" si="50"/>
        <v>1317.7729999999999</v>
      </c>
      <c r="AT31" s="116">
        <f t="shared" si="50"/>
        <v>1322.7530000000002</v>
      </c>
      <c r="AU31" s="116">
        <f t="shared" si="50"/>
        <v>1343.5230000000001</v>
      </c>
      <c r="AV31" s="116">
        <f t="shared" si="50"/>
        <v>1359.8830000000003</v>
      </c>
      <c r="AW31" s="116">
        <f t="shared" si="50"/>
        <v>1376.7130000000004</v>
      </c>
      <c r="AX31" s="116">
        <f>AW31+AX16+AX17-AX15-0.52</f>
        <v>1391.1130000000005</v>
      </c>
      <c r="AY31" s="116">
        <f t="shared" ref="AY31:BG31" si="51">AX31+AY16+AY17-AY15</f>
        <v>1398.9030000000002</v>
      </c>
      <c r="AZ31" s="116">
        <f t="shared" si="51"/>
        <v>1407.393</v>
      </c>
      <c r="BA31" s="116">
        <f t="shared" si="51"/>
        <v>1409.633</v>
      </c>
      <c r="BB31" s="116">
        <f t="shared" si="51"/>
        <v>1427.953</v>
      </c>
      <c r="BC31" s="116">
        <f t="shared" si="51"/>
        <v>1474.0129999999999</v>
      </c>
      <c r="BD31" s="116">
        <f t="shared" si="51"/>
        <v>1497.123</v>
      </c>
      <c r="BE31" s="116">
        <f t="shared" si="51"/>
        <v>1504.693</v>
      </c>
      <c r="BF31" s="116">
        <f>BE31+BF16+BF17-BF15</f>
        <v>1519.7730000000001</v>
      </c>
      <c r="BG31" s="116">
        <f t="shared" si="51"/>
        <v>1547.2530000000002</v>
      </c>
      <c r="BH31" s="116">
        <f t="shared" ref="BH31:BN31" si="52">BG31+BH16+BH17-BH15</f>
        <v>1564.4730000000002</v>
      </c>
      <c r="BI31" s="116">
        <f t="shared" si="52"/>
        <v>1596.3430000000003</v>
      </c>
      <c r="BJ31" s="116">
        <f t="shared" si="52"/>
        <v>1611.7730000000001</v>
      </c>
      <c r="BK31" s="116">
        <f t="shared" si="52"/>
        <v>1622.3830000000003</v>
      </c>
      <c r="BL31" s="116">
        <f t="shared" si="52"/>
        <v>1632.6330000000003</v>
      </c>
      <c r="BM31" s="116">
        <f t="shared" si="52"/>
        <v>1640.8930000000003</v>
      </c>
      <c r="BN31" s="116">
        <f t="shared" si="52"/>
        <v>1650.7030000000004</v>
      </c>
      <c r="BO31" s="116">
        <f t="shared" ref="BO31:BZ31" si="53">BN31+BO16+BO17-BO15</f>
        <v>1664.9830000000004</v>
      </c>
      <c r="BP31" s="116">
        <f t="shared" si="53"/>
        <v>1680.0230000000006</v>
      </c>
      <c r="BQ31" s="116">
        <f t="shared" si="53"/>
        <v>1697.3030000000006</v>
      </c>
      <c r="BR31" s="116">
        <f t="shared" si="53"/>
        <v>1706.8230000000008</v>
      </c>
      <c r="BS31" s="116">
        <f t="shared" si="53"/>
        <v>1720.5530000000008</v>
      </c>
      <c r="BT31" s="116">
        <f t="shared" si="53"/>
        <v>1725.7930000000008</v>
      </c>
      <c r="BU31" s="116">
        <f t="shared" si="53"/>
        <v>1728.9430000000009</v>
      </c>
      <c r="BV31" s="116">
        <f t="shared" si="53"/>
        <v>1738.7130000000009</v>
      </c>
      <c r="BW31" s="116">
        <f t="shared" si="53"/>
        <v>1748.053000000001</v>
      </c>
      <c r="BX31" s="116">
        <f t="shared" si="53"/>
        <v>1760.313000000001</v>
      </c>
      <c r="BY31" s="116">
        <f t="shared" si="53"/>
        <v>1769.9230000000009</v>
      </c>
      <c r="BZ31" s="116">
        <f t="shared" si="53"/>
        <v>1778.3630000000007</v>
      </c>
    </row>
    <row r="32" spans="1:78">
      <c r="A32" s="118" t="s">
        <v>30</v>
      </c>
      <c r="B32" s="104" t="s">
        <v>17</v>
      </c>
      <c r="C32" s="111"/>
      <c r="D32" s="111">
        <f t="shared" ref="D32:M32" si="54">D30-D31</f>
        <v>440.38</v>
      </c>
      <c r="E32" s="111">
        <f t="shared" si="54"/>
        <v>427.96000000000004</v>
      </c>
      <c r="F32" s="111">
        <f t="shared" si="54"/>
        <v>417.91000000000008</v>
      </c>
      <c r="G32" s="111">
        <f t="shared" si="54"/>
        <v>413.19000000000017</v>
      </c>
      <c r="H32" s="111">
        <f t="shared" si="54"/>
        <v>410.1700000000003</v>
      </c>
      <c r="I32" s="111">
        <f t="shared" si="54"/>
        <v>401.81000000000006</v>
      </c>
      <c r="J32" s="111">
        <f t="shared" si="54"/>
        <v>425.45000000000005</v>
      </c>
      <c r="K32" s="111">
        <f t="shared" si="54"/>
        <v>467.60000000000014</v>
      </c>
      <c r="L32" s="111">
        <f t="shared" si="54"/>
        <v>505.13000000000022</v>
      </c>
      <c r="M32" s="111">
        <f t="shared" si="54"/>
        <v>472.62000000000035</v>
      </c>
      <c r="N32" s="111">
        <f t="shared" ref="N32:S32" si="55">N30-N31</f>
        <v>448.37000000000035</v>
      </c>
      <c r="O32" s="111">
        <f t="shared" si="55"/>
        <v>432.07000000000028</v>
      </c>
      <c r="P32" s="111">
        <f t="shared" si="55"/>
        <v>422.04000000000019</v>
      </c>
      <c r="Q32" s="111">
        <f t="shared" si="55"/>
        <v>416.59000000000026</v>
      </c>
      <c r="R32" s="111">
        <f t="shared" si="55"/>
        <v>446.2700000000001</v>
      </c>
      <c r="S32" s="111">
        <f t="shared" si="55"/>
        <v>478.45999999999992</v>
      </c>
      <c r="T32" s="119">
        <v>465.54999999999978</v>
      </c>
      <c r="U32" s="119">
        <v>463.06999999999977</v>
      </c>
      <c r="V32" s="111">
        <f>V30-V31</f>
        <v>455.93999999999983</v>
      </c>
      <c r="W32" s="116">
        <f>W30-W31</f>
        <v>477.2299999999999</v>
      </c>
      <c r="X32" s="116">
        <f>X30-X31-0.49</f>
        <v>483.90999999999985</v>
      </c>
      <c r="Y32" s="116">
        <f>Y30-Y31</f>
        <v>490.37999999999977</v>
      </c>
      <c r="Z32" s="116">
        <f>Z30-Z31</f>
        <v>488.83999999999969</v>
      </c>
      <c r="AA32" s="116">
        <f>AA30-AA31</f>
        <v>493.57999999999959</v>
      </c>
      <c r="AB32" s="116">
        <f>AB30-AB31+1.67</f>
        <v>488.53999999999957</v>
      </c>
      <c r="AC32" s="116">
        <f t="shared" ref="AC32:AH32" si="56">AC30-AC31</f>
        <v>497.71999999999957</v>
      </c>
      <c r="AD32" s="116">
        <f t="shared" si="56"/>
        <v>494.44199999999955</v>
      </c>
      <c r="AE32" s="116">
        <f t="shared" si="56"/>
        <v>483.90199999999959</v>
      </c>
      <c r="AF32" s="116">
        <f t="shared" si="56"/>
        <v>512.9719999999993</v>
      </c>
      <c r="AG32" s="116">
        <f t="shared" si="56"/>
        <v>500.70199999999932</v>
      </c>
      <c r="AH32" s="116">
        <f t="shared" si="56"/>
        <v>510.32199999999943</v>
      </c>
      <c r="AI32" s="116">
        <f>AI30-AI31-0.28</f>
        <v>511.47199999999953</v>
      </c>
      <c r="AJ32" s="116">
        <f t="shared" ref="AJ32:AO32" si="57">AJ30-AJ31</f>
        <v>479.65199999999936</v>
      </c>
      <c r="AK32" s="167">
        <f t="shared" si="57"/>
        <v>458.70199999999954</v>
      </c>
      <c r="AL32" s="116">
        <f t="shared" si="57"/>
        <v>459.33199999999943</v>
      </c>
      <c r="AM32" s="116">
        <f t="shared" si="57"/>
        <v>445.69199999999978</v>
      </c>
      <c r="AN32" s="116">
        <f t="shared" si="57"/>
        <v>434.93200000000002</v>
      </c>
      <c r="AO32" s="116">
        <f t="shared" si="57"/>
        <v>422.94200000000001</v>
      </c>
      <c r="AP32" s="116">
        <f t="shared" ref="AP32:AW32" si="58">AP30-AP31</f>
        <v>405.98199999999997</v>
      </c>
      <c r="AQ32" s="116">
        <f t="shared" si="58"/>
        <v>403.0619999999999</v>
      </c>
      <c r="AR32" s="116">
        <f t="shared" si="58"/>
        <v>401.84199999999987</v>
      </c>
      <c r="AS32" s="116" t="e">
        <f t="shared" si="58"/>
        <v>#REF!</v>
      </c>
      <c r="AT32" s="116" t="e">
        <f t="shared" si="58"/>
        <v>#REF!</v>
      </c>
      <c r="AU32" s="116" t="e">
        <f t="shared" si="58"/>
        <v>#REF!</v>
      </c>
      <c r="AV32" s="116" t="e">
        <f t="shared" si="58"/>
        <v>#REF!</v>
      </c>
      <c r="AW32" s="116" t="e">
        <f t="shared" si="58"/>
        <v>#REF!</v>
      </c>
      <c r="AX32" s="116" t="e">
        <f>AX30-AX31</f>
        <v>#REF!</v>
      </c>
      <c r="AY32" s="116" t="e">
        <f>AY30-AY31</f>
        <v>#REF!</v>
      </c>
      <c r="AZ32" s="116" t="e">
        <f>AZ30-AZ31</f>
        <v>#REF!</v>
      </c>
      <c r="BA32" s="116" t="e">
        <f>BA30-BA31</f>
        <v>#REF!</v>
      </c>
      <c r="BB32" s="116" t="e">
        <f>BB30-BB31</f>
        <v>#REF!</v>
      </c>
      <c r="BC32" s="116" t="e">
        <f>BC30-BC31-1</f>
        <v>#REF!</v>
      </c>
      <c r="BD32" s="116" t="e">
        <f>BD30-BD31</f>
        <v>#REF!</v>
      </c>
      <c r="BE32" s="116" t="e">
        <f>BE30-BE31</f>
        <v>#REF!</v>
      </c>
      <c r="BF32" s="116" t="e">
        <f t="shared" ref="BF32:BN32" si="59">BF30-BF31</f>
        <v>#REF!</v>
      </c>
      <c r="BG32" s="116" t="e">
        <f t="shared" si="59"/>
        <v>#REF!</v>
      </c>
      <c r="BH32" s="116" t="e">
        <f t="shared" si="59"/>
        <v>#REF!</v>
      </c>
      <c r="BI32" s="116" t="e">
        <f t="shared" si="59"/>
        <v>#REF!</v>
      </c>
      <c r="BJ32" s="116" t="e">
        <f t="shared" si="59"/>
        <v>#REF!</v>
      </c>
      <c r="BK32" s="116" t="e">
        <f t="shared" si="59"/>
        <v>#REF!</v>
      </c>
      <c r="BL32" s="116" t="e">
        <f t="shared" si="59"/>
        <v>#REF!</v>
      </c>
      <c r="BM32" s="116" t="e">
        <f t="shared" si="59"/>
        <v>#REF!</v>
      </c>
      <c r="BN32" s="116" t="e">
        <f t="shared" si="59"/>
        <v>#REF!</v>
      </c>
      <c r="BO32" s="116" t="e">
        <f t="shared" ref="BO32:BT32" si="60">BO30-BO31</f>
        <v>#REF!</v>
      </c>
      <c r="BP32" s="116" t="e">
        <f t="shared" si="60"/>
        <v>#REF!</v>
      </c>
      <c r="BQ32" s="116" t="e">
        <f t="shared" si="60"/>
        <v>#REF!</v>
      </c>
      <c r="BR32" s="116" t="e">
        <f t="shared" si="60"/>
        <v>#REF!</v>
      </c>
      <c r="BS32" s="116" t="e">
        <f t="shared" si="60"/>
        <v>#REF!</v>
      </c>
      <c r="BT32" s="116" t="e">
        <f t="shared" si="60"/>
        <v>#REF!</v>
      </c>
      <c r="BU32" s="116" t="e">
        <f t="shared" ref="BU32:BV32" si="61">BU30-BU31</f>
        <v>#REF!</v>
      </c>
      <c r="BV32" s="116" t="e">
        <f t="shared" si="61"/>
        <v>#REF!</v>
      </c>
      <c r="BW32" s="116" t="e">
        <f t="shared" ref="BW32:BX32" si="62">BW30-BW31</f>
        <v>#REF!</v>
      </c>
      <c r="BX32" s="116" t="e">
        <f t="shared" si="62"/>
        <v>#REF!</v>
      </c>
      <c r="BY32" s="116" t="e">
        <f t="shared" ref="BY32:BZ32" si="63">BY30-BY31</f>
        <v>#REF!</v>
      </c>
      <c r="BZ32" s="116" t="e">
        <f t="shared" si="63"/>
        <v>#REF!</v>
      </c>
    </row>
    <row r="33" spans="1:78">
      <c r="A33" s="105" t="s">
        <v>31</v>
      </c>
      <c r="B33" s="104" t="s">
        <v>17</v>
      </c>
      <c r="C33" s="107"/>
      <c r="D33" s="64">
        <f>(D28*5000)/10000000</f>
        <v>1406.655</v>
      </c>
      <c r="E33" s="64">
        <f t="shared" ref="E33:K33" si="64">(E28*5000)/10000000</f>
        <v>1403.9075</v>
      </c>
      <c r="F33" s="64">
        <f t="shared" si="64"/>
        <v>1397.44</v>
      </c>
      <c r="G33" s="64">
        <f t="shared" si="64"/>
        <v>1386.635</v>
      </c>
      <c r="H33" s="64">
        <f t="shared" si="64"/>
        <v>1369.3050000000001</v>
      </c>
      <c r="I33" s="64">
        <f t="shared" si="64"/>
        <v>1359.8325</v>
      </c>
      <c r="J33" s="64">
        <f t="shared" si="64"/>
        <v>1314.2</v>
      </c>
      <c r="K33" s="64">
        <f t="shared" si="64"/>
        <v>1247.155</v>
      </c>
      <c r="L33" s="64">
        <f t="shared" ref="L33:Q33" si="65">(L28*5000)/10000000</f>
        <v>1180.74</v>
      </c>
      <c r="M33" s="64">
        <f t="shared" si="65"/>
        <v>1183.1324999999999</v>
      </c>
      <c r="N33" s="64">
        <f t="shared" si="65"/>
        <v>1186.5274999999999</v>
      </c>
      <c r="O33" s="64">
        <f t="shared" si="65"/>
        <v>1178.2774999999999</v>
      </c>
      <c r="P33" s="64">
        <f t="shared" si="65"/>
        <v>1167.9749999999999</v>
      </c>
      <c r="Q33" s="64">
        <f t="shared" si="65"/>
        <v>1154.865</v>
      </c>
      <c r="R33" s="64">
        <f>(R28*5000)/10000000</f>
        <v>1125.4375</v>
      </c>
      <c r="S33" s="64">
        <f>(S28*5000)/10000000</f>
        <v>1077.9875</v>
      </c>
      <c r="T33" s="74">
        <v>1076.4075</v>
      </c>
      <c r="U33" s="74">
        <v>1064.635</v>
      </c>
      <c r="V33" s="64">
        <f t="shared" ref="V33:AA33" si="66">(V28*5000)/10000000</f>
        <v>1054.8275000000001</v>
      </c>
      <c r="W33" s="64">
        <f t="shared" si="66"/>
        <v>1018.13</v>
      </c>
      <c r="X33" s="64">
        <f t="shared" si="66"/>
        <v>991.95500000000004</v>
      </c>
      <c r="Y33" s="64">
        <f t="shared" si="66"/>
        <v>968.125</v>
      </c>
      <c r="Z33" s="64">
        <f t="shared" si="66"/>
        <v>946.45749999999998</v>
      </c>
      <c r="AA33" s="64">
        <f t="shared" si="66"/>
        <v>926.625</v>
      </c>
      <c r="AB33" s="64">
        <f t="shared" ref="AB33:AH33" si="67">(AB28*5000)/10000000</f>
        <v>908.60500000000002</v>
      </c>
      <c r="AC33" s="64">
        <f t="shared" si="67"/>
        <v>881.75250000000005</v>
      </c>
      <c r="AD33" s="64">
        <f t="shared" si="67"/>
        <v>857.98749999999995</v>
      </c>
      <c r="AE33" s="64">
        <f t="shared" si="67"/>
        <v>845.24</v>
      </c>
      <c r="AF33" s="64">
        <f t="shared" si="67"/>
        <v>791.27750000000003</v>
      </c>
      <c r="AG33" s="64">
        <f t="shared" si="67"/>
        <v>769.78250000000003</v>
      </c>
      <c r="AH33" s="64">
        <f t="shared" si="67"/>
        <v>739.18499999999995</v>
      </c>
      <c r="AI33" s="64">
        <f t="shared" ref="AI33:AW33" si="68">(AI28*5000)/10000000</f>
        <v>720.32249999999999</v>
      </c>
      <c r="AJ33" s="64">
        <f t="shared" si="68"/>
        <v>727.68</v>
      </c>
      <c r="AK33" s="168">
        <f t="shared" si="68"/>
        <v>725.73249999999996</v>
      </c>
      <c r="AL33" s="64">
        <f t="shared" si="68"/>
        <v>707.125</v>
      </c>
      <c r="AM33" s="64">
        <f t="shared" si="68"/>
        <v>696.32249999999999</v>
      </c>
      <c r="AN33" s="64">
        <f t="shared" si="68"/>
        <v>691.04</v>
      </c>
      <c r="AO33" s="64">
        <f t="shared" si="68"/>
        <v>688.03</v>
      </c>
      <c r="AP33" s="64">
        <f t="shared" si="68"/>
        <v>682.47249999999997</v>
      </c>
      <c r="AQ33" s="64">
        <f t="shared" si="68"/>
        <v>673.80499999999995</v>
      </c>
      <c r="AR33" s="64">
        <f t="shared" si="68"/>
        <v>673.80499999999995</v>
      </c>
      <c r="AS33" s="64">
        <f t="shared" si="68"/>
        <v>667.13750000000005</v>
      </c>
      <c r="AT33" s="64">
        <f t="shared" si="68"/>
        <v>667.06500000000005</v>
      </c>
      <c r="AU33" s="64">
        <f t="shared" si="68"/>
        <v>660.93</v>
      </c>
      <c r="AV33" s="64">
        <f t="shared" si="68"/>
        <v>654.59749999999997</v>
      </c>
      <c r="AW33" s="64">
        <f t="shared" si="68"/>
        <v>656.53750000000002</v>
      </c>
      <c r="AX33" s="64">
        <f>(AX28*5000)/10000000</f>
        <v>655.88750000000005</v>
      </c>
      <c r="AY33" s="64">
        <f>(AY28*5000)/10000000</f>
        <v>652.36749999999995</v>
      </c>
      <c r="AZ33" s="64">
        <f>(AZ28*5000)/10000000</f>
        <v>643.86</v>
      </c>
      <c r="BA33" s="64">
        <f>(BA28*5000)/10000000</f>
        <v>633.84749999999997</v>
      </c>
      <c r="BB33" s="64">
        <f t="shared" ref="BB33:BG33" si="69">(BB28*5300)/10000000</f>
        <v>664.27020000000005</v>
      </c>
      <c r="BC33" s="64">
        <f t="shared" si="69"/>
        <v>658.94635000000005</v>
      </c>
      <c r="BD33" s="64">
        <f t="shared" si="69"/>
        <v>657.31394999999998</v>
      </c>
      <c r="BE33" s="64">
        <f t="shared" si="69"/>
        <v>655.85114999999996</v>
      </c>
      <c r="BF33" s="64">
        <f t="shared" si="69"/>
        <v>648.32780000000002</v>
      </c>
      <c r="BG33" s="64">
        <f t="shared" si="69"/>
        <v>626.79390000000001</v>
      </c>
      <c r="BH33" s="64">
        <f>(BH28*5300)/10000000</f>
        <v>615.49165000000005</v>
      </c>
      <c r="BI33" s="64">
        <f t="shared" ref="BI33:BN33" si="70">(BI28*5300)/10000000</f>
        <v>615.08354999999995</v>
      </c>
      <c r="BJ33" s="64">
        <f t="shared" si="70"/>
        <v>601.54205000000002</v>
      </c>
      <c r="BK33" s="64">
        <f t="shared" si="70"/>
        <v>598.45214999999996</v>
      </c>
      <c r="BL33" s="64">
        <f t="shared" si="70"/>
        <v>588.44309999999996</v>
      </c>
      <c r="BM33" s="64">
        <f t="shared" si="70"/>
        <v>577.80600000000004</v>
      </c>
      <c r="BN33" s="64">
        <f t="shared" si="70"/>
        <v>567.93209999999999</v>
      </c>
      <c r="BO33" s="64">
        <f>(BO28*5300)/10000000</f>
        <v>550.63289999999995</v>
      </c>
      <c r="BP33" s="64">
        <f>(BP28*5300)/10000000</f>
        <v>537.84135000000003</v>
      </c>
      <c r="BQ33" s="64">
        <f>(BQ28*5300)/10000000</f>
        <v>540.01435000000004</v>
      </c>
      <c r="BR33" s="64">
        <f t="shared" ref="BR33:BW33" si="71">(BR28*6000)/10000000</f>
        <v>625.37099999999998</v>
      </c>
      <c r="BS33" s="64">
        <f t="shared" si="71"/>
        <v>639.62400000000002</v>
      </c>
      <c r="BT33" s="64">
        <f t="shared" si="71"/>
        <v>628.91099999999994</v>
      </c>
      <c r="BU33" s="64">
        <f t="shared" si="71"/>
        <v>635.61900000000003</v>
      </c>
      <c r="BV33" s="64">
        <f t="shared" si="71"/>
        <v>623.70299999999997</v>
      </c>
      <c r="BW33" s="64">
        <f t="shared" si="71"/>
        <v>608.80200000000002</v>
      </c>
      <c r="BX33" s="64">
        <f>(BX28*6500)/10000000</f>
        <v>635.30999999999995</v>
      </c>
      <c r="BY33" s="64">
        <f>(BY28*7000)/10000000</f>
        <v>674.53399999999999</v>
      </c>
      <c r="BZ33" s="64">
        <f>(BZ28*7000)/10000000</f>
        <v>660.50599999999997</v>
      </c>
    </row>
    <row r="34" spans="1:78">
      <c r="A34" s="105" t="s">
        <v>32</v>
      </c>
      <c r="B34" s="104" t="s">
        <v>17</v>
      </c>
      <c r="C34" s="111"/>
      <c r="D34" s="120">
        <f t="shared" ref="D34:K34" si="72">D32+D33</f>
        <v>1847.0349999999999</v>
      </c>
      <c r="E34" s="120">
        <f>E32+E33</f>
        <v>1831.8675000000001</v>
      </c>
      <c r="F34" s="120">
        <f t="shared" si="72"/>
        <v>1815.3500000000001</v>
      </c>
      <c r="G34" s="120">
        <f t="shared" si="72"/>
        <v>1799.8250000000003</v>
      </c>
      <c r="H34" s="120">
        <f t="shared" si="72"/>
        <v>1779.4750000000004</v>
      </c>
      <c r="I34" s="120">
        <f t="shared" si="72"/>
        <v>1761.6424999999999</v>
      </c>
      <c r="J34" s="120">
        <f t="shared" si="72"/>
        <v>1739.65</v>
      </c>
      <c r="K34" s="120">
        <f t="shared" si="72"/>
        <v>1714.7550000000001</v>
      </c>
      <c r="L34" s="120">
        <f t="shared" ref="L34:Q34" si="73">L32+L33</f>
        <v>1685.8700000000003</v>
      </c>
      <c r="M34" s="120">
        <f t="shared" si="73"/>
        <v>1655.7525000000003</v>
      </c>
      <c r="N34" s="120">
        <f t="shared" si="73"/>
        <v>1634.8975000000003</v>
      </c>
      <c r="O34" s="120">
        <f t="shared" si="73"/>
        <v>1610.3475000000003</v>
      </c>
      <c r="P34" s="120">
        <f t="shared" si="73"/>
        <v>1590.0150000000001</v>
      </c>
      <c r="Q34" s="120">
        <f t="shared" si="73"/>
        <v>1571.4550000000004</v>
      </c>
      <c r="R34" s="120">
        <f>R32+R33</f>
        <v>1571.7075</v>
      </c>
      <c r="S34" s="120">
        <f>S32+S33</f>
        <v>1556.4474999999998</v>
      </c>
      <c r="T34" s="121">
        <v>1541.9574999999998</v>
      </c>
      <c r="U34" s="121">
        <v>1527.7049999999997</v>
      </c>
      <c r="V34" s="120">
        <f t="shared" ref="V34:AC34" si="74">V32+V33</f>
        <v>1510.7674999999999</v>
      </c>
      <c r="W34" s="120">
        <f t="shared" si="74"/>
        <v>1495.36</v>
      </c>
      <c r="X34" s="120">
        <f t="shared" si="74"/>
        <v>1475.8649999999998</v>
      </c>
      <c r="Y34" s="120">
        <f t="shared" si="74"/>
        <v>1458.5049999999997</v>
      </c>
      <c r="Z34" s="120">
        <f t="shared" si="74"/>
        <v>1435.2974999999997</v>
      </c>
      <c r="AA34" s="120">
        <f t="shared" si="74"/>
        <v>1420.2049999999995</v>
      </c>
      <c r="AB34" s="120">
        <f t="shared" si="74"/>
        <v>1397.1449999999995</v>
      </c>
      <c r="AC34" s="120">
        <f t="shared" si="74"/>
        <v>1379.4724999999996</v>
      </c>
      <c r="AD34" s="120">
        <f t="shared" ref="AD34:AI34" si="75">AD32+AD33</f>
        <v>1352.4294999999995</v>
      </c>
      <c r="AE34" s="120">
        <f t="shared" si="75"/>
        <v>1329.1419999999996</v>
      </c>
      <c r="AF34" s="120">
        <f t="shared" si="75"/>
        <v>1304.2494999999994</v>
      </c>
      <c r="AG34" s="120">
        <f t="shared" si="75"/>
        <v>1270.4844999999993</v>
      </c>
      <c r="AH34" s="120">
        <f t="shared" si="75"/>
        <v>1249.5069999999994</v>
      </c>
      <c r="AI34" s="120">
        <f t="shared" si="75"/>
        <v>1231.7944999999995</v>
      </c>
      <c r="AJ34" s="120">
        <f t="shared" ref="AJ34:AW34" si="76">AJ32+AJ33</f>
        <v>1207.3319999999994</v>
      </c>
      <c r="AK34" s="169">
        <f t="shared" si="76"/>
        <v>1184.4344999999994</v>
      </c>
      <c r="AL34" s="120">
        <f t="shared" si="76"/>
        <v>1166.4569999999994</v>
      </c>
      <c r="AM34" s="120">
        <f t="shared" si="76"/>
        <v>1142.0144999999998</v>
      </c>
      <c r="AN34" s="120">
        <f t="shared" si="76"/>
        <v>1125.972</v>
      </c>
      <c r="AO34" s="120">
        <f t="shared" si="76"/>
        <v>1110.972</v>
      </c>
      <c r="AP34" s="120">
        <f t="shared" si="76"/>
        <v>1088.4544999999998</v>
      </c>
      <c r="AQ34" s="120">
        <f t="shared" si="76"/>
        <v>1076.8669999999997</v>
      </c>
      <c r="AR34" s="120">
        <f t="shared" si="76"/>
        <v>1075.6469999999999</v>
      </c>
      <c r="AS34" s="120" t="e">
        <f t="shared" si="76"/>
        <v>#REF!</v>
      </c>
      <c r="AT34" s="120" t="e">
        <f t="shared" si="76"/>
        <v>#REF!</v>
      </c>
      <c r="AU34" s="120" t="e">
        <f t="shared" si="76"/>
        <v>#REF!</v>
      </c>
      <c r="AV34" s="120" t="e">
        <f t="shared" si="76"/>
        <v>#REF!</v>
      </c>
      <c r="AW34" s="120" t="e">
        <f t="shared" si="76"/>
        <v>#REF!</v>
      </c>
      <c r="AX34" s="120" t="e">
        <f t="shared" ref="AX34:BH34" si="77">AX32+AX33</f>
        <v>#REF!</v>
      </c>
      <c r="AY34" s="120" t="e">
        <f t="shared" si="77"/>
        <v>#REF!</v>
      </c>
      <c r="AZ34" s="120" t="e">
        <f t="shared" si="77"/>
        <v>#REF!</v>
      </c>
      <c r="BA34" s="120" t="e">
        <f t="shared" si="77"/>
        <v>#REF!</v>
      </c>
      <c r="BB34" s="120" t="e">
        <f t="shared" si="77"/>
        <v>#REF!</v>
      </c>
      <c r="BC34" s="120" t="e">
        <f t="shared" si="77"/>
        <v>#REF!</v>
      </c>
      <c r="BD34" s="120" t="e">
        <f t="shared" si="77"/>
        <v>#REF!</v>
      </c>
      <c r="BE34" s="120" t="e">
        <f t="shared" si="77"/>
        <v>#REF!</v>
      </c>
      <c r="BF34" s="120" t="e">
        <f t="shared" si="77"/>
        <v>#REF!</v>
      </c>
      <c r="BG34" s="120" t="e">
        <f t="shared" si="77"/>
        <v>#REF!</v>
      </c>
      <c r="BH34" s="120" t="e">
        <f t="shared" si="77"/>
        <v>#REF!</v>
      </c>
      <c r="BI34" s="120" t="e">
        <f t="shared" ref="BI34:BN34" si="78">BI32+BI33</f>
        <v>#REF!</v>
      </c>
      <c r="BJ34" s="120" t="e">
        <f t="shared" si="78"/>
        <v>#REF!</v>
      </c>
      <c r="BK34" s="120" t="e">
        <f t="shared" si="78"/>
        <v>#REF!</v>
      </c>
      <c r="BL34" s="120" t="e">
        <f t="shared" si="78"/>
        <v>#REF!</v>
      </c>
      <c r="BM34" s="120" t="e">
        <f t="shared" si="78"/>
        <v>#REF!</v>
      </c>
      <c r="BN34" s="120" t="e">
        <f t="shared" si="78"/>
        <v>#REF!</v>
      </c>
      <c r="BO34" s="120" t="e">
        <f t="shared" ref="BO34:BT34" si="79">BO32+BO33</f>
        <v>#REF!</v>
      </c>
      <c r="BP34" s="120" t="e">
        <f t="shared" si="79"/>
        <v>#REF!</v>
      </c>
      <c r="BQ34" s="120" t="e">
        <f t="shared" si="79"/>
        <v>#REF!</v>
      </c>
      <c r="BR34" s="120" t="e">
        <f t="shared" si="79"/>
        <v>#REF!</v>
      </c>
      <c r="BS34" s="120" t="e">
        <f t="shared" si="79"/>
        <v>#REF!</v>
      </c>
      <c r="BT34" s="120" t="e">
        <f t="shared" si="79"/>
        <v>#REF!</v>
      </c>
      <c r="BU34" s="120" t="e">
        <f t="shared" ref="BU34:BV34" si="80">BU32+BU33</f>
        <v>#REF!</v>
      </c>
      <c r="BV34" s="120" t="e">
        <f t="shared" si="80"/>
        <v>#REF!</v>
      </c>
      <c r="BW34" s="120" t="e">
        <f t="shared" ref="BW34:BX34" si="81">BW32+BW33</f>
        <v>#REF!</v>
      </c>
      <c r="BX34" s="120" t="e">
        <f t="shared" si="81"/>
        <v>#REF!</v>
      </c>
      <c r="BY34" s="120" t="e">
        <f t="shared" ref="BY34:BZ34" si="82">BY32+BY33</f>
        <v>#REF!</v>
      </c>
      <c r="BZ34" s="120" t="e">
        <f t="shared" si="82"/>
        <v>#REF!</v>
      </c>
    </row>
    <row r="35" spans="1:78">
      <c r="A35" s="105"/>
      <c r="B35" s="104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59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</row>
    <row r="36" spans="1:78">
      <c r="A36" s="13" t="s">
        <v>37</v>
      </c>
      <c r="B36" s="123"/>
      <c r="C36" s="59" t="s">
        <v>34</v>
      </c>
      <c r="D36" s="105"/>
      <c r="E36" s="87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59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</row>
    <row r="37" spans="1:78">
      <c r="A37" s="105" t="s">
        <v>33</v>
      </c>
      <c r="B37" s="104" t="s">
        <v>17</v>
      </c>
      <c r="C37" s="124">
        <v>1492</v>
      </c>
      <c r="D37" s="14">
        <f>304.43+15.29+16.41+0.08+0.87+0.18+0.94+0.5</f>
        <v>338.70000000000005</v>
      </c>
      <c r="E37" s="14">
        <f>338.7+5.55+0.61+3.37+0.03+3.62+0.07+0.02+0.2</f>
        <v>352.16999999999996</v>
      </c>
      <c r="F37" s="14">
        <f>352.17+3.97+6.92+0.12+0.05</f>
        <v>363.23000000000008</v>
      </c>
      <c r="G37" s="14">
        <f>363.23+2.21+11.69+1.36+1.8+0.3</f>
        <v>380.59000000000003</v>
      </c>
      <c r="H37" s="14">
        <f>380.59+3.46+0.04+0.3</f>
        <v>384.39</v>
      </c>
      <c r="I37" s="14">
        <f>384.39+3.03+10.55+0.03+0.1+0.06+0.01</f>
        <v>398.16999999999996</v>
      </c>
      <c r="J37" s="14">
        <f>398.17+4.73+9.34+0.53+0.13+0.04</f>
        <v>412.94</v>
      </c>
      <c r="K37" s="14">
        <f>412.94+3.24+5.99+0.55+0.08+1.73</f>
        <v>424.53000000000003</v>
      </c>
      <c r="L37" s="14">
        <f>424.53+4.38+7.65+0.45+0.1</f>
        <v>437.10999999999996</v>
      </c>
      <c r="M37" s="14">
        <f>437.11+4.47+4.51+0.026+0.12+0.5</f>
        <v>446.73600000000005</v>
      </c>
      <c r="N37" s="14">
        <f>446.74+3.83+5.84+0.21+0.2+0.15</f>
        <v>456.96999999999991</v>
      </c>
      <c r="O37" s="14">
        <f>456.97+4.6+6.1+0.02+0.3+0.02+0.05+0.03+0.03+0.1</f>
        <v>468.22</v>
      </c>
      <c r="P37" s="14">
        <f>468.22+3.62+7.16+0.53+0.5</f>
        <v>480.03000000000003</v>
      </c>
      <c r="Q37" s="14">
        <f>480.03+3.62+8.04+0.29+0.09</f>
        <v>492.07</v>
      </c>
      <c r="R37" s="14">
        <f>492.07+4.01+7.49+0.39+0.07</f>
        <v>504.03</v>
      </c>
      <c r="S37" s="14">
        <f>504.03+2.35+6.36+0.06+0.12+0.1+0.76+2</f>
        <v>515.78</v>
      </c>
      <c r="T37" s="75">
        <v>528.02</v>
      </c>
      <c r="U37" s="75">
        <v>537.69000000000005</v>
      </c>
      <c r="V37" s="14">
        <f>537.69+3.71+4.96+0.51+0.21</f>
        <v>547.08000000000015</v>
      </c>
      <c r="W37" s="14">
        <f>547.08+5.42+6.38+0.31+0.15</f>
        <v>559.33999999999992</v>
      </c>
      <c r="X37" s="14">
        <f>559.34+2.61+6.52+1.58+0.42+2</f>
        <v>572.47</v>
      </c>
      <c r="Y37" s="14">
        <f>572.47+4.96+5.58+0.55+1</f>
        <v>584.56000000000006</v>
      </c>
      <c r="Z37" s="14">
        <f>584.56+4.08+8.46+0.38+0.5</f>
        <v>597.98</v>
      </c>
      <c r="AA37" s="14">
        <f>597.98+5.05+6.29+0.25+0.08+0.5</f>
        <v>610.15</v>
      </c>
      <c r="AB37" s="14">
        <f>610.15+5.98+4.65+0.33</f>
        <v>621.11</v>
      </c>
      <c r="AC37" s="14">
        <f>621.11+5.79+8.42+0.4</f>
        <v>635.71999999999991</v>
      </c>
      <c r="AD37" s="14">
        <f>635.72+5.42+9.62+0.47</f>
        <v>651.23</v>
      </c>
      <c r="AE37" s="14">
        <f>651.23+4.2+10.98+0.6+0.2</f>
        <v>667.21000000000015</v>
      </c>
      <c r="AF37" s="14">
        <f>667.21+4.42+10.18+0.5</f>
        <v>682.31</v>
      </c>
      <c r="AG37" s="14">
        <f>682.31+6.18+7.22+0.5</f>
        <v>696.20999999999992</v>
      </c>
      <c r="AH37" s="14">
        <f>696.21+4.01+7.18</f>
        <v>707.4</v>
      </c>
      <c r="AI37" s="94">
        <f>707.4+2.5+7.1+0.1</f>
        <v>717.1</v>
      </c>
      <c r="AJ37" s="94">
        <f>717.1+3.99+6.34</f>
        <v>727.43000000000006</v>
      </c>
      <c r="AK37" s="170">
        <f>727.43+5.64+1.14+0.2</f>
        <v>734.41</v>
      </c>
      <c r="AL37" s="170">
        <f>734.41+5.32+6.79+0.4+0.33</f>
        <v>747.25</v>
      </c>
      <c r="AM37" s="94">
        <f>747.25+1.52+6.41</f>
        <v>755.18</v>
      </c>
      <c r="AN37" s="94">
        <f>755.18+1.24+4.58+4.5</f>
        <v>765.5</v>
      </c>
      <c r="AO37" s="94">
        <f>765.5+2.45+3.23+4</f>
        <v>775.18000000000006</v>
      </c>
      <c r="AP37" s="94">
        <f>775.18+5.89+2.73+6</f>
        <v>789.8</v>
      </c>
      <c r="AQ37" s="94">
        <f>789.8+3.64+0.81+0.77+0.1+7+0.7+1.74+1.55</f>
        <v>806.1099999999999</v>
      </c>
      <c r="AR37" s="94">
        <f>806.11+0.15+0.4</f>
        <v>806.66</v>
      </c>
      <c r="AS37" s="94">
        <f>806.66+1.52+0.27+1.1+1.5</f>
        <v>811.05</v>
      </c>
      <c r="AT37" s="94">
        <f>811.05+0.91+3.33+2.5+2.5</f>
        <v>820.29</v>
      </c>
      <c r="AU37" s="94">
        <f>820.29+1.95+6.87+0.14+6.76</f>
        <v>836.01</v>
      </c>
      <c r="AV37" s="94">
        <f>836.01+3.58+7.11+3</f>
        <v>849.7</v>
      </c>
      <c r="AW37" s="94">
        <f>849.7+4.96+3.5+4+2.03+0.25</f>
        <v>864.44</v>
      </c>
      <c r="AX37" s="94">
        <f>864.44+5.09+13.98</f>
        <v>883.5100000000001</v>
      </c>
      <c r="AY37" s="94">
        <f>883.51+3.22+2.5+3+2.36+0.37+0.5+0.4</f>
        <v>895.86</v>
      </c>
      <c r="AZ37" s="94">
        <f>895.86+4.42+3.3+0.46+2.8+3+0.86+0.14</f>
        <v>910.83999999999992</v>
      </c>
      <c r="BA37" s="94">
        <f>910.84+4.29+5+2.3</f>
        <v>922.43</v>
      </c>
      <c r="BB37" s="94">
        <f>922.43+3.72+4.09+4+0.43+0.28</f>
        <v>934.94999999999993</v>
      </c>
      <c r="BC37" s="94">
        <f>934.95+4.44+3.28+5.25+2.5</f>
        <v>950.42000000000007</v>
      </c>
      <c r="BD37" s="94">
        <f>950.42+11.98</f>
        <v>962.4</v>
      </c>
      <c r="BE37" s="94">
        <f>962.4+3.28+2.83+0.2+0.1+0.13</f>
        <v>968.94</v>
      </c>
      <c r="BF37" s="94">
        <f>968.94+1.6+1.54+0.12+0.04+0.06+0.09+0.02</f>
        <v>972.41</v>
      </c>
      <c r="BG37" s="94">
        <f>972.41+2.76+3.55</f>
        <v>978.71999999999991</v>
      </c>
      <c r="BH37" s="94">
        <f>972.41+2.76+3.55+2.22+3.94</f>
        <v>984.88</v>
      </c>
      <c r="BI37" s="94">
        <f>972.41+2.76+3.55+2.22+3.94+8.24</f>
        <v>993.12</v>
      </c>
      <c r="BJ37" s="94">
        <f>972.41+2.76+3.55+2.22+3.94+8.24+7.01</f>
        <v>1000.13</v>
      </c>
      <c r="BK37" s="94">
        <f>972.41+2.76+3.55+2.22+3.94+8.24+7.01+4.17</f>
        <v>1004.3</v>
      </c>
      <c r="BL37" s="94">
        <f>972.41+2.76+3.55+2.22+3.94+8.24+7.01+4.17+6.4</f>
        <v>1010.6999999999999</v>
      </c>
      <c r="BM37" s="94">
        <f>972.41+2.76+3.55+2.22+3.94+8.24+7.01+4.17+6.4+3.32</f>
        <v>1014.02</v>
      </c>
      <c r="BN37" s="94">
        <f>BM37+1.47+4.25</f>
        <v>1019.74</v>
      </c>
      <c r="BO37" s="94">
        <f>BN37+1.38+5.8</f>
        <v>1026.92</v>
      </c>
      <c r="BP37" s="94">
        <f>BO37+2.55+3.52</f>
        <v>1032.99</v>
      </c>
      <c r="BQ37" s="94">
        <f>BP37+5.5</f>
        <v>1038.49</v>
      </c>
      <c r="BR37" s="94">
        <f>BQ37+1.35+2.95</f>
        <v>1042.79</v>
      </c>
      <c r="BS37" s="94">
        <f>BR37+4.95</f>
        <v>1047.74</v>
      </c>
      <c r="BT37" s="94">
        <f>BS37+2.5</f>
        <v>1050.24</v>
      </c>
      <c r="BU37" s="94">
        <f>BT37+3.05</f>
        <v>1053.29</v>
      </c>
      <c r="BV37" s="94">
        <f>BU37+4</f>
        <v>1057.29</v>
      </c>
      <c r="BW37" s="94">
        <f>BV37+4.5</f>
        <v>1061.79</v>
      </c>
      <c r="BX37" s="94">
        <f>BW37+4.5</f>
        <v>1066.29</v>
      </c>
      <c r="BY37" s="94">
        <f>BX37+5</f>
        <v>1071.29</v>
      </c>
      <c r="BZ37" s="94">
        <f>BY37+3</f>
        <v>1074.29</v>
      </c>
    </row>
    <row r="38" spans="1:78">
      <c r="A38" s="105" t="s">
        <v>106</v>
      </c>
      <c r="B38" s="104" t="s">
        <v>17</v>
      </c>
      <c r="C38" s="124">
        <f>858.48+100</f>
        <v>958.48</v>
      </c>
      <c r="D38" s="125">
        <f>199.96+65.2</f>
        <v>265.16000000000003</v>
      </c>
      <c r="E38" s="125">
        <v>265.16000000000003</v>
      </c>
      <c r="F38" s="125">
        <v>265.16000000000003</v>
      </c>
      <c r="G38" s="125">
        <v>265.16000000000003</v>
      </c>
      <c r="H38" s="125">
        <f>265.16+4</f>
        <v>269.16000000000003</v>
      </c>
      <c r="I38" s="125">
        <v>269.16000000000003</v>
      </c>
      <c r="J38" s="125">
        <f>269.16+41.05+4</f>
        <v>314.21000000000004</v>
      </c>
      <c r="K38" s="125">
        <v>314.20999999999998</v>
      </c>
      <c r="L38" s="125">
        <v>314.20999999999998</v>
      </c>
      <c r="M38" s="125">
        <v>314.20999999999998</v>
      </c>
      <c r="N38" s="125">
        <v>314.20999999999998</v>
      </c>
      <c r="O38" s="125">
        <f>314.21+10</f>
        <v>324.20999999999998</v>
      </c>
      <c r="P38" s="125">
        <f>324.21+41.06</f>
        <v>365.27</v>
      </c>
      <c r="Q38" s="125">
        <v>365.27</v>
      </c>
      <c r="R38" s="125">
        <v>365.27</v>
      </c>
      <c r="S38" s="125">
        <v>365.27</v>
      </c>
      <c r="T38" s="126">
        <v>366.27</v>
      </c>
      <c r="U38" s="126">
        <v>373.77</v>
      </c>
      <c r="V38" s="125">
        <f>373.77+41.47+29.01</f>
        <v>444.25</v>
      </c>
      <c r="W38" s="125">
        <v>444.25</v>
      </c>
      <c r="X38" s="125">
        <v>444.25</v>
      </c>
      <c r="Y38" s="125">
        <v>444.25</v>
      </c>
      <c r="Z38" s="125">
        <v>444.25</v>
      </c>
      <c r="AA38" s="125">
        <v>444.25</v>
      </c>
      <c r="AB38" s="125">
        <v>444.25</v>
      </c>
      <c r="AC38" s="125">
        <v>444.25</v>
      </c>
      <c r="AD38" s="125">
        <v>444.25</v>
      </c>
      <c r="AE38" s="125">
        <v>444.25</v>
      </c>
      <c r="AF38" s="125">
        <v>444.25</v>
      </c>
      <c r="AG38" s="125">
        <v>444.25</v>
      </c>
      <c r="AH38" s="125">
        <v>444.25</v>
      </c>
      <c r="AI38" s="127">
        <v>444.25</v>
      </c>
      <c r="AJ38" s="127">
        <v>444.25</v>
      </c>
      <c r="AK38" s="171">
        <v>444.25</v>
      </c>
      <c r="AL38" s="171">
        <v>444.25</v>
      </c>
      <c r="AM38" s="127">
        <v>444.25</v>
      </c>
      <c r="AN38" s="127">
        <v>444.25</v>
      </c>
      <c r="AO38" s="127">
        <v>444.25</v>
      </c>
      <c r="AP38" s="127">
        <v>444.25</v>
      </c>
      <c r="AQ38" s="127">
        <v>444.25</v>
      </c>
      <c r="AR38" s="127">
        <v>444.25</v>
      </c>
      <c r="AS38" s="127">
        <v>444.25</v>
      </c>
      <c r="AT38" s="199">
        <v>444.25</v>
      </c>
      <c r="AU38" s="127">
        <v>444.25</v>
      </c>
      <c r="AV38" s="127">
        <v>444.25</v>
      </c>
      <c r="AW38" s="127">
        <v>444.25</v>
      </c>
      <c r="AX38" s="127">
        <v>444.25</v>
      </c>
      <c r="AY38" s="127">
        <v>444.25</v>
      </c>
      <c r="AZ38" s="127">
        <v>444.25</v>
      </c>
      <c r="BA38" s="127">
        <v>444.25</v>
      </c>
      <c r="BB38" s="127">
        <v>444.25</v>
      </c>
      <c r="BC38" s="127">
        <v>444.25</v>
      </c>
      <c r="BD38" s="127">
        <v>444.25</v>
      </c>
      <c r="BE38" s="127">
        <v>444.25</v>
      </c>
      <c r="BF38" s="127">
        <v>444.25</v>
      </c>
      <c r="BG38" s="127">
        <v>444.25</v>
      </c>
      <c r="BH38" s="127">
        <v>444.25</v>
      </c>
      <c r="BI38" s="127">
        <v>444.25</v>
      </c>
      <c r="BJ38" s="127">
        <v>444.25</v>
      </c>
      <c r="BK38" s="127">
        <v>444.25</v>
      </c>
      <c r="BL38" s="127">
        <v>444.25</v>
      </c>
      <c r="BM38" s="127">
        <v>444.25</v>
      </c>
      <c r="BN38" s="127">
        <v>444.25</v>
      </c>
      <c r="BO38" s="127">
        <v>444.25</v>
      </c>
      <c r="BP38" s="127">
        <v>444.25</v>
      </c>
      <c r="BQ38" s="127">
        <v>444.25</v>
      </c>
      <c r="BR38" s="127">
        <v>444.25</v>
      </c>
      <c r="BS38" s="127">
        <v>444.25</v>
      </c>
      <c r="BT38" s="127">
        <v>444.25</v>
      </c>
      <c r="BU38" s="127">
        <v>444.25</v>
      </c>
      <c r="BV38" s="127">
        <v>444.25</v>
      </c>
      <c r="BW38" s="127">
        <v>444.25</v>
      </c>
      <c r="BX38" s="127">
        <f>444.25+20.14</f>
        <v>464.39</v>
      </c>
      <c r="BY38" s="127">
        <f>444.25+20.14+2.5</f>
        <v>466.89</v>
      </c>
      <c r="BZ38" s="127">
        <f>444.25+20.14+2.5+2</f>
        <v>468.89</v>
      </c>
    </row>
    <row r="39" spans="1:78">
      <c r="A39" s="252" t="s">
        <v>917</v>
      </c>
      <c r="B39" s="253" t="s">
        <v>17</v>
      </c>
      <c r="C39" s="124">
        <v>175</v>
      </c>
      <c r="D39" s="125">
        <v>160</v>
      </c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6"/>
      <c r="U39" s="126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7"/>
      <c r="AJ39" s="127"/>
      <c r="AK39" s="171"/>
      <c r="AL39" s="171"/>
      <c r="AM39" s="127"/>
      <c r="AN39" s="127"/>
      <c r="AO39" s="127"/>
      <c r="AP39" s="127"/>
      <c r="AQ39" s="127"/>
      <c r="AR39" s="127"/>
      <c r="AS39" s="127"/>
      <c r="AT39" s="199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>
        <f>D39</f>
        <v>160</v>
      </c>
      <c r="BY39" s="127">
        <f>BX39</f>
        <v>160</v>
      </c>
      <c r="BZ39" s="127">
        <f>BY39</f>
        <v>160</v>
      </c>
    </row>
    <row r="40" spans="1:78">
      <c r="A40" s="105" t="s">
        <v>35</v>
      </c>
      <c r="B40" s="104" t="s">
        <v>17</v>
      </c>
      <c r="C40" s="124">
        <v>190.51</v>
      </c>
      <c r="D40" s="125">
        <f>71.74+1.99+1.79</f>
        <v>75.52</v>
      </c>
      <c r="E40" s="125">
        <f>75.52+0.13+1.12</f>
        <v>76.77</v>
      </c>
      <c r="F40" s="125">
        <f>76.77+0.47+0.32</f>
        <v>77.559999999999988</v>
      </c>
      <c r="G40" s="125">
        <f>77.56+1.82-0.41</f>
        <v>78.97</v>
      </c>
      <c r="H40" s="125">
        <f>78.97+0.02</f>
        <v>78.989999999999995</v>
      </c>
      <c r="I40" s="125">
        <f>78.99+0.21</f>
        <v>79.199999999999989</v>
      </c>
      <c r="J40" s="125">
        <f>79.2+1.02+0.33</f>
        <v>80.55</v>
      </c>
      <c r="K40" s="125">
        <f>80.55+0.39+0.05</f>
        <v>80.989999999999995</v>
      </c>
      <c r="L40" s="125">
        <f>80.99+0.34+0.21</f>
        <v>81.539999999999992</v>
      </c>
      <c r="M40" s="125">
        <f>81.54+0.91+0.35</f>
        <v>82.8</v>
      </c>
      <c r="N40" s="125">
        <f>82.8+0.57+0.14</f>
        <v>83.509999999999991</v>
      </c>
      <c r="O40" s="125">
        <f>83.51+0.63+0.46</f>
        <v>84.6</v>
      </c>
      <c r="P40" s="125">
        <f>84.6+0.83+0.42</f>
        <v>85.85</v>
      </c>
      <c r="Q40" s="125">
        <f>85.85+0.56+0.4</f>
        <v>86.81</v>
      </c>
      <c r="R40" s="125">
        <f>86.81+0.02+0.08</f>
        <v>86.91</v>
      </c>
      <c r="S40" s="125">
        <f>86.91+2.22+0.07</f>
        <v>89.199999999999989</v>
      </c>
      <c r="T40" s="126">
        <v>89.39</v>
      </c>
      <c r="U40" s="126">
        <v>89.95</v>
      </c>
      <c r="V40" s="125">
        <f>89.95+1.68+0.46+0.29</f>
        <v>92.38000000000001</v>
      </c>
      <c r="W40" s="125">
        <f>92.38+0.89+0.24+0.34</f>
        <v>93.85</v>
      </c>
      <c r="X40" s="125">
        <f>93.85+0.86+0.29</f>
        <v>95</v>
      </c>
      <c r="Y40" s="125">
        <f>95+0.84+0.42</f>
        <v>96.26</v>
      </c>
      <c r="Z40" s="125">
        <f>96.26+0.91+0.15+1.08</f>
        <v>98.4</v>
      </c>
      <c r="AA40" s="125">
        <f>98.4+0.85+0.3+1.39</f>
        <v>100.94</v>
      </c>
      <c r="AB40" s="125">
        <f>100.94+1.37+0.86+0.19</f>
        <v>103.36</v>
      </c>
      <c r="AC40" s="125">
        <f>103.36+0.95+0.08+0.77</f>
        <v>105.16</v>
      </c>
      <c r="AD40" s="125">
        <f>105.16+1.21+0.11+1.47</f>
        <v>107.94999999999999</v>
      </c>
      <c r="AE40" s="125">
        <f>107.95+1.82+0.82+1.41</f>
        <v>111.99999999999999</v>
      </c>
      <c r="AF40" s="125">
        <f>112+1.19+0.44+1.22</f>
        <v>114.85</v>
      </c>
      <c r="AG40" s="125">
        <f>114.85+0.23+0.14+1.45</f>
        <v>116.67</v>
      </c>
      <c r="AH40" s="128">
        <f>116.67+1.83+0.59+1.33</f>
        <v>120.42</v>
      </c>
      <c r="AI40" s="127">
        <f>120.42+1.17+0.67</f>
        <v>122.26</v>
      </c>
      <c r="AJ40" s="127">
        <f>122.26+0.85+0.05</f>
        <v>123.16</v>
      </c>
      <c r="AK40" s="171">
        <f>123.16+0.79</f>
        <v>123.95</v>
      </c>
      <c r="AL40" s="171">
        <f>123.95+0.73+0.05</f>
        <v>124.73</v>
      </c>
      <c r="AM40" s="127">
        <f>124.73+0.78</f>
        <v>125.51</v>
      </c>
      <c r="AN40" s="127">
        <f>125.51+1.01+0.5</f>
        <v>127.02000000000001</v>
      </c>
      <c r="AO40" s="127">
        <f>127.02+1.29+0.78</f>
        <v>129.09</v>
      </c>
      <c r="AP40" s="127">
        <f>129.09+0.63+0.05</f>
        <v>129.77000000000001</v>
      </c>
      <c r="AQ40" s="127">
        <f>129.77+0.8+0.5</f>
        <v>131.07000000000002</v>
      </c>
      <c r="AR40" s="127">
        <f>131.07+0.08</f>
        <v>131.15</v>
      </c>
      <c r="AS40" s="127">
        <f>131.15+0.1</f>
        <v>131.25</v>
      </c>
      <c r="AT40" s="199">
        <f>131.25+0.41+0.04+0.13</f>
        <v>131.82999999999998</v>
      </c>
      <c r="AU40" s="127">
        <f>131.83+0.78+0.5</f>
        <v>133.11000000000001</v>
      </c>
      <c r="AV40" s="127">
        <f>133.11+0.1</f>
        <v>133.21</v>
      </c>
      <c r="AW40" s="127">
        <f>133.21+0.34+0.03+0.1</f>
        <v>133.68</v>
      </c>
      <c r="AX40" s="127">
        <f>133.68+0.16</f>
        <v>133.84</v>
      </c>
      <c r="AY40" s="127">
        <f>133.84+0.3+0.1</f>
        <v>134.24</v>
      </c>
      <c r="AZ40" s="127">
        <f>134.24+0.11+0.3</f>
        <v>134.65000000000003</v>
      </c>
      <c r="BA40" s="127">
        <f>134.65+0.256</f>
        <v>134.90600000000001</v>
      </c>
      <c r="BB40" s="127">
        <f>134.91+0.77+0.24</f>
        <v>135.92000000000002</v>
      </c>
      <c r="BC40" s="127">
        <f>135.92+0.7+0.5</f>
        <v>137.11999999999998</v>
      </c>
      <c r="BD40" s="207">
        <f>137.12+0.66</f>
        <v>137.78</v>
      </c>
      <c r="BE40" s="207">
        <f>137.78+0.05</f>
        <v>137.83000000000001</v>
      </c>
      <c r="BF40" s="207">
        <f>137.83+0.14</f>
        <v>137.97</v>
      </c>
      <c r="BG40" s="209">
        <f>137.97+0.2</f>
        <v>138.16999999999999</v>
      </c>
      <c r="BH40" s="209">
        <f>137.97+0.2+0.45</f>
        <v>138.61999999999998</v>
      </c>
      <c r="BI40" s="209">
        <f>137.97+0.2+0.45+0.55</f>
        <v>139.16999999999999</v>
      </c>
      <c r="BJ40" s="209">
        <f>137.97+0.2+0.45+0.55+0.26</f>
        <v>139.42999999999998</v>
      </c>
      <c r="BK40" s="209">
        <f>137.97+0.2+0.45+0.55+0.26+0.38</f>
        <v>139.80999999999997</v>
      </c>
      <c r="BL40" s="209">
        <f>137.97+0.2+0.45+0.55+0.26+0.38+0.8</f>
        <v>140.60999999999999</v>
      </c>
      <c r="BM40" s="209">
        <f>137.97+0.2+0.45+0.55+0.26+0.38+0.8+0.2</f>
        <v>140.80999999999997</v>
      </c>
      <c r="BN40" s="209">
        <f>BM40</f>
        <v>140.80999999999997</v>
      </c>
      <c r="BO40" s="209">
        <f>BN40+0.44</f>
        <v>141.24999999999997</v>
      </c>
      <c r="BP40" s="209">
        <f>BO40+0.1</f>
        <v>141.34999999999997</v>
      </c>
      <c r="BQ40" s="209">
        <f>BP40+0.5</f>
        <v>141.84999999999997</v>
      </c>
      <c r="BR40" s="209">
        <f>BQ40+0.34</f>
        <v>142.18999999999997</v>
      </c>
      <c r="BS40" s="209">
        <f>BR40+0.48</f>
        <v>142.66999999999996</v>
      </c>
      <c r="BT40" s="209">
        <f>BS40+1</f>
        <v>143.66999999999996</v>
      </c>
      <c r="BU40" s="209">
        <f>BT40+1</f>
        <v>144.66999999999996</v>
      </c>
      <c r="BV40" s="209">
        <f>BU40+1.25</f>
        <v>145.91999999999996</v>
      </c>
      <c r="BW40" s="209">
        <f>BV40+0.25</f>
        <v>146.16999999999996</v>
      </c>
      <c r="BX40" s="209">
        <f>BW40+0.25</f>
        <v>146.41999999999996</v>
      </c>
      <c r="BY40" s="209">
        <f>BX40+0.35</f>
        <v>146.76999999999995</v>
      </c>
      <c r="BZ40" s="209">
        <f>BY40+0.35</f>
        <v>147.11999999999995</v>
      </c>
    </row>
    <row r="41" spans="1:78">
      <c r="A41" s="105" t="s">
        <v>36</v>
      </c>
      <c r="B41" s="104" t="s">
        <v>17</v>
      </c>
      <c r="C41" s="124">
        <v>78.28</v>
      </c>
      <c r="D41" s="125">
        <f>21.62+1.6</f>
        <v>23.220000000000002</v>
      </c>
      <c r="E41" s="125">
        <f>23.22+0.63</f>
        <v>23.849999999999998</v>
      </c>
      <c r="F41" s="125">
        <f>23.85+0.6</f>
        <v>24.450000000000003</v>
      </c>
      <c r="G41" s="125">
        <f>24.45+0.57</f>
        <v>25.02</v>
      </c>
      <c r="H41" s="125">
        <f>25.02+0.6</f>
        <v>25.62</v>
      </c>
      <c r="I41" s="125">
        <f>25.62+0.6+0.09</f>
        <v>26.310000000000002</v>
      </c>
      <c r="J41" s="125">
        <f>26.31+0.56</f>
        <v>26.869999999999997</v>
      </c>
      <c r="K41" s="125">
        <f>26.87+0.52</f>
        <v>27.39</v>
      </c>
      <c r="L41" s="125">
        <f>27.39+0.33</f>
        <v>27.72</v>
      </c>
      <c r="M41" s="125">
        <f>27.72+0.48</f>
        <v>28.2</v>
      </c>
      <c r="N41" s="125">
        <f>28.2+0.66</f>
        <v>28.86</v>
      </c>
      <c r="O41" s="125">
        <f>28.86+0.87</f>
        <v>29.73</v>
      </c>
      <c r="P41" s="125">
        <f>29.73+0.87</f>
        <v>30.6</v>
      </c>
      <c r="Q41" s="125">
        <f>30.6+0.67</f>
        <v>31.270000000000003</v>
      </c>
      <c r="R41" s="125">
        <f>31.27+0.48</f>
        <v>31.75</v>
      </c>
      <c r="S41" s="125">
        <f>31.75+0.5</f>
        <v>32.25</v>
      </c>
      <c r="T41" s="126">
        <v>32.93</v>
      </c>
      <c r="U41" s="126">
        <v>33.43</v>
      </c>
      <c r="V41" s="125">
        <v>33.43</v>
      </c>
      <c r="W41" s="125">
        <v>33.43</v>
      </c>
      <c r="X41" s="125">
        <f>33.43+1.53</f>
        <v>34.96</v>
      </c>
      <c r="Y41" s="125">
        <f>34.96+1.67+0.56</f>
        <v>37.190000000000005</v>
      </c>
      <c r="Z41" s="125">
        <f>37.19+0.65</f>
        <v>37.839999999999996</v>
      </c>
      <c r="AA41" s="125">
        <f>37.84+0.6</f>
        <v>38.440000000000005</v>
      </c>
      <c r="AB41" s="125">
        <f>38.44+0.44+0.6</f>
        <v>39.479999999999997</v>
      </c>
      <c r="AC41" s="125">
        <f>39.48+0.6+0.3</f>
        <v>40.379999999999995</v>
      </c>
      <c r="AD41" s="125">
        <f>40.38+0.66+0.3</f>
        <v>41.339999999999996</v>
      </c>
      <c r="AE41" s="125">
        <v>41.34</v>
      </c>
      <c r="AF41" s="125">
        <f>41.34+0.6+0.6</f>
        <v>42.540000000000006</v>
      </c>
      <c r="AG41" s="125">
        <f>42.54+0.66</f>
        <v>43.199999999999996</v>
      </c>
      <c r="AH41" s="128">
        <f>43.2+0.27+0.14+0.7</f>
        <v>44.310000000000009</v>
      </c>
      <c r="AI41" s="127">
        <f>44.31+0.36+0.72+0.15</f>
        <v>45.54</v>
      </c>
      <c r="AJ41" s="127">
        <f>45.54+1.29+0.14</f>
        <v>46.97</v>
      </c>
      <c r="AK41" s="171">
        <f>46.97+0.58+0.72+0.71+0.59</f>
        <v>49.57</v>
      </c>
      <c r="AL41" s="171">
        <f>49.57+0.16+0.69</f>
        <v>50.419999999999995</v>
      </c>
      <c r="AM41" s="127">
        <f>50.42+1.04+0.21+0.66</f>
        <v>52.33</v>
      </c>
      <c r="AN41" s="127">
        <f>52.33+0.8+0.8+0.9</f>
        <v>54.829999999999991</v>
      </c>
      <c r="AO41" s="127">
        <f>54.83+1.11+0.2+0.8</f>
        <v>56.94</v>
      </c>
      <c r="AP41" s="127">
        <f>56.94+0.43+0.13+0.8</f>
        <v>58.3</v>
      </c>
      <c r="AQ41" s="127">
        <f>58.3+0.68+0.7</f>
        <v>59.68</v>
      </c>
      <c r="AR41" s="127">
        <f>59.68+0.4</f>
        <v>60.08</v>
      </c>
      <c r="AS41" s="127">
        <f>60.08+0.2</f>
        <v>60.28</v>
      </c>
      <c r="AT41" s="199">
        <f>60.28+0.6</f>
        <v>60.88</v>
      </c>
      <c r="AU41" s="199">
        <f>60.88+1.53</f>
        <v>62.410000000000004</v>
      </c>
      <c r="AV41" s="199">
        <f>62.41+0.31+0.21+0.1</f>
        <v>63.03</v>
      </c>
      <c r="AW41" s="199">
        <f>63.03+0.43+0.45</f>
        <v>63.910000000000004</v>
      </c>
      <c r="AX41" s="199">
        <f>63.91+0.31</f>
        <v>64.22</v>
      </c>
      <c r="AY41" s="199">
        <f>64.22+0.45+0.5+0.5</f>
        <v>65.67</v>
      </c>
      <c r="AZ41" s="199">
        <f>65.67+0.5+0.45+0.86</f>
        <v>67.48</v>
      </c>
      <c r="BA41" s="199">
        <f>67.48+0.94</f>
        <v>68.42</v>
      </c>
      <c r="BB41" s="199">
        <f>68.42+0.7+0.3</f>
        <v>69.42</v>
      </c>
      <c r="BC41" s="199">
        <f>69.42+0.63+0.7+0.2</f>
        <v>70.95</v>
      </c>
      <c r="BD41" s="199">
        <f>70.95+0.76</f>
        <v>71.710000000000008</v>
      </c>
      <c r="BE41" s="199">
        <f>71.71+0.19+0.25</f>
        <v>72.149999999999991</v>
      </c>
      <c r="BF41" s="199">
        <f>72.15+0.72+0.25</f>
        <v>73.12</v>
      </c>
      <c r="BG41" s="199">
        <f>73.12+0.52</f>
        <v>73.64</v>
      </c>
      <c r="BH41" s="199">
        <f>73.12+0.52+0.91</f>
        <v>74.55</v>
      </c>
      <c r="BI41" s="199">
        <f>73.12+0.52+0.91+1.25</f>
        <v>75.8</v>
      </c>
      <c r="BJ41" s="199">
        <f>73.12+0.52+0.91+1.25+1.11</f>
        <v>76.91</v>
      </c>
      <c r="BK41" s="199">
        <f>73.12+0.52+0.91+1.25+1.11+1.03</f>
        <v>77.94</v>
      </c>
      <c r="BL41" s="199">
        <f>73.12+0.52+0.91+1.25+1.11+1.03+0.65</f>
        <v>78.59</v>
      </c>
      <c r="BM41" s="199">
        <f>73.12+0.52+0.91+1.25+1.11+1.03+0.65+1</f>
        <v>79.59</v>
      </c>
      <c r="BN41" s="199">
        <f>BM41+0.64</f>
        <v>80.23</v>
      </c>
      <c r="BO41" s="199">
        <f>BN41+0.17</f>
        <v>80.400000000000006</v>
      </c>
      <c r="BP41" s="199">
        <f>BO41+0.85</f>
        <v>81.25</v>
      </c>
      <c r="BQ41" s="199">
        <f>BP41+1.25</f>
        <v>82.5</v>
      </c>
      <c r="BR41" s="199">
        <f>BQ41+1.25+1</f>
        <v>84.75</v>
      </c>
      <c r="BS41" s="199">
        <f>BR41+1.25</f>
        <v>86</v>
      </c>
      <c r="BT41" s="199">
        <f>BS41+0.75</f>
        <v>86.75</v>
      </c>
      <c r="BU41" s="199">
        <f>BT41+0.75+0.75</f>
        <v>88.25</v>
      </c>
      <c r="BV41" s="199">
        <f>BU41+0.75+0.75+0.75</f>
        <v>90.5</v>
      </c>
      <c r="BW41" s="199">
        <f>BV41+0.75</f>
        <v>91.25</v>
      </c>
      <c r="BX41" s="199">
        <f>BW41+0.75</f>
        <v>92</v>
      </c>
      <c r="BY41" s="199">
        <f>BX41+0.75</f>
        <v>92.75</v>
      </c>
      <c r="BZ41" s="199">
        <f>BY41+0.75</f>
        <v>93.5</v>
      </c>
    </row>
    <row r="42" spans="1:78">
      <c r="A42" s="105" t="s">
        <v>107</v>
      </c>
      <c r="B42" s="104" t="s">
        <v>17</v>
      </c>
      <c r="C42" s="124">
        <v>513</v>
      </c>
      <c r="D42" s="125">
        <f>65.26+8.44+1.52+0.42+4.25</f>
        <v>79.89</v>
      </c>
      <c r="E42" s="125">
        <v>79.89</v>
      </c>
      <c r="F42" s="125">
        <v>79.89</v>
      </c>
      <c r="G42" s="125">
        <f>79.89+11.23</f>
        <v>91.12</v>
      </c>
      <c r="H42" s="125">
        <v>91.12</v>
      </c>
      <c r="I42" s="125">
        <v>91.12</v>
      </c>
      <c r="J42" s="125">
        <f>91.12+11.4</f>
        <v>102.52000000000001</v>
      </c>
      <c r="K42" s="125">
        <v>102.54</v>
      </c>
      <c r="L42" s="125">
        <v>102.54</v>
      </c>
      <c r="M42" s="125">
        <f>102.54+13.34</f>
        <v>115.88000000000001</v>
      </c>
      <c r="N42" s="125">
        <v>115.88</v>
      </c>
      <c r="O42" s="125">
        <v>115.88</v>
      </c>
      <c r="P42" s="125">
        <f>115.88+12.51</f>
        <v>128.38999999999999</v>
      </c>
      <c r="Q42" s="125">
        <v>128.38999999999999</v>
      </c>
      <c r="R42" s="125">
        <v>128.38999999999999</v>
      </c>
      <c r="S42" s="125">
        <f>128.39+13.32</f>
        <v>141.70999999999998</v>
      </c>
      <c r="T42" s="126">
        <v>141.71</v>
      </c>
      <c r="U42" s="126">
        <v>141.71</v>
      </c>
      <c r="V42" s="125">
        <f>141.71+13.95+1.38</f>
        <v>157.04</v>
      </c>
      <c r="W42" s="125">
        <v>157.04</v>
      </c>
      <c r="X42" s="125">
        <v>157.04</v>
      </c>
      <c r="Y42" s="125">
        <f>157.04+16.7</f>
        <v>173.73999999999998</v>
      </c>
      <c r="Z42" s="125">
        <v>173.74</v>
      </c>
      <c r="AA42" s="125">
        <v>173.74</v>
      </c>
      <c r="AB42" s="125">
        <f>173.74+16.74</f>
        <v>190.48000000000002</v>
      </c>
      <c r="AC42" s="125">
        <v>190.48</v>
      </c>
      <c r="AD42" s="125">
        <v>190.48</v>
      </c>
      <c r="AE42" s="125">
        <v>190.48</v>
      </c>
      <c r="AF42" s="125">
        <f>190.48+18.01</f>
        <v>208.48999999999998</v>
      </c>
      <c r="AG42" s="125">
        <v>208.49</v>
      </c>
      <c r="AH42" s="128">
        <f>208.49+19.38</f>
        <v>227.87</v>
      </c>
      <c r="AI42" s="127">
        <f>227.87</f>
        <v>227.87</v>
      </c>
      <c r="AJ42" s="127">
        <f>227.87</f>
        <v>227.87</v>
      </c>
      <c r="AK42" s="171">
        <f>227.87+14.51</f>
        <v>242.38</v>
      </c>
      <c r="AL42" s="171">
        <f>242.38+6.08</f>
        <v>248.46</v>
      </c>
      <c r="AM42" s="127">
        <v>248.46</v>
      </c>
      <c r="AN42" s="127">
        <f>248.46+20</f>
        <v>268.46000000000004</v>
      </c>
      <c r="AO42" s="127">
        <f>268.46</f>
        <v>268.45999999999998</v>
      </c>
      <c r="AP42" s="127">
        <v>268.45999999999998</v>
      </c>
      <c r="AQ42" s="127">
        <v>268.45999999999998</v>
      </c>
      <c r="AR42" s="127">
        <f>268.46+11.18</f>
        <v>279.64</v>
      </c>
      <c r="AS42" s="127">
        <v>279.64</v>
      </c>
      <c r="AT42" s="199">
        <v>279.64</v>
      </c>
      <c r="AU42" s="127">
        <f>279.64+6.04</f>
        <v>285.68</v>
      </c>
      <c r="AV42" s="127">
        <v>285.68</v>
      </c>
      <c r="AW42" s="127">
        <f>285.68+12.62</f>
        <v>298.3</v>
      </c>
      <c r="AX42" s="127">
        <f>298.3+0.02</f>
        <v>298.32</v>
      </c>
      <c r="AY42" s="127">
        <f>298.32+9.44</f>
        <v>307.76</v>
      </c>
      <c r="AZ42" s="127">
        <f>307.76+2.24</f>
        <v>310</v>
      </c>
      <c r="BA42" s="127">
        <f>310+2.88</f>
        <v>312.88</v>
      </c>
      <c r="BB42" s="127">
        <f>312.88+0.76</f>
        <v>313.64</v>
      </c>
      <c r="BC42" s="127">
        <f>313.64+20.4</f>
        <v>334.03999999999996</v>
      </c>
      <c r="BD42" s="127">
        <f>334.04+4.74</f>
        <v>338.78000000000003</v>
      </c>
      <c r="BE42" s="219">
        <f>338.78+8.4</f>
        <v>347.17999999999995</v>
      </c>
      <c r="BF42" s="127">
        <f>BE42+8.4</f>
        <v>355.57999999999993</v>
      </c>
      <c r="BG42" s="127">
        <f>BF42+8.58</f>
        <v>364.15999999999991</v>
      </c>
      <c r="BH42" s="127">
        <f>BG42+8.58</f>
        <v>372.7399999999999</v>
      </c>
      <c r="BI42" s="127">
        <f>BH42</f>
        <v>372.7399999999999</v>
      </c>
      <c r="BJ42" s="127">
        <f>BI42</f>
        <v>372.7399999999999</v>
      </c>
      <c r="BK42" s="127">
        <f>BJ42+8.74</f>
        <v>381.4799999999999</v>
      </c>
      <c r="BL42" s="127">
        <f>BK42+8.74</f>
        <v>390.21999999999991</v>
      </c>
      <c r="BM42" s="127">
        <f>BL42+10.6</f>
        <v>400.81999999999994</v>
      </c>
      <c r="BN42" s="127">
        <f>BM42+10.6</f>
        <v>411.41999999999996</v>
      </c>
      <c r="BO42" s="127">
        <f>BN42+10.6</f>
        <v>422.02</v>
      </c>
      <c r="BP42" s="127">
        <f t="shared" ref="BP42:BU42" si="83">BO42+10.26</f>
        <v>432.28</v>
      </c>
      <c r="BQ42" s="127">
        <f t="shared" si="83"/>
        <v>442.53999999999996</v>
      </c>
      <c r="BR42" s="127">
        <f t="shared" si="83"/>
        <v>452.79999999999995</v>
      </c>
      <c r="BS42" s="127">
        <f t="shared" si="83"/>
        <v>463.05999999999995</v>
      </c>
      <c r="BT42" s="127">
        <f t="shared" si="83"/>
        <v>473.31999999999994</v>
      </c>
      <c r="BU42" s="127">
        <f t="shared" si="83"/>
        <v>483.57999999999993</v>
      </c>
      <c r="BV42" s="127">
        <f>BU42+10.26</f>
        <v>493.83999999999992</v>
      </c>
      <c r="BW42" s="127">
        <f>BV42+10.26</f>
        <v>504.09999999999991</v>
      </c>
      <c r="BX42" s="127">
        <f>BW42+10.26</f>
        <v>514.3599999999999</v>
      </c>
      <c r="BY42" s="127">
        <f>BX42+10.26</f>
        <v>524.61999999999989</v>
      </c>
      <c r="BZ42" s="127">
        <f>BY42+10.26</f>
        <v>534.87999999999988</v>
      </c>
    </row>
    <row r="43" spans="1:78" s="196" customFormat="1">
      <c r="A43" s="15" t="s">
        <v>832</v>
      </c>
      <c r="B43" s="193" t="s">
        <v>17</v>
      </c>
      <c r="C43" s="69">
        <f t="shared" ref="C43:H43" si="84">SUM(C37:C42)</f>
        <v>3407.27</v>
      </c>
      <c r="D43" s="69">
        <f t="shared" si="84"/>
        <v>942.49000000000012</v>
      </c>
      <c r="E43" s="69">
        <f t="shared" si="84"/>
        <v>797.83999999999992</v>
      </c>
      <c r="F43" s="69">
        <f t="shared" si="84"/>
        <v>810.29000000000008</v>
      </c>
      <c r="G43" s="69">
        <f t="shared" si="84"/>
        <v>840.86</v>
      </c>
      <c r="H43" s="69">
        <f t="shared" si="84"/>
        <v>849.28</v>
      </c>
      <c r="I43" s="69">
        <f t="shared" ref="I43:N43" si="85">SUM(I37:I42)</f>
        <v>863.95999999999992</v>
      </c>
      <c r="J43" s="69">
        <f t="shared" si="85"/>
        <v>937.09</v>
      </c>
      <c r="K43" s="69">
        <f t="shared" si="85"/>
        <v>949.66</v>
      </c>
      <c r="L43" s="69">
        <f t="shared" si="85"/>
        <v>963.11999999999989</v>
      </c>
      <c r="M43" s="69">
        <f t="shared" si="85"/>
        <v>987.82600000000002</v>
      </c>
      <c r="N43" s="69">
        <f t="shared" si="85"/>
        <v>999.42999999999984</v>
      </c>
      <c r="O43" s="69">
        <f>SUM(O37:O42)</f>
        <v>1022.6400000000001</v>
      </c>
      <c r="P43" s="69">
        <f>SUM(P37:P42)</f>
        <v>1090.1399999999999</v>
      </c>
      <c r="Q43" s="69">
        <f>SUM(Q37:Q42)</f>
        <v>1103.81</v>
      </c>
      <c r="R43" s="69">
        <f>SUM(R37:R42)</f>
        <v>1116.3499999999999</v>
      </c>
      <c r="S43" s="69">
        <f>SUM(S37:S42)</f>
        <v>1144.21</v>
      </c>
      <c r="T43" s="194">
        <v>1158.32</v>
      </c>
      <c r="U43" s="194">
        <v>1176.5500000000002</v>
      </c>
      <c r="V43" s="194">
        <f t="shared" ref="V43:AA43" si="86">SUM(V37:V42)</f>
        <v>1274.1800000000003</v>
      </c>
      <c r="W43" s="194">
        <f t="shared" si="86"/>
        <v>1287.9099999999999</v>
      </c>
      <c r="X43" s="194">
        <f t="shared" si="86"/>
        <v>1303.72</v>
      </c>
      <c r="Y43" s="194">
        <f t="shared" si="86"/>
        <v>1336</v>
      </c>
      <c r="Z43" s="194">
        <f t="shared" si="86"/>
        <v>1352.21</v>
      </c>
      <c r="AA43" s="194">
        <f t="shared" si="86"/>
        <v>1367.5200000000002</v>
      </c>
      <c r="AB43" s="194">
        <f>SUM(AB37:AB42)</f>
        <v>1398.68</v>
      </c>
      <c r="AC43" s="194">
        <f>SUM(AC37:AC42)</f>
        <v>1415.9899999999998</v>
      </c>
      <c r="AD43" s="194">
        <f>SUM(AD37:AD42)</f>
        <v>1435.25</v>
      </c>
      <c r="AE43" s="194">
        <f>SUM(AE37:AE42)</f>
        <v>1455.28</v>
      </c>
      <c r="AF43" s="194">
        <f t="shared" ref="AF43:AK43" si="87">SUM(AF37:AF42)</f>
        <v>1492.4399999999998</v>
      </c>
      <c r="AG43" s="194">
        <f t="shared" si="87"/>
        <v>1508.8200000000002</v>
      </c>
      <c r="AH43" s="194">
        <f t="shared" si="87"/>
        <v>1544.25</v>
      </c>
      <c r="AI43" s="194">
        <f t="shared" si="87"/>
        <v>1557.02</v>
      </c>
      <c r="AJ43" s="194">
        <f t="shared" si="87"/>
        <v>1569.6800000000003</v>
      </c>
      <c r="AK43" s="195">
        <f t="shared" si="87"/>
        <v>1594.56</v>
      </c>
      <c r="AL43" s="195">
        <f>SUM(AL37:AL42)</f>
        <v>1615.1100000000001</v>
      </c>
      <c r="AM43" s="194">
        <f t="shared" ref="AM43:AR43" si="88">SUM(AM37:AM42)</f>
        <v>1625.7299999999998</v>
      </c>
      <c r="AN43" s="194">
        <f t="shared" si="88"/>
        <v>1660.06</v>
      </c>
      <c r="AO43" s="194">
        <f t="shared" si="88"/>
        <v>1673.92</v>
      </c>
      <c r="AP43" s="194">
        <f t="shared" si="88"/>
        <v>1690.58</v>
      </c>
      <c r="AQ43" s="194">
        <f t="shared" si="88"/>
        <v>1709.57</v>
      </c>
      <c r="AR43" s="194">
        <f t="shared" si="88"/>
        <v>1721.7799999999997</v>
      </c>
      <c r="AS43" s="194">
        <f t="shared" ref="AS43:AX43" si="89">SUM(AS37:AS42)</f>
        <v>1726.4699999999998</v>
      </c>
      <c r="AT43" s="194">
        <f t="shared" si="89"/>
        <v>1736.8899999999999</v>
      </c>
      <c r="AU43" s="194">
        <f t="shared" si="89"/>
        <v>1761.46</v>
      </c>
      <c r="AV43" s="194">
        <f t="shared" si="89"/>
        <v>1775.8700000000001</v>
      </c>
      <c r="AW43" s="194">
        <f t="shared" si="89"/>
        <v>1804.5800000000002</v>
      </c>
      <c r="AX43" s="194">
        <f t="shared" si="89"/>
        <v>1824.14</v>
      </c>
      <c r="AY43" s="194">
        <f t="shared" ref="AY43:BD43" si="90">SUM(AY37:AY42)</f>
        <v>1847.7800000000002</v>
      </c>
      <c r="AZ43" s="194">
        <f t="shared" si="90"/>
        <v>1867.22</v>
      </c>
      <c r="BA43" s="194">
        <f t="shared" si="90"/>
        <v>1882.886</v>
      </c>
      <c r="BB43" s="194">
        <f t="shared" si="90"/>
        <v>1898.1799999999998</v>
      </c>
      <c r="BC43" s="194">
        <f t="shared" si="90"/>
        <v>1936.78</v>
      </c>
      <c r="BD43" s="194">
        <f t="shared" si="90"/>
        <v>1954.92</v>
      </c>
      <c r="BE43" s="194">
        <f t="shared" ref="BE43:BJ43" si="91">SUM(BE37:BE42)</f>
        <v>1970.35</v>
      </c>
      <c r="BF43" s="194">
        <f t="shared" si="91"/>
        <v>1983.33</v>
      </c>
      <c r="BG43" s="194">
        <f t="shared" si="91"/>
        <v>1998.9399999999998</v>
      </c>
      <c r="BH43" s="194">
        <f t="shared" si="91"/>
        <v>2015.04</v>
      </c>
      <c r="BI43" s="194">
        <f t="shared" si="91"/>
        <v>2025.08</v>
      </c>
      <c r="BJ43" s="194">
        <f t="shared" si="91"/>
        <v>2033.46</v>
      </c>
      <c r="BK43" s="194">
        <f t="shared" ref="BK43:BP43" si="92">SUM(BK37:BK42)</f>
        <v>2047.7799999999997</v>
      </c>
      <c r="BL43" s="194">
        <f t="shared" si="92"/>
        <v>2064.3699999999994</v>
      </c>
      <c r="BM43" s="194">
        <f t="shared" si="92"/>
        <v>2079.4899999999998</v>
      </c>
      <c r="BN43" s="194">
        <f t="shared" si="92"/>
        <v>2096.4499999999998</v>
      </c>
      <c r="BO43" s="194">
        <f t="shared" si="92"/>
        <v>2114.84</v>
      </c>
      <c r="BP43" s="194">
        <f t="shared" si="92"/>
        <v>2132.12</v>
      </c>
      <c r="BQ43" s="194">
        <f t="shared" ref="BQ43:BV43" si="93">SUM(BQ37:BQ42)</f>
        <v>2149.63</v>
      </c>
      <c r="BR43" s="194">
        <f t="shared" si="93"/>
        <v>2166.7799999999997</v>
      </c>
      <c r="BS43" s="194">
        <f t="shared" si="93"/>
        <v>2183.7199999999998</v>
      </c>
      <c r="BT43" s="194">
        <f t="shared" si="93"/>
        <v>2198.2299999999996</v>
      </c>
      <c r="BU43" s="194">
        <f t="shared" si="93"/>
        <v>2214.04</v>
      </c>
      <c r="BV43" s="194">
        <f t="shared" si="93"/>
        <v>2231.8000000000002</v>
      </c>
      <c r="BW43" s="194">
        <f t="shared" ref="BW43" si="94">SUM(BW37:BW42)</f>
        <v>2247.56</v>
      </c>
      <c r="BX43" s="194">
        <f>SUM(BX37:BX42)</f>
        <v>2443.46</v>
      </c>
      <c r="BY43" s="194">
        <f>SUM(BY37:BY42)</f>
        <v>2462.3199999999997</v>
      </c>
      <c r="BZ43" s="194">
        <f>SUM(BZ37:BZ42)</f>
        <v>2478.6799999999994</v>
      </c>
    </row>
    <row r="44" spans="1:78">
      <c r="Q44" s="129"/>
      <c r="Z44" s="129"/>
      <c r="AB44" s="129"/>
      <c r="AD44" s="129"/>
      <c r="AG44" s="129"/>
      <c r="AH44" s="129"/>
      <c r="AX44" s="200"/>
      <c r="BC44" s="200"/>
      <c r="BG44" s="154"/>
    </row>
    <row r="45" spans="1:78"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29"/>
      <c r="R45" s="129"/>
      <c r="S45" s="129"/>
      <c r="V45" s="129"/>
      <c r="W45" s="129"/>
      <c r="X45" s="129"/>
      <c r="Y45" s="129"/>
      <c r="AA45" s="129"/>
      <c r="AB45" s="129"/>
      <c r="AC45" s="129"/>
      <c r="AF45" s="129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BB45" s="154"/>
      <c r="BC45" s="154"/>
      <c r="BD45" s="154"/>
      <c r="BE45" s="154"/>
      <c r="BF45" s="154"/>
      <c r="BG45" s="154"/>
    </row>
    <row r="46" spans="1:78">
      <c r="BG46" s="154"/>
    </row>
    <row r="47" spans="1:78">
      <c r="S47" s="1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FE550"/>
  <sheetViews>
    <sheetView tabSelected="1" zoomScaleNormal="100" workbookViewId="0">
      <pane xSplit="3" ySplit="4" topLeftCell="D168" activePane="bottomRight" state="frozen"/>
      <selection pane="topRight" activeCell="D1" sqref="D1"/>
      <selection pane="bottomLeft" activeCell="A5" sqref="A5"/>
      <selection pane="bottomRight" activeCell="E6" sqref="E6:E499"/>
    </sheetView>
  </sheetViews>
  <sheetFormatPr defaultColWidth="9.140625" defaultRowHeight="12.75"/>
  <cols>
    <col min="1" max="1" width="14.140625" customWidth="1"/>
    <col min="2" max="2" width="8" style="216" customWidth="1"/>
    <col min="3" max="3" width="26.85546875" customWidth="1"/>
    <col min="4" max="4" width="12.7109375" style="216" customWidth="1"/>
    <col min="5" max="5" width="14" customWidth="1"/>
    <col min="6" max="6" width="7.42578125" customWidth="1"/>
    <col min="7" max="7" width="14.42578125" customWidth="1"/>
    <col min="8" max="8" width="7.5703125" style="216" customWidth="1"/>
    <col min="9" max="9" width="39.28515625" style="216" customWidth="1"/>
    <col min="10" max="10" width="13.5703125" customWidth="1"/>
    <col min="11" max="11" width="21.42578125" customWidth="1"/>
    <col min="12" max="12" width="18" style="236" bestFit="1" customWidth="1"/>
    <col min="13" max="13" width="17" bestFit="1" customWidth="1"/>
    <col min="14" max="14" width="15.28515625" bestFit="1" customWidth="1"/>
    <col min="15" max="15" width="18.140625" bestFit="1" customWidth="1"/>
    <col min="16" max="16" width="15.28515625" bestFit="1" customWidth="1"/>
    <col min="17" max="17" width="16.85546875" bestFit="1" customWidth="1"/>
    <col min="18" max="18" width="19.85546875" bestFit="1" customWidth="1"/>
    <col min="19" max="19" width="17.7109375" hidden="1" customWidth="1"/>
    <col min="20" max="20" width="13.28515625" hidden="1" customWidth="1"/>
    <col min="21" max="21" width="16.140625" hidden="1" customWidth="1"/>
    <col min="22" max="22" width="13.28515625" hidden="1" customWidth="1"/>
    <col min="23" max="23" width="16.140625" hidden="1" customWidth="1"/>
    <col min="24" max="24" width="13.28515625" hidden="1" customWidth="1"/>
    <col min="25" max="25" width="16.140625" hidden="1" customWidth="1"/>
    <col min="26" max="26" width="13.28515625" hidden="1" customWidth="1"/>
    <col min="27" max="27" width="16.140625" hidden="1" customWidth="1"/>
    <col min="28" max="28" width="13.28515625" hidden="1" customWidth="1"/>
    <col min="29" max="29" width="16.140625" hidden="1" customWidth="1"/>
    <col min="30" max="30" width="13.28515625" hidden="1" customWidth="1"/>
    <col min="31" max="31" width="16.140625" hidden="1" customWidth="1"/>
    <col min="32" max="32" width="10" hidden="1" customWidth="1"/>
    <col min="33" max="33" width="16.140625" hidden="1" customWidth="1"/>
    <col min="34" max="34" width="13.28515625" hidden="1" customWidth="1"/>
    <col min="35" max="35" width="16.140625" hidden="1" customWidth="1"/>
    <col min="36" max="36" width="9.28515625" hidden="1" customWidth="1"/>
    <col min="37" max="37" width="16.140625" hidden="1" customWidth="1"/>
    <col min="38" max="38" width="9.140625" hidden="1" customWidth="1"/>
    <col min="39" max="39" width="16.140625" hidden="1" customWidth="1"/>
    <col min="40" max="40" width="9" hidden="1" customWidth="1"/>
    <col min="41" max="49" width="16.140625" hidden="1" customWidth="1"/>
    <col min="50" max="50" width="13.28515625" hidden="1" customWidth="1"/>
    <col min="51" max="51" width="16.140625" hidden="1" customWidth="1"/>
    <col min="52" max="52" width="13.28515625" hidden="1" customWidth="1"/>
    <col min="53" max="53" width="16.140625" hidden="1" customWidth="1"/>
    <col min="54" max="54" width="13.28515625" hidden="1" customWidth="1"/>
    <col min="55" max="55" width="16.140625" hidden="1" customWidth="1"/>
    <col min="56" max="56" width="13.28515625" hidden="1" customWidth="1"/>
    <col min="57" max="57" width="16.140625" hidden="1" customWidth="1"/>
    <col min="58" max="58" width="13.28515625" hidden="1" customWidth="1"/>
    <col min="59" max="59" width="16.140625" hidden="1" customWidth="1"/>
    <col min="60" max="60" width="13.28515625" hidden="1" customWidth="1"/>
    <col min="61" max="61" width="16.140625" hidden="1" customWidth="1"/>
    <col min="62" max="62" width="13.28515625" hidden="1" customWidth="1"/>
    <col min="63" max="63" width="16.140625" hidden="1" customWidth="1"/>
    <col min="64" max="64" width="13.28515625" hidden="1" customWidth="1"/>
    <col min="65" max="65" width="16.28515625" hidden="1" customWidth="1"/>
    <col min="66" max="66" width="13.28515625" hidden="1" customWidth="1"/>
    <col min="67" max="67" width="16.140625" hidden="1" customWidth="1"/>
    <col min="68" max="68" width="13.28515625" hidden="1" customWidth="1"/>
    <col min="69" max="69" width="16.140625" hidden="1" customWidth="1"/>
    <col min="70" max="70" width="13.28515625" hidden="1" customWidth="1"/>
    <col min="71" max="71" width="16.140625" hidden="1" customWidth="1"/>
    <col min="72" max="72" width="13.28515625" hidden="1" customWidth="1"/>
    <col min="73" max="73" width="16.140625" hidden="1" customWidth="1"/>
    <col min="74" max="74" width="13.28515625" hidden="1" customWidth="1"/>
    <col min="75" max="75" width="16.140625" hidden="1" customWidth="1"/>
    <col min="76" max="76" width="13.28515625" hidden="1" customWidth="1"/>
    <col min="77" max="159" width="16.140625" hidden="1" customWidth="1"/>
    <col min="160" max="160" width="16.85546875" bestFit="1" customWidth="1"/>
    <col min="161" max="161" width="14.28515625" style="216" customWidth="1"/>
  </cols>
  <sheetData>
    <row r="1" spans="1:161" ht="23.25">
      <c r="A1" s="250" t="s">
        <v>9</v>
      </c>
      <c r="B1" s="210"/>
      <c r="C1" s="77"/>
      <c r="D1" s="211"/>
      <c r="E1" s="77"/>
      <c r="F1" s="77"/>
      <c r="G1" s="77"/>
      <c r="H1" s="210"/>
      <c r="I1" s="210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</row>
    <row r="2" spans="1:161" hidden="1">
      <c r="A2" s="77"/>
      <c r="B2" s="210"/>
      <c r="C2" s="77"/>
      <c r="D2" s="210"/>
      <c r="E2" s="77"/>
      <c r="F2" s="77"/>
      <c r="G2" s="77"/>
      <c r="H2" s="210"/>
      <c r="I2" s="210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</row>
    <row r="3" spans="1:161" s="153" customFormat="1" hidden="1">
      <c r="A3" s="152"/>
      <c r="B3" s="211"/>
      <c r="C3" s="152"/>
      <c r="D3" s="211"/>
      <c r="E3" s="152"/>
      <c r="F3" s="152"/>
      <c r="G3" s="152"/>
      <c r="H3" s="211"/>
      <c r="I3" s="211"/>
      <c r="J3" s="152"/>
      <c r="K3" s="152"/>
      <c r="L3" s="152"/>
      <c r="M3" s="152"/>
      <c r="N3" s="152"/>
      <c r="O3" s="152"/>
      <c r="P3" s="152"/>
      <c r="Q3" s="152"/>
      <c r="R3" s="152"/>
      <c r="S3" s="152" t="e">
        <f>+SUBTOTAL(9,#REF!)</f>
        <v>#REF!</v>
      </c>
      <c r="T3" s="152"/>
      <c r="U3" s="152" t="e">
        <f>+SUBTOTAL(9,#REF!)</f>
        <v>#REF!</v>
      </c>
      <c r="V3" s="152"/>
      <c r="W3" s="152" t="e">
        <f>+SUBTOTAL(9,#REF!)</f>
        <v>#REF!</v>
      </c>
      <c r="X3" s="152"/>
      <c r="Y3" s="152" t="e">
        <f>+SUBTOTAL(9,#REF!)</f>
        <v>#REF!</v>
      </c>
      <c r="Z3" s="152"/>
      <c r="AA3" s="152" t="e">
        <f>+SUBTOTAL(9,#REF!)</f>
        <v>#REF!</v>
      </c>
      <c r="AB3" s="152"/>
      <c r="AC3" s="152" t="e">
        <f>+SUBTOTAL(9,#REF!)</f>
        <v>#REF!</v>
      </c>
      <c r="AD3" s="152"/>
      <c r="AE3" s="152" t="e">
        <f>+SUBTOTAL(9,#REF!)</f>
        <v>#REF!</v>
      </c>
      <c r="AF3" s="152"/>
      <c r="AG3" s="152" t="e">
        <f>+SUBTOTAL(9,#REF!)</f>
        <v>#REF!</v>
      </c>
      <c r="AH3" s="152"/>
      <c r="AI3" s="152" t="e">
        <f>+SUBTOTAL(9,#REF!)</f>
        <v>#REF!</v>
      </c>
      <c r="AJ3" s="152"/>
      <c r="AK3" s="152" t="e">
        <f>+SUBTOTAL(9,#REF!)</f>
        <v>#REF!</v>
      </c>
      <c r="AL3" s="152"/>
      <c r="AM3" s="152" t="e">
        <f>+SUBTOTAL(9,#REF!)</f>
        <v>#REF!</v>
      </c>
      <c r="AN3" s="152"/>
      <c r="AO3" s="152" t="e">
        <f>+SUBTOTAL(9,#REF!)</f>
        <v>#REF!</v>
      </c>
      <c r="AP3" s="152" t="e">
        <f>+SUBTOTAL(9,#REF!)</f>
        <v>#REF!</v>
      </c>
      <c r="AQ3" s="152" t="e">
        <f>+SUBTOTAL(9,#REF!)</f>
        <v>#REF!</v>
      </c>
      <c r="AR3" s="152" t="e">
        <f>+SUBTOTAL(9,#REF!)</f>
        <v>#REF!</v>
      </c>
      <c r="AS3" s="152" t="e">
        <f>+SUBTOTAL(9,#REF!)</f>
        <v>#REF!</v>
      </c>
      <c r="AT3" s="152" t="e">
        <f>+SUBTOTAL(9,#REF!)</f>
        <v>#REF!</v>
      </c>
      <c r="AU3" s="152" t="e">
        <f>+SUBTOTAL(9,#REF!)</f>
        <v>#REF!</v>
      </c>
      <c r="AV3" s="152" t="e">
        <f>+SUBTOTAL(9,#REF!)</f>
        <v>#REF!</v>
      </c>
      <c r="AW3" s="152" t="e">
        <f>+SUBTOTAL(9,#REF!)</f>
        <v>#REF!</v>
      </c>
      <c r="AX3" s="152"/>
      <c r="AY3" s="152" t="e">
        <f>+SUBTOTAL(9,#REF!)</f>
        <v>#REF!</v>
      </c>
      <c r="AZ3" s="152"/>
      <c r="BA3" s="152" t="e">
        <f>+SUBTOTAL(9,#REF!)</f>
        <v>#REF!</v>
      </c>
      <c r="BB3" s="152"/>
      <c r="BC3" s="152" t="e">
        <f>+SUBTOTAL(9,#REF!)</f>
        <v>#REF!</v>
      </c>
      <c r="BD3" s="152"/>
      <c r="BE3" s="152" t="e">
        <f>+SUBTOTAL(9,#REF!)</f>
        <v>#REF!</v>
      </c>
      <c r="BF3" s="152"/>
      <c r="BG3" s="152" t="e">
        <f>+SUBTOTAL(9,#REF!)</f>
        <v>#REF!</v>
      </c>
      <c r="BH3" s="152"/>
      <c r="BI3" s="152" t="e">
        <f>+SUBTOTAL(9,#REF!)</f>
        <v>#REF!</v>
      </c>
      <c r="BJ3" s="152"/>
      <c r="BK3" s="152" t="e">
        <f>+SUBTOTAL(9,#REF!)</f>
        <v>#REF!</v>
      </c>
      <c r="BL3" s="152"/>
      <c r="BM3" s="152" t="e">
        <f>+SUBTOTAL(9,#REF!)</f>
        <v>#REF!</v>
      </c>
      <c r="BN3" s="152"/>
      <c r="BO3" s="152" t="e">
        <f>+SUBTOTAL(9,#REF!)</f>
        <v>#REF!</v>
      </c>
      <c r="BP3" s="152"/>
      <c r="BQ3" s="152" t="e">
        <f>+SUBTOTAL(9,#REF!)</f>
        <v>#REF!</v>
      </c>
      <c r="BR3" s="152"/>
      <c r="BS3" s="152" t="e">
        <f>+SUBTOTAL(9,#REF!)</f>
        <v>#REF!</v>
      </c>
      <c r="BT3" s="152"/>
      <c r="BU3" s="152" t="e">
        <f>+SUBTOTAL(9,#REF!)</f>
        <v>#REF!</v>
      </c>
      <c r="BV3" s="152"/>
      <c r="BW3" s="152" t="e">
        <f>+SUBTOTAL(9,#REF!)</f>
        <v>#REF!</v>
      </c>
      <c r="BX3" s="152"/>
      <c r="BY3" s="152" t="e">
        <f>+SUBTOTAL(9,#REF!)</f>
        <v>#REF!</v>
      </c>
      <c r="BZ3" s="152"/>
      <c r="CA3" s="152" t="e">
        <f>+SUBTOTAL(9,#REF!)</f>
        <v>#REF!</v>
      </c>
      <c r="CB3" s="152"/>
      <c r="CC3" s="152" t="e">
        <f>+SUBTOTAL(9,#REF!)</f>
        <v>#REF!</v>
      </c>
      <c r="CD3" s="152"/>
      <c r="CE3" s="152" t="e">
        <f>+SUBTOTAL(9,#REF!)</f>
        <v>#REF!</v>
      </c>
      <c r="CF3" s="152"/>
      <c r="CG3" s="152" t="e">
        <f>+SUBTOTAL(9,#REF!)</f>
        <v>#REF!</v>
      </c>
      <c r="CH3" s="152"/>
      <c r="CI3" s="152" t="e">
        <f>+SUBTOTAL(9,#REF!)</f>
        <v>#REF!</v>
      </c>
      <c r="CJ3" s="152"/>
      <c r="CK3" s="152" t="e">
        <f>+SUBTOTAL(9,#REF!)</f>
        <v>#REF!</v>
      </c>
      <c r="CL3" s="152"/>
      <c r="CM3" s="152" t="e">
        <f>SUBTOTAL(9,#REF!)</f>
        <v>#REF!</v>
      </c>
      <c r="CN3" s="152"/>
      <c r="CO3" s="152" t="e">
        <f>SUBTOTAL(9,#REF!)</f>
        <v>#REF!</v>
      </c>
      <c r="CP3" s="152"/>
      <c r="CQ3" s="152" t="e">
        <f>SUBTOTAL(9,#REF!)</f>
        <v>#REF!</v>
      </c>
      <c r="CR3" s="152"/>
      <c r="CS3" s="152" t="e">
        <f>SUBTOTAL(9,#REF!)</f>
        <v>#REF!</v>
      </c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217"/>
    </row>
    <row r="4" spans="1:161" s="151" customFormat="1" ht="51">
      <c r="A4" s="251" t="s">
        <v>757</v>
      </c>
      <c r="B4" s="91" t="s">
        <v>700</v>
      </c>
      <c r="C4" s="150" t="s">
        <v>0</v>
      </c>
      <c r="D4" s="150" t="s">
        <v>113</v>
      </c>
      <c r="E4" s="202" t="s">
        <v>1</v>
      </c>
      <c r="F4" s="150" t="s">
        <v>781</v>
      </c>
      <c r="G4" s="150" t="s">
        <v>782</v>
      </c>
      <c r="H4" s="150" t="s">
        <v>4</v>
      </c>
      <c r="I4" s="150" t="s">
        <v>787</v>
      </c>
      <c r="J4" s="150" t="s">
        <v>788</v>
      </c>
      <c r="K4" s="150" t="s">
        <v>789</v>
      </c>
      <c r="L4" s="91" t="s">
        <v>3</v>
      </c>
      <c r="M4" s="150" t="s">
        <v>2</v>
      </c>
      <c r="N4" s="150" t="s">
        <v>6</v>
      </c>
      <c r="O4" s="150" t="s">
        <v>7</v>
      </c>
      <c r="P4" s="150" t="s">
        <v>5</v>
      </c>
      <c r="Q4" s="150" t="s">
        <v>688</v>
      </c>
      <c r="R4" s="150" t="s">
        <v>839</v>
      </c>
      <c r="S4" s="150" t="s">
        <v>116</v>
      </c>
      <c r="T4" s="150" t="s">
        <v>114</v>
      </c>
      <c r="U4" s="150" t="s">
        <v>115</v>
      </c>
      <c r="V4" s="150" t="s">
        <v>660</v>
      </c>
      <c r="W4" s="150" t="s">
        <v>661</v>
      </c>
      <c r="X4" s="150" t="s">
        <v>665</v>
      </c>
      <c r="Y4" s="150" t="s">
        <v>666</v>
      </c>
      <c r="Z4" s="150" t="s">
        <v>668</v>
      </c>
      <c r="AA4" s="150" t="s">
        <v>669</v>
      </c>
      <c r="AB4" s="150" t="s">
        <v>671</v>
      </c>
      <c r="AC4" s="150" t="s">
        <v>672</v>
      </c>
      <c r="AD4" s="150" t="s">
        <v>678</v>
      </c>
      <c r="AE4" s="150" t="s">
        <v>679</v>
      </c>
      <c r="AF4" s="150" t="s">
        <v>686</v>
      </c>
      <c r="AG4" s="150" t="s">
        <v>687</v>
      </c>
      <c r="AH4" s="150" t="s">
        <v>694</v>
      </c>
      <c r="AI4" s="150" t="s">
        <v>695</v>
      </c>
      <c r="AJ4" s="150" t="s">
        <v>696</v>
      </c>
      <c r="AK4" s="150" t="s">
        <v>697</v>
      </c>
      <c r="AL4" s="150" t="s">
        <v>698</v>
      </c>
      <c r="AM4" s="150" t="s">
        <v>699</v>
      </c>
      <c r="AN4" s="150" t="s">
        <v>703</v>
      </c>
      <c r="AO4" s="150" t="s">
        <v>704</v>
      </c>
      <c r="AP4" s="150" t="s">
        <v>707</v>
      </c>
      <c r="AQ4" s="150" t="s">
        <v>709</v>
      </c>
      <c r="AR4" s="150" t="s">
        <v>714</v>
      </c>
      <c r="AS4" s="150" t="s">
        <v>717</v>
      </c>
      <c r="AT4" s="150" t="s">
        <v>795</v>
      </c>
      <c r="AU4" s="150" t="s">
        <v>720</v>
      </c>
      <c r="AV4" s="150" t="s">
        <v>721</v>
      </c>
      <c r="AW4" s="150" t="s">
        <v>722</v>
      </c>
      <c r="AX4" s="150" t="s">
        <v>738</v>
      </c>
      <c r="AY4" s="150" t="s">
        <v>732</v>
      </c>
      <c r="AZ4" s="150" t="s">
        <v>739</v>
      </c>
      <c r="BA4" s="150" t="s">
        <v>740</v>
      </c>
      <c r="BB4" s="150" t="s">
        <v>745</v>
      </c>
      <c r="BC4" s="150" t="s">
        <v>746</v>
      </c>
      <c r="BD4" s="150" t="s">
        <v>751</v>
      </c>
      <c r="BE4" s="150" t="s">
        <v>752</v>
      </c>
      <c r="BF4" s="150" t="s">
        <v>755</v>
      </c>
      <c r="BG4" s="150" t="s">
        <v>756</v>
      </c>
      <c r="BH4" s="150" t="s">
        <v>760</v>
      </c>
      <c r="BI4" s="150" t="s">
        <v>761</v>
      </c>
      <c r="BJ4" s="150" t="s">
        <v>762</v>
      </c>
      <c r="BK4" s="150" t="s">
        <v>763</v>
      </c>
      <c r="BL4" s="150" t="s">
        <v>768</v>
      </c>
      <c r="BM4" s="150" t="s">
        <v>767</v>
      </c>
      <c r="BN4" s="150" t="s">
        <v>770</v>
      </c>
      <c r="BO4" s="150" t="s">
        <v>771</v>
      </c>
      <c r="BP4" s="150" t="s">
        <v>773</v>
      </c>
      <c r="BQ4" s="150" t="s">
        <v>772</v>
      </c>
      <c r="BR4" s="150" t="s">
        <v>775</v>
      </c>
      <c r="BS4" s="150" t="s">
        <v>776</v>
      </c>
      <c r="BT4" s="150" t="s">
        <v>777</v>
      </c>
      <c r="BU4" s="150" t="s">
        <v>778</v>
      </c>
      <c r="BV4" s="150" t="s">
        <v>779</v>
      </c>
      <c r="BW4" s="150" t="s">
        <v>780</v>
      </c>
      <c r="BX4" s="150" t="s">
        <v>783</v>
      </c>
      <c r="BY4" s="150" t="s">
        <v>784</v>
      </c>
      <c r="BZ4" s="150" t="s">
        <v>790</v>
      </c>
      <c r="CA4" s="150" t="s">
        <v>791</v>
      </c>
      <c r="CB4" s="150" t="s">
        <v>801</v>
      </c>
      <c r="CC4" s="150" t="s">
        <v>802</v>
      </c>
      <c r="CD4" s="150" t="s">
        <v>806</v>
      </c>
      <c r="CE4" s="150" t="s">
        <v>807</v>
      </c>
      <c r="CF4" s="150" t="s">
        <v>809</v>
      </c>
      <c r="CG4" s="150" t="s">
        <v>808</v>
      </c>
      <c r="CH4" s="150" t="s">
        <v>810</v>
      </c>
      <c r="CI4" s="150" t="s">
        <v>811</v>
      </c>
      <c r="CJ4" s="150" t="s">
        <v>830</v>
      </c>
      <c r="CK4" s="150" t="s">
        <v>831</v>
      </c>
      <c r="CL4" s="150" t="s">
        <v>833</v>
      </c>
      <c r="CM4" s="150" t="s">
        <v>834</v>
      </c>
      <c r="CN4" s="150" t="s">
        <v>835</v>
      </c>
      <c r="CO4" s="150" t="s">
        <v>836</v>
      </c>
      <c r="CP4" s="150" t="s">
        <v>837</v>
      </c>
      <c r="CQ4" s="150" t="s">
        <v>838</v>
      </c>
      <c r="CR4" s="150" t="s">
        <v>841</v>
      </c>
      <c r="CS4" s="150" t="s">
        <v>840</v>
      </c>
      <c r="CT4" s="150" t="s">
        <v>842</v>
      </c>
      <c r="CU4" s="150" t="s">
        <v>843</v>
      </c>
      <c r="CV4" s="150" t="s">
        <v>844</v>
      </c>
      <c r="CW4" s="150" t="s">
        <v>845</v>
      </c>
      <c r="CX4" s="150" t="s">
        <v>848</v>
      </c>
      <c r="CY4" s="150" t="s">
        <v>847</v>
      </c>
      <c r="CZ4" s="150" t="s">
        <v>849</v>
      </c>
      <c r="DA4" s="150" t="s">
        <v>850</v>
      </c>
      <c r="DB4" s="150" t="s">
        <v>851</v>
      </c>
      <c r="DC4" s="150" t="s">
        <v>852</v>
      </c>
      <c r="DD4" s="150" t="s">
        <v>854</v>
      </c>
      <c r="DE4" s="150" t="s">
        <v>853</v>
      </c>
      <c r="DF4" s="150" t="s">
        <v>855</v>
      </c>
      <c r="DG4" s="150" t="s">
        <v>856</v>
      </c>
      <c r="DH4" s="150" t="s">
        <v>857</v>
      </c>
      <c r="DI4" s="150" t="s">
        <v>858</v>
      </c>
      <c r="DJ4" s="150" t="s">
        <v>859</v>
      </c>
      <c r="DK4" s="150" t="s">
        <v>860</v>
      </c>
      <c r="DL4" s="150" t="s">
        <v>861</v>
      </c>
      <c r="DM4" s="150" t="s">
        <v>862</v>
      </c>
      <c r="DN4" s="150" t="s">
        <v>863</v>
      </c>
      <c r="DO4" s="150" t="s">
        <v>864</v>
      </c>
      <c r="DP4" s="150" t="s">
        <v>865</v>
      </c>
      <c r="DQ4" s="150" t="s">
        <v>866</v>
      </c>
      <c r="DR4" s="150" t="s">
        <v>867</v>
      </c>
      <c r="DS4" s="150" t="s">
        <v>868</v>
      </c>
      <c r="DT4" s="150" t="s">
        <v>869</v>
      </c>
      <c r="DU4" s="150" t="s">
        <v>870</v>
      </c>
      <c r="DV4" s="150" t="s">
        <v>873</v>
      </c>
      <c r="DW4" s="150" t="s">
        <v>874</v>
      </c>
      <c r="DX4" s="150" t="s">
        <v>875</v>
      </c>
      <c r="DY4" s="150" t="s">
        <v>876</v>
      </c>
      <c r="DZ4" s="150" t="s">
        <v>877</v>
      </c>
      <c r="EA4" s="150" t="s">
        <v>878</v>
      </c>
      <c r="EB4" s="150" t="s">
        <v>879</v>
      </c>
      <c r="EC4" s="150" t="s">
        <v>880</v>
      </c>
      <c r="ED4" s="150" t="s">
        <v>881</v>
      </c>
      <c r="EE4" s="150" t="s">
        <v>882</v>
      </c>
      <c r="EF4" s="150" t="s">
        <v>883</v>
      </c>
      <c r="EG4" s="150" t="s">
        <v>884</v>
      </c>
      <c r="EH4" s="150" t="s">
        <v>885</v>
      </c>
      <c r="EI4" s="150" t="s">
        <v>886</v>
      </c>
      <c r="EJ4" s="150" t="s">
        <v>895</v>
      </c>
      <c r="EK4" s="150" t="s">
        <v>896</v>
      </c>
      <c r="EL4" s="150" t="s">
        <v>897</v>
      </c>
      <c r="EM4" s="150" t="s">
        <v>898</v>
      </c>
      <c r="EN4" s="150" t="s">
        <v>903</v>
      </c>
      <c r="EO4" s="150" t="s">
        <v>904</v>
      </c>
      <c r="EP4" s="150" t="s">
        <v>905</v>
      </c>
      <c r="EQ4" s="150" t="s">
        <v>906</v>
      </c>
      <c r="ER4" s="150" t="s">
        <v>908</v>
      </c>
      <c r="ES4" s="150" t="s">
        <v>909</v>
      </c>
      <c r="ET4" s="150" t="s">
        <v>910</v>
      </c>
      <c r="EU4" s="150" t="s">
        <v>911</v>
      </c>
      <c r="EV4" s="150" t="s">
        <v>912</v>
      </c>
      <c r="EW4" s="150" t="s">
        <v>913</v>
      </c>
      <c r="EX4" s="150" t="s">
        <v>914</v>
      </c>
      <c r="EY4" s="150" t="s">
        <v>915</v>
      </c>
      <c r="EZ4" s="150" t="s">
        <v>918</v>
      </c>
      <c r="FA4" s="150" t="s">
        <v>919</v>
      </c>
      <c r="FB4" s="150" t="s">
        <v>920</v>
      </c>
      <c r="FC4" s="150" t="s">
        <v>921</v>
      </c>
      <c r="FD4" s="150" t="s">
        <v>812</v>
      </c>
      <c r="FE4" s="218" t="s">
        <v>922</v>
      </c>
    </row>
    <row r="5" spans="1:161" ht="15" hidden="1">
      <c r="A5" s="25" t="s">
        <v>160</v>
      </c>
      <c r="B5" s="212" t="s">
        <v>158</v>
      </c>
      <c r="C5" s="25"/>
      <c r="D5" s="27"/>
      <c r="E5" s="239">
        <v>1380</v>
      </c>
      <c r="F5" s="95"/>
      <c r="G5" s="95"/>
      <c r="H5" s="147" t="s">
        <v>656</v>
      </c>
      <c r="I5" s="147"/>
      <c r="J5" s="135"/>
      <c r="K5" s="135"/>
      <c r="L5" s="82"/>
      <c r="M5" s="85"/>
      <c r="N5" s="85"/>
      <c r="O5" s="85"/>
      <c r="P5" s="85"/>
      <c r="Q5" s="85"/>
      <c r="R5" s="13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3"/>
      <c r="BD5" s="83"/>
      <c r="BE5" s="83"/>
      <c r="BF5" s="83"/>
      <c r="BG5" s="82"/>
      <c r="BH5" s="80"/>
      <c r="BI5" s="80"/>
      <c r="BJ5" s="25"/>
      <c r="BK5" s="25"/>
      <c r="BL5" s="25"/>
      <c r="BM5" s="84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92"/>
      <c r="DG5" s="92"/>
      <c r="DH5" s="203"/>
      <c r="DI5" s="203"/>
      <c r="DJ5" s="203"/>
      <c r="DK5" s="203"/>
      <c r="DL5" s="203"/>
      <c r="DM5" s="203"/>
      <c r="DN5" s="203"/>
      <c r="DO5" s="203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>
        <v>0</v>
      </c>
      <c r="FA5" s="208">
        <v>0</v>
      </c>
      <c r="FB5" s="208">
        <v>0</v>
      </c>
      <c r="FC5" s="208"/>
      <c r="FD5" s="82"/>
      <c r="FE5" s="30"/>
    </row>
    <row r="6" spans="1:161" ht="15">
      <c r="A6" s="25" t="s">
        <v>489</v>
      </c>
      <c r="B6" s="212" t="s">
        <v>151</v>
      </c>
      <c r="C6" s="138"/>
      <c r="D6" s="221"/>
      <c r="E6" s="239">
        <v>1795</v>
      </c>
      <c r="F6" s="95"/>
      <c r="G6" s="95"/>
      <c r="H6" s="147" t="s">
        <v>656</v>
      </c>
      <c r="I6" s="147"/>
      <c r="J6" s="135"/>
      <c r="K6" s="135"/>
      <c r="L6" s="139"/>
      <c r="M6" s="134"/>
      <c r="N6" s="134"/>
      <c r="O6" s="134"/>
      <c r="P6" s="134"/>
      <c r="Q6" s="134"/>
      <c r="R6" s="134"/>
      <c r="S6" s="139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3"/>
      <c r="BD6" s="83"/>
      <c r="BE6" s="83"/>
      <c r="BF6" s="83"/>
      <c r="BG6" s="82"/>
      <c r="BH6" s="81"/>
      <c r="BI6" s="80"/>
      <c r="BJ6" s="25"/>
      <c r="BK6" s="25"/>
      <c r="BL6" s="25"/>
      <c r="BM6" s="84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92"/>
      <c r="DG6" s="92"/>
      <c r="DH6" s="203"/>
      <c r="DI6" s="203"/>
      <c r="DJ6" s="203"/>
      <c r="DK6" s="203"/>
      <c r="DL6" s="203"/>
      <c r="DM6" s="203"/>
      <c r="DN6" s="203"/>
      <c r="DO6" s="203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>
        <v>0</v>
      </c>
      <c r="FA6" s="208">
        <v>0</v>
      </c>
      <c r="FB6" s="208">
        <v>0</v>
      </c>
      <c r="FC6" s="208"/>
      <c r="FD6" s="82"/>
      <c r="FE6" s="30"/>
    </row>
    <row r="7" spans="1:161" ht="15" hidden="1">
      <c r="A7" s="25" t="s">
        <v>182</v>
      </c>
      <c r="B7" s="227" t="s">
        <v>117</v>
      </c>
      <c r="C7" s="138"/>
      <c r="D7" s="221"/>
      <c r="E7" s="239">
        <v>1380</v>
      </c>
      <c r="F7" s="95"/>
      <c r="G7" s="95"/>
      <c r="H7" s="147" t="s">
        <v>656</v>
      </c>
      <c r="I7" s="147"/>
      <c r="J7" s="135"/>
      <c r="K7" s="135"/>
      <c r="L7" s="139"/>
      <c r="M7" s="134"/>
      <c r="N7" s="134"/>
      <c r="O7" s="134"/>
      <c r="P7" s="134"/>
      <c r="Q7" s="134"/>
      <c r="R7" s="134"/>
      <c r="S7" s="139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3"/>
      <c r="BD7" s="83"/>
      <c r="BE7" s="83"/>
      <c r="BF7" s="83"/>
      <c r="BG7" s="82"/>
      <c r="BH7" s="81"/>
      <c r="BI7" s="80"/>
      <c r="BJ7" s="25"/>
      <c r="BK7" s="25"/>
      <c r="BL7" s="25"/>
      <c r="BM7" s="84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92"/>
      <c r="DG7" s="92"/>
      <c r="DH7" s="203"/>
      <c r="DI7" s="203"/>
      <c r="DJ7" s="203"/>
      <c r="DK7" s="203"/>
      <c r="DL7" s="203"/>
      <c r="DM7" s="203"/>
      <c r="DN7" s="203"/>
      <c r="DO7" s="203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>
        <v>0</v>
      </c>
      <c r="FA7" s="208">
        <v>0</v>
      </c>
      <c r="FB7" s="208">
        <v>0</v>
      </c>
      <c r="FC7" s="208"/>
      <c r="FD7" s="82"/>
      <c r="FE7" s="30"/>
    </row>
    <row r="8" spans="1:161" ht="15" hidden="1">
      <c r="A8" s="25" t="s">
        <v>179</v>
      </c>
      <c r="B8" s="227" t="s">
        <v>117</v>
      </c>
      <c r="C8" s="138"/>
      <c r="D8" s="221"/>
      <c r="E8" s="239">
        <v>1380</v>
      </c>
      <c r="F8" s="95"/>
      <c r="G8" s="95"/>
      <c r="H8" s="147" t="s">
        <v>656</v>
      </c>
      <c r="I8" s="147"/>
      <c r="J8" s="135"/>
      <c r="K8" s="135"/>
      <c r="L8" s="139"/>
      <c r="M8" s="134"/>
      <c r="N8" s="134"/>
      <c r="O8" s="134"/>
      <c r="P8" s="134"/>
      <c r="Q8" s="134"/>
      <c r="R8" s="134"/>
      <c r="S8" s="139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3"/>
      <c r="BD8" s="83"/>
      <c r="BE8" s="83"/>
      <c r="BF8" s="83"/>
      <c r="BG8" s="82"/>
      <c r="BH8" s="81"/>
      <c r="BI8" s="80"/>
      <c r="BJ8" s="25"/>
      <c r="BK8" s="25"/>
      <c r="BL8" s="25"/>
      <c r="BM8" s="84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92"/>
      <c r="DG8" s="92"/>
      <c r="DH8" s="203"/>
      <c r="DI8" s="203"/>
      <c r="DJ8" s="203"/>
      <c r="DK8" s="203"/>
      <c r="DL8" s="203"/>
      <c r="DM8" s="203"/>
      <c r="DN8" s="203"/>
      <c r="DO8" s="203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>
        <v>0</v>
      </c>
      <c r="FA8" s="208">
        <v>0</v>
      </c>
      <c r="FB8" s="208">
        <v>0</v>
      </c>
      <c r="FC8" s="208"/>
      <c r="FD8" s="82"/>
      <c r="FE8" s="30"/>
    </row>
    <row r="9" spans="1:161" ht="15" hidden="1">
      <c r="A9" s="25" t="s">
        <v>181</v>
      </c>
      <c r="B9" s="238" t="s">
        <v>117</v>
      </c>
      <c r="C9" s="138"/>
      <c r="D9" s="221"/>
      <c r="E9" s="240">
        <v>1380</v>
      </c>
      <c r="F9" s="95"/>
      <c r="G9" s="95"/>
      <c r="H9" s="147" t="s">
        <v>656</v>
      </c>
      <c r="I9" s="147"/>
      <c r="J9" s="135"/>
      <c r="K9" s="135"/>
      <c r="L9" s="139"/>
      <c r="M9" s="134"/>
      <c r="N9" s="134"/>
      <c r="O9" s="134"/>
      <c r="P9" s="134"/>
      <c r="Q9" s="134"/>
      <c r="R9" s="134"/>
      <c r="S9" s="139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3"/>
      <c r="BD9" s="83"/>
      <c r="BE9" s="83"/>
      <c r="BF9" s="83"/>
      <c r="BG9" s="82"/>
      <c r="BH9" s="81"/>
      <c r="BI9" s="80"/>
      <c r="BJ9" s="25"/>
      <c r="BK9" s="25"/>
      <c r="BL9" s="25"/>
      <c r="BM9" s="84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92"/>
      <c r="DG9" s="92"/>
      <c r="DH9" s="203"/>
      <c r="DI9" s="203"/>
      <c r="DJ9" s="203"/>
      <c r="DK9" s="203"/>
      <c r="DL9" s="203"/>
      <c r="DM9" s="203"/>
      <c r="DN9" s="203"/>
      <c r="DO9" s="203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>
        <v>0</v>
      </c>
      <c r="FA9" s="208">
        <v>0</v>
      </c>
      <c r="FB9" s="208">
        <v>0</v>
      </c>
      <c r="FC9" s="208"/>
      <c r="FD9" s="82"/>
      <c r="FE9" s="30"/>
    </row>
    <row r="10" spans="1:161" ht="15" hidden="1">
      <c r="A10" s="25" t="s">
        <v>583</v>
      </c>
      <c r="B10" s="255" t="s">
        <v>158</v>
      </c>
      <c r="C10" s="138"/>
      <c r="D10" s="221"/>
      <c r="E10" s="240">
        <v>1155</v>
      </c>
      <c r="F10" s="95"/>
      <c r="G10" s="95"/>
      <c r="H10" s="254" t="s">
        <v>656</v>
      </c>
      <c r="I10" s="147"/>
      <c r="J10" s="135"/>
      <c r="K10" s="135"/>
      <c r="L10" s="139"/>
      <c r="M10" s="134"/>
      <c r="N10" s="134"/>
      <c r="O10" s="134"/>
      <c r="P10" s="134"/>
      <c r="Q10" s="134"/>
      <c r="R10" s="134"/>
      <c r="S10" s="139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3"/>
      <c r="BD10" s="83"/>
      <c r="BE10" s="83"/>
      <c r="BF10" s="83"/>
      <c r="BG10" s="82"/>
      <c r="BH10" s="81"/>
      <c r="BI10" s="80"/>
      <c r="BJ10" s="25"/>
      <c r="BK10" s="25"/>
      <c r="BL10" s="25"/>
      <c r="BM10" s="84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92"/>
      <c r="DG10" s="92"/>
      <c r="DH10" s="203"/>
      <c r="DI10" s="203"/>
      <c r="DJ10" s="203"/>
      <c r="DK10" s="203"/>
      <c r="DL10" s="203"/>
      <c r="DM10" s="203"/>
      <c r="DN10" s="203"/>
      <c r="DO10" s="203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>
        <v>0</v>
      </c>
      <c r="FA10" s="208">
        <v>0</v>
      </c>
      <c r="FB10" s="208">
        <v>0</v>
      </c>
      <c r="FC10" s="208"/>
      <c r="FD10" s="82"/>
      <c r="FE10" s="30"/>
    </row>
    <row r="11" spans="1:161" ht="15" hidden="1">
      <c r="A11" s="25" t="s">
        <v>184</v>
      </c>
      <c r="B11" s="238" t="s">
        <v>117</v>
      </c>
      <c r="C11" s="138"/>
      <c r="D11" s="221"/>
      <c r="E11" s="241">
        <v>1380</v>
      </c>
      <c r="F11" s="95"/>
      <c r="G11" s="95"/>
      <c r="H11" s="147" t="s">
        <v>656</v>
      </c>
      <c r="I11" s="147"/>
      <c r="J11" s="135"/>
      <c r="K11" s="135"/>
      <c r="L11" s="139"/>
      <c r="M11" s="134"/>
      <c r="N11" s="134"/>
      <c r="O11" s="134"/>
      <c r="P11" s="134"/>
      <c r="Q11" s="134"/>
      <c r="R11" s="134"/>
      <c r="S11" s="139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3"/>
      <c r="BD11" s="83"/>
      <c r="BE11" s="83"/>
      <c r="BF11" s="83"/>
      <c r="BG11" s="82"/>
      <c r="BH11" s="81"/>
      <c r="BI11" s="80"/>
      <c r="BJ11" s="25"/>
      <c r="BK11" s="25"/>
      <c r="BL11" s="25"/>
      <c r="BM11" s="84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92"/>
      <c r="DG11" s="92"/>
      <c r="DH11" s="203"/>
      <c r="DI11" s="203"/>
      <c r="DJ11" s="203"/>
      <c r="DK11" s="203"/>
      <c r="DL11" s="203"/>
      <c r="DM11" s="203"/>
      <c r="DN11" s="203"/>
      <c r="DO11" s="203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>
        <v>0</v>
      </c>
      <c r="FA11" s="208">
        <v>0</v>
      </c>
      <c r="FB11" s="208">
        <v>0</v>
      </c>
      <c r="FC11" s="208"/>
      <c r="FD11" s="82"/>
      <c r="FE11" s="30"/>
    </row>
    <row r="12" spans="1:161" ht="15" hidden="1">
      <c r="A12" s="25" t="s">
        <v>191</v>
      </c>
      <c r="B12" s="255" t="s">
        <v>121</v>
      </c>
      <c r="C12" s="138"/>
      <c r="D12" s="221"/>
      <c r="E12" s="241">
        <v>1155</v>
      </c>
      <c r="F12" s="95"/>
      <c r="G12" s="95"/>
      <c r="H12" s="254" t="s">
        <v>656</v>
      </c>
      <c r="I12" s="147"/>
      <c r="J12" s="135"/>
      <c r="K12" s="135"/>
      <c r="L12" s="139"/>
      <c r="M12" s="134"/>
      <c r="N12" s="134"/>
      <c r="O12" s="134"/>
      <c r="P12" s="134"/>
      <c r="Q12" s="134"/>
      <c r="R12" s="134"/>
      <c r="S12" s="139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3"/>
      <c r="BD12" s="83"/>
      <c r="BE12" s="83"/>
      <c r="BF12" s="83"/>
      <c r="BG12" s="82"/>
      <c r="BH12" s="81"/>
      <c r="BI12" s="80"/>
      <c r="BJ12" s="25"/>
      <c r="BK12" s="25"/>
      <c r="BL12" s="25"/>
      <c r="BM12" s="84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92"/>
      <c r="DG12" s="92"/>
      <c r="DH12" s="203"/>
      <c r="DI12" s="203"/>
      <c r="DJ12" s="203"/>
      <c r="DK12" s="203"/>
      <c r="DL12" s="203"/>
      <c r="DM12" s="203"/>
      <c r="DN12" s="203"/>
      <c r="DO12" s="203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>
        <v>0</v>
      </c>
      <c r="FA12" s="208">
        <v>0</v>
      </c>
      <c r="FB12" s="208">
        <v>0</v>
      </c>
      <c r="FC12" s="208"/>
      <c r="FD12" s="82"/>
      <c r="FE12" s="30"/>
    </row>
    <row r="13" spans="1:161" ht="15" hidden="1">
      <c r="A13" s="25" t="s">
        <v>195</v>
      </c>
      <c r="B13" s="238" t="s">
        <v>121</v>
      </c>
      <c r="C13" s="138"/>
      <c r="D13" s="221"/>
      <c r="E13" s="241">
        <v>1380</v>
      </c>
      <c r="F13" s="95"/>
      <c r="G13" s="95"/>
      <c r="H13" s="147" t="s">
        <v>656</v>
      </c>
      <c r="I13" s="147"/>
      <c r="J13" s="135"/>
      <c r="K13" s="135"/>
      <c r="L13" s="139"/>
      <c r="M13" s="134"/>
      <c r="N13" s="134"/>
      <c r="O13" s="134"/>
      <c r="P13" s="134"/>
      <c r="Q13" s="134"/>
      <c r="R13" s="134"/>
      <c r="S13" s="139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3"/>
      <c r="BD13" s="83"/>
      <c r="BE13" s="83"/>
      <c r="BF13" s="83"/>
      <c r="BG13" s="82"/>
      <c r="BH13" s="81"/>
      <c r="BI13" s="80"/>
      <c r="BJ13" s="25"/>
      <c r="BK13" s="25"/>
      <c r="BL13" s="25"/>
      <c r="BM13" s="84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92"/>
      <c r="DG13" s="92"/>
      <c r="DH13" s="203"/>
      <c r="DI13" s="203"/>
      <c r="DJ13" s="203"/>
      <c r="DK13" s="203"/>
      <c r="DL13" s="203"/>
      <c r="DM13" s="203"/>
      <c r="DN13" s="203"/>
      <c r="DO13" s="203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>
        <v>0</v>
      </c>
      <c r="FA13" s="208">
        <v>0</v>
      </c>
      <c r="FB13" s="208">
        <v>0</v>
      </c>
      <c r="FC13" s="208"/>
      <c r="FD13" s="82"/>
      <c r="FE13" s="30"/>
    </row>
    <row r="14" spans="1:161" ht="15" hidden="1">
      <c r="A14" s="25" t="s">
        <v>205</v>
      </c>
      <c r="B14" s="238" t="s">
        <v>125</v>
      </c>
      <c r="C14" s="138"/>
      <c r="D14" s="221"/>
      <c r="E14" s="241">
        <v>970</v>
      </c>
      <c r="F14" s="95"/>
      <c r="G14" s="95"/>
      <c r="H14" s="147" t="s">
        <v>656</v>
      </c>
      <c r="I14" s="147"/>
      <c r="J14" s="135"/>
      <c r="K14" s="135"/>
      <c r="L14" s="139"/>
      <c r="M14" s="134"/>
      <c r="N14" s="134"/>
      <c r="O14" s="134"/>
      <c r="P14" s="134"/>
      <c r="Q14" s="134"/>
      <c r="R14" s="134"/>
      <c r="S14" s="139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3"/>
      <c r="BD14" s="83"/>
      <c r="BE14" s="83"/>
      <c r="BF14" s="83"/>
      <c r="BG14" s="82"/>
      <c r="BH14" s="81"/>
      <c r="BI14" s="80"/>
      <c r="BJ14" s="25"/>
      <c r="BK14" s="25"/>
      <c r="BL14" s="25"/>
      <c r="BM14" s="84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92"/>
      <c r="DG14" s="92"/>
      <c r="DH14" s="203"/>
      <c r="DI14" s="203"/>
      <c r="DJ14" s="203"/>
      <c r="DK14" s="203"/>
      <c r="DL14" s="203"/>
      <c r="DM14" s="203"/>
      <c r="DN14" s="203"/>
      <c r="DO14" s="203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>
        <v>0</v>
      </c>
      <c r="FA14" s="208">
        <v>0</v>
      </c>
      <c r="FB14" s="208">
        <v>0</v>
      </c>
      <c r="FC14" s="208"/>
      <c r="FD14" s="82"/>
      <c r="FE14" s="30"/>
    </row>
    <row r="15" spans="1:161" ht="15" hidden="1">
      <c r="A15" s="25" t="s">
        <v>130</v>
      </c>
      <c r="B15" s="238" t="s">
        <v>129</v>
      </c>
      <c r="C15" s="138"/>
      <c r="D15" s="221"/>
      <c r="E15" s="241">
        <v>970</v>
      </c>
      <c r="F15" s="95"/>
      <c r="G15" s="95"/>
      <c r="H15" s="147" t="s">
        <v>656</v>
      </c>
      <c r="I15" s="147"/>
      <c r="J15" s="135"/>
      <c r="K15" s="135"/>
      <c r="L15" s="139"/>
      <c r="M15" s="134"/>
      <c r="N15" s="134"/>
      <c r="O15" s="134"/>
      <c r="P15" s="134"/>
      <c r="Q15" s="134"/>
      <c r="R15" s="134"/>
      <c r="S15" s="139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3"/>
      <c r="BD15" s="83"/>
      <c r="BE15" s="83"/>
      <c r="BF15" s="83"/>
      <c r="BG15" s="82"/>
      <c r="BH15" s="81"/>
      <c r="BI15" s="80"/>
      <c r="BJ15" s="25"/>
      <c r="BK15" s="25"/>
      <c r="BL15" s="25"/>
      <c r="BM15" s="84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92"/>
      <c r="DG15" s="92"/>
      <c r="DH15" s="203"/>
      <c r="DI15" s="203"/>
      <c r="DJ15" s="203"/>
      <c r="DK15" s="203"/>
      <c r="DL15" s="203"/>
      <c r="DM15" s="203"/>
      <c r="DN15" s="203"/>
      <c r="DO15" s="203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>
        <v>0</v>
      </c>
      <c r="FA15" s="208">
        <v>0</v>
      </c>
      <c r="FB15" s="208">
        <v>0</v>
      </c>
      <c r="FC15" s="208"/>
      <c r="FD15" s="82"/>
      <c r="FE15" s="30"/>
    </row>
    <row r="16" spans="1:161" ht="15" hidden="1">
      <c r="A16" s="25" t="s">
        <v>224</v>
      </c>
      <c r="B16" s="238" t="s">
        <v>129</v>
      </c>
      <c r="C16" s="138"/>
      <c r="D16" s="221"/>
      <c r="E16" s="241">
        <v>770</v>
      </c>
      <c r="F16" s="95"/>
      <c r="G16" s="95"/>
      <c r="H16" s="147" t="s">
        <v>656</v>
      </c>
      <c r="I16" s="147"/>
      <c r="J16" s="135"/>
      <c r="K16" s="135"/>
      <c r="L16" s="139"/>
      <c r="M16" s="134"/>
      <c r="N16" s="134"/>
      <c r="O16" s="134"/>
      <c r="P16" s="134"/>
      <c r="Q16" s="134"/>
      <c r="R16" s="134"/>
      <c r="S16" s="139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3"/>
      <c r="BD16" s="83"/>
      <c r="BE16" s="83"/>
      <c r="BF16" s="83"/>
      <c r="BG16" s="82"/>
      <c r="BH16" s="81"/>
      <c r="BI16" s="80"/>
      <c r="BJ16" s="25"/>
      <c r="BK16" s="25"/>
      <c r="BL16" s="25"/>
      <c r="BM16" s="84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92"/>
      <c r="DG16" s="92"/>
      <c r="DH16" s="203"/>
      <c r="DI16" s="203"/>
      <c r="DJ16" s="203"/>
      <c r="DK16" s="203"/>
      <c r="DL16" s="203"/>
      <c r="DM16" s="203"/>
      <c r="DN16" s="203"/>
      <c r="DO16" s="203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>
        <v>0</v>
      </c>
      <c r="FA16" s="208">
        <v>0</v>
      </c>
      <c r="FB16" s="208">
        <v>0</v>
      </c>
      <c r="FC16" s="208"/>
      <c r="FD16" s="82"/>
      <c r="FE16" s="30"/>
    </row>
    <row r="17" spans="1:161" ht="15" hidden="1">
      <c r="A17" s="25" t="s">
        <v>310</v>
      </c>
      <c r="B17" s="238" t="s">
        <v>139</v>
      </c>
      <c r="C17" s="138"/>
      <c r="D17" s="221"/>
      <c r="E17" s="241">
        <v>770</v>
      </c>
      <c r="F17" s="95"/>
      <c r="G17" s="95"/>
      <c r="H17" s="147" t="s">
        <v>656</v>
      </c>
      <c r="I17" s="147"/>
      <c r="J17" s="135"/>
      <c r="K17" s="135"/>
      <c r="L17" s="139"/>
      <c r="M17" s="134"/>
      <c r="N17" s="134"/>
      <c r="O17" s="134"/>
      <c r="P17" s="134"/>
      <c r="Q17" s="134"/>
      <c r="R17" s="134"/>
      <c r="S17" s="139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3"/>
      <c r="BD17" s="83"/>
      <c r="BE17" s="83"/>
      <c r="BF17" s="83"/>
      <c r="BG17" s="82"/>
      <c r="BH17" s="81"/>
      <c r="BI17" s="80"/>
      <c r="BJ17" s="25"/>
      <c r="BK17" s="25"/>
      <c r="BL17" s="25"/>
      <c r="BM17" s="84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92"/>
      <c r="DG17" s="92"/>
      <c r="DH17" s="203"/>
      <c r="DI17" s="203"/>
      <c r="DJ17" s="203"/>
      <c r="DK17" s="203"/>
      <c r="DL17" s="203"/>
      <c r="DM17" s="203"/>
      <c r="DN17" s="203"/>
      <c r="DO17" s="203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>
        <v>0</v>
      </c>
      <c r="FA17" s="208">
        <v>0</v>
      </c>
      <c r="FB17" s="208">
        <v>0</v>
      </c>
      <c r="FC17" s="208"/>
      <c r="FD17" s="82"/>
      <c r="FE17" s="30"/>
    </row>
    <row r="18" spans="1:161" ht="15" hidden="1">
      <c r="A18" s="25" t="s">
        <v>393</v>
      </c>
      <c r="B18" s="238" t="s">
        <v>143</v>
      </c>
      <c r="C18" s="138"/>
      <c r="D18" s="221"/>
      <c r="E18" s="241">
        <v>970</v>
      </c>
      <c r="F18" s="95"/>
      <c r="G18" s="95"/>
      <c r="H18" s="147" t="s">
        <v>656</v>
      </c>
      <c r="I18" s="147"/>
      <c r="J18" s="135"/>
      <c r="K18" s="135"/>
      <c r="L18" s="139"/>
      <c r="M18" s="134"/>
      <c r="N18" s="134"/>
      <c r="O18" s="134"/>
      <c r="P18" s="134"/>
      <c r="Q18" s="134"/>
      <c r="R18" s="134"/>
      <c r="S18" s="139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3"/>
      <c r="BD18" s="83"/>
      <c r="BE18" s="83"/>
      <c r="BF18" s="83"/>
      <c r="BG18" s="82"/>
      <c r="BH18" s="81"/>
      <c r="BI18" s="80"/>
      <c r="BJ18" s="25"/>
      <c r="BK18" s="25"/>
      <c r="BL18" s="25"/>
      <c r="BM18" s="84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92"/>
      <c r="DG18" s="92"/>
      <c r="DH18" s="203"/>
      <c r="DI18" s="203"/>
      <c r="DJ18" s="203"/>
      <c r="DK18" s="203"/>
      <c r="DL18" s="203"/>
      <c r="DM18" s="203"/>
      <c r="DN18" s="203"/>
      <c r="DO18" s="203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>
        <v>0</v>
      </c>
      <c r="FA18" s="208">
        <v>0</v>
      </c>
      <c r="FB18" s="208">
        <v>0</v>
      </c>
      <c r="FC18" s="208"/>
      <c r="FD18" s="82"/>
      <c r="FE18" s="30"/>
    </row>
    <row r="19" spans="1:161" ht="15" hidden="1">
      <c r="A19" s="25" t="s">
        <v>389</v>
      </c>
      <c r="B19" s="238" t="s">
        <v>143</v>
      </c>
      <c r="C19" s="138"/>
      <c r="D19" s="221"/>
      <c r="E19" s="241">
        <v>970</v>
      </c>
      <c r="F19" s="95"/>
      <c r="G19" s="95"/>
      <c r="H19" s="147" t="s">
        <v>656</v>
      </c>
      <c r="I19" s="147"/>
      <c r="J19" s="135"/>
      <c r="K19" s="135"/>
      <c r="L19" s="139"/>
      <c r="M19" s="134"/>
      <c r="N19" s="134"/>
      <c r="O19" s="134"/>
      <c r="P19" s="134"/>
      <c r="Q19" s="134"/>
      <c r="R19" s="134"/>
      <c r="S19" s="139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3"/>
      <c r="BD19" s="83"/>
      <c r="BE19" s="83"/>
      <c r="BF19" s="83"/>
      <c r="BG19" s="82"/>
      <c r="BH19" s="81"/>
      <c r="BI19" s="80"/>
      <c r="BJ19" s="25"/>
      <c r="BK19" s="25"/>
      <c r="BL19" s="25"/>
      <c r="BM19" s="84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92"/>
      <c r="DG19" s="92"/>
      <c r="DH19" s="203"/>
      <c r="DI19" s="203"/>
      <c r="DJ19" s="203"/>
      <c r="DK19" s="203"/>
      <c r="DL19" s="203"/>
      <c r="DM19" s="203"/>
      <c r="DN19" s="203"/>
      <c r="DO19" s="203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>
        <v>0</v>
      </c>
      <c r="FA19" s="208">
        <v>0</v>
      </c>
      <c r="FB19" s="208">
        <v>0</v>
      </c>
      <c r="FC19" s="208"/>
      <c r="FD19" s="82"/>
      <c r="FE19" s="30"/>
    </row>
    <row r="20" spans="1:161" ht="15" hidden="1">
      <c r="A20" s="25" t="s">
        <v>423</v>
      </c>
      <c r="B20" s="238" t="s">
        <v>657</v>
      </c>
      <c r="C20" s="138"/>
      <c r="D20" s="221"/>
      <c r="E20" s="241">
        <v>970</v>
      </c>
      <c r="F20" s="95"/>
      <c r="G20" s="95"/>
      <c r="H20" s="147" t="s">
        <v>656</v>
      </c>
      <c r="I20" s="147"/>
      <c r="J20" s="135"/>
      <c r="K20" s="135"/>
      <c r="L20" s="139"/>
      <c r="M20" s="134"/>
      <c r="N20" s="134"/>
      <c r="O20" s="134"/>
      <c r="P20" s="134"/>
      <c r="Q20" s="134"/>
      <c r="R20" s="134"/>
      <c r="S20" s="139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3"/>
      <c r="BD20" s="83"/>
      <c r="BE20" s="83"/>
      <c r="BF20" s="83"/>
      <c r="BG20" s="82"/>
      <c r="BH20" s="81"/>
      <c r="BI20" s="80"/>
      <c r="BJ20" s="25"/>
      <c r="BK20" s="25"/>
      <c r="BL20" s="25"/>
      <c r="BM20" s="84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92"/>
      <c r="DG20" s="92"/>
      <c r="DH20" s="203"/>
      <c r="DI20" s="203"/>
      <c r="DJ20" s="203"/>
      <c r="DK20" s="203"/>
      <c r="DL20" s="203"/>
      <c r="DM20" s="203"/>
      <c r="DN20" s="203"/>
      <c r="DO20" s="203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>
        <v>0</v>
      </c>
      <c r="FA20" s="208">
        <v>0</v>
      </c>
      <c r="FB20" s="208">
        <v>0</v>
      </c>
      <c r="FC20" s="208"/>
      <c r="FD20" s="82"/>
      <c r="FE20" s="30"/>
    </row>
    <row r="21" spans="1:161" ht="15" hidden="1">
      <c r="A21" s="25" t="s">
        <v>429</v>
      </c>
      <c r="B21" s="238" t="s">
        <v>657</v>
      </c>
      <c r="C21" s="138"/>
      <c r="D21" s="221"/>
      <c r="E21" s="241">
        <v>970</v>
      </c>
      <c r="F21" s="95"/>
      <c r="G21" s="95"/>
      <c r="H21" s="147" t="s">
        <v>656</v>
      </c>
      <c r="I21" s="147"/>
      <c r="J21" s="135"/>
      <c r="K21" s="135"/>
      <c r="L21" s="139"/>
      <c r="M21" s="134"/>
      <c r="N21" s="134"/>
      <c r="O21" s="134"/>
      <c r="P21" s="134"/>
      <c r="Q21" s="134"/>
      <c r="R21" s="134"/>
      <c r="S21" s="139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3"/>
      <c r="BD21" s="83"/>
      <c r="BE21" s="83"/>
      <c r="BF21" s="83"/>
      <c r="BG21" s="82"/>
      <c r="BH21" s="81"/>
      <c r="BI21" s="80"/>
      <c r="BJ21" s="25"/>
      <c r="BK21" s="25"/>
      <c r="BL21" s="25"/>
      <c r="BM21" s="84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92"/>
      <c r="DG21" s="92"/>
      <c r="DH21" s="203"/>
      <c r="DI21" s="203"/>
      <c r="DJ21" s="203"/>
      <c r="DK21" s="203"/>
      <c r="DL21" s="203"/>
      <c r="DM21" s="203"/>
      <c r="DN21" s="203"/>
      <c r="DO21" s="203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>
        <v>0</v>
      </c>
      <c r="FA21" s="208">
        <v>0</v>
      </c>
      <c r="FB21" s="208">
        <v>0</v>
      </c>
      <c r="FC21" s="208"/>
      <c r="FD21" s="82"/>
      <c r="FE21" s="30"/>
    </row>
    <row r="22" spans="1:161" ht="15" hidden="1">
      <c r="A22" s="25" t="s">
        <v>563</v>
      </c>
      <c r="B22" s="238" t="s">
        <v>153</v>
      </c>
      <c r="C22" s="138"/>
      <c r="D22" s="221"/>
      <c r="E22" s="241">
        <v>770</v>
      </c>
      <c r="F22" s="95"/>
      <c r="G22" s="95"/>
      <c r="H22" s="147" t="s">
        <v>656</v>
      </c>
      <c r="I22" s="147"/>
      <c r="J22" s="135"/>
      <c r="K22" s="135"/>
      <c r="L22" s="139"/>
      <c r="M22" s="134"/>
      <c r="N22" s="134"/>
      <c r="O22" s="134"/>
      <c r="P22" s="134"/>
      <c r="Q22" s="134"/>
      <c r="R22" s="134"/>
      <c r="S22" s="139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3"/>
      <c r="BD22" s="83"/>
      <c r="BE22" s="83"/>
      <c r="BF22" s="83"/>
      <c r="BG22" s="82"/>
      <c r="BH22" s="81"/>
      <c r="BI22" s="80"/>
      <c r="BJ22" s="25"/>
      <c r="BK22" s="25"/>
      <c r="BL22" s="25"/>
      <c r="BM22" s="84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92"/>
      <c r="DG22" s="92"/>
      <c r="DH22" s="203"/>
      <c r="DI22" s="203"/>
      <c r="DJ22" s="203"/>
      <c r="DK22" s="203"/>
      <c r="DL22" s="203"/>
      <c r="DM22" s="203"/>
      <c r="DN22" s="203"/>
      <c r="DO22" s="203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>
        <v>0</v>
      </c>
      <c r="FA22" s="208">
        <v>0</v>
      </c>
      <c r="FB22" s="208">
        <v>0</v>
      </c>
      <c r="FC22" s="208"/>
      <c r="FD22" s="82"/>
      <c r="FE22" s="30"/>
    </row>
    <row r="23" spans="1:161" ht="15" hidden="1">
      <c r="A23" s="25" t="s">
        <v>506</v>
      </c>
      <c r="B23" s="238" t="s">
        <v>153</v>
      </c>
      <c r="C23" s="138"/>
      <c r="D23" s="221"/>
      <c r="E23" s="242">
        <v>970</v>
      </c>
      <c r="F23" s="95"/>
      <c r="G23" s="95"/>
      <c r="H23" s="147" t="s">
        <v>656</v>
      </c>
      <c r="I23" s="147"/>
      <c r="J23" s="135"/>
      <c r="K23" s="135"/>
      <c r="L23" s="139"/>
      <c r="M23" s="134"/>
      <c r="N23" s="134"/>
      <c r="O23" s="134"/>
      <c r="P23" s="134"/>
      <c r="Q23" s="134"/>
      <c r="R23" s="134"/>
      <c r="S23" s="139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3"/>
      <c r="BD23" s="83"/>
      <c r="BE23" s="83"/>
      <c r="BF23" s="83"/>
      <c r="BG23" s="82"/>
      <c r="BH23" s="81"/>
      <c r="BI23" s="80"/>
      <c r="BJ23" s="25"/>
      <c r="BK23" s="25"/>
      <c r="BL23" s="25"/>
      <c r="BM23" s="84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92"/>
      <c r="DG23" s="92"/>
      <c r="DH23" s="203"/>
      <c r="DI23" s="203"/>
      <c r="DJ23" s="203"/>
      <c r="DK23" s="203"/>
      <c r="DL23" s="203"/>
      <c r="DM23" s="203"/>
      <c r="DN23" s="203"/>
      <c r="DO23" s="203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>
        <v>0</v>
      </c>
      <c r="FA23" s="208">
        <v>0</v>
      </c>
      <c r="FB23" s="208">
        <v>0</v>
      </c>
      <c r="FC23" s="208"/>
      <c r="FD23" s="82"/>
      <c r="FE23" s="30"/>
    </row>
    <row r="24" spans="1:161" ht="15">
      <c r="A24" s="25" t="s">
        <v>614</v>
      </c>
      <c r="B24" s="238" t="s">
        <v>164</v>
      </c>
      <c r="C24" s="138"/>
      <c r="D24" s="221"/>
      <c r="E24" s="241">
        <v>1795</v>
      </c>
      <c r="F24" s="95"/>
      <c r="G24" s="95"/>
      <c r="H24" s="147" t="s">
        <v>656</v>
      </c>
      <c r="I24" s="147"/>
      <c r="J24" s="135"/>
      <c r="K24" s="135"/>
      <c r="L24" s="139"/>
      <c r="M24" s="134"/>
      <c r="N24" s="134"/>
      <c r="O24" s="134"/>
      <c r="P24" s="134"/>
      <c r="Q24" s="134"/>
      <c r="R24" s="134"/>
      <c r="S24" s="139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3"/>
      <c r="BD24" s="83"/>
      <c r="BE24" s="83"/>
      <c r="BF24" s="83"/>
      <c r="BG24" s="82"/>
      <c r="BH24" s="81"/>
      <c r="BI24" s="80"/>
      <c r="BJ24" s="25"/>
      <c r="BK24" s="25"/>
      <c r="BL24" s="25"/>
      <c r="BM24" s="84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92"/>
      <c r="DG24" s="92"/>
      <c r="DH24" s="203"/>
      <c r="DI24" s="203"/>
      <c r="DJ24" s="203"/>
      <c r="DK24" s="203"/>
      <c r="DL24" s="203"/>
      <c r="DM24" s="203"/>
      <c r="DN24" s="203"/>
      <c r="DO24" s="203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>
        <v>0</v>
      </c>
      <c r="FA24" s="208">
        <v>0</v>
      </c>
      <c r="FB24" s="208">
        <v>0</v>
      </c>
      <c r="FC24" s="208"/>
      <c r="FD24" s="82"/>
      <c r="FE24" s="30"/>
    </row>
    <row r="25" spans="1:161" ht="15" hidden="1">
      <c r="A25" s="25" t="s">
        <v>599</v>
      </c>
      <c r="B25" s="238" t="s">
        <v>164</v>
      </c>
      <c r="C25" s="138"/>
      <c r="D25" s="221"/>
      <c r="E25" s="241">
        <v>1585</v>
      </c>
      <c r="F25" s="95"/>
      <c r="G25" s="95"/>
      <c r="H25" s="147" t="s">
        <v>656</v>
      </c>
      <c r="I25" s="147"/>
      <c r="J25" s="135"/>
      <c r="K25" s="135"/>
      <c r="L25" s="139"/>
      <c r="M25" s="134"/>
      <c r="N25" s="134"/>
      <c r="O25" s="134"/>
      <c r="P25" s="134"/>
      <c r="Q25" s="134"/>
      <c r="R25" s="134"/>
      <c r="S25" s="139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3"/>
      <c r="BD25" s="83"/>
      <c r="BE25" s="83"/>
      <c r="BF25" s="83"/>
      <c r="BG25" s="82"/>
      <c r="BH25" s="81"/>
      <c r="BI25" s="80"/>
      <c r="BJ25" s="25"/>
      <c r="BK25" s="25"/>
      <c r="BL25" s="25"/>
      <c r="BM25" s="84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92"/>
      <c r="DG25" s="92"/>
      <c r="DH25" s="203"/>
      <c r="DI25" s="203"/>
      <c r="DJ25" s="203"/>
      <c r="DK25" s="203"/>
      <c r="DL25" s="203"/>
      <c r="DM25" s="203"/>
      <c r="DN25" s="203"/>
      <c r="DO25" s="203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>
        <v>0</v>
      </c>
      <c r="FA25" s="208">
        <v>0</v>
      </c>
      <c r="FB25" s="208">
        <v>0</v>
      </c>
      <c r="FC25" s="208"/>
      <c r="FD25" s="82"/>
      <c r="FE25" s="30"/>
    </row>
    <row r="26" spans="1:161" ht="15" hidden="1">
      <c r="A26" s="25" t="s">
        <v>594</v>
      </c>
      <c r="B26" s="238" t="s">
        <v>164</v>
      </c>
      <c r="C26" s="138"/>
      <c r="D26" s="221"/>
      <c r="E26" s="241">
        <v>1585</v>
      </c>
      <c r="F26" s="95"/>
      <c r="G26" s="95"/>
      <c r="H26" s="147" t="s">
        <v>656</v>
      </c>
      <c r="I26" s="147"/>
      <c r="J26" s="135"/>
      <c r="K26" s="135"/>
      <c r="L26" s="139"/>
      <c r="M26" s="134"/>
      <c r="N26" s="134"/>
      <c r="O26" s="134"/>
      <c r="P26" s="134"/>
      <c r="Q26" s="134"/>
      <c r="R26" s="134"/>
      <c r="S26" s="139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3"/>
      <c r="BD26" s="83"/>
      <c r="BE26" s="83"/>
      <c r="BF26" s="83"/>
      <c r="BG26" s="82"/>
      <c r="BH26" s="81"/>
      <c r="BI26" s="80"/>
      <c r="BJ26" s="25"/>
      <c r="BK26" s="25"/>
      <c r="BL26" s="25"/>
      <c r="BM26" s="84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92"/>
      <c r="DG26" s="92"/>
      <c r="DH26" s="203"/>
      <c r="DI26" s="203"/>
      <c r="DJ26" s="203"/>
      <c r="DK26" s="203"/>
      <c r="DL26" s="203"/>
      <c r="DM26" s="203"/>
      <c r="DN26" s="203"/>
      <c r="DO26" s="203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>
        <v>0</v>
      </c>
      <c r="FA26" s="208">
        <v>0</v>
      </c>
      <c r="FB26" s="208">
        <v>0</v>
      </c>
      <c r="FC26" s="208"/>
      <c r="FD26" s="82"/>
      <c r="FE26" s="30"/>
    </row>
    <row r="27" spans="1:161" ht="15" hidden="1">
      <c r="A27" s="25" t="s">
        <v>180</v>
      </c>
      <c r="B27" s="227" t="s">
        <v>117</v>
      </c>
      <c r="C27" s="138"/>
      <c r="D27" s="221"/>
      <c r="E27" s="239">
        <v>1380</v>
      </c>
      <c r="F27" s="95"/>
      <c r="G27" s="95"/>
      <c r="H27" s="147" t="s">
        <v>656</v>
      </c>
      <c r="I27" s="147"/>
      <c r="J27" s="135"/>
      <c r="K27" s="135"/>
      <c r="L27" s="139"/>
      <c r="M27" s="134"/>
      <c r="N27" s="134"/>
      <c r="O27" s="134"/>
      <c r="P27" s="134"/>
      <c r="Q27" s="134"/>
      <c r="R27" s="134"/>
      <c r="S27" s="139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3"/>
      <c r="BD27" s="83"/>
      <c r="BE27" s="83"/>
      <c r="BF27" s="83"/>
      <c r="BG27" s="82"/>
      <c r="BH27" s="81"/>
      <c r="BI27" s="80"/>
      <c r="BJ27" s="25"/>
      <c r="BK27" s="25"/>
      <c r="BL27" s="25"/>
      <c r="BM27" s="84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92"/>
      <c r="DG27" s="92"/>
      <c r="DH27" s="203"/>
      <c r="DI27" s="203"/>
      <c r="DJ27" s="203"/>
      <c r="DK27" s="203"/>
      <c r="DL27" s="203"/>
      <c r="DM27" s="203"/>
      <c r="DN27" s="203"/>
      <c r="DO27" s="203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>
        <v>0</v>
      </c>
      <c r="FA27" s="208">
        <v>0</v>
      </c>
      <c r="FB27" s="208">
        <v>0</v>
      </c>
      <c r="FC27" s="208"/>
      <c r="FD27" s="82"/>
      <c r="FE27" s="30"/>
    </row>
    <row r="28" spans="1:161" ht="15" hidden="1">
      <c r="A28" s="25" t="s">
        <v>190</v>
      </c>
      <c r="B28" s="227" t="s">
        <v>117</v>
      </c>
      <c r="C28" s="138"/>
      <c r="D28" s="221"/>
      <c r="E28" s="239">
        <v>1380</v>
      </c>
      <c r="F28" s="95"/>
      <c r="G28" s="95"/>
      <c r="H28" s="147" t="s">
        <v>656</v>
      </c>
      <c r="I28" s="147"/>
      <c r="J28" s="135"/>
      <c r="K28" s="135"/>
      <c r="L28" s="139"/>
      <c r="M28" s="134"/>
      <c r="N28" s="134"/>
      <c r="O28" s="134"/>
      <c r="P28" s="134"/>
      <c r="Q28" s="134"/>
      <c r="R28" s="134"/>
      <c r="S28" s="139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3"/>
      <c r="BD28" s="83"/>
      <c r="BE28" s="83"/>
      <c r="BF28" s="83"/>
      <c r="BG28" s="82"/>
      <c r="BH28" s="81"/>
      <c r="BI28" s="80"/>
      <c r="BJ28" s="25"/>
      <c r="BK28" s="25"/>
      <c r="BL28" s="25"/>
      <c r="BM28" s="84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92"/>
      <c r="DG28" s="92"/>
      <c r="DH28" s="203"/>
      <c r="DI28" s="203"/>
      <c r="DJ28" s="203"/>
      <c r="DK28" s="203"/>
      <c r="DL28" s="203"/>
      <c r="DM28" s="203"/>
      <c r="DN28" s="203"/>
      <c r="DO28" s="203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>
        <v>0</v>
      </c>
      <c r="FA28" s="208">
        <v>0</v>
      </c>
      <c r="FB28" s="208">
        <v>0</v>
      </c>
      <c r="FC28" s="208"/>
      <c r="FD28" s="82"/>
      <c r="FE28" s="30"/>
    </row>
    <row r="29" spans="1:161" ht="15" hidden="1">
      <c r="A29" s="25" t="s">
        <v>118</v>
      </c>
      <c r="B29" s="227" t="s">
        <v>117</v>
      </c>
      <c r="C29" s="138"/>
      <c r="D29" s="221"/>
      <c r="E29" s="239">
        <v>1155</v>
      </c>
      <c r="F29" s="95"/>
      <c r="G29" s="95"/>
      <c r="H29" s="147" t="s">
        <v>656</v>
      </c>
      <c r="I29" s="147"/>
      <c r="J29" s="135"/>
      <c r="K29" s="135"/>
      <c r="L29" s="139"/>
      <c r="M29" s="134"/>
      <c r="N29" s="134"/>
      <c r="O29" s="134"/>
      <c r="P29" s="134"/>
      <c r="Q29" s="134"/>
      <c r="R29" s="134"/>
      <c r="S29" s="139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3"/>
      <c r="BD29" s="83"/>
      <c r="BE29" s="83"/>
      <c r="BF29" s="83"/>
      <c r="BG29" s="82"/>
      <c r="BH29" s="81"/>
      <c r="BI29" s="80"/>
      <c r="BJ29" s="25"/>
      <c r="BK29" s="25"/>
      <c r="BL29" s="25"/>
      <c r="BM29" s="84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92"/>
      <c r="DG29" s="92"/>
      <c r="DH29" s="203"/>
      <c r="DI29" s="203"/>
      <c r="DJ29" s="203"/>
      <c r="DK29" s="203"/>
      <c r="DL29" s="203"/>
      <c r="DM29" s="203"/>
      <c r="DN29" s="203"/>
      <c r="DO29" s="203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>
        <v>0</v>
      </c>
      <c r="FA29" s="208">
        <v>0</v>
      </c>
      <c r="FB29" s="208">
        <v>0</v>
      </c>
      <c r="FC29" s="208"/>
      <c r="FD29" s="82"/>
      <c r="FE29" s="30"/>
    </row>
    <row r="30" spans="1:161" ht="15" hidden="1">
      <c r="A30" s="25" t="s">
        <v>183</v>
      </c>
      <c r="B30" s="227" t="s">
        <v>117</v>
      </c>
      <c r="C30" s="138"/>
      <c r="D30" s="221"/>
      <c r="E30" s="239">
        <v>1380</v>
      </c>
      <c r="F30" s="95"/>
      <c r="G30" s="95"/>
      <c r="H30" s="147" t="s">
        <v>656</v>
      </c>
      <c r="I30" s="147"/>
      <c r="J30" s="135"/>
      <c r="K30" s="135"/>
      <c r="L30" s="139"/>
      <c r="M30" s="134"/>
      <c r="N30" s="134"/>
      <c r="O30" s="134"/>
      <c r="P30" s="134"/>
      <c r="Q30" s="134"/>
      <c r="R30" s="134"/>
      <c r="S30" s="139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3"/>
      <c r="BD30" s="83"/>
      <c r="BE30" s="83"/>
      <c r="BF30" s="83"/>
      <c r="BG30" s="82"/>
      <c r="BH30" s="81"/>
      <c r="BI30" s="80"/>
      <c r="BJ30" s="25"/>
      <c r="BK30" s="25"/>
      <c r="BL30" s="25"/>
      <c r="BM30" s="84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92"/>
      <c r="DG30" s="92"/>
      <c r="DH30" s="203"/>
      <c r="DI30" s="203"/>
      <c r="DJ30" s="203"/>
      <c r="DK30" s="203"/>
      <c r="DL30" s="203"/>
      <c r="DM30" s="203"/>
      <c r="DN30" s="203"/>
      <c r="DO30" s="203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>
        <v>0</v>
      </c>
      <c r="FA30" s="208">
        <v>0</v>
      </c>
      <c r="FB30" s="208">
        <v>0</v>
      </c>
      <c r="FC30" s="208"/>
      <c r="FD30" s="82"/>
      <c r="FE30" s="30"/>
    </row>
    <row r="31" spans="1:161" ht="15">
      <c r="A31" s="25" t="s">
        <v>491</v>
      </c>
      <c r="B31" s="212" t="s">
        <v>151</v>
      </c>
      <c r="C31" s="138"/>
      <c r="D31" s="221"/>
      <c r="E31" s="239">
        <v>1795</v>
      </c>
      <c r="F31" s="95"/>
      <c r="G31" s="95"/>
      <c r="H31" s="147" t="s">
        <v>656</v>
      </c>
      <c r="I31" s="147"/>
      <c r="J31" s="135"/>
      <c r="K31" s="135"/>
      <c r="L31" s="139"/>
      <c r="M31" s="134"/>
      <c r="N31" s="134"/>
      <c r="O31" s="134"/>
      <c r="P31" s="134"/>
      <c r="Q31" s="134"/>
      <c r="R31" s="134"/>
      <c r="S31" s="139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3"/>
      <c r="BD31" s="83"/>
      <c r="BE31" s="83"/>
      <c r="BF31" s="83"/>
      <c r="BG31" s="82"/>
      <c r="BH31" s="81"/>
      <c r="BI31" s="80"/>
      <c r="BJ31" s="25"/>
      <c r="BK31" s="25"/>
      <c r="BL31" s="25"/>
      <c r="BM31" s="84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92"/>
      <c r="DG31" s="92"/>
      <c r="DH31" s="203"/>
      <c r="DI31" s="203"/>
      <c r="DJ31" s="203"/>
      <c r="DK31" s="203"/>
      <c r="DL31" s="203"/>
      <c r="DM31" s="203"/>
      <c r="DN31" s="203"/>
      <c r="DO31" s="203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>
        <v>0</v>
      </c>
      <c r="FA31" s="208">
        <v>0</v>
      </c>
      <c r="FB31" s="208">
        <v>0</v>
      </c>
      <c r="FC31" s="208"/>
      <c r="FD31" s="82"/>
      <c r="FE31" s="30"/>
    </row>
    <row r="32" spans="1:161" ht="15" hidden="1">
      <c r="A32" s="25" t="s">
        <v>196</v>
      </c>
      <c r="B32" s="230" t="s">
        <v>121</v>
      </c>
      <c r="C32" s="138"/>
      <c r="D32" s="221"/>
      <c r="E32" s="239">
        <v>1380</v>
      </c>
      <c r="F32" s="95"/>
      <c r="G32" s="95"/>
      <c r="H32" s="147" t="s">
        <v>656</v>
      </c>
      <c r="I32" s="147"/>
      <c r="J32" s="135"/>
      <c r="K32" s="135"/>
      <c r="L32" s="139"/>
      <c r="M32" s="134"/>
      <c r="N32" s="134"/>
      <c r="O32" s="134"/>
      <c r="P32" s="134"/>
      <c r="Q32" s="134"/>
      <c r="R32" s="134"/>
      <c r="S32" s="139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3"/>
      <c r="BD32" s="83"/>
      <c r="BE32" s="83"/>
      <c r="BF32" s="83"/>
      <c r="BG32" s="82"/>
      <c r="BH32" s="81"/>
      <c r="BI32" s="80"/>
      <c r="BJ32" s="25"/>
      <c r="BK32" s="25"/>
      <c r="BL32" s="25"/>
      <c r="BM32" s="84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92"/>
      <c r="DG32" s="92"/>
      <c r="DH32" s="203"/>
      <c r="DI32" s="203"/>
      <c r="DJ32" s="203"/>
      <c r="DK32" s="203"/>
      <c r="DL32" s="203"/>
      <c r="DM32" s="203"/>
      <c r="DN32" s="203"/>
      <c r="DO32" s="203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>
        <v>0</v>
      </c>
      <c r="FA32" s="208">
        <v>0</v>
      </c>
      <c r="FB32" s="208">
        <v>0</v>
      </c>
      <c r="FC32" s="208"/>
      <c r="FD32" s="82"/>
      <c r="FE32" s="30"/>
    </row>
    <row r="33" spans="1:161" ht="15" hidden="1">
      <c r="A33" s="25" t="s">
        <v>487</v>
      </c>
      <c r="B33" s="212" t="s">
        <v>151</v>
      </c>
      <c r="C33" s="138"/>
      <c r="D33" s="221"/>
      <c r="E33" s="239">
        <v>1585</v>
      </c>
      <c r="F33" s="95"/>
      <c r="G33" s="95"/>
      <c r="H33" s="147" t="s">
        <v>656</v>
      </c>
      <c r="I33" s="147"/>
      <c r="J33" s="135"/>
      <c r="K33" s="135"/>
      <c r="L33" s="139"/>
      <c r="M33" s="134"/>
      <c r="N33" s="134"/>
      <c r="O33" s="134"/>
      <c r="P33" s="134"/>
      <c r="Q33" s="134"/>
      <c r="R33" s="134"/>
      <c r="S33" s="139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3"/>
      <c r="BD33" s="83"/>
      <c r="BE33" s="83"/>
      <c r="BF33" s="83"/>
      <c r="BG33" s="82"/>
      <c r="BH33" s="81"/>
      <c r="BI33" s="80"/>
      <c r="BJ33" s="25"/>
      <c r="BK33" s="25"/>
      <c r="BL33" s="25"/>
      <c r="BM33" s="84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92"/>
      <c r="DG33" s="92"/>
      <c r="DH33" s="203"/>
      <c r="DI33" s="203"/>
      <c r="DJ33" s="203"/>
      <c r="DK33" s="203"/>
      <c r="DL33" s="203"/>
      <c r="DM33" s="203"/>
      <c r="DN33" s="203"/>
      <c r="DO33" s="203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>
        <v>0</v>
      </c>
      <c r="FA33" s="208">
        <v>0</v>
      </c>
      <c r="FB33" s="208">
        <v>0</v>
      </c>
      <c r="FC33" s="208"/>
      <c r="FD33" s="82"/>
      <c r="FE33" s="30"/>
    </row>
    <row r="34" spans="1:161" ht="15">
      <c r="A34" s="25" t="s">
        <v>492</v>
      </c>
      <c r="B34" s="212" t="s">
        <v>151</v>
      </c>
      <c r="C34" s="138"/>
      <c r="D34" s="221"/>
      <c r="E34" s="239">
        <v>1795</v>
      </c>
      <c r="F34" s="95"/>
      <c r="G34" s="95"/>
      <c r="H34" s="147" t="s">
        <v>656</v>
      </c>
      <c r="I34" s="147"/>
      <c r="J34" s="135"/>
      <c r="K34" s="135"/>
      <c r="L34" s="139"/>
      <c r="M34" s="134"/>
      <c r="N34" s="134"/>
      <c r="O34" s="134"/>
      <c r="P34" s="134"/>
      <c r="Q34" s="134"/>
      <c r="R34" s="134"/>
      <c r="S34" s="139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3"/>
      <c r="BD34" s="83"/>
      <c r="BE34" s="83"/>
      <c r="BF34" s="83"/>
      <c r="BG34" s="82"/>
      <c r="BH34" s="81"/>
      <c r="BI34" s="80"/>
      <c r="BJ34" s="25"/>
      <c r="BK34" s="25"/>
      <c r="BL34" s="25"/>
      <c r="BM34" s="84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92"/>
      <c r="DG34" s="92"/>
      <c r="DH34" s="203"/>
      <c r="DI34" s="203"/>
      <c r="DJ34" s="203"/>
      <c r="DK34" s="203"/>
      <c r="DL34" s="203"/>
      <c r="DM34" s="203"/>
      <c r="DN34" s="203"/>
      <c r="DO34" s="203"/>
      <c r="DP34" s="208"/>
      <c r="DQ34" s="208"/>
      <c r="DR34" s="208"/>
      <c r="DS34" s="208"/>
      <c r="DT34" s="208"/>
      <c r="DU34" s="208"/>
      <c r="DV34" s="208"/>
      <c r="DW34" s="208"/>
      <c r="DX34" s="208"/>
      <c r="DY34" s="208"/>
      <c r="DZ34" s="208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>
        <v>0</v>
      </c>
      <c r="FA34" s="208">
        <v>0</v>
      </c>
      <c r="FB34" s="208">
        <v>0</v>
      </c>
      <c r="FC34" s="208"/>
      <c r="FD34" s="82"/>
      <c r="FE34" s="30"/>
    </row>
    <row r="35" spans="1:161" ht="15" hidden="1">
      <c r="A35" s="25" t="s">
        <v>488</v>
      </c>
      <c r="B35" s="212" t="s">
        <v>151</v>
      </c>
      <c r="C35" s="138"/>
      <c r="D35" s="221"/>
      <c r="E35" s="239">
        <v>1585</v>
      </c>
      <c r="F35" s="95"/>
      <c r="G35" s="95"/>
      <c r="H35" s="147" t="s">
        <v>656</v>
      </c>
      <c r="I35" s="147"/>
      <c r="J35" s="135"/>
      <c r="K35" s="135"/>
      <c r="L35" s="139"/>
      <c r="M35" s="134"/>
      <c r="N35" s="134"/>
      <c r="O35" s="134"/>
      <c r="P35" s="134"/>
      <c r="Q35" s="134"/>
      <c r="R35" s="134"/>
      <c r="S35" s="139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3"/>
      <c r="BD35" s="83"/>
      <c r="BE35" s="83"/>
      <c r="BF35" s="83"/>
      <c r="BG35" s="82"/>
      <c r="BH35" s="81"/>
      <c r="BI35" s="80"/>
      <c r="BJ35" s="25"/>
      <c r="BK35" s="25"/>
      <c r="BL35" s="25"/>
      <c r="BM35" s="84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92"/>
      <c r="DG35" s="92"/>
      <c r="DH35" s="203"/>
      <c r="DI35" s="203"/>
      <c r="DJ35" s="203"/>
      <c r="DK35" s="203"/>
      <c r="DL35" s="203"/>
      <c r="DM35" s="203"/>
      <c r="DN35" s="203"/>
      <c r="DO35" s="203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>
        <v>0</v>
      </c>
      <c r="FA35" s="208">
        <v>0</v>
      </c>
      <c r="FB35" s="208">
        <v>0</v>
      </c>
      <c r="FC35" s="208"/>
      <c r="FD35" s="82"/>
      <c r="FE35" s="30"/>
    </row>
    <row r="36" spans="1:161" ht="15">
      <c r="A36" s="25" t="s">
        <v>493</v>
      </c>
      <c r="B36" s="212" t="s">
        <v>151</v>
      </c>
      <c r="C36" s="138"/>
      <c r="D36" s="221"/>
      <c r="E36" s="239">
        <v>1795</v>
      </c>
      <c r="F36" s="95"/>
      <c r="G36" s="95"/>
      <c r="H36" s="147" t="s">
        <v>656</v>
      </c>
      <c r="I36" s="147"/>
      <c r="J36" s="135"/>
      <c r="K36" s="135"/>
      <c r="L36" s="139"/>
      <c r="M36" s="134"/>
      <c r="N36" s="134"/>
      <c r="O36" s="134"/>
      <c r="P36" s="134"/>
      <c r="Q36" s="134"/>
      <c r="R36" s="134"/>
      <c r="S36" s="139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3"/>
      <c r="BD36" s="83"/>
      <c r="BE36" s="83"/>
      <c r="BF36" s="83"/>
      <c r="BG36" s="82"/>
      <c r="BH36" s="81"/>
      <c r="BI36" s="80"/>
      <c r="BJ36" s="25"/>
      <c r="BK36" s="25"/>
      <c r="BL36" s="25"/>
      <c r="BM36" s="84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92"/>
      <c r="DG36" s="92"/>
      <c r="DH36" s="203"/>
      <c r="DI36" s="203"/>
      <c r="DJ36" s="203"/>
      <c r="DK36" s="203"/>
      <c r="DL36" s="203"/>
      <c r="DM36" s="203"/>
      <c r="DN36" s="203"/>
      <c r="DO36" s="203"/>
      <c r="DP36" s="208"/>
      <c r="DQ36" s="208"/>
      <c r="DR36" s="208"/>
      <c r="DS36" s="208"/>
      <c r="DT36" s="208"/>
      <c r="DU36" s="208"/>
      <c r="DV36" s="208"/>
      <c r="DW36" s="208"/>
      <c r="DX36" s="208"/>
      <c r="DY36" s="208"/>
      <c r="DZ36" s="208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8"/>
      <c r="EN36" s="208"/>
      <c r="EO36" s="208"/>
      <c r="EP36" s="208"/>
      <c r="EQ36" s="208"/>
      <c r="ER36" s="208"/>
      <c r="ES36" s="208"/>
      <c r="ET36" s="208"/>
      <c r="EU36" s="208"/>
      <c r="EV36" s="208"/>
      <c r="EW36" s="208"/>
      <c r="EX36" s="208"/>
      <c r="EY36" s="208"/>
      <c r="EZ36" s="208">
        <v>0</v>
      </c>
      <c r="FA36" s="208">
        <v>0</v>
      </c>
      <c r="FB36" s="208">
        <v>0</v>
      </c>
      <c r="FC36" s="208"/>
      <c r="FD36" s="82"/>
      <c r="FE36" s="30"/>
    </row>
    <row r="37" spans="1:161" ht="15">
      <c r="A37" s="25" t="s">
        <v>494</v>
      </c>
      <c r="B37" s="212" t="s">
        <v>151</v>
      </c>
      <c r="C37" s="138"/>
      <c r="D37" s="221"/>
      <c r="E37" s="239">
        <v>1795</v>
      </c>
      <c r="F37" s="95"/>
      <c r="G37" s="95"/>
      <c r="H37" s="147" t="s">
        <v>656</v>
      </c>
      <c r="I37" s="147"/>
      <c r="J37" s="135"/>
      <c r="K37" s="135"/>
      <c r="L37" s="139"/>
      <c r="M37" s="134"/>
      <c r="N37" s="134"/>
      <c r="O37" s="134"/>
      <c r="P37" s="134"/>
      <c r="Q37" s="134"/>
      <c r="R37" s="134"/>
      <c r="S37" s="139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3"/>
      <c r="BD37" s="83"/>
      <c r="BE37" s="83"/>
      <c r="BF37" s="83"/>
      <c r="BG37" s="82"/>
      <c r="BH37" s="81"/>
      <c r="BI37" s="80"/>
      <c r="BJ37" s="25"/>
      <c r="BK37" s="25"/>
      <c r="BL37" s="25"/>
      <c r="BM37" s="84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92"/>
      <c r="DG37" s="92"/>
      <c r="DH37" s="203"/>
      <c r="DI37" s="203"/>
      <c r="DJ37" s="203"/>
      <c r="DK37" s="203"/>
      <c r="DL37" s="203"/>
      <c r="DM37" s="203"/>
      <c r="DN37" s="203"/>
      <c r="DO37" s="203"/>
      <c r="DP37" s="208"/>
      <c r="DQ37" s="208"/>
      <c r="DR37" s="208"/>
      <c r="DS37" s="208"/>
      <c r="DT37" s="208"/>
      <c r="DU37" s="208"/>
      <c r="DV37" s="208"/>
      <c r="DW37" s="208"/>
      <c r="DX37" s="208"/>
      <c r="DY37" s="208"/>
      <c r="DZ37" s="208"/>
      <c r="EA37" s="208"/>
      <c r="EB37" s="208"/>
      <c r="EC37" s="208"/>
      <c r="ED37" s="208"/>
      <c r="EE37" s="208"/>
      <c r="EF37" s="208"/>
      <c r="EG37" s="208"/>
      <c r="EH37" s="208"/>
      <c r="EI37" s="208"/>
      <c r="EJ37" s="208"/>
      <c r="EK37" s="208"/>
      <c r="EL37" s="208"/>
      <c r="EM37" s="208"/>
      <c r="EN37" s="208"/>
      <c r="EO37" s="208"/>
      <c r="EP37" s="208"/>
      <c r="EQ37" s="208"/>
      <c r="ER37" s="208"/>
      <c r="ES37" s="208"/>
      <c r="ET37" s="208"/>
      <c r="EU37" s="208"/>
      <c r="EV37" s="208"/>
      <c r="EW37" s="208"/>
      <c r="EX37" s="208"/>
      <c r="EY37" s="208"/>
      <c r="EZ37" s="208">
        <v>0</v>
      </c>
      <c r="FA37" s="208">
        <v>0</v>
      </c>
      <c r="FB37" s="208">
        <v>0</v>
      </c>
      <c r="FC37" s="208"/>
      <c r="FD37" s="82"/>
      <c r="FE37" s="30"/>
    </row>
    <row r="38" spans="1:161" ht="15" hidden="1">
      <c r="A38" s="25" t="s">
        <v>618</v>
      </c>
      <c r="B38" s="212" t="s">
        <v>658</v>
      </c>
      <c r="C38" s="138"/>
      <c r="D38" s="221"/>
      <c r="E38" s="239">
        <v>770</v>
      </c>
      <c r="F38" s="95"/>
      <c r="G38" s="95"/>
      <c r="H38" s="147" t="s">
        <v>656</v>
      </c>
      <c r="I38" s="147"/>
      <c r="J38" s="135"/>
      <c r="K38" s="135"/>
      <c r="L38" s="139"/>
      <c r="M38" s="134"/>
      <c r="N38" s="134"/>
      <c r="O38" s="134"/>
      <c r="P38" s="134"/>
      <c r="Q38" s="134"/>
      <c r="R38" s="134"/>
      <c r="S38" s="139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83"/>
      <c r="BE38" s="83"/>
      <c r="BF38" s="83"/>
      <c r="BG38" s="82"/>
      <c r="BH38" s="81"/>
      <c r="BI38" s="80"/>
      <c r="BJ38" s="25"/>
      <c r="BK38" s="25"/>
      <c r="BL38" s="25"/>
      <c r="BM38" s="84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92"/>
      <c r="DG38" s="92"/>
      <c r="DH38" s="203"/>
      <c r="DI38" s="203"/>
      <c r="DJ38" s="203"/>
      <c r="DK38" s="203"/>
      <c r="DL38" s="203"/>
      <c r="DM38" s="203"/>
      <c r="DN38" s="203"/>
      <c r="DO38" s="203"/>
      <c r="DP38" s="208"/>
      <c r="DQ38" s="208"/>
      <c r="DR38" s="208"/>
      <c r="DS38" s="208"/>
      <c r="DT38" s="208"/>
      <c r="DU38" s="208"/>
      <c r="DV38" s="208"/>
      <c r="DW38" s="208"/>
      <c r="DX38" s="208"/>
      <c r="DY38" s="208"/>
      <c r="DZ38" s="208"/>
      <c r="EA38" s="208"/>
      <c r="EB38" s="208"/>
      <c r="EC38" s="208"/>
      <c r="ED38" s="208"/>
      <c r="EE38" s="208"/>
      <c r="EF38" s="208"/>
      <c r="EG38" s="208"/>
      <c r="EH38" s="208"/>
      <c r="EI38" s="208"/>
      <c r="EJ38" s="208"/>
      <c r="EK38" s="208"/>
      <c r="EL38" s="208"/>
      <c r="EM38" s="208"/>
      <c r="EN38" s="208"/>
      <c r="EO38" s="208"/>
      <c r="EP38" s="208"/>
      <c r="EQ38" s="208"/>
      <c r="ER38" s="208"/>
      <c r="ES38" s="208"/>
      <c r="ET38" s="208"/>
      <c r="EU38" s="208"/>
      <c r="EV38" s="208"/>
      <c r="EW38" s="208"/>
      <c r="EX38" s="208"/>
      <c r="EY38" s="208"/>
      <c r="EZ38" s="208">
        <v>0</v>
      </c>
      <c r="FA38" s="208">
        <v>0</v>
      </c>
      <c r="FB38" s="208">
        <v>0</v>
      </c>
      <c r="FC38" s="208"/>
      <c r="FD38" s="82"/>
      <c r="FE38" s="30"/>
    </row>
    <row r="39" spans="1:161" ht="15" hidden="1">
      <c r="A39" s="25" t="s">
        <v>619</v>
      </c>
      <c r="B39" s="212" t="s">
        <v>658</v>
      </c>
      <c r="C39" s="138"/>
      <c r="D39" s="221"/>
      <c r="E39" s="239">
        <v>770</v>
      </c>
      <c r="F39" s="95"/>
      <c r="G39" s="95"/>
      <c r="H39" s="147" t="s">
        <v>656</v>
      </c>
      <c r="I39" s="147"/>
      <c r="J39" s="135"/>
      <c r="K39" s="135"/>
      <c r="L39" s="139"/>
      <c r="M39" s="134"/>
      <c r="N39" s="134"/>
      <c r="O39" s="134"/>
      <c r="P39" s="134"/>
      <c r="Q39" s="134"/>
      <c r="R39" s="134"/>
      <c r="S39" s="139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3"/>
      <c r="BD39" s="83"/>
      <c r="BE39" s="83"/>
      <c r="BF39" s="83"/>
      <c r="BG39" s="82"/>
      <c r="BH39" s="81"/>
      <c r="BI39" s="80"/>
      <c r="BJ39" s="25"/>
      <c r="BK39" s="25"/>
      <c r="BL39" s="25"/>
      <c r="BM39" s="84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92"/>
      <c r="DG39" s="92"/>
      <c r="DH39" s="203"/>
      <c r="DI39" s="203"/>
      <c r="DJ39" s="203"/>
      <c r="DK39" s="203"/>
      <c r="DL39" s="203"/>
      <c r="DM39" s="203"/>
      <c r="DN39" s="203"/>
      <c r="DO39" s="203"/>
      <c r="DP39" s="208"/>
      <c r="DQ39" s="208"/>
      <c r="DR39" s="208"/>
      <c r="DS39" s="208"/>
      <c r="DT39" s="208"/>
      <c r="DU39" s="208"/>
      <c r="DV39" s="208"/>
      <c r="DW39" s="208"/>
      <c r="DX39" s="208"/>
      <c r="DY39" s="208"/>
      <c r="DZ39" s="208"/>
      <c r="EA39" s="208"/>
      <c r="EB39" s="208"/>
      <c r="EC39" s="208"/>
      <c r="ED39" s="208"/>
      <c r="EE39" s="208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208"/>
      <c r="ES39" s="208"/>
      <c r="ET39" s="208"/>
      <c r="EU39" s="208"/>
      <c r="EV39" s="208"/>
      <c r="EW39" s="208"/>
      <c r="EX39" s="208"/>
      <c r="EY39" s="208"/>
      <c r="EZ39" s="208">
        <v>0</v>
      </c>
      <c r="FA39" s="208">
        <v>0</v>
      </c>
      <c r="FB39" s="208">
        <v>0</v>
      </c>
      <c r="FC39" s="208"/>
      <c r="FD39" s="82"/>
      <c r="FE39" s="30"/>
    </row>
    <row r="40" spans="1:161" ht="15" hidden="1">
      <c r="A40" s="25" t="s">
        <v>628</v>
      </c>
      <c r="B40" s="212" t="s">
        <v>658</v>
      </c>
      <c r="C40" s="138"/>
      <c r="D40" s="221"/>
      <c r="E40" s="239">
        <v>970</v>
      </c>
      <c r="F40" s="95"/>
      <c r="G40" s="95"/>
      <c r="H40" s="147" t="s">
        <v>656</v>
      </c>
      <c r="I40" s="147"/>
      <c r="J40" s="135"/>
      <c r="K40" s="135"/>
      <c r="L40" s="139"/>
      <c r="M40" s="134"/>
      <c r="N40" s="134"/>
      <c r="O40" s="134"/>
      <c r="P40" s="134"/>
      <c r="Q40" s="134"/>
      <c r="R40" s="134"/>
      <c r="S40" s="139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3"/>
      <c r="BD40" s="83"/>
      <c r="BE40" s="83"/>
      <c r="BF40" s="83"/>
      <c r="BG40" s="82"/>
      <c r="BH40" s="81"/>
      <c r="BI40" s="80"/>
      <c r="BJ40" s="25"/>
      <c r="BK40" s="25"/>
      <c r="BL40" s="25"/>
      <c r="BM40" s="84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92"/>
      <c r="DG40" s="92"/>
      <c r="DH40" s="203"/>
      <c r="DI40" s="203"/>
      <c r="DJ40" s="203"/>
      <c r="DK40" s="203"/>
      <c r="DL40" s="203"/>
      <c r="DM40" s="203"/>
      <c r="DN40" s="203"/>
      <c r="DO40" s="203"/>
      <c r="DP40" s="208"/>
      <c r="DQ40" s="208"/>
      <c r="DR40" s="208"/>
      <c r="DS40" s="208"/>
      <c r="DT40" s="208"/>
      <c r="DU40" s="208"/>
      <c r="DV40" s="208"/>
      <c r="DW40" s="208"/>
      <c r="DX40" s="208"/>
      <c r="DY40" s="208"/>
      <c r="DZ40" s="208"/>
      <c r="EA40" s="208"/>
      <c r="EB40" s="208"/>
      <c r="EC40" s="208"/>
      <c r="ED40" s="208"/>
      <c r="EE40" s="208"/>
      <c r="EF40" s="208"/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8"/>
      <c r="ES40" s="208"/>
      <c r="ET40" s="208"/>
      <c r="EU40" s="208"/>
      <c r="EV40" s="208"/>
      <c r="EW40" s="208"/>
      <c r="EX40" s="208"/>
      <c r="EY40" s="208"/>
      <c r="EZ40" s="208">
        <v>0</v>
      </c>
      <c r="FA40" s="208">
        <v>0</v>
      </c>
      <c r="FB40" s="208">
        <v>0</v>
      </c>
      <c r="FC40" s="208"/>
      <c r="FD40" s="82"/>
      <c r="FE40" s="30"/>
    </row>
    <row r="41" spans="1:161" ht="15" hidden="1">
      <c r="A41" s="25" t="s">
        <v>629</v>
      </c>
      <c r="B41" s="212" t="s">
        <v>658</v>
      </c>
      <c r="C41" s="138"/>
      <c r="D41" s="221"/>
      <c r="E41" s="239">
        <v>970</v>
      </c>
      <c r="F41" s="95"/>
      <c r="G41" s="95"/>
      <c r="H41" s="147" t="s">
        <v>656</v>
      </c>
      <c r="I41" s="147"/>
      <c r="J41" s="135"/>
      <c r="K41" s="135"/>
      <c r="L41" s="139"/>
      <c r="M41" s="134"/>
      <c r="N41" s="134"/>
      <c r="O41" s="134"/>
      <c r="P41" s="134"/>
      <c r="Q41" s="134"/>
      <c r="R41" s="134"/>
      <c r="S41" s="139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3"/>
      <c r="BD41" s="83"/>
      <c r="BE41" s="83"/>
      <c r="BF41" s="83"/>
      <c r="BG41" s="82"/>
      <c r="BH41" s="81"/>
      <c r="BI41" s="80"/>
      <c r="BJ41" s="25"/>
      <c r="BK41" s="25"/>
      <c r="BL41" s="25"/>
      <c r="BM41" s="84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92"/>
      <c r="DG41" s="92"/>
      <c r="DH41" s="203"/>
      <c r="DI41" s="203"/>
      <c r="DJ41" s="203"/>
      <c r="DK41" s="203"/>
      <c r="DL41" s="203"/>
      <c r="DM41" s="203"/>
      <c r="DN41" s="203"/>
      <c r="DO41" s="203"/>
      <c r="DP41" s="208"/>
      <c r="DQ41" s="208"/>
      <c r="DR41" s="208"/>
      <c r="DS41" s="208"/>
      <c r="DT41" s="208"/>
      <c r="DU41" s="208"/>
      <c r="DV41" s="208"/>
      <c r="DW41" s="208"/>
      <c r="DX41" s="208"/>
      <c r="DY41" s="208"/>
      <c r="DZ41" s="208"/>
      <c r="EA41" s="208"/>
      <c r="EB41" s="208"/>
      <c r="EC41" s="208"/>
      <c r="ED41" s="208"/>
      <c r="EE41" s="208"/>
      <c r="EF41" s="208"/>
      <c r="EG41" s="208"/>
      <c r="EH41" s="208"/>
      <c r="EI41" s="208"/>
      <c r="EJ41" s="208"/>
      <c r="EK41" s="208"/>
      <c r="EL41" s="208"/>
      <c r="EM41" s="208"/>
      <c r="EN41" s="208"/>
      <c r="EO41" s="208"/>
      <c r="EP41" s="208"/>
      <c r="EQ41" s="208"/>
      <c r="ER41" s="208"/>
      <c r="ES41" s="208"/>
      <c r="ET41" s="208"/>
      <c r="EU41" s="208"/>
      <c r="EV41" s="208"/>
      <c r="EW41" s="208"/>
      <c r="EX41" s="208"/>
      <c r="EY41" s="208"/>
      <c r="EZ41" s="208">
        <v>0</v>
      </c>
      <c r="FA41" s="208">
        <v>0</v>
      </c>
      <c r="FB41" s="208">
        <v>0</v>
      </c>
      <c r="FC41" s="208"/>
      <c r="FD41" s="82"/>
      <c r="FE41" s="30"/>
    </row>
    <row r="42" spans="1:161" ht="15" hidden="1">
      <c r="A42" s="25" t="s">
        <v>225</v>
      </c>
      <c r="B42" s="237" t="s">
        <v>129</v>
      </c>
      <c r="C42" s="138"/>
      <c r="D42" s="221"/>
      <c r="E42" s="239">
        <v>770</v>
      </c>
      <c r="F42" s="95"/>
      <c r="G42" s="95"/>
      <c r="H42" s="147" t="s">
        <v>656</v>
      </c>
      <c r="I42" s="147"/>
      <c r="J42" s="135"/>
      <c r="K42" s="135"/>
      <c r="L42" s="139"/>
      <c r="M42" s="134"/>
      <c r="N42" s="134"/>
      <c r="O42" s="134"/>
      <c r="P42" s="134"/>
      <c r="Q42" s="134"/>
      <c r="R42" s="134"/>
      <c r="S42" s="139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3"/>
      <c r="BD42" s="83"/>
      <c r="BE42" s="83"/>
      <c r="BF42" s="83"/>
      <c r="BG42" s="82"/>
      <c r="BH42" s="81"/>
      <c r="BI42" s="80"/>
      <c r="BJ42" s="25"/>
      <c r="BK42" s="25"/>
      <c r="BL42" s="25"/>
      <c r="BM42" s="84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92"/>
      <c r="DG42" s="92"/>
      <c r="DH42" s="203"/>
      <c r="DI42" s="203"/>
      <c r="DJ42" s="203"/>
      <c r="DK42" s="203"/>
      <c r="DL42" s="203"/>
      <c r="DM42" s="203"/>
      <c r="DN42" s="203"/>
      <c r="DO42" s="203"/>
      <c r="DP42" s="208"/>
      <c r="DQ42" s="208"/>
      <c r="DR42" s="208"/>
      <c r="DS42" s="208"/>
      <c r="DT42" s="208"/>
      <c r="DU42" s="208"/>
      <c r="DV42" s="208"/>
      <c r="DW42" s="208"/>
      <c r="DX42" s="208"/>
      <c r="DY42" s="208"/>
      <c r="DZ42" s="208"/>
      <c r="EA42" s="208"/>
      <c r="EB42" s="208"/>
      <c r="EC42" s="208"/>
      <c r="ED42" s="208"/>
      <c r="EE42" s="208"/>
      <c r="EF42" s="208"/>
      <c r="EG42" s="208"/>
      <c r="EH42" s="208"/>
      <c r="EI42" s="208"/>
      <c r="EJ42" s="208"/>
      <c r="EK42" s="208"/>
      <c r="EL42" s="208"/>
      <c r="EM42" s="208"/>
      <c r="EN42" s="208"/>
      <c r="EO42" s="208"/>
      <c r="EP42" s="208"/>
      <c r="EQ42" s="208"/>
      <c r="ER42" s="208"/>
      <c r="ES42" s="208"/>
      <c r="ET42" s="208"/>
      <c r="EU42" s="208"/>
      <c r="EV42" s="208"/>
      <c r="EW42" s="208"/>
      <c r="EX42" s="208"/>
      <c r="EY42" s="208"/>
      <c r="EZ42" s="208">
        <v>0</v>
      </c>
      <c r="FA42" s="208">
        <v>0</v>
      </c>
      <c r="FB42" s="208">
        <v>0</v>
      </c>
      <c r="FC42" s="208"/>
      <c r="FD42" s="82"/>
      <c r="FE42" s="30"/>
    </row>
    <row r="43" spans="1:161" ht="15" hidden="1">
      <c r="A43" s="25" t="s">
        <v>175</v>
      </c>
      <c r="B43" s="237" t="s">
        <v>117</v>
      </c>
      <c r="C43" s="138"/>
      <c r="D43" s="221"/>
      <c r="E43" s="239">
        <v>1155</v>
      </c>
      <c r="F43" s="95"/>
      <c r="G43" s="95"/>
      <c r="H43" s="147" t="s">
        <v>656</v>
      </c>
      <c r="I43" s="147"/>
      <c r="J43" s="135"/>
      <c r="K43" s="135"/>
      <c r="L43" s="139"/>
      <c r="M43" s="134"/>
      <c r="N43" s="134"/>
      <c r="O43" s="134"/>
      <c r="P43" s="134"/>
      <c r="Q43" s="134"/>
      <c r="R43" s="134"/>
      <c r="S43" s="139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3"/>
      <c r="BD43" s="83"/>
      <c r="BE43" s="83"/>
      <c r="BF43" s="83"/>
      <c r="BG43" s="82"/>
      <c r="BH43" s="81"/>
      <c r="BI43" s="80"/>
      <c r="BJ43" s="25"/>
      <c r="BK43" s="25"/>
      <c r="BL43" s="25"/>
      <c r="BM43" s="84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92"/>
      <c r="DG43" s="92"/>
      <c r="DH43" s="203"/>
      <c r="DI43" s="203"/>
      <c r="DJ43" s="203"/>
      <c r="DK43" s="203"/>
      <c r="DL43" s="203"/>
      <c r="DM43" s="203"/>
      <c r="DN43" s="203"/>
      <c r="DO43" s="203"/>
      <c r="DP43" s="208"/>
      <c r="DQ43" s="208"/>
      <c r="DR43" s="208"/>
      <c r="DS43" s="208"/>
      <c r="DT43" s="208"/>
      <c r="DU43" s="208"/>
      <c r="DV43" s="208"/>
      <c r="DW43" s="208"/>
      <c r="DX43" s="208"/>
      <c r="DY43" s="208"/>
      <c r="DZ43" s="208"/>
      <c r="EA43" s="208"/>
      <c r="EB43" s="208"/>
      <c r="EC43" s="208"/>
      <c r="ED43" s="208"/>
      <c r="EE43" s="208"/>
      <c r="EF43" s="208"/>
      <c r="EG43" s="208"/>
      <c r="EH43" s="208"/>
      <c r="EI43" s="208"/>
      <c r="EJ43" s="208"/>
      <c r="EK43" s="208"/>
      <c r="EL43" s="208"/>
      <c r="EM43" s="208"/>
      <c r="EN43" s="208"/>
      <c r="EO43" s="208"/>
      <c r="EP43" s="208"/>
      <c r="EQ43" s="208"/>
      <c r="ER43" s="208"/>
      <c r="ES43" s="208"/>
      <c r="ET43" s="208"/>
      <c r="EU43" s="208"/>
      <c r="EV43" s="208"/>
      <c r="EW43" s="208"/>
      <c r="EX43" s="208"/>
      <c r="EY43" s="208"/>
      <c r="EZ43" s="208">
        <v>0</v>
      </c>
      <c r="FA43" s="208">
        <v>0</v>
      </c>
      <c r="FB43" s="208">
        <v>0</v>
      </c>
      <c r="FC43" s="208"/>
      <c r="FD43" s="82"/>
      <c r="FE43" s="30"/>
    </row>
    <row r="44" spans="1:161" ht="15" hidden="1">
      <c r="A44" s="25" t="s">
        <v>620</v>
      </c>
      <c r="B44" s="212" t="s">
        <v>658</v>
      </c>
      <c r="C44" s="138"/>
      <c r="D44" s="221"/>
      <c r="E44" s="239">
        <v>770</v>
      </c>
      <c r="F44" s="95"/>
      <c r="G44" s="95"/>
      <c r="H44" s="147" t="s">
        <v>656</v>
      </c>
      <c r="I44" s="147"/>
      <c r="J44" s="135"/>
      <c r="K44" s="135"/>
      <c r="L44" s="139"/>
      <c r="M44" s="134"/>
      <c r="N44" s="134"/>
      <c r="O44" s="134"/>
      <c r="P44" s="134"/>
      <c r="Q44" s="134"/>
      <c r="R44" s="134"/>
      <c r="S44" s="139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3"/>
      <c r="BD44" s="83"/>
      <c r="BE44" s="83"/>
      <c r="BF44" s="83"/>
      <c r="BG44" s="82"/>
      <c r="BH44" s="81"/>
      <c r="BI44" s="80"/>
      <c r="BJ44" s="25"/>
      <c r="BK44" s="25"/>
      <c r="BL44" s="25"/>
      <c r="BM44" s="84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92"/>
      <c r="DG44" s="92"/>
      <c r="DH44" s="203"/>
      <c r="DI44" s="203"/>
      <c r="DJ44" s="203"/>
      <c r="DK44" s="203"/>
      <c r="DL44" s="203"/>
      <c r="DM44" s="203"/>
      <c r="DN44" s="203"/>
      <c r="DO44" s="203"/>
      <c r="DP44" s="208"/>
      <c r="DQ44" s="208"/>
      <c r="DR44" s="208"/>
      <c r="DS44" s="208"/>
      <c r="DT44" s="208"/>
      <c r="DU44" s="208"/>
      <c r="DV44" s="208"/>
      <c r="DW44" s="208"/>
      <c r="DX44" s="208"/>
      <c r="DY44" s="208"/>
      <c r="DZ44" s="208"/>
      <c r="EA44" s="208"/>
      <c r="EB44" s="208"/>
      <c r="EC44" s="208"/>
      <c r="ED44" s="208"/>
      <c r="EE44" s="208"/>
      <c r="EF44" s="208"/>
      <c r="EG44" s="208"/>
      <c r="EH44" s="208"/>
      <c r="EI44" s="208"/>
      <c r="EJ44" s="208"/>
      <c r="EK44" s="208"/>
      <c r="EL44" s="208"/>
      <c r="EM44" s="208"/>
      <c r="EN44" s="208"/>
      <c r="EO44" s="208"/>
      <c r="EP44" s="208"/>
      <c r="EQ44" s="208"/>
      <c r="ER44" s="208"/>
      <c r="ES44" s="208"/>
      <c r="ET44" s="208"/>
      <c r="EU44" s="208"/>
      <c r="EV44" s="208"/>
      <c r="EW44" s="208"/>
      <c r="EX44" s="208"/>
      <c r="EY44" s="208"/>
      <c r="EZ44" s="208">
        <v>0</v>
      </c>
      <c r="FA44" s="208">
        <v>0</v>
      </c>
      <c r="FB44" s="208">
        <v>0</v>
      </c>
      <c r="FC44" s="208"/>
      <c r="FD44" s="82"/>
      <c r="FE44" s="30"/>
    </row>
    <row r="45" spans="1:161" ht="15" hidden="1">
      <c r="A45" s="25" t="s">
        <v>630</v>
      </c>
      <c r="B45" s="212" t="s">
        <v>658</v>
      </c>
      <c r="C45" s="138"/>
      <c r="D45" s="221"/>
      <c r="E45" s="239">
        <v>970</v>
      </c>
      <c r="F45" s="95"/>
      <c r="G45" s="95"/>
      <c r="H45" s="147" t="s">
        <v>656</v>
      </c>
      <c r="I45" s="147"/>
      <c r="J45" s="135"/>
      <c r="K45" s="135"/>
      <c r="L45" s="139"/>
      <c r="M45" s="134"/>
      <c r="N45" s="134"/>
      <c r="O45" s="134"/>
      <c r="P45" s="134"/>
      <c r="Q45" s="134"/>
      <c r="R45" s="134"/>
      <c r="S45" s="139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3"/>
      <c r="BD45" s="83"/>
      <c r="BE45" s="83"/>
      <c r="BF45" s="83"/>
      <c r="BG45" s="82"/>
      <c r="BH45" s="81"/>
      <c r="BI45" s="80"/>
      <c r="BJ45" s="25"/>
      <c r="BK45" s="25"/>
      <c r="BL45" s="25"/>
      <c r="BM45" s="84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92"/>
      <c r="DG45" s="92"/>
      <c r="DH45" s="203"/>
      <c r="DI45" s="203"/>
      <c r="DJ45" s="203"/>
      <c r="DK45" s="203"/>
      <c r="DL45" s="203"/>
      <c r="DM45" s="203"/>
      <c r="DN45" s="203"/>
      <c r="DO45" s="203"/>
      <c r="DP45" s="208"/>
      <c r="DQ45" s="208"/>
      <c r="DR45" s="208"/>
      <c r="DS45" s="208"/>
      <c r="DT45" s="208"/>
      <c r="DU45" s="208"/>
      <c r="DV45" s="208"/>
      <c r="DW45" s="208"/>
      <c r="DX45" s="208"/>
      <c r="DY45" s="208"/>
      <c r="DZ45" s="208"/>
      <c r="EA45" s="208"/>
      <c r="EB45" s="208"/>
      <c r="EC45" s="208"/>
      <c r="ED45" s="208"/>
      <c r="EE45" s="208"/>
      <c r="EF45" s="208"/>
      <c r="EG45" s="208"/>
      <c r="EH45" s="208"/>
      <c r="EI45" s="208"/>
      <c r="EJ45" s="208"/>
      <c r="EK45" s="208"/>
      <c r="EL45" s="208"/>
      <c r="EM45" s="208"/>
      <c r="EN45" s="208"/>
      <c r="EO45" s="208"/>
      <c r="EP45" s="208"/>
      <c r="EQ45" s="208"/>
      <c r="ER45" s="208"/>
      <c r="ES45" s="208"/>
      <c r="ET45" s="208"/>
      <c r="EU45" s="208"/>
      <c r="EV45" s="208"/>
      <c r="EW45" s="208"/>
      <c r="EX45" s="208"/>
      <c r="EY45" s="208"/>
      <c r="EZ45" s="208">
        <v>0</v>
      </c>
      <c r="FA45" s="208">
        <v>0</v>
      </c>
      <c r="FB45" s="208">
        <v>0</v>
      </c>
      <c r="FC45" s="208"/>
      <c r="FD45" s="82"/>
      <c r="FE45" s="30"/>
    </row>
    <row r="46" spans="1:161" ht="15" hidden="1">
      <c r="A46" s="25" t="s">
        <v>631</v>
      </c>
      <c r="B46" s="212" t="s">
        <v>658</v>
      </c>
      <c r="C46" s="138"/>
      <c r="D46" s="221"/>
      <c r="E46" s="239">
        <v>970</v>
      </c>
      <c r="F46" s="95"/>
      <c r="G46" s="95"/>
      <c r="H46" s="147" t="s">
        <v>656</v>
      </c>
      <c r="I46" s="147"/>
      <c r="J46" s="135"/>
      <c r="K46" s="135"/>
      <c r="L46" s="139"/>
      <c r="M46" s="134"/>
      <c r="N46" s="134"/>
      <c r="O46" s="134"/>
      <c r="P46" s="134"/>
      <c r="Q46" s="134"/>
      <c r="R46" s="134"/>
      <c r="S46" s="139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3"/>
      <c r="BD46" s="83"/>
      <c r="BE46" s="83"/>
      <c r="BF46" s="83"/>
      <c r="BG46" s="82"/>
      <c r="BH46" s="81"/>
      <c r="BI46" s="80"/>
      <c r="BJ46" s="25"/>
      <c r="BK46" s="25"/>
      <c r="BL46" s="25"/>
      <c r="BM46" s="84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92"/>
      <c r="DG46" s="92"/>
      <c r="DH46" s="203"/>
      <c r="DI46" s="203"/>
      <c r="DJ46" s="203"/>
      <c r="DK46" s="203"/>
      <c r="DL46" s="203"/>
      <c r="DM46" s="203"/>
      <c r="DN46" s="203"/>
      <c r="DO46" s="203"/>
      <c r="DP46" s="208"/>
      <c r="DQ46" s="208"/>
      <c r="DR46" s="208"/>
      <c r="DS46" s="208"/>
      <c r="DT46" s="208"/>
      <c r="DU46" s="208"/>
      <c r="DV46" s="208"/>
      <c r="DW46" s="208"/>
      <c r="DX46" s="208"/>
      <c r="DY46" s="208"/>
      <c r="DZ46" s="208"/>
      <c r="EA46" s="208"/>
      <c r="EB46" s="208"/>
      <c r="EC46" s="208"/>
      <c r="ED46" s="208"/>
      <c r="EE46" s="208"/>
      <c r="EF46" s="208"/>
      <c r="EG46" s="208"/>
      <c r="EH46" s="208"/>
      <c r="EI46" s="208"/>
      <c r="EJ46" s="208"/>
      <c r="EK46" s="208"/>
      <c r="EL46" s="208"/>
      <c r="EM46" s="208"/>
      <c r="EN46" s="208"/>
      <c r="EO46" s="208"/>
      <c r="EP46" s="208"/>
      <c r="EQ46" s="208"/>
      <c r="ER46" s="208"/>
      <c r="ES46" s="208"/>
      <c r="ET46" s="208"/>
      <c r="EU46" s="208"/>
      <c r="EV46" s="208"/>
      <c r="EW46" s="208"/>
      <c r="EX46" s="208"/>
      <c r="EY46" s="208"/>
      <c r="EZ46" s="208">
        <v>0</v>
      </c>
      <c r="FA46" s="208">
        <v>0</v>
      </c>
      <c r="FB46" s="208">
        <v>0</v>
      </c>
      <c r="FC46" s="208"/>
      <c r="FD46" s="82"/>
      <c r="FE46" s="30"/>
    </row>
    <row r="47" spans="1:161" ht="15" hidden="1">
      <c r="A47" s="25" t="s">
        <v>633</v>
      </c>
      <c r="B47" s="212" t="s">
        <v>658</v>
      </c>
      <c r="C47" s="138"/>
      <c r="D47" s="221"/>
      <c r="E47" s="239">
        <v>970</v>
      </c>
      <c r="F47" s="95"/>
      <c r="G47" s="95"/>
      <c r="H47" s="147" t="s">
        <v>656</v>
      </c>
      <c r="I47" s="147"/>
      <c r="J47" s="135"/>
      <c r="K47" s="135"/>
      <c r="L47" s="139"/>
      <c r="M47" s="134"/>
      <c r="N47" s="134"/>
      <c r="O47" s="134"/>
      <c r="P47" s="134"/>
      <c r="Q47" s="134"/>
      <c r="R47" s="134"/>
      <c r="S47" s="139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3"/>
      <c r="BD47" s="83"/>
      <c r="BE47" s="83"/>
      <c r="BF47" s="83"/>
      <c r="BG47" s="82"/>
      <c r="BH47" s="81"/>
      <c r="BI47" s="80"/>
      <c r="BJ47" s="25"/>
      <c r="BK47" s="25"/>
      <c r="BL47" s="25"/>
      <c r="BM47" s="84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92"/>
      <c r="DG47" s="92"/>
      <c r="DH47" s="203"/>
      <c r="DI47" s="203"/>
      <c r="DJ47" s="203"/>
      <c r="DK47" s="203"/>
      <c r="DL47" s="203"/>
      <c r="DM47" s="203"/>
      <c r="DN47" s="203"/>
      <c r="DO47" s="203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>
        <v>0</v>
      </c>
      <c r="FA47" s="208">
        <v>0</v>
      </c>
      <c r="FB47" s="208">
        <v>0</v>
      </c>
      <c r="FC47" s="208"/>
      <c r="FD47" s="82"/>
      <c r="FE47" s="30"/>
    </row>
    <row r="48" spans="1:161" ht="15" hidden="1">
      <c r="A48" s="25" t="s">
        <v>634</v>
      </c>
      <c r="B48" s="212" t="s">
        <v>658</v>
      </c>
      <c r="C48" s="138"/>
      <c r="D48" s="221"/>
      <c r="E48" s="239">
        <v>970</v>
      </c>
      <c r="F48" s="95"/>
      <c r="G48" s="95"/>
      <c r="H48" s="147" t="s">
        <v>656</v>
      </c>
      <c r="I48" s="147"/>
      <c r="J48" s="135"/>
      <c r="K48" s="135"/>
      <c r="L48" s="139"/>
      <c r="M48" s="134"/>
      <c r="N48" s="134"/>
      <c r="O48" s="134"/>
      <c r="P48" s="134"/>
      <c r="Q48" s="134"/>
      <c r="R48" s="134"/>
      <c r="S48" s="139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3"/>
      <c r="BD48" s="83"/>
      <c r="BE48" s="83"/>
      <c r="BF48" s="83"/>
      <c r="BG48" s="82"/>
      <c r="BH48" s="81"/>
      <c r="BI48" s="80"/>
      <c r="BJ48" s="25"/>
      <c r="BK48" s="25"/>
      <c r="BL48" s="25"/>
      <c r="BM48" s="84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92"/>
      <c r="DG48" s="92"/>
      <c r="DH48" s="203"/>
      <c r="DI48" s="203"/>
      <c r="DJ48" s="203"/>
      <c r="DK48" s="203"/>
      <c r="DL48" s="203"/>
      <c r="DM48" s="203"/>
      <c r="DN48" s="203"/>
      <c r="DO48" s="203"/>
      <c r="DP48" s="208"/>
      <c r="DQ48" s="208"/>
      <c r="DR48" s="208"/>
      <c r="DS48" s="208"/>
      <c r="DT48" s="208"/>
      <c r="DU48" s="208"/>
      <c r="DV48" s="208"/>
      <c r="DW48" s="208"/>
      <c r="DX48" s="208"/>
      <c r="DY48" s="208"/>
      <c r="DZ48" s="208"/>
      <c r="EA48" s="208"/>
      <c r="EB48" s="208"/>
      <c r="EC48" s="208"/>
      <c r="ED48" s="208"/>
      <c r="EE48" s="208"/>
      <c r="EF48" s="208"/>
      <c r="EG48" s="208"/>
      <c r="EH48" s="208"/>
      <c r="EI48" s="208"/>
      <c r="EJ48" s="208"/>
      <c r="EK48" s="208"/>
      <c r="EL48" s="208"/>
      <c r="EM48" s="208"/>
      <c r="EN48" s="208"/>
      <c r="EO48" s="208"/>
      <c r="EP48" s="208"/>
      <c r="EQ48" s="208"/>
      <c r="ER48" s="208"/>
      <c r="ES48" s="208"/>
      <c r="ET48" s="208"/>
      <c r="EU48" s="208"/>
      <c r="EV48" s="208"/>
      <c r="EW48" s="208"/>
      <c r="EX48" s="208"/>
      <c r="EY48" s="208"/>
      <c r="EZ48" s="208">
        <v>0</v>
      </c>
      <c r="FA48" s="208">
        <v>0</v>
      </c>
      <c r="FB48" s="208">
        <v>0</v>
      </c>
      <c r="FC48" s="208"/>
      <c r="FD48" s="82"/>
      <c r="FE48" s="30"/>
    </row>
    <row r="49" spans="1:161" ht="15" hidden="1">
      <c r="A49" s="25" t="s">
        <v>635</v>
      </c>
      <c r="B49" s="212" t="s">
        <v>658</v>
      </c>
      <c r="C49" s="138"/>
      <c r="D49" s="221"/>
      <c r="E49" s="239">
        <v>970</v>
      </c>
      <c r="F49" s="95"/>
      <c r="G49" s="95"/>
      <c r="H49" s="147" t="s">
        <v>656</v>
      </c>
      <c r="I49" s="147"/>
      <c r="J49" s="135"/>
      <c r="K49" s="135"/>
      <c r="L49" s="139"/>
      <c r="M49" s="134"/>
      <c r="N49" s="134"/>
      <c r="O49" s="134"/>
      <c r="P49" s="134"/>
      <c r="Q49" s="134"/>
      <c r="R49" s="134"/>
      <c r="S49" s="139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3"/>
      <c r="BD49" s="83"/>
      <c r="BE49" s="83"/>
      <c r="BF49" s="83"/>
      <c r="BG49" s="82"/>
      <c r="BH49" s="81"/>
      <c r="BI49" s="80"/>
      <c r="BJ49" s="25"/>
      <c r="BK49" s="25"/>
      <c r="BL49" s="25"/>
      <c r="BM49" s="84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92"/>
      <c r="DG49" s="92"/>
      <c r="DH49" s="203"/>
      <c r="DI49" s="203"/>
      <c r="DJ49" s="203"/>
      <c r="DK49" s="203"/>
      <c r="DL49" s="203"/>
      <c r="DM49" s="203"/>
      <c r="DN49" s="203"/>
      <c r="DO49" s="203"/>
      <c r="DP49" s="208"/>
      <c r="DQ49" s="208"/>
      <c r="DR49" s="208"/>
      <c r="DS49" s="208"/>
      <c r="DT49" s="208"/>
      <c r="DU49" s="208"/>
      <c r="DV49" s="208"/>
      <c r="DW49" s="208"/>
      <c r="DX49" s="208"/>
      <c r="DY49" s="208"/>
      <c r="DZ49" s="208"/>
      <c r="EA49" s="208"/>
      <c r="EB49" s="208"/>
      <c r="EC49" s="208"/>
      <c r="ED49" s="208"/>
      <c r="EE49" s="208"/>
      <c r="EF49" s="208"/>
      <c r="EG49" s="208"/>
      <c r="EH49" s="208"/>
      <c r="EI49" s="208"/>
      <c r="EJ49" s="208"/>
      <c r="EK49" s="208"/>
      <c r="EL49" s="208"/>
      <c r="EM49" s="208"/>
      <c r="EN49" s="208"/>
      <c r="EO49" s="208"/>
      <c r="EP49" s="208"/>
      <c r="EQ49" s="208"/>
      <c r="ER49" s="208"/>
      <c r="ES49" s="208"/>
      <c r="ET49" s="208"/>
      <c r="EU49" s="208"/>
      <c r="EV49" s="208"/>
      <c r="EW49" s="208"/>
      <c r="EX49" s="208"/>
      <c r="EY49" s="208"/>
      <c r="EZ49" s="208">
        <v>0</v>
      </c>
      <c r="FA49" s="208">
        <v>0</v>
      </c>
      <c r="FB49" s="208">
        <v>0</v>
      </c>
      <c r="FC49" s="208"/>
      <c r="FD49" s="82"/>
      <c r="FE49" s="30"/>
    </row>
    <row r="50" spans="1:161" ht="15" hidden="1">
      <c r="A50" s="25" t="s">
        <v>636</v>
      </c>
      <c r="B50" s="212" t="s">
        <v>658</v>
      </c>
      <c r="C50" s="138"/>
      <c r="D50" s="221"/>
      <c r="E50" s="239">
        <v>970</v>
      </c>
      <c r="F50" s="95"/>
      <c r="G50" s="95"/>
      <c r="H50" s="147" t="s">
        <v>656</v>
      </c>
      <c r="I50" s="147"/>
      <c r="J50" s="135"/>
      <c r="K50" s="135"/>
      <c r="L50" s="139"/>
      <c r="M50" s="134"/>
      <c r="N50" s="134"/>
      <c r="O50" s="134"/>
      <c r="P50" s="134"/>
      <c r="Q50" s="134"/>
      <c r="R50" s="134"/>
      <c r="S50" s="139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3"/>
      <c r="BD50" s="83"/>
      <c r="BE50" s="83"/>
      <c r="BF50" s="83"/>
      <c r="BG50" s="82"/>
      <c r="BH50" s="81"/>
      <c r="BI50" s="80"/>
      <c r="BJ50" s="25"/>
      <c r="BK50" s="25"/>
      <c r="BL50" s="25"/>
      <c r="BM50" s="84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92"/>
      <c r="DG50" s="92"/>
      <c r="DH50" s="203"/>
      <c r="DI50" s="203"/>
      <c r="DJ50" s="203"/>
      <c r="DK50" s="203"/>
      <c r="DL50" s="203"/>
      <c r="DM50" s="203"/>
      <c r="DN50" s="203"/>
      <c r="DO50" s="203"/>
      <c r="DP50" s="208"/>
      <c r="DQ50" s="208"/>
      <c r="DR50" s="208"/>
      <c r="DS50" s="208"/>
      <c r="DT50" s="208"/>
      <c r="DU50" s="208"/>
      <c r="DV50" s="208"/>
      <c r="DW50" s="208"/>
      <c r="DX50" s="208"/>
      <c r="DY50" s="208"/>
      <c r="DZ50" s="208"/>
      <c r="EA50" s="208"/>
      <c r="EB50" s="208"/>
      <c r="EC50" s="208"/>
      <c r="ED50" s="208"/>
      <c r="EE50" s="208"/>
      <c r="EF50" s="208"/>
      <c r="EG50" s="208"/>
      <c r="EH50" s="208"/>
      <c r="EI50" s="208"/>
      <c r="EJ50" s="208"/>
      <c r="EK50" s="208"/>
      <c r="EL50" s="208"/>
      <c r="EM50" s="208"/>
      <c r="EN50" s="208"/>
      <c r="EO50" s="208"/>
      <c r="EP50" s="208"/>
      <c r="EQ50" s="208"/>
      <c r="ER50" s="208"/>
      <c r="ES50" s="208"/>
      <c r="ET50" s="208"/>
      <c r="EU50" s="208"/>
      <c r="EV50" s="208"/>
      <c r="EW50" s="208"/>
      <c r="EX50" s="208"/>
      <c r="EY50" s="208"/>
      <c r="EZ50" s="208">
        <v>0</v>
      </c>
      <c r="FA50" s="208">
        <v>0</v>
      </c>
      <c r="FB50" s="208">
        <v>0</v>
      </c>
      <c r="FC50" s="208"/>
      <c r="FD50" s="82"/>
      <c r="FE50" s="30"/>
    </row>
    <row r="51" spans="1:161" ht="15" hidden="1">
      <c r="A51" s="25" t="s">
        <v>637</v>
      </c>
      <c r="B51" s="212" t="s">
        <v>658</v>
      </c>
      <c r="C51" s="138"/>
      <c r="D51" s="221"/>
      <c r="E51" s="239">
        <v>970</v>
      </c>
      <c r="F51" s="95"/>
      <c r="G51" s="95"/>
      <c r="H51" s="147" t="s">
        <v>656</v>
      </c>
      <c r="I51" s="147"/>
      <c r="J51" s="135"/>
      <c r="K51" s="135"/>
      <c r="L51" s="139"/>
      <c r="M51" s="134"/>
      <c r="N51" s="134"/>
      <c r="O51" s="134"/>
      <c r="P51" s="134"/>
      <c r="Q51" s="134"/>
      <c r="R51" s="134"/>
      <c r="S51" s="139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3"/>
      <c r="BD51" s="83"/>
      <c r="BE51" s="83"/>
      <c r="BF51" s="83"/>
      <c r="BG51" s="82"/>
      <c r="BH51" s="81"/>
      <c r="BI51" s="80"/>
      <c r="BJ51" s="25"/>
      <c r="BK51" s="25"/>
      <c r="BL51" s="25"/>
      <c r="BM51" s="84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92"/>
      <c r="DG51" s="92"/>
      <c r="DH51" s="203"/>
      <c r="DI51" s="203"/>
      <c r="DJ51" s="203"/>
      <c r="DK51" s="203"/>
      <c r="DL51" s="203"/>
      <c r="DM51" s="203"/>
      <c r="DN51" s="203"/>
      <c r="DO51" s="203"/>
      <c r="DP51" s="208"/>
      <c r="DQ51" s="208"/>
      <c r="DR51" s="208"/>
      <c r="DS51" s="208"/>
      <c r="DT51" s="208"/>
      <c r="DU51" s="208"/>
      <c r="DV51" s="208"/>
      <c r="DW51" s="208"/>
      <c r="DX51" s="208"/>
      <c r="DY51" s="208"/>
      <c r="DZ51" s="208"/>
      <c r="EA51" s="208"/>
      <c r="EB51" s="208"/>
      <c r="EC51" s="208"/>
      <c r="ED51" s="208"/>
      <c r="EE51" s="208"/>
      <c r="EF51" s="208"/>
      <c r="EG51" s="208"/>
      <c r="EH51" s="208"/>
      <c r="EI51" s="208"/>
      <c r="EJ51" s="208"/>
      <c r="EK51" s="208"/>
      <c r="EL51" s="208"/>
      <c r="EM51" s="208"/>
      <c r="EN51" s="208"/>
      <c r="EO51" s="208"/>
      <c r="EP51" s="208"/>
      <c r="EQ51" s="208"/>
      <c r="ER51" s="208"/>
      <c r="ES51" s="208"/>
      <c r="ET51" s="208"/>
      <c r="EU51" s="208"/>
      <c r="EV51" s="208"/>
      <c r="EW51" s="208"/>
      <c r="EX51" s="208"/>
      <c r="EY51" s="208"/>
      <c r="EZ51" s="208">
        <v>0</v>
      </c>
      <c r="FA51" s="208">
        <v>0</v>
      </c>
      <c r="FB51" s="208">
        <v>0</v>
      </c>
      <c r="FC51" s="208"/>
      <c r="FD51" s="82"/>
      <c r="FE51" s="30"/>
    </row>
    <row r="52" spans="1:161" ht="15" hidden="1">
      <c r="A52" s="25" t="s">
        <v>638</v>
      </c>
      <c r="B52" s="212" t="s">
        <v>658</v>
      </c>
      <c r="C52" s="138"/>
      <c r="D52" s="221"/>
      <c r="E52" s="239">
        <v>970</v>
      </c>
      <c r="F52" s="95"/>
      <c r="G52" s="95"/>
      <c r="H52" s="147" t="s">
        <v>656</v>
      </c>
      <c r="I52" s="147"/>
      <c r="J52" s="135"/>
      <c r="K52" s="135"/>
      <c r="L52" s="139"/>
      <c r="M52" s="134"/>
      <c r="N52" s="134"/>
      <c r="O52" s="134"/>
      <c r="P52" s="134"/>
      <c r="Q52" s="134"/>
      <c r="R52" s="134"/>
      <c r="S52" s="139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3"/>
      <c r="BD52" s="83"/>
      <c r="BE52" s="83"/>
      <c r="BF52" s="83"/>
      <c r="BG52" s="82"/>
      <c r="BH52" s="81"/>
      <c r="BI52" s="80"/>
      <c r="BJ52" s="25"/>
      <c r="BK52" s="25"/>
      <c r="BL52" s="25"/>
      <c r="BM52" s="84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92"/>
      <c r="DG52" s="92"/>
      <c r="DH52" s="203"/>
      <c r="DI52" s="203"/>
      <c r="DJ52" s="203"/>
      <c r="DK52" s="203"/>
      <c r="DL52" s="203"/>
      <c r="DM52" s="203"/>
      <c r="DN52" s="203"/>
      <c r="DO52" s="203"/>
      <c r="DP52" s="208"/>
      <c r="DQ52" s="208"/>
      <c r="DR52" s="208"/>
      <c r="DS52" s="208"/>
      <c r="DT52" s="208"/>
      <c r="DU52" s="208"/>
      <c r="DV52" s="208"/>
      <c r="DW52" s="208"/>
      <c r="DX52" s="208"/>
      <c r="DY52" s="208"/>
      <c r="DZ52" s="208"/>
      <c r="EA52" s="208"/>
      <c r="EB52" s="208"/>
      <c r="EC52" s="208"/>
      <c r="ED52" s="208"/>
      <c r="EE52" s="208"/>
      <c r="EF52" s="208"/>
      <c r="EG52" s="208"/>
      <c r="EH52" s="208"/>
      <c r="EI52" s="208"/>
      <c r="EJ52" s="208"/>
      <c r="EK52" s="208"/>
      <c r="EL52" s="208"/>
      <c r="EM52" s="208"/>
      <c r="EN52" s="208"/>
      <c r="EO52" s="208"/>
      <c r="EP52" s="208"/>
      <c r="EQ52" s="208"/>
      <c r="ER52" s="208"/>
      <c r="ES52" s="208"/>
      <c r="ET52" s="208"/>
      <c r="EU52" s="208"/>
      <c r="EV52" s="208"/>
      <c r="EW52" s="208"/>
      <c r="EX52" s="208"/>
      <c r="EY52" s="208"/>
      <c r="EZ52" s="208">
        <v>0</v>
      </c>
      <c r="FA52" s="208">
        <v>0</v>
      </c>
      <c r="FB52" s="208">
        <v>0</v>
      </c>
      <c r="FC52" s="208"/>
      <c r="FD52" s="82"/>
      <c r="FE52" s="30"/>
    </row>
    <row r="53" spans="1:161" ht="15" hidden="1">
      <c r="A53" s="25" t="s">
        <v>639</v>
      </c>
      <c r="B53" s="212" t="s">
        <v>658</v>
      </c>
      <c r="C53" s="138"/>
      <c r="D53" s="221"/>
      <c r="E53" s="239">
        <v>970</v>
      </c>
      <c r="F53" s="95"/>
      <c r="G53" s="95"/>
      <c r="H53" s="147" t="s">
        <v>656</v>
      </c>
      <c r="I53" s="147"/>
      <c r="J53" s="135"/>
      <c r="K53" s="135"/>
      <c r="L53" s="139"/>
      <c r="M53" s="134"/>
      <c r="N53" s="134"/>
      <c r="O53" s="134"/>
      <c r="P53" s="134"/>
      <c r="Q53" s="134"/>
      <c r="R53" s="134"/>
      <c r="S53" s="139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3"/>
      <c r="BD53" s="83"/>
      <c r="BE53" s="83"/>
      <c r="BF53" s="83"/>
      <c r="BG53" s="82"/>
      <c r="BH53" s="81"/>
      <c r="BI53" s="80"/>
      <c r="BJ53" s="25"/>
      <c r="BK53" s="25"/>
      <c r="BL53" s="25"/>
      <c r="BM53" s="84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92"/>
      <c r="DG53" s="92"/>
      <c r="DH53" s="203"/>
      <c r="DI53" s="203"/>
      <c r="DJ53" s="203"/>
      <c r="DK53" s="203"/>
      <c r="DL53" s="203"/>
      <c r="DM53" s="203"/>
      <c r="DN53" s="203"/>
      <c r="DO53" s="203"/>
      <c r="DP53" s="208"/>
      <c r="DQ53" s="208"/>
      <c r="DR53" s="208"/>
      <c r="DS53" s="208"/>
      <c r="DT53" s="208"/>
      <c r="DU53" s="208"/>
      <c r="DV53" s="208"/>
      <c r="DW53" s="208"/>
      <c r="DX53" s="208"/>
      <c r="DY53" s="208"/>
      <c r="DZ53" s="208"/>
      <c r="EA53" s="208"/>
      <c r="EB53" s="208"/>
      <c r="EC53" s="208"/>
      <c r="ED53" s="208"/>
      <c r="EE53" s="208"/>
      <c r="EF53" s="208"/>
      <c r="EG53" s="208"/>
      <c r="EH53" s="208"/>
      <c r="EI53" s="208"/>
      <c r="EJ53" s="208"/>
      <c r="EK53" s="208"/>
      <c r="EL53" s="208"/>
      <c r="EM53" s="208"/>
      <c r="EN53" s="208"/>
      <c r="EO53" s="208"/>
      <c r="EP53" s="208"/>
      <c r="EQ53" s="208"/>
      <c r="ER53" s="208"/>
      <c r="ES53" s="208"/>
      <c r="ET53" s="208"/>
      <c r="EU53" s="208"/>
      <c r="EV53" s="208"/>
      <c r="EW53" s="208"/>
      <c r="EX53" s="208"/>
      <c r="EY53" s="208"/>
      <c r="EZ53" s="208">
        <v>0</v>
      </c>
      <c r="FA53" s="208">
        <v>0</v>
      </c>
      <c r="FB53" s="208">
        <v>0</v>
      </c>
      <c r="FC53" s="208"/>
      <c r="FD53" s="82"/>
      <c r="FE53" s="30"/>
    </row>
    <row r="54" spans="1:161" ht="15" hidden="1">
      <c r="A54" s="25" t="s">
        <v>623</v>
      </c>
      <c r="B54" s="212" t="s">
        <v>658</v>
      </c>
      <c r="C54" s="138"/>
      <c r="D54" s="221"/>
      <c r="E54" s="239">
        <v>770</v>
      </c>
      <c r="F54" s="95"/>
      <c r="G54" s="95"/>
      <c r="H54" s="147" t="s">
        <v>656</v>
      </c>
      <c r="I54" s="147"/>
      <c r="J54" s="135"/>
      <c r="K54" s="135"/>
      <c r="L54" s="139"/>
      <c r="M54" s="134"/>
      <c r="N54" s="134"/>
      <c r="O54" s="134"/>
      <c r="P54" s="134"/>
      <c r="Q54" s="134"/>
      <c r="R54" s="134"/>
      <c r="S54" s="139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3"/>
      <c r="BD54" s="83"/>
      <c r="BE54" s="83"/>
      <c r="BF54" s="83"/>
      <c r="BG54" s="82"/>
      <c r="BH54" s="81"/>
      <c r="BI54" s="80"/>
      <c r="BJ54" s="25"/>
      <c r="BK54" s="25"/>
      <c r="BL54" s="25"/>
      <c r="BM54" s="84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92"/>
      <c r="DG54" s="92"/>
      <c r="DH54" s="203"/>
      <c r="DI54" s="203"/>
      <c r="DJ54" s="203"/>
      <c r="DK54" s="203"/>
      <c r="DL54" s="203"/>
      <c r="DM54" s="203"/>
      <c r="DN54" s="203"/>
      <c r="DO54" s="203"/>
      <c r="DP54" s="208"/>
      <c r="DQ54" s="208"/>
      <c r="DR54" s="208"/>
      <c r="DS54" s="208"/>
      <c r="DT54" s="208"/>
      <c r="DU54" s="208"/>
      <c r="DV54" s="208"/>
      <c r="DW54" s="208"/>
      <c r="DX54" s="208"/>
      <c r="DY54" s="208"/>
      <c r="DZ54" s="208"/>
      <c r="EA54" s="208"/>
      <c r="EB54" s="208"/>
      <c r="EC54" s="208"/>
      <c r="ED54" s="208"/>
      <c r="EE54" s="208"/>
      <c r="EF54" s="208"/>
      <c r="EG54" s="208"/>
      <c r="EH54" s="208"/>
      <c r="EI54" s="208"/>
      <c r="EJ54" s="208"/>
      <c r="EK54" s="208"/>
      <c r="EL54" s="208"/>
      <c r="EM54" s="208"/>
      <c r="EN54" s="208"/>
      <c r="EO54" s="208"/>
      <c r="EP54" s="208"/>
      <c r="EQ54" s="208"/>
      <c r="ER54" s="208"/>
      <c r="ES54" s="208"/>
      <c r="ET54" s="208"/>
      <c r="EU54" s="208"/>
      <c r="EV54" s="208"/>
      <c r="EW54" s="208"/>
      <c r="EX54" s="208"/>
      <c r="EY54" s="208"/>
      <c r="EZ54" s="208">
        <v>0</v>
      </c>
      <c r="FA54" s="208">
        <v>0</v>
      </c>
      <c r="FB54" s="208">
        <v>0</v>
      </c>
      <c r="FC54" s="208"/>
      <c r="FD54" s="82"/>
      <c r="FE54" s="30"/>
    </row>
    <row r="55" spans="1:161" ht="15" hidden="1">
      <c r="A55" s="25" t="s">
        <v>624</v>
      </c>
      <c r="B55" s="212" t="s">
        <v>658</v>
      </c>
      <c r="C55" s="138"/>
      <c r="D55" s="221"/>
      <c r="E55" s="239">
        <v>770</v>
      </c>
      <c r="F55" s="95"/>
      <c r="G55" s="95"/>
      <c r="H55" s="147" t="s">
        <v>656</v>
      </c>
      <c r="I55" s="147"/>
      <c r="J55" s="135"/>
      <c r="K55" s="135"/>
      <c r="L55" s="139"/>
      <c r="M55" s="134"/>
      <c r="N55" s="134"/>
      <c r="O55" s="134"/>
      <c r="P55" s="134"/>
      <c r="Q55" s="134"/>
      <c r="R55" s="134"/>
      <c r="S55" s="139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3"/>
      <c r="BD55" s="83"/>
      <c r="BE55" s="83"/>
      <c r="BF55" s="83"/>
      <c r="BG55" s="82"/>
      <c r="BH55" s="81"/>
      <c r="BI55" s="80"/>
      <c r="BJ55" s="25"/>
      <c r="BK55" s="25"/>
      <c r="BL55" s="25"/>
      <c r="BM55" s="84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92"/>
      <c r="DG55" s="92"/>
      <c r="DH55" s="203"/>
      <c r="DI55" s="203"/>
      <c r="DJ55" s="203"/>
      <c r="DK55" s="203"/>
      <c r="DL55" s="203"/>
      <c r="DM55" s="203"/>
      <c r="DN55" s="203"/>
      <c r="DO55" s="203"/>
      <c r="DP55" s="208"/>
      <c r="DQ55" s="208"/>
      <c r="DR55" s="208"/>
      <c r="DS55" s="208"/>
      <c r="DT55" s="208"/>
      <c r="DU55" s="208"/>
      <c r="DV55" s="208"/>
      <c r="DW55" s="208"/>
      <c r="DX55" s="208"/>
      <c r="DY55" s="208"/>
      <c r="DZ55" s="208"/>
      <c r="EA55" s="208"/>
      <c r="EB55" s="208"/>
      <c r="EC55" s="208"/>
      <c r="ED55" s="208"/>
      <c r="EE55" s="208"/>
      <c r="EF55" s="208"/>
      <c r="EG55" s="208"/>
      <c r="EH55" s="208"/>
      <c r="EI55" s="208"/>
      <c r="EJ55" s="208"/>
      <c r="EK55" s="208"/>
      <c r="EL55" s="208"/>
      <c r="EM55" s="208"/>
      <c r="EN55" s="208"/>
      <c r="EO55" s="208"/>
      <c r="EP55" s="208"/>
      <c r="EQ55" s="208"/>
      <c r="ER55" s="208"/>
      <c r="ES55" s="208"/>
      <c r="ET55" s="208"/>
      <c r="EU55" s="208"/>
      <c r="EV55" s="208"/>
      <c r="EW55" s="208"/>
      <c r="EX55" s="208"/>
      <c r="EY55" s="208"/>
      <c r="EZ55" s="208">
        <v>0</v>
      </c>
      <c r="FA55" s="208">
        <v>0</v>
      </c>
      <c r="FB55" s="208">
        <v>0</v>
      </c>
      <c r="FC55" s="208"/>
      <c r="FD55" s="82"/>
      <c r="FE55" s="30"/>
    </row>
    <row r="56" spans="1:161" ht="15" hidden="1">
      <c r="A56" s="25" t="s">
        <v>640</v>
      </c>
      <c r="B56" s="212" t="s">
        <v>658</v>
      </c>
      <c r="C56" s="138"/>
      <c r="D56" s="221"/>
      <c r="E56" s="239">
        <v>970</v>
      </c>
      <c r="F56" s="95"/>
      <c r="G56" s="95"/>
      <c r="H56" s="147" t="s">
        <v>656</v>
      </c>
      <c r="I56" s="147"/>
      <c r="J56" s="135"/>
      <c r="K56" s="135"/>
      <c r="L56" s="139"/>
      <c r="M56" s="134"/>
      <c r="N56" s="134"/>
      <c r="O56" s="134"/>
      <c r="P56" s="134"/>
      <c r="Q56" s="134"/>
      <c r="R56" s="134"/>
      <c r="S56" s="139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3"/>
      <c r="BD56" s="83"/>
      <c r="BE56" s="83"/>
      <c r="BF56" s="83"/>
      <c r="BG56" s="82"/>
      <c r="BH56" s="81"/>
      <c r="BI56" s="80"/>
      <c r="BJ56" s="25"/>
      <c r="BK56" s="25"/>
      <c r="BL56" s="25"/>
      <c r="BM56" s="84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92"/>
      <c r="DG56" s="92"/>
      <c r="DH56" s="203"/>
      <c r="DI56" s="203"/>
      <c r="DJ56" s="203"/>
      <c r="DK56" s="203"/>
      <c r="DL56" s="203"/>
      <c r="DM56" s="203"/>
      <c r="DN56" s="203"/>
      <c r="DO56" s="203"/>
      <c r="DP56" s="208"/>
      <c r="DQ56" s="208"/>
      <c r="DR56" s="208"/>
      <c r="DS56" s="208"/>
      <c r="DT56" s="208"/>
      <c r="DU56" s="208"/>
      <c r="DV56" s="208"/>
      <c r="DW56" s="208"/>
      <c r="DX56" s="208"/>
      <c r="DY56" s="208"/>
      <c r="DZ56" s="208"/>
      <c r="EA56" s="208"/>
      <c r="EB56" s="208"/>
      <c r="EC56" s="208"/>
      <c r="ED56" s="208"/>
      <c r="EE56" s="208"/>
      <c r="EF56" s="208"/>
      <c r="EG56" s="208"/>
      <c r="EH56" s="208"/>
      <c r="EI56" s="208"/>
      <c r="EJ56" s="208"/>
      <c r="EK56" s="208"/>
      <c r="EL56" s="208"/>
      <c r="EM56" s="208"/>
      <c r="EN56" s="208"/>
      <c r="EO56" s="208"/>
      <c r="EP56" s="208"/>
      <c r="EQ56" s="208"/>
      <c r="ER56" s="208"/>
      <c r="ES56" s="208"/>
      <c r="ET56" s="208"/>
      <c r="EU56" s="208"/>
      <c r="EV56" s="208"/>
      <c r="EW56" s="208"/>
      <c r="EX56" s="208"/>
      <c r="EY56" s="208"/>
      <c r="EZ56" s="208">
        <v>0</v>
      </c>
      <c r="FA56" s="208">
        <v>0</v>
      </c>
      <c r="FB56" s="208">
        <v>0</v>
      </c>
      <c r="FC56" s="208"/>
      <c r="FD56" s="82"/>
      <c r="FE56" s="30"/>
    </row>
    <row r="57" spans="1:161" ht="15" hidden="1">
      <c r="A57" s="25" t="s">
        <v>641</v>
      </c>
      <c r="B57" s="212" t="s">
        <v>658</v>
      </c>
      <c r="C57" s="138"/>
      <c r="D57" s="221"/>
      <c r="E57" s="239">
        <v>970</v>
      </c>
      <c r="F57" s="95"/>
      <c r="G57" s="95"/>
      <c r="H57" s="147" t="s">
        <v>656</v>
      </c>
      <c r="I57" s="147"/>
      <c r="J57" s="135"/>
      <c r="K57" s="135"/>
      <c r="L57" s="139"/>
      <c r="M57" s="134"/>
      <c r="N57" s="134"/>
      <c r="O57" s="134"/>
      <c r="P57" s="134"/>
      <c r="Q57" s="134"/>
      <c r="R57" s="134"/>
      <c r="S57" s="139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3"/>
      <c r="BD57" s="83"/>
      <c r="BE57" s="83"/>
      <c r="BF57" s="83"/>
      <c r="BG57" s="82"/>
      <c r="BH57" s="81"/>
      <c r="BI57" s="80"/>
      <c r="BJ57" s="25"/>
      <c r="BK57" s="25"/>
      <c r="BL57" s="25"/>
      <c r="BM57" s="84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92"/>
      <c r="DG57" s="92"/>
      <c r="DH57" s="203"/>
      <c r="DI57" s="203"/>
      <c r="DJ57" s="203"/>
      <c r="DK57" s="203"/>
      <c r="DL57" s="203"/>
      <c r="DM57" s="203"/>
      <c r="DN57" s="203"/>
      <c r="DO57" s="203"/>
      <c r="DP57" s="208"/>
      <c r="DQ57" s="208"/>
      <c r="DR57" s="208"/>
      <c r="DS57" s="208"/>
      <c r="DT57" s="208"/>
      <c r="DU57" s="208"/>
      <c r="DV57" s="208"/>
      <c r="DW57" s="208"/>
      <c r="DX57" s="208"/>
      <c r="DY57" s="208"/>
      <c r="DZ57" s="208"/>
      <c r="EA57" s="208"/>
      <c r="EB57" s="208"/>
      <c r="EC57" s="208"/>
      <c r="ED57" s="208"/>
      <c r="EE57" s="208"/>
      <c r="EF57" s="208"/>
      <c r="EG57" s="208"/>
      <c r="EH57" s="208"/>
      <c r="EI57" s="208"/>
      <c r="EJ57" s="208"/>
      <c r="EK57" s="208"/>
      <c r="EL57" s="208"/>
      <c r="EM57" s="208"/>
      <c r="EN57" s="208"/>
      <c r="EO57" s="208"/>
      <c r="EP57" s="208"/>
      <c r="EQ57" s="208"/>
      <c r="ER57" s="208"/>
      <c r="ES57" s="208"/>
      <c r="ET57" s="208"/>
      <c r="EU57" s="208"/>
      <c r="EV57" s="208"/>
      <c r="EW57" s="208"/>
      <c r="EX57" s="208"/>
      <c r="EY57" s="208"/>
      <c r="EZ57" s="208">
        <v>0</v>
      </c>
      <c r="FA57" s="208">
        <v>0</v>
      </c>
      <c r="FB57" s="208">
        <v>0</v>
      </c>
      <c r="FC57" s="208"/>
      <c r="FD57" s="82"/>
      <c r="FE57" s="30"/>
    </row>
    <row r="58" spans="1:161" ht="15" hidden="1">
      <c r="A58" s="25" t="s">
        <v>642</v>
      </c>
      <c r="B58" s="212" t="s">
        <v>658</v>
      </c>
      <c r="C58" s="138"/>
      <c r="D58" s="221"/>
      <c r="E58" s="239">
        <v>970</v>
      </c>
      <c r="F58" s="95"/>
      <c r="G58" s="95"/>
      <c r="H58" s="147" t="s">
        <v>656</v>
      </c>
      <c r="I58" s="147"/>
      <c r="J58" s="135"/>
      <c r="K58" s="135"/>
      <c r="L58" s="139"/>
      <c r="M58" s="134"/>
      <c r="N58" s="134"/>
      <c r="O58" s="134"/>
      <c r="P58" s="134"/>
      <c r="Q58" s="134"/>
      <c r="R58" s="134"/>
      <c r="S58" s="139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3"/>
      <c r="BD58" s="83"/>
      <c r="BE58" s="83"/>
      <c r="BF58" s="83"/>
      <c r="BG58" s="82"/>
      <c r="BH58" s="81"/>
      <c r="BI58" s="80"/>
      <c r="BJ58" s="25"/>
      <c r="BK58" s="25"/>
      <c r="BL58" s="25"/>
      <c r="BM58" s="84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92"/>
      <c r="DG58" s="92"/>
      <c r="DH58" s="203"/>
      <c r="DI58" s="203"/>
      <c r="DJ58" s="203"/>
      <c r="DK58" s="203"/>
      <c r="DL58" s="203"/>
      <c r="DM58" s="203"/>
      <c r="DN58" s="203"/>
      <c r="DO58" s="203"/>
      <c r="DP58" s="208"/>
      <c r="DQ58" s="208"/>
      <c r="DR58" s="208"/>
      <c r="DS58" s="208"/>
      <c r="DT58" s="208"/>
      <c r="DU58" s="208"/>
      <c r="DV58" s="208"/>
      <c r="DW58" s="208"/>
      <c r="DX58" s="208"/>
      <c r="DY58" s="208"/>
      <c r="DZ58" s="208"/>
      <c r="EA58" s="208"/>
      <c r="EB58" s="208"/>
      <c r="EC58" s="208"/>
      <c r="ED58" s="208"/>
      <c r="EE58" s="208"/>
      <c r="EF58" s="208"/>
      <c r="EG58" s="208"/>
      <c r="EH58" s="208"/>
      <c r="EI58" s="208"/>
      <c r="EJ58" s="208"/>
      <c r="EK58" s="208"/>
      <c r="EL58" s="208"/>
      <c r="EM58" s="208"/>
      <c r="EN58" s="208"/>
      <c r="EO58" s="208"/>
      <c r="EP58" s="208"/>
      <c r="EQ58" s="208"/>
      <c r="ER58" s="208"/>
      <c r="ES58" s="208"/>
      <c r="ET58" s="208"/>
      <c r="EU58" s="208"/>
      <c r="EV58" s="208"/>
      <c r="EW58" s="208"/>
      <c r="EX58" s="208"/>
      <c r="EY58" s="208"/>
      <c r="EZ58" s="208">
        <v>0</v>
      </c>
      <c r="FA58" s="208">
        <v>0</v>
      </c>
      <c r="FB58" s="208">
        <v>0</v>
      </c>
      <c r="FC58" s="208"/>
      <c r="FD58" s="82"/>
      <c r="FE58" s="30"/>
    </row>
    <row r="59" spans="1:161" ht="15" hidden="1">
      <c r="A59" s="25" t="s">
        <v>643</v>
      </c>
      <c r="B59" s="212" t="s">
        <v>658</v>
      </c>
      <c r="C59" s="138"/>
      <c r="D59" s="221"/>
      <c r="E59" s="239">
        <v>970</v>
      </c>
      <c r="F59" s="95"/>
      <c r="G59" s="95"/>
      <c r="H59" s="147" t="s">
        <v>656</v>
      </c>
      <c r="I59" s="147"/>
      <c r="J59" s="135"/>
      <c r="K59" s="135"/>
      <c r="L59" s="139"/>
      <c r="M59" s="134"/>
      <c r="N59" s="134"/>
      <c r="O59" s="134"/>
      <c r="P59" s="134"/>
      <c r="Q59" s="134"/>
      <c r="R59" s="134"/>
      <c r="S59" s="139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3"/>
      <c r="BD59" s="83"/>
      <c r="BE59" s="83"/>
      <c r="BF59" s="83"/>
      <c r="BG59" s="82"/>
      <c r="BH59" s="81"/>
      <c r="BI59" s="80"/>
      <c r="BJ59" s="25"/>
      <c r="BK59" s="25"/>
      <c r="BL59" s="25"/>
      <c r="BM59" s="84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92"/>
      <c r="DG59" s="92"/>
      <c r="DH59" s="203"/>
      <c r="DI59" s="203"/>
      <c r="DJ59" s="203"/>
      <c r="DK59" s="203"/>
      <c r="DL59" s="203"/>
      <c r="DM59" s="203"/>
      <c r="DN59" s="203"/>
      <c r="DO59" s="203"/>
      <c r="DP59" s="208"/>
      <c r="DQ59" s="208"/>
      <c r="DR59" s="208"/>
      <c r="DS59" s="208"/>
      <c r="DT59" s="208"/>
      <c r="DU59" s="208"/>
      <c r="DV59" s="208"/>
      <c r="DW59" s="208"/>
      <c r="DX59" s="208"/>
      <c r="DY59" s="208"/>
      <c r="DZ59" s="208"/>
      <c r="EA59" s="208"/>
      <c r="EB59" s="208"/>
      <c r="EC59" s="208"/>
      <c r="ED59" s="208"/>
      <c r="EE59" s="208"/>
      <c r="EF59" s="208"/>
      <c r="EG59" s="208"/>
      <c r="EH59" s="208"/>
      <c r="EI59" s="208"/>
      <c r="EJ59" s="208"/>
      <c r="EK59" s="208"/>
      <c r="EL59" s="208"/>
      <c r="EM59" s="208"/>
      <c r="EN59" s="208"/>
      <c r="EO59" s="208"/>
      <c r="EP59" s="208"/>
      <c r="EQ59" s="208"/>
      <c r="ER59" s="208"/>
      <c r="ES59" s="208"/>
      <c r="ET59" s="208"/>
      <c r="EU59" s="208"/>
      <c r="EV59" s="208"/>
      <c r="EW59" s="208"/>
      <c r="EX59" s="208"/>
      <c r="EY59" s="208"/>
      <c r="EZ59" s="208">
        <v>0</v>
      </c>
      <c r="FA59" s="208">
        <v>0</v>
      </c>
      <c r="FB59" s="208">
        <v>0</v>
      </c>
      <c r="FC59" s="208"/>
      <c r="FD59" s="82"/>
      <c r="FE59" s="30"/>
    </row>
    <row r="60" spans="1:161" ht="15" hidden="1">
      <c r="A60" s="25" t="s">
        <v>644</v>
      </c>
      <c r="B60" s="212" t="s">
        <v>658</v>
      </c>
      <c r="C60" s="138"/>
      <c r="D60" s="221"/>
      <c r="E60" s="239">
        <v>970</v>
      </c>
      <c r="F60" s="95"/>
      <c r="G60" s="95"/>
      <c r="H60" s="147" t="s">
        <v>656</v>
      </c>
      <c r="I60" s="147"/>
      <c r="J60" s="135"/>
      <c r="K60" s="135"/>
      <c r="L60" s="139"/>
      <c r="M60" s="134"/>
      <c r="N60" s="134"/>
      <c r="O60" s="134"/>
      <c r="P60" s="134"/>
      <c r="Q60" s="134"/>
      <c r="R60" s="134"/>
      <c r="S60" s="139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3"/>
      <c r="BD60" s="83"/>
      <c r="BE60" s="83"/>
      <c r="BF60" s="83"/>
      <c r="BG60" s="82"/>
      <c r="BH60" s="81"/>
      <c r="BI60" s="80"/>
      <c r="BJ60" s="25"/>
      <c r="BK60" s="25"/>
      <c r="BL60" s="25"/>
      <c r="BM60" s="84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92"/>
      <c r="DG60" s="92"/>
      <c r="DH60" s="203"/>
      <c r="DI60" s="203"/>
      <c r="DJ60" s="203"/>
      <c r="DK60" s="203"/>
      <c r="DL60" s="203"/>
      <c r="DM60" s="203"/>
      <c r="DN60" s="203"/>
      <c r="DO60" s="203"/>
      <c r="DP60" s="208"/>
      <c r="DQ60" s="208"/>
      <c r="DR60" s="208"/>
      <c r="DS60" s="208"/>
      <c r="DT60" s="208"/>
      <c r="DU60" s="208"/>
      <c r="DV60" s="208"/>
      <c r="DW60" s="208"/>
      <c r="DX60" s="208"/>
      <c r="DY60" s="208"/>
      <c r="DZ60" s="208"/>
      <c r="EA60" s="208"/>
      <c r="EB60" s="208"/>
      <c r="EC60" s="208"/>
      <c r="ED60" s="208"/>
      <c r="EE60" s="208"/>
      <c r="EF60" s="208"/>
      <c r="EG60" s="208"/>
      <c r="EH60" s="208"/>
      <c r="EI60" s="208"/>
      <c r="EJ60" s="208"/>
      <c r="EK60" s="208"/>
      <c r="EL60" s="208"/>
      <c r="EM60" s="208"/>
      <c r="EN60" s="208"/>
      <c r="EO60" s="208"/>
      <c r="EP60" s="208"/>
      <c r="EQ60" s="208"/>
      <c r="ER60" s="208"/>
      <c r="ES60" s="208"/>
      <c r="ET60" s="208"/>
      <c r="EU60" s="208"/>
      <c r="EV60" s="208"/>
      <c r="EW60" s="208"/>
      <c r="EX60" s="208"/>
      <c r="EY60" s="208"/>
      <c r="EZ60" s="208">
        <v>0</v>
      </c>
      <c r="FA60" s="208">
        <v>0</v>
      </c>
      <c r="FB60" s="208">
        <v>0</v>
      </c>
      <c r="FC60" s="208"/>
      <c r="FD60" s="82"/>
      <c r="FE60" s="30"/>
    </row>
    <row r="61" spans="1:161" ht="15" hidden="1">
      <c r="A61" s="25" t="s">
        <v>645</v>
      </c>
      <c r="B61" s="212" t="s">
        <v>658</v>
      </c>
      <c r="C61" s="138"/>
      <c r="D61" s="221"/>
      <c r="E61" s="239">
        <v>970</v>
      </c>
      <c r="F61" s="95"/>
      <c r="G61" s="95"/>
      <c r="H61" s="147" t="s">
        <v>656</v>
      </c>
      <c r="I61" s="147"/>
      <c r="J61" s="135"/>
      <c r="K61" s="135"/>
      <c r="L61" s="139"/>
      <c r="M61" s="134"/>
      <c r="N61" s="134"/>
      <c r="O61" s="134"/>
      <c r="P61" s="134"/>
      <c r="Q61" s="134"/>
      <c r="R61" s="134"/>
      <c r="S61" s="139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3"/>
      <c r="BD61" s="83"/>
      <c r="BE61" s="83"/>
      <c r="BF61" s="83"/>
      <c r="BG61" s="82"/>
      <c r="BH61" s="81"/>
      <c r="BI61" s="80"/>
      <c r="BJ61" s="25"/>
      <c r="BK61" s="25"/>
      <c r="BL61" s="25"/>
      <c r="BM61" s="84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92"/>
      <c r="DG61" s="92"/>
      <c r="DH61" s="203"/>
      <c r="DI61" s="203"/>
      <c r="DJ61" s="203"/>
      <c r="DK61" s="203"/>
      <c r="DL61" s="203"/>
      <c r="DM61" s="203"/>
      <c r="DN61" s="203"/>
      <c r="DO61" s="203"/>
      <c r="DP61" s="208"/>
      <c r="DQ61" s="208"/>
      <c r="DR61" s="208"/>
      <c r="DS61" s="208"/>
      <c r="DT61" s="208"/>
      <c r="DU61" s="208"/>
      <c r="DV61" s="208"/>
      <c r="DW61" s="208"/>
      <c r="DX61" s="208"/>
      <c r="DY61" s="208"/>
      <c r="DZ61" s="208"/>
      <c r="EA61" s="208"/>
      <c r="EB61" s="208"/>
      <c r="EC61" s="208"/>
      <c r="ED61" s="208"/>
      <c r="EE61" s="208"/>
      <c r="EF61" s="208"/>
      <c r="EG61" s="208"/>
      <c r="EH61" s="208"/>
      <c r="EI61" s="208"/>
      <c r="EJ61" s="208"/>
      <c r="EK61" s="208"/>
      <c r="EL61" s="208"/>
      <c r="EM61" s="208"/>
      <c r="EN61" s="208"/>
      <c r="EO61" s="208"/>
      <c r="EP61" s="208"/>
      <c r="EQ61" s="208"/>
      <c r="ER61" s="208"/>
      <c r="ES61" s="208"/>
      <c r="ET61" s="208"/>
      <c r="EU61" s="208"/>
      <c r="EV61" s="208"/>
      <c r="EW61" s="208"/>
      <c r="EX61" s="208"/>
      <c r="EY61" s="208"/>
      <c r="EZ61" s="208">
        <v>0</v>
      </c>
      <c r="FA61" s="208">
        <v>0</v>
      </c>
      <c r="FB61" s="208">
        <v>0</v>
      </c>
      <c r="FC61" s="208"/>
      <c r="FD61" s="82"/>
      <c r="FE61" s="30"/>
    </row>
    <row r="62" spans="1:161" ht="15" hidden="1">
      <c r="A62" s="25" t="s">
        <v>157</v>
      </c>
      <c r="B62" s="212" t="s">
        <v>153</v>
      </c>
      <c r="C62" s="138"/>
      <c r="D62" s="221"/>
      <c r="E62" s="239">
        <v>970</v>
      </c>
      <c r="F62" s="95"/>
      <c r="G62" s="95"/>
      <c r="H62" s="147" t="s">
        <v>656</v>
      </c>
      <c r="I62" s="147"/>
      <c r="J62" s="135"/>
      <c r="K62" s="135"/>
      <c r="L62" s="139"/>
      <c r="M62" s="134"/>
      <c r="N62" s="134"/>
      <c r="O62" s="134"/>
      <c r="P62" s="134"/>
      <c r="Q62" s="134"/>
      <c r="R62" s="134"/>
      <c r="S62" s="139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3"/>
      <c r="BD62" s="83"/>
      <c r="BE62" s="83"/>
      <c r="BF62" s="83"/>
      <c r="BG62" s="82"/>
      <c r="BH62" s="81"/>
      <c r="BI62" s="80"/>
      <c r="BJ62" s="25"/>
      <c r="BK62" s="25"/>
      <c r="BL62" s="25"/>
      <c r="BM62" s="84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92"/>
      <c r="DG62" s="92"/>
      <c r="DH62" s="203"/>
      <c r="DI62" s="203"/>
      <c r="DJ62" s="203"/>
      <c r="DK62" s="203"/>
      <c r="DL62" s="203"/>
      <c r="DM62" s="203"/>
      <c r="DN62" s="203"/>
      <c r="DO62" s="203"/>
      <c r="DP62" s="208"/>
      <c r="DQ62" s="208"/>
      <c r="DR62" s="208"/>
      <c r="DS62" s="208"/>
      <c r="DT62" s="208"/>
      <c r="DU62" s="208"/>
      <c r="DV62" s="208"/>
      <c r="DW62" s="208"/>
      <c r="DX62" s="208"/>
      <c r="DY62" s="208"/>
      <c r="DZ62" s="208"/>
      <c r="EA62" s="208"/>
      <c r="EB62" s="208"/>
      <c r="EC62" s="208"/>
      <c r="ED62" s="208"/>
      <c r="EE62" s="208"/>
      <c r="EF62" s="208"/>
      <c r="EG62" s="208"/>
      <c r="EH62" s="208"/>
      <c r="EI62" s="208"/>
      <c r="EJ62" s="208"/>
      <c r="EK62" s="208"/>
      <c r="EL62" s="208"/>
      <c r="EM62" s="208"/>
      <c r="EN62" s="208"/>
      <c r="EO62" s="208"/>
      <c r="EP62" s="208"/>
      <c r="EQ62" s="208"/>
      <c r="ER62" s="208"/>
      <c r="ES62" s="208"/>
      <c r="ET62" s="208"/>
      <c r="EU62" s="208"/>
      <c r="EV62" s="208"/>
      <c r="EW62" s="208"/>
      <c r="EX62" s="208"/>
      <c r="EY62" s="208"/>
      <c r="EZ62" s="208">
        <v>0</v>
      </c>
      <c r="FA62" s="208">
        <v>0</v>
      </c>
      <c r="FB62" s="208">
        <v>0</v>
      </c>
      <c r="FC62" s="208"/>
      <c r="FD62" s="82"/>
      <c r="FE62" s="30"/>
    </row>
    <row r="63" spans="1:161" ht="15" hidden="1">
      <c r="A63" s="25" t="s">
        <v>532</v>
      </c>
      <c r="B63" s="212" t="s">
        <v>153</v>
      </c>
      <c r="C63" s="138"/>
      <c r="D63" s="221"/>
      <c r="E63" s="239">
        <v>770</v>
      </c>
      <c r="F63" s="95"/>
      <c r="G63" s="95"/>
      <c r="H63" s="147" t="s">
        <v>656</v>
      </c>
      <c r="I63" s="147"/>
      <c r="J63" s="135"/>
      <c r="K63" s="135"/>
      <c r="L63" s="139"/>
      <c r="M63" s="134"/>
      <c r="N63" s="134"/>
      <c r="O63" s="134"/>
      <c r="P63" s="134"/>
      <c r="Q63" s="134"/>
      <c r="R63" s="134"/>
      <c r="S63" s="139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3"/>
      <c r="BD63" s="83"/>
      <c r="BE63" s="83"/>
      <c r="BF63" s="83"/>
      <c r="BG63" s="82"/>
      <c r="BH63" s="81"/>
      <c r="BI63" s="80"/>
      <c r="BJ63" s="25"/>
      <c r="BK63" s="25"/>
      <c r="BL63" s="25"/>
      <c r="BM63" s="84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92"/>
      <c r="DG63" s="92"/>
      <c r="DH63" s="203"/>
      <c r="DI63" s="203"/>
      <c r="DJ63" s="203"/>
      <c r="DK63" s="203"/>
      <c r="DL63" s="203"/>
      <c r="DM63" s="203"/>
      <c r="DN63" s="203"/>
      <c r="DO63" s="203"/>
      <c r="DP63" s="208"/>
      <c r="DQ63" s="208"/>
      <c r="DR63" s="208"/>
      <c r="DS63" s="208"/>
      <c r="DT63" s="208"/>
      <c r="DU63" s="208"/>
      <c r="DV63" s="208"/>
      <c r="DW63" s="208"/>
      <c r="DX63" s="208"/>
      <c r="DY63" s="208"/>
      <c r="DZ63" s="208"/>
      <c r="EA63" s="208"/>
      <c r="EB63" s="208"/>
      <c r="EC63" s="208"/>
      <c r="ED63" s="208"/>
      <c r="EE63" s="208"/>
      <c r="EF63" s="208"/>
      <c r="EG63" s="208"/>
      <c r="EH63" s="208"/>
      <c r="EI63" s="208"/>
      <c r="EJ63" s="208"/>
      <c r="EK63" s="208"/>
      <c r="EL63" s="208"/>
      <c r="EM63" s="208"/>
      <c r="EN63" s="208"/>
      <c r="EO63" s="208"/>
      <c r="EP63" s="208"/>
      <c r="EQ63" s="208"/>
      <c r="ER63" s="208"/>
      <c r="ES63" s="208"/>
      <c r="ET63" s="208"/>
      <c r="EU63" s="208"/>
      <c r="EV63" s="208"/>
      <c r="EW63" s="208"/>
      <c r="EX63" s="208"/>
      <c r="EY63" s="208"/>
      <c r="EZ63" s="208">
        <v>0</v>
      </c>
      <c r="FA63" s="208">
        <v>0</v>
      </c>
      <c r="FB63" s="208">
        <v>0</v>
      </c>
      <c r="FC63" s="208"/>
      <c r="FD63" s="82"/>
      <c r="FE63" s="30"/>
    </row>
    <row r="64" spans="1:161" ht="15" hidden="1">
      <c r="A64" s="25" t="s">
        <v>533</v>
      </c>
      <c r="B64" s="212" t="s">
        <v>153</v>
      </c>
      <c r="C64" s="138"/>
      <c r="D64" s="221"/>
      <c r="E64" s="239">
        <v>770</v>
      </c>
      <c r="F64" s="95"/>
      <c r="G64" s="95"/>
      <c r="H64" s="147" t="s">
        <v>656</v>
      </c>
      <c r="I64" s="147"/>
      <c r="J64" s="135"/>
      <c r="K64" s="135"/>
      <c r="L64" s="139"/>
      <c r="M64" s="134"/>
      <c r="N64" s="134"/>
      <c r="O64" s="134"/>
      <c r="P64" s="134"/>
      <c r="Q64" s="134"/>
      <c r="R64" s="134"/>
      <c r="S64" s="139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3"/>
      <c r="BD64" s="83"/>
      <c r="BE64" s="83"/>
      <c r="BF64" s="83"/>
      <c r="BG64" s="82"/>
      <c r="BH64" s="81"/>
      <c r="BI64" s="80"/>
      <c r="BJ64" s="25"/>
      <c r="BK64" s="25"/>
      <c r="BL64" s="25"/>
      <c r="BM64" s="84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92"/>
      <c r="DG64" s="92"/>
      <c r="DH64" s="203"/>
      <c r="DI64" s="203"/>
      <c r="DJ64" s="203"/>
      <c r="DK64" s="203"/>
      <c r="DL64" s="203"/>
      <c r="DM64" s="203"/>
      <c r="DN64" s="203"/>
      <c r="DO64" s="203"/>
      <c r="DP64" s="208"/>
      <c r="DQ64" s="208"/>
      <c r="DR64" s="208"/>
      <c r="DS64" s="208"/>
      <c r="DT64" s="208"/>
      <c r="DU64" s="208"/>
      <c r="DV64" s="208"/>
      <c r="DW64" s="208"/>
      <c r="DX64" s="208"/>
      <c r="DY64" s="208"/>
      <c r="DZ64" s="208"/>
      <c r="EA64" s="208"/>
      <c r="EB64" s="208"/>
      <c r="EC64" s="208"/>
      <c r="ED64" s="208"/>
      <c r="EE64" s="208"/>
      <c r="EF64" s="208"/>
      <c r="EG64" s="208"/>
      <c r="EH64" s="208"/>
      <c r="EI64" s="208"/>
      <c r="EJ64" s="208"/>
      <c r="EK64" s="208"/>
      <c r="EL64" s="208"/>
      <c r="EM64" s="208"/>
      <c r="EN64" s="208"/>
      <c r="EO64" s="208"/>
      <c r="EP64" s="208"/>
      <c r="EQ64" s="208"/>
      <c r="ER64" s="208"/>
      <c r="ES64" s="208"/>
      <c r="ET64" s="208"/>
      <c r="EU64" s="208"/>
      <c r="EV64" s="208"/>
      <c r="EW64" s="208"/>
      <c r="EX64" s="208"/>
      <c r="EY64" s="208"/>
      <c r="EZ64" s="208">
        <v>0</v>
      </c>
      <c r="FA64" s="208">
        <v>0</v>
      </c>
      <c r="FB64" s="208">
        <v>0</v>
      </c>
      <c r="FC64" s="208"/>
      <c r="FD64" s="82"/>
      <c r="FE64" s="30"/>
    </row>
    <row r="65" spans="1:161" ht="15" hidden="1">
      <c r="A65" s="25" t="s">
        <v>534</v>
      </c>
      <c r="B65" s="212" t="s">
        <v>153</v>
      </c>
      <c r="C65" s="138"/>
      <c r="D65" s="221"/>
      <c r="E65" s="239">
        <v>770</v>
      </c>
      <c r="F65" s="95"/>
      <c r="G65" s="95"/>
      <c r="H65" s="147" t="s">
        <v>656</v>
      </c>
      <c r="I65" s="147"/>
      <c r="J65" s="135"/>
      <c r="K65" s="135"/>
      <c r="L65" s="139"/>
      <c r="M65" s="134"/>
      <c r="N65" s="134"/>
      <c r="O65" s="134"/>
      <c r="P65" s="134"/>
      <c r="Q65" s="134"/>
      <c r="R65" s="134"/>
      <c r="S65" s="139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3"/>
      <c r="BD65" s="83"/>
      <c r="BE65" s="83"/>
      <c r="BF65" s="83"/>
      <c r="BG65" s="82"/>
      <c r="BH65" s="81"/>
      <c r="BI65" s="80"/>
      <c r="BJ65" s="25"/>
      <c r="BK65" s="25"/>
      <c r="BL65" s="25"/>
      <c r="BM65" s="84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92"/>
      <c r="DG65" s="92"/>
      <c r="DH65" s="203"/>
      <c r="DI65" s="203"/>
      <c r="DJ65" s="203"/>
      <c r="DK65" s="203"/>
      <c r="DL65" s="203"/>
      <c r="DM65" s="203"/>
      <c r="DN65" s="203"/>
      <c r="DO65" s="203"/>
      <c r="DP65" s="208"/>
      <c r="DQ65" s="208"/>
      <c r="DR65" s="208"/>
      <c r="DS65" s="208"/>
      <c r="DT65" s="208"/>
      <c r="DU65" s="208"/>
      <c r="DV65" s="208"/>
      <c r="DW65" s="208"/>
      <c r="DX65" s="208"/>
      <c r="DY65" s="208"/>
      <c r="DZ65" s="208"/>
      <c r="EA65" s="208"/>
      <c r="EB65" s="208"/>
      <c r="EC65" s="208"/>
      <c r="ED65" s="208"/>
      <c r="EE65" s="208"/>
      <c r="EF65" s="208"/>
      <c r="EG65" s="208"/>
      <c r="EH65" s="208"/>
      <c r="EI65" s="208"/>
      <c r="EJ65" s="208"/>
      <c r="EK65" s="208"/>
      <c r="EL65" s="208"/>
      <c r="EM65" s="208"/>
      <c r="EN65" s="208"/>
      <c r="EO65" s="208"/>
      <c r="EP65" s="208"/>
      <c r="EQ65" s="208"/>
      <c r="ER65" s="208"/>
      <c r="ES65" s="208"/>
      <c r="ET65" s="208"/>
      <c r="EU65" s="208"/>
      <c r="EV65" s="208"/>
      <c r="EW65" s="208"/>
      <c r="EX65" s="208"/>
      <c r="EY65" s="208"/>
      <c r="EZ65" s="208">
        <v>0</v>
      </c>
      <c r="FA65" s="208">
        <v>0</v>
      </c>
      <c r="FB65" s="208">
        <v>0</v>
      </c>
      <c r="FC65" s="208"/>
      <c r="FD65" s="82"/>
      <c r="FE65" s="30"/>
    </row>
    <row r="66" spans="1:161" ht="15" hidden="1">
      <c r="A66" s="25" t="s">
        <v>535</v>
      </c>
      <c r="B66" s="212" t="s">
        <v>153</v>
      </c>
      <c r="C66" s="138"/>
      <c r="D66" s="221"/>
      <c r="E66" s="239">
        <v>770</v>
      </c>
      <c r="F66" s="95"/>
      <c r="G66" s="95"/>
      <c r="H66" s="147" t="s">
        <v>656</v>
      </c>
      <c r="I66" s="147"/>
      <c r="J66" s="135"/>
      <c r="K66" s="135"/>
      <c r="L66" s="139"/>
      <c r="M66" s="134"/>
      <c r="N66" s="134"/>
      <c r="O66" s="134"/>
      <c r="P66" s="134"/>
      <c r="Q66" s="134"/>
      <c r="R66" s="134"/>
      <c r="S66" s="139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3"/>
      <c r="BD66" s="83"/>
      <c r="BE66" s="83"/>
      <c r="BF66" s="83"/>
      <c r="BG66" s="82"/>
      <c r="BH66" s="81"/>
      <c r="BI66" s="80"/>
      <c r="BJ66" s="25"/>
      <c r="BK66" s="25"/>
      <c r="BL66" s="25"/>
      <c r="BM66" s="84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92"/>
      <c r="DG66" s="92"/>
      <c r="DH66" s="203"/>
      <c r="DI66" s="203"/>
      <c r="DJ66" s="203"/>
      <c r="DK66" s="203"/>
      <c r="DL66" s="203"/>
      <c r="DM66" s="203"/>
      <c r="DN66" s="203"/>
      <c r="DO66" s="203"/>
      <c r="DP66" s="208"/>
      <c r="DQ66" s="208"/>
      <c r="DR66" s="208"/>
      <c r="DS66" s="208"/>
      <c r="DT66" s="208"/>
      <c r="DU66" s="208"/>
      <c r="DV66" s="208"/>
      <c r="DW66" s="208"/>
      <c r="DX66" s="208"/>
      <c r="DY66" s="208"/>
      <c r="DZ66" s="208"/>
      <c r="EA66" s="208"/>
      <c r="EB66" s="208"/>
      <c r="EC66" s="208"/>
      <c r="ED66" s="208"/>
      <c r="EE66" s="208"/>
      <c r="EF66" s="208"/>
      <c r="EG66" s="208"/>
      <c r="EH66" s="208"/>
      <c r="EI66" s="208"/>
      <c r="EJ66" s="208"/>
      <c r="EK66" s="208"/>
      <c r="EL66" s="208"/>
      <c r="EM66" s="208"/>
      <c r="EN66" s="208"/>
      <c r="EO66" s="208"/>
      <c r="EP66" s="208"/>
      <c r="EQ66" s="208"/>
      <c r="ER66" s="208"/>
      <c r="ES66" s="208"/>
      <c r="ET66" s="208"/>
      <c r="EU66" s="208"/>
      <c r="EV66" s="208"/>
      <c r="EW66" s="208"/>
      <c r="EX66" s="208"/>
      <c r="EY66" s="208"/>
      <c r="EZ66" s="208">
        <v>0</v>
      </c>
      <c r="FA66" s="208">
        <v>0</v>
      </c>
      <c r="FB66" s="208">
        <v>0</v>
      </c>
      <c r="FC66" s="208"/>
      <c r="FD66" s="82"/>
      <c r="FE66" s="30"/>
    </row>
    <row r="67" spans="1:161" ht="15" hidden="1">
      <c r="A67" s="25" t="s">
        <v>536</v>
      </c>
      <c r="B67" s="212" t="s">
        <v>153</v>
      </c>
      <c r="C67" s="138"/>
      <c r="D67" s="221"/>
      <c r="E67" s="239">
        <v>770</v>
      </c>
      <c r="F67" s="95"/>
      <c r="G67" s="95"/>
      <c r="H67" s="147" t="s">
        <v>656</v>
      </c>
      <c r="I67" s="147"/>
      <c r="J67" s="135"/>
      <c r="K67" s="135"/>
      <c r="L67" s="139"/>
      <c r="M67" s="134"/>
      <c r="N67" s="134"/>
      <c r="O67" s="134"/>
      <c r="P67" s="134"/>
      <c r="Q67" s="134"/>
      <c r="R67" s="134"/>
      <c r="S67" s="139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3"/>
      <c r="BD67" s="83"/>
      <c r="BE67" s="83"/>
      <c r="BF67" s="83"/>
      <c r="BG67" s="82"/>
      <c r="BH67" s="81"/>
      <c r="BI67" s="80"/>
      <c r="BJ67" s="25"/>
      <c r="BK67" s="25"/>
      <c r="BL67" s="25"/>
      <c r="BM67" s="84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92"/>
      <c r="DG67" s="92"/>
      <c r="DH67" s="203"/>
      <c r="DI67" s="203"/>
      <c r="DJ67" s="203"/>
      <c r="DK67" s="203"/>
      <c r="DL67" s="203"/>
      <c r="DM67" s="203"/>
      <c r="DN67" s="203"/>
      <c r="DO67" s="203"/>
      <c r="DP67" s="208"/>
      <c r="DQ67" s="208"/>
      <c r="DR67" s="208"/>
      <c r="DS67" s="208"/>
      <c r="DT67" s="208"/>
      <c r="DU67" s="208"/>
      <c r="DV67" s="208"/>
      <c r="DW67" s="208"/>
      <c r="DX67" s="208"/>
      <c r="DY67" s="208"/>
      <c r="DZ67" s="208"/>
      <c r="EA67" s="208"/>
      <c r="EB67" s="208"/>
      <c r="EC67" s="208"/>
      <c r="ED67" s="208"/>
      <c r="EE67" s="208"/>
      <c r="EF67" s="208"/>
      <c r="EG67" s="208"/>
      <c r="EH67" s="208"/>
      <c r="EI67" s="208"/>
      <c r="EJ67" s="208"/>
      <c r="EK67" s="208"/>
      <c r="EL67" s="208"/>
      <c r="EM67" s="208"/>
      <c r="EN67" s="208"/>
      <c r="EO67" s="208"/>
      <c r="EP67" s="208"/>
      <c r="EQ67" s="208"/>
      <c r="ER67" s="208"/>
      <c r="ES67" s="208"/>
      <c r="ET67" s="208"/>
      <c r="EU67" s="208"/>
      <c r="EV67" s="208"/>
      <c r="EW67" s="208"/>
      <c r="EX67" s="208"/>
      <c r="EY67" s="208"/>
      <c r="EZ67" s="208">
        <v>0</v>
      </c>
      <c r="FA67" s="208">
        <v>0</v>
      </c>
      <c r="FB67" s="208">
        <v>0</v>
      </c>
      <c r="FC67" s="208"/>
      <c r="FD67" s="82"/>
      <c r="FE67" s="30"/>
    </row>
    <row r="68" spans="1:161" ht="15" hidden="1">
      <c r="A68" s="25" t="s">
        <v>537</v>
      </c>
      <c r="B68" s="212" t="s">
        <v>153</v>
      </c>
      <c r="C68" s="138"/>
      <c r="D68" s="221"/>
      <c r="E68" s="239">
        <v>770</v>
      </c>
      <c r="F68" s="95"/>
      <c r="G68" s="95"/>
      <c r="H68" s="147" t="s">
        <v>656</v>
      </c>
      <c r="I68" s="147"/>
      <c r="J68" s="135"/>
      <c r="K68" s="135"/>
      <c r="L68" s="139"/>
      <c r="M68" s="134"/>
      <c r="N68" s="134"/>
      <c r="O68" s="134"/>
      <c r="P68" s="134"/>
      <c r="Q68" s="134"/>
      <c r="R68" s="134"/>
      <c r="S68" s="139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3"/>
      <c r="BD68" s="83"/>
      <c r="BE68" s="83"/>
      <c r="BF68" s="83"/>
      <c r="BG68" s="82"/>
      <c r="BH68" s="81"/>
      <c r="BI68" s="80"/>
      <c r="BJ68" s="25"/>
      <c r="BK68" s="25"/>
      <c r="BL68" s="25"/>
      <c r="BM68" s="84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92"/>
      <c r="DG68" s="92"/>
      <c r="DH68" s="203"/>
      <c r="DI68" s="203"/>
      <c r="DJ68" s="203"/>
      <c r="DK68" s="203"/>
      <c r="DL68" s="203"/>
      <c r="DM68" s="203"/>
      <c r="DN68" s="203"/>
      <c r="DO68" s="203"/>
      <c r="DP68" s="208"/>
      <c r="DQ68" s="208"/>
      <c r="DR68" s="208"/>
      <c r="DS68" s="208"/>
      <c r="DT68" s="208"/>
      <c r="DU68" s="208"/>
      <c r="DV68" s="208"/>
      <c r="DW68" s="208"/>
      <c r="DX68" s="208"/>
      <c r="DY68" s="208"/>
      <c r="DZ68" s="208"/>
      <c r="EA68" s="208"/>
      <c r="EB68" s="208"/>
      <c r="EC68" s="208"/>
      <c r="ED68" s="208"/>
      <c r="EE68" s="208"/>
      <c r="EF68" s="208"/>
      <c r="EG68" s="208"/>
      <c r="EH68" s="208"/>
      <c r="EI68" s="208"/>
      <c r="EJ68" s="208"/>
      <c r="EK68" s="208"/>
      <c r="EL68" s="208"/>
      <c r="EM68" s="208"/>
      <c r="EN68" s="208"/>
      <c r="EO68" s="208"/>
      <c r="EP68" s="208"/>
      <c r="EQ68" s="208"/>
      <c r="ER68" s="208"/>
      <c r="ES68" s="208"/>
      <c r="ET68" s="208"/>
      <c r="EU68" s="208"/>
      <c r="EV68" s="208"/>
      <c r="EW68" s="208"/>
      <c r="EX68" s="208"/>
      <c r="EY68" s="208"/>
      <c r="EZ68" s="208">
        <v>0</v>
      </c>
      <c r="FA68" s="208">
        <v>0</v>
      </c>
      <c r="FB68" s="208">
        <v>0</v>
      </c>
      <c r="FC68" s="208"/>
      <c r="FD68" s="82"/>
      <c r="FE68" s="30"/>
    </row>
    <row r="69" spans="1:161" ht="15" hidden="1">
      <c r="A69" s="25" t="s">
        <v>538</v>
      </c>
      <c r="B69" s="212" t="s">
        <v>153</v>
      </c>
      <c r="C69" s="138"/>
      <c r="D69" s="221"/>
      <c r="E69" s="239">
        <v>770</v>
      </c>
      <c r="F69" s="95"/>
      <c r="G69" s="95"/>
      <c r="H69" s="147" t="s">
        <v>656</v>
      </c>
      <c r="I69" s="147"/>
      <c r="J69" s="135"/>
      <c r="K69" s="135"/>
      <c r="L69" s="139"/>
      <c r="M69" s="134"/>
      <c r="N69" s="134"/>
      <c r="O69" s="134"/>
      <c r="P69" s="134"/>
      <c r="Q69" s="134"/>
      <c r="R69" s="134"/>
      <c r="S69" s="139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3"/>
      <c r="BD69" s="83"/>
      <c r="BE69" s="83"/>
      <c r="BF69" s="83"/>
      <c r="BG69" s="82"/>
      <c r="BH69" s="81"/>
      <c r="BI69" s="80"/>
      <c r="BJ69" s="25"/>
      <c r="BK69" s="25"/>
      <c r="BL69" s="25"/>
      <c r="BM69" s="84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92"/>
      <c r="DG69" s="92"/>
      <c r="DH69" s="203"/>
      <c r="DI69" s="203"/>
      <c r="DJ69" s="203"/>
      <c r="DK69" s="203"/>
      <c r="DL69" s="203"/>
      <c r="DM69" s="203"/>
      <c r="DN69" s="203"/>
      <c r="DO69" s="203"/>
      <c r="DP69" s="208"/>
      <c r="DQ69" s="208"/>
      <c r="DR69" s="208"/>
      <c r="DS69" s="208"/>
      <c r="DT69" s="208"/>
      <c r="DU69" s="208"/>
      <c r="DV69" s="208"/>
      <c r="DW69" s="208"/>
      <c r="DX69" s="208"/>
      <c r="DY69" s="208"/>
      <c r="DZ69" s="208"/>
      <c r="EA69" s="208"/>
      <c r="EB69" s="208"/>
      <c r="EC69" s="208"/>
      <c r="ED69" s="208"/>
      <c r="EE69" s="208"/>
      <c r="EF69" s="208"/>
      <c r="EG69" s="208"/>
      <c r="EH69" s="208"/>
      <c r="EI69" s="208"/>
      <c r="EJ69" s="208"/>
      <c r="EK69" s="208"/>
      <c r="EL69" s="208"/>
      <c r="EM69" s="208"/>
      <c r="EN69" s="208"/>
      <c r="EO69" s="208"/>
      <c r="EP69" s="208"/>
      <c r="EQ69" s="208"/>
      <c r="ER69" s="208"/>
      <c r="ES69" s="208"/>
      <c r="ET69" s="208"/>
      <c r="EU69" s="208"/>
      <c r="EV69" s="208"/>
      <c r="EW69" s="208"/>
      <c r="EX69" s="208"/>
      <c r="EY69" s="208"/>
      <c r="EZ69" s="208">
        <v>0</v>
      </c>
      <c r="FA69" s="208">
        <v>0</v>
      </c>
      <c r="FB69" s="208">
        <v>0</v>
      </c>
      <c r="FC69" s="208"/>
      <c r="FD69" s="82"/>
      <c r="FE69" s="30"/>
    </row>
    <row r="70" spans="1:161" ht="15" hidden="1">
      <c r="A70" s="25" t="s">
        <v>539</v>
      </c>
      <c r="B70" s="212" t="s">
        <v>153</v>
      </c>
      <c r="C70" s="138"/>
      <c r="D70" s="221"/>
      <c r="E70" s="239">
        <v>770</v>
      </c>
      <c r="F70" s="95"/>
      <c r="G70" s="95"/>
      <c r="H70" s="147" t="s">
        <v>656</v>
      </c>
      <c r="I70" s="147"/>
      <c r="J70" s="135"/>
      <c r="K70" s="135"/>
      <c r="L70" s="139"/>
      <c r="M70" s="134"/>
      <c r="N70" s="134"/>
      <c r="O70" s="134"/>
      <c r="P70" s="134"/>
      <c r="Q70" s="134"/>
      <c r="R70" s="134"/>
      <c r="S70" s="139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3"/>
      <c r="BD70" s="83"/>
      <c r="BE70" s="83"/>
      <c r="BF70" s="83"/>
      <c r="BG70" s="82"/>
      <c r="BH70" s="81"/>
      <c r="BI70" s="80"/>
      <c r="BJ70" s="25"/>
      <c r="BK70" s="25"/>
      <c r="BL70" s="25"/>
      <c r="BM70" s="84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92"/>
      <c r="DG70" s="92"/>
      <c r="DH70" s="203"/>
      <c r="DI70" s="203"/>
      <c r="DJ70" s="203"/>
      <c r="DK70" s="203"/>
      <c r="DL70" s="203"/>
      <c r="DM70" s="203"/>
      <c r="DN70" s="203"/>
      <c r="DO70" s="203"/>
      <c r="DP70" s="208"/>
      <c r="DQ70" s="208"/>
      <c r="DR70" s="208"/>
      <c r="DS70" s="208"/>
      <c r="DT70" s="208"/>
      <c r="DU70" s="208"/>
      <c r="DV70" s="208"/>
      <c r="DW70" s="208"/>
      <c r="DX70" s="208"/>
      <c r="DY70" s="208"/>
      <c r="DZ70" s="208"/>
      <c r="EA70" s="208"/>
      <c r="EB70" s="208"/>
      <c r="EC70" s="208"/>
      <c r="ED70" s="208"/>
      <c r="EE70" s="208"/>
      <c r="EF70" s="208"/>
      <c r="EG70" s="208"/>
      <c r="EH70" s="208"/>
      <c r="EI70" s="208"/>
      <c r="EJ70" s="208"/>
      <c r="EK70" s="208"/>
      <c r="EL70" s="208"/>
      <c r="EM70" s="208"/>
      <c r="EN70" s="208"/>
      <c r="EO70" s="208"/>
      <c r="EP70" s="208"/>
      <c r="EQ70" s="208"/>
      <c r="ER70" s="208"/>
      <c r="ES70" s="208"/>
      <c r="ET70" s="208"/>
      <c r="EU70" s="208"/>
      <c r="EV70" s="208"/>
      <c r="EW70" s="208"/>
      <c r="EX70" s="208"/>
      <c r="EY70" s="208"/>
      <c r="EZ70" s="208">
        <v>0</v>
      </c>
      <c r="FA70" s="208">
        <v>0</v>
      </c>
      <c r="FB70" s="208">
        <v>0</v>
      </c>
      <c r="FC70" s="208"/>
      <c r="FD70" s="82"/>
      <c r="FE70" s="30"/>
    </row>
    <row r="71" spans="1:161" ht="15" hidden="1">
      <c r="A71" s="25" t="s">
        <v>540</v>
      </c>
      <c r="B71" s="212" t="s">
        <v>153</v>
      </c>
      <c r="C71" s="138"/>
      <c r="D71" s="221"/>
      <c r="E71" s="239">
        <v>770</v>
      </c>
      <c r="F71" s="95"/>
      <c r="G71" s="95"/>
      <c r="H71" s="147" t="s">
        <v>656</v>
      </c>
      <c r="I71" s="147"/>
      <c r="J71" s="135"/>
      <c r="K71" s="135"/>
      <c r="L71" s="139"/>
      <c r="M71" s="134"/>
      <c r="N71" s="134"/>
      <c r="O71" s="134"/>
      <c r="P71" s="134"/>
      <c r="Q71" s="134"/>
      <c r="R71" s="134"/>
      <c r="S71" s="139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3"/>
      <c r="BD71" s="83"/>
      <c r="BE71" s="83"/>
      <c r="BF71" s="83"/>
      <c r="BG71" s="82"/>
      <c r="BH71" s="81"/>
      <c r="BI71" s="80"/>
      <c r="BJ71" s="25"/>
      <c r="BK71" s="25"/>
      <c r="BL71" s="25"/>
      <c r="BM71" s="84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92"/>
      <c r="DG71" s="92"/>
      <c r="DH71" s="203"/>
      <c r="DI71" s="203"/>
      <c r="DJ71" s="203"/>
      <c r="DK71" s="203"/>
      <c r="DL71" s="203"/>
      <c r="DM71" s="203"/>
      <c r="DN71" s="203"/>
      <c r="DO71" s="203"/>
      <c r="DP71" s="208"/>
      <c r="DQ71" s="208"/>
      <c r="DR71" s="208"/>
      <c r="DS71" s="208"/>
      <c r="DT71" s="208"/>
      <c r="DU71" s="208"/>
      <c r="DV71" s="208"/>
      <c r="DW71" s="208"/>
      <c r="DX71" s="208"/>
      <c r="DY71" s="208"/>
      <c r="DZ71" s="208"/>
      <c r="EA71" s="208"/>
      <c r="EB71" s="208"/>
      <c r="EC71" s="208"/>
      <c r="ED71" s="208"/>
      <c r="EE71" s="208"/>
      <c r="EF71" s="208"/>
      <c r="EG71" s="208"/>
      <c r="EH71" s="208"/>
      <c r="EI71" s="208"/>
      <c r="EJ71" s="208"/>
      <c r="EK71" s="208"/>
      <c r="EL71" s="208"/>
      <c r="EM71" s="208"/>
      <c r="EN71" s="208"/>
      <c r="EO71" s="208"/>
      <c r="EP71" s="208"/>
      <c r="EQ71" s="208"/>
      <c r="ER71" s="208"/>
      <c r="ES71" s="208"/>
      <c r="ET71" s="208"/>
      <c r="EU71" s="208"/>
      <c r="EV71" s="208"/>
      <c r="EW71" s="208"/>
      <c r="EX71" s="208"/>
      <c r="EY71" s="208"/>
      <c r="EZ71" s="208">
        <v>0</v>
      </c>
      <c r="FA71" s="208">
        <v>0</v>
      </c>
      <c r="FB71" s="208">
        <v>0</v>
      </c>
      <c r="FC71" s="208"/>
      <c r="FD71" s="82"/>
      <c r="FE71" s="30"/>
    </row>
    <row r="72" spans="1:161" ht="15" hidden="1">
      <c r="A72" s="25" t="s">
        <v>541</v>
      </c>
      <c r="B72" s="212" t="s">
        <v>153</v>
      </c>
      <c r="C72" s="138"/>
      <c r="D72" s="221"/>
      <c r="E72" s="239">
        <v>770</v>
      </c>
      <c r="F72" s="95"/>
      <c r="G72" s="95"/>
      <c r="H72" s="147" t="s">
        <v>656</v>
      </c>
      <c r="I72" s="147"/>
      <c r="J72" s="135"/>
      <c r="K72" s="135"/>
      <c r="L72" s="139"/>
      <c r="M72" s="134"/>
      <c r="N72" s="134"/>
      <c r="O72" s="134"/>
      <c r="P72" s="134"/>
      <c r="Q72" s="134"/>
      <c r="R72" s="134"/>
      <c r="S72" s="139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3"/>
      <c r="BD72" s="83"/>
      <c r="BE72" s="83"/>
      <c r="BF72" s="83"/>
      <c r="BG72" s="82"/>
      <c r="BH72" s="81"/>
      <c r="BI72" s="80"/>
      <c r="BJ72" s="25"/>
      <c r="BK72" s="25"/>
      <c r="BL72" s="25"/>
      <c r="BM72" s="84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92"/>
      <c r="DG72" s="92"/>
      <c r="DH72" s="203"/>
      <c r="DI72" s="203"/>
      <c r="DJ72" s="203"/>
      <c r="DK72" s="203"/>
      <c r="DL72" s="203"/>
      <c r="DM72" s="203"/>
      <c r="DN72" s="203"/>
      <c r="DO72" s="203"/>
      <c r="DP72" s="208"/>
      <c r="DQ72" s="208"/>
      <c r="DR72" s="208"/>
      <c r="DS72" s="208"/>
      <c r="DT72" s="208"/>
      <c r="DU72" s="208"/>
      <c r="DV72" s="208"/>
      <c r="DW72" s="208"/>
      <c r="DX72" s="208"/>
      <c r="DY72" s="208"/>
      <c r="DZ72" s="208"/>
      <c r="EA72" s="208"/>
      <c r="EB72" s="208"/>
      <c r="EC72" s="208"/>
      <c r="ED72" s="208"/>
      <c r="EE72" s="208"/>
      <c r="EF72" s="208"/>
      <c r="EG72" s="208"/>
      <c r="EH72" s="208"/>
      <c r="EI72" s="208"/>
      <c r="EJ72" s="208"/>
      <c r="EK72" s="208"/>
      <c r="EL72" s="208"/>
      <c r="EM72" s="208"/>
      <c r="EN72" s="208"/>
      <c r="EO72" s="208"/>
      <c r="EP72" s="208"/>
      <c r="EQ72" s="208"/>
      <c r="ER72" s="208"/>
      <c r="ES72" s="208"/>
      <c r="ET72" s="208"/>
      <c r="EU72" s="208"/>
      <c r="EV72" s="208"/>
      <c r="EW72" s="208"/>
      <c r="EX72" s="208"/>
      <c r="EY72" s="208"/>
      <c r="EZ72" s="208">
        <v>0</v>
      </c>
      <c r="FA72" s="208">
        <v>0</v>
      </c>
      <c r="FB72" s="208">
        <v>0</v>
      </c>
      <c r="FC72" s="208"/>
      <c r="FD72" s="82"/>
      <c r="FE72" s="30"/>
    </row>
    <row r="73" spans="1:161" ht="15" hidden="1">
      <c r="A73" s="25" t="s">
        <v>495</v>
      </c>
      <c r="B73" s="212" t="s">
        <v>153</v>
      </c>
      <c r="C73" s="138"/>
      <c r="D73" s="221"/>
      <c r="E73" s="239">
        <v>970</v>
      </c>
      <c r="F73" s="95"/>
      <c r="G73" s="95"/>
      <c r="H73" s="147" t="s">
        <v>656</v>
      </c>
      <c r="I73" s="147"/>
      <c r="J73" s="135"/>
      <c r="K73" s="135"/>
      <c r="L73" s="139"/>
      <c r="M73" s="134"/>
      <c r="N73" s="134"/>
      <c r="O73" s="134"/>
      <c r="P73" s="134"/>
      <c r="Q73" s="134"/>
      <c r="R73" s="134"/>
      <c r="S73" s="139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3"/>
      <c r="BD73" s="83"/>
      <c r="BE73" s="83"/>
      <c r="BF73" s="83"/>
      <c r="BG73" s="82"/>
      <c r="BH73" s="81"/>
      <c r="BI73" s="80"/>
      <c r="BJ73" s="25"/>
      <c r="BK73" s="25"/>
      <c r="BL73" s="25"/>
      <c r="BM73" s="84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92"/>
      <c r="DG73" s="92"/>
      <c r="DH73" s="203"/>
      <c r="DI73" s="203"/>
      <c r="DJ73" s="203"/>
      <c r="DK73" s="203"/>
      <c r="DL73" s="203"/>
      <c r="DM73" s="203"/>
      <c r="DN73" s="203"/>
      <c r="DO73" s="203"/>
      <c r="DP73" s="208"/>
      <c r="DQ73" s="208"/>
      <c r="DR73" s="208"/>
      <c r="DS73" s="208"/>
      <c r="DT73" s="208"/>
      <c r="DU73" s="208"/>
      <c r="DV73" s="208"/>
      <c r="DW73" s="208"/>
      <c r="DX73" s="208"/>
      <c r="DY73" s="208"/>
      <c r="DZ73" s="208"/>
      <c r="EA73" s="208"/>
      <c r="EB73" s="208"/>
      <c r="EC73" s="208"/>
      <c r="ED73" s="208"/>
      <c r="EE73" s="208"/>
      <c r="EF73" s="208"/>
      <c r="EG73" s="208"/>
      <c r="EH73" s="208"/>
      <c r="EI73" s="208"/>
      <c r="EJ73" s="208"/>
      <c r="EK73" s="208"/>
      <c r="EL73" s="208"/>
      <c r="EM73" s="208"/>
      <c r="EN73" s="208"/>
      <c r="EO73" s="208"/>
      <c r="EP73" s="208"/>
      <c r="EQ73" s="208"/>
      <c r="ER73" s="208"/>
      <c r="ES73" s="208"/>
      <c r="ET73" s="208"/>
      <c r="EU73" s="208"/>
      <c r="EV73" s="208"/>
      <c r="EW73" s="208"/>
      <c r="EX73" s="208"/>
      <c r="EY73" s="208"/>
      <c r="EZ73" s="208">
        <v>0</v>
      </c>
      <c r="FA73" s="208">
        <v>0</v>
      </c>
      <c r="FB73" s="208">
        <v>0</v>
      </c>
      <c r="FC73" s="208"/>
      <c r="FD73" s="82"/>
      <c r="FE73" s="30"/>
    </row>
    <row r="74" spans="1:161" ht="15" hidden="1">
      <c r="A74" s="25" t="s">
        <v>542</v>
      </c>
      <c r="B74" s="212" t="s">
        <v>153</v>
      </c>
      <c r="C74" s="138"/>
      <c r="D74" s="221"/>
      <c r="E74" s="239">
        <v>770</v>
      </c>
      <c r="F74" s="95"/>
      <c r="G74" s="95"/>
      <c r="H74" s="147" t="s">
        <v>656</v>
      </c>
      <c r="I74" s="147"/>
      <c r="J74" s="135"/>
      <c r="K74" s="135"/>
      <c r="L74" s="139"/>
      <c r="M74" s="134"/>
      <c r="N74" s="134"/>
      <c r="O74" s="134"/>
      <c r="P74" s="134"/>
      <c r="Q74" s="134"/>
      <c r="R74" s="134"/>
      <c r="S74" s="139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3"/>
      <c r="BD74" s="83"/>
      <c r="BE74" s="83"/>
      <c r="BF74" s="83"/>
      <c r="BG74" s="82"/>
      <c r="BH74" s="81"/>
      <c r="BI74" s="80"/>
      <c r="BJ74" s="25"/>
      <c r="BK74" s="25"/>
      <c r="BL74" s="25"/>
      <c r="BM74" s="84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92"/>
      <c r="DG74" s="92"/>
      <c r="DH74" s="203"/>
      <c r="DI74" s="203"/>
      <c r="DJ74" s="203"/>
      <c r="DK74" s="203"/>
      <c r="DL74" s="203"/>
      <c r="DM74" s="203"/>
      <c r="DN74" s="203"/>
      <c r="DO74" s="203"/>
      <c r="DP74" s="208"/>
      <c r="DQ74" s="208"/>
      <c r="DR74" s="208"/>
      <c r="DS74" s="208"/>
      <c r="DT74" s="208"/>
      <c r="DU74" s="208"/>
      <c r="DV74" s="208"/>
      <c r="DW74" s="208"/>
      <c r="DX74" s="208"/>
      <c r="DY74" s="208"/>
      <c r="DZ74" s="208"/>
      <c r="EA74" s="208"/>
      <c r="EB74" s="208"/>
      <c r="EC74" s="208"/>
      <c r="ED74" s="208"/>
      <c r="EE74" s="208"/>
      <c r="EF74" s="208"/>
      <c r="EG74" s="208"/>
      <c r="EH74" s="208"/>
      <c r="EI74" s="208"/>
      <c r="EJ74" s="208"/>
      <c r="EK74" s="208"/>
      <c r="EL74" s="208"/>
      <c r="EM74" s="208"/>
      <c r="EN74" s="208"/>
      <c r="EO74" s="208"/>
      <c r="EP74" s="208"/>
      <c r="EQ74" s="208"/>
      <c r="ER74" s="208"/>
      <c r="ES74" s="208"/>
      <c r="ET74" s="208"/>
      <c r="EU74" s="208"/>
      <c r="EV74" s="208"/>
      <c r="EW74" s="208"/>
      <c r="EX74" s="208"/>
      <c r="EY74" s="208"/>
      <c r="EZ74" s="208">
        <v>0</v>
      </c>
      <c r="FA74" s="208">
        <v>0</v>
      </c>
      <c r="FB74" s="208">
        <v>0</v>
      </c>
      <c r="FC74" s="208"/>
      <c r="FD74" s="82"/>
      <c r="FE74" s="30"/>
    </row>
    <row r="75" spans="1:161" ht="15" hidden="1">
      <c r="A75" s="25" t="s">
        <v>544</v>
      </c>
      <c r="B75" s="212" t="s">
        <v>153</v>
      </c>
      <c r="C75" s="138"/>
      <c r="D75" s="221"/>
      <c r="E75" s="239">
        <v>770</v>
      </c>
      <c r="F75" s="95"/>
      <c r="G75" s="95"/>
      <c r="H75" s="147" t="s">
        <v>656</v>
      </c>
      <c r="I75" s="147"/>
      <c r="J75" s="135"/>
      <c r="K75" s="135"/>
      <c r="L75" s="139"/>
      <c r="M75" s="134"/>
      <c r="N75" s="134"/>
      <c r="O75" s="134"/>
      <c r="P75" s="134"/>
      <c r="Q75" s="134"/>
      <c r="R75" s="134"/>
      <c r="S75" s="139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3"/>
      <c r="BD75" s="83"/>
      <c r="BE75" s="83"/>
      <c r="BF75" s="83"/>
      <c r="BG75" s="82"/>
      <c r="BH75" s="81"/>
      <c r="BI75" s="80"/>
      <c r="BJ75" s="25"/>
      <c r="BK75" s="25"/>
      <c r="BL75" s="25"/>
      <c r="BM75" s="84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92"/>
      <c r="DG75" s="92"/>
      <c r="DH75" s="203"/>
      <c r="DI75" s="203"/>
      <c r="DJ75" s="203"/>
      <c r="DK75" s="203"/>
      <c r="DL75" s="203"/>
      <c r="DM75" s="203"/>
      <c r="DN75" s="203"/>
      <c r="DO75" s="203"/>
      <c r="DP75" s="208"/>
      <c r="DQ75" s="208"/>
      <c r="DR75" s="208"/>
      <c r="DS75" s="208"/>
      <c r="DT75" s="208"/>
      <c r="DU75" s="208"/>
      <c r="DV75" s="208"/>
      <c r="DW75" s="208"/>
      <c r="DX75" s="208"/>
      <c r="DY75" s="208"/>
      <c r="DZ75" s="208"/>
      <c r="EA75" s="208"/>
      <c r="EB75" s="208"/>
      <c r="EC75" s="208"/>
      <c r="ED75" s="208"/>
      <c r="EE75" s="208"/>
      <c r="EF75" s="208"/>
      <c r="EG75" s="208"/>
      <c r="EH75" s="208"/>
      <c r="EI75" s="208"/>
      <c r="EJ75" s="208"/>
      <c r="EK75" s="208"/>
      <c r="EL75" s="208"/>
      <c r="EM75" s="208"/>
      <c r="EN75" s="208"/>
      <c r="EO75" s="208"/>
      <c r="EP75" s="208"/>
      <c r="EQ75" s="208"/>
      <c r="ER75" s="208"/>
      <c r="ES75" s="208"/>
      <c r="ET75" s="208"/>
      <c r="EU75" s="208"/>
      <c r="EV75" s="208"/>
      <c r="EW75" s="208"/>
      <c r="EX75" s="208"/>
      <c r="EY75" s="208"/>
      <c r="EZ75" s="208">
        <v>0</v>
      </c>
      <c r="FA75" s="208">
        <v>0</v>
      </c>
      <c r="FB75" s="208">
        <v>0</v>
      </c>
      <c r="FC75" s="208"/>
      <c r="FD75" s="82"/>
      <c r="FE75" s="30"/>
    </row>
    <row r="76" spans="1:161" ht="15" hidden="1">
      <c r="A76" s="25" t="s">
        <v>545</v>
      </c>
      <c r="B76" s="212" t="s">
        <v>153</v>
      </c>
      <c r="C76" s="138"/>
      <c r="D76" s="221"/>
      <c r="E76" s="239">
        <v>770</v>
      </c>
      <c r="F76" s="95"/>
      <c r="G76" s="95"/>
      <c r="H76" s="147" t="s">
        <v>656</v>
      </c>
      <c r="I76" s="147"/>
      <c r="J76" s="135"/>
      <c r="K76" s="135"/>
      <c r="L76" s="139"/>
      <c r="M76" s="134"/>
      <c r="N76" s="134"/>
      <c r="O76" s="134"/>
      <c r="P76" s="134"/>
      <c r="Q76" s="134"/>
      <c r="R76" s="134"/>
      <c r="S76" s="139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3"/>
      <c r="BD76" s="83"/>
      <c r="BE76" s="83"/>
      <c r="BF76" s="83"/>
      <c r="BG76" s="82"/>
      <c r="BH76" s="81"/>
      <c r="BI76" s="80"/>
      <c r="BJ76" s="25"/>
      <c r="BK76" s="25"/>
      <c r="BL76" s="25"/>
      <c r="BM76" s="84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92"/>
      <c r="DG76" s="92"/>
      <c r="DH76" s="203"/>
      <c r="DI76" s="203"/>
      <c r="DJ76" s="203"/>
      <c r="DK76" s="203"/>
      <c r="DL76" s="203"/>
      <c r="DM76" s="203"/>
      <c r="DN76" s="203"/>
      <c r="DO76" s="203"/>
      <c r="DP76" s="208"/>
      <c r="DQ76" s="208"/>
      <c r="DR76" s="208"/>
      <c r="DS76" s="208"/>
      <c r="DT76" s="208"/>
      <c r="DU76" s="208"/>
      <c r="DV76" s="208"/>
      <c r="DW76" s="208"/>
      <c r="DX76" s="208"/>
      <c r="DY76" s="208"/>
      <c r="DZ76" s="208"/>
      <c r="EA76" s="208"/>
      <c r="EB76" s="208"/>
      <c r="EC76" s="208"/>
      <c r="ED76" s="208"/>
      <c r="EE76" s="208"/>
      <c r="EF76" s="208"/>
      <c r="EG76" s="208"/>
      <c r="EH76" s="208"/>
      <c r="EI76" s="208"/>
      <c r="EJ76" s="208"/>
      <c r="EK76" s="208"/>
      <c r="EL76" s="208"/>
      <c r="EM76" s="208"/>
      <c r="EN76" s="208"/>
      <c r="EO76" s="208"/>
      <c r="EP76" s="208"/>
      <c r="EQ76" s="208"/>
      <c r="ER76" s="208"/>
      <c r="ES76" s="208"/>
      <c r="ET76" s="208"/>
      <c r="EU76" s="208"/>
      <c r="EV76" s="208"/>
      <c r="EW76" s="208"/>
      <c r="EX76" s="208"/>
      <c r="EY76" s="208"/>
      <c r="EZ76" s="208">
        <v>0</v>
      </c>
      <c r="FA76" s="208">
        <v>0</v>
      </c>
      <c r="FB76" s="208">
        <v>0</v>
      </c>
      <c r="FC76" s="208"/>
      <c r="FD76" s="82"/>
      <c r="FE76" s="30"/>
    </row>
    <row r="77" spans="1:161" ht="15" hidden="1">
      <c r="A77" s="25" t="s">
        <v>497</v>
      </c>
      <c r="B77" s="212" t="s">
        <v>153</v>
      </c>
      <c r="C77" s="138"/>
      <c r="D77" s="221"/>
      <c r="E77" s="239">
        <v>970</v>
      </c>
      <c r="F77" s="95"/>
      <c r="G77" s="95"/>
      <c r="H77" s="147" t="s">
        <v>656</v>
      </c>
      <c r="I77" s="147"/>
      <c r="J77" s="135"/>
      <c r="K77" s="135"/>
      <c r="L77" s="139"/>
      <c r="M77" s="134"/>
      <c r="N77" s="134"/>
      <c r="O77" s="134"/>
      <c r="P77" s="134"/>
      <c r="Q77" s="134"/>
      <c r="R77" s="134"/>
      <c r="S77" s="139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3"/>
      <c r="BD77" s="83"/>
      <c r="BE77" s="83"/>
      <c r="BF77" s="83"/>
      <c r="BG77" s="82"/>
      <c r="BH77" s="81"/>
      <c r="BI77" s="80"/>
      <c r="BJ77" s="25"/>
      <c r="BK77" s="25"/>
      <c r="BL77" s="25"/>
      <c r="BM77" s="84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92"/>
      <c r="DG77" s="92"/>
      <c r="DH77" s="203"/>
      <c r="DI77" s="203"/>
      <c r="DJ77" s="203"/>
      <c r="DK77" s="203"/>
      <c r="DL77" s="203"/>
      <c r="DM77" s="203"/>
      <c r="DN77" s="203"/>
      <c r="DO77" s="203"/>
      <c r="DP77" s="208"/>
      <c r="DQ77" s="208"/>
      <c r="DR77" s="208"/>
      <c r="DS77" s="208"/>
      <c r="DT77" s="208"/>
      <c r="DU77" s="208"/>
      <c r="DV77" s="208"/>
      <c r="DW77" s="208"/>
      <c r="DX77" s="208"/>
      <c r="DY77" s="208"/>
      <c r="DZ77" s="208"/>
      <c r="EA77" s="208"/>
      <c r="EB77" s="208"/>
      <c r="EC77" s="208"/>
      <c r="ED77" s="208"/>
      <c r="EE77" s="208"/>
      <c r="EF77" s="208"/>
      <c r="EG77" s="208"/>
      <c r="EH77" s="208"/>
      <c r="EI77" s="208"/>
      <c r="EJ77" s="208"/>
      <c r="EK77" s="208"/>
      <c r="EL77" s="208"/>
      <c r="EM77" s="208"/>
      <c r="EN77" s="208"/>
      <c r="EO77" s="208"/>
      <c r="EP77" s="208"/>
      <c r="EQ77" s="208"/>
      <c r="ER77" s="208"/>
      <c r="ES77" s="208"/>
      <c r="ET77" s="208"/>
      <c r="EU77" s="208"/>
      <c r="EV77" s="208"/>
      <c r="EW77" s="208"/>
      <c r="EX77" s="208"/>
      <c r="EY77" s="208"/>
      <c r="EZ77" s="208">
        <v>0</v>
      </c>
      <c r="FA77" s="208">
        <v>0</v>
      </c>
      <c r="FB77" s="208">
        <v>0</v>
      </c>
      <c r="FC77" s="208"/>
      <c r="FD77" s="82"/>
      <c r="FE77" s="30"/>
    </row>
    <row r="78" spans="1:161" ht="15" hidden="1">
      <c r="A78" s="25" t="s">
        <v>498</v>
      </c>
      <c r="B78" s="212" t="s">
        <v>153</v>
      </c>
      <c r="C78" s="138"/>
      <c r="D78" s="221"/>
      <c r="E78" s="239">
        <v>970</v>
      </c>
      <c r="F78" s="95"/>
      <c r="G78" s="95"/>
      <c r="H78" s="147" t="s">
        <v>656</v>
      </c>
      <c r="I78" s="147"/>
      <c r="J78" s="135"/>
      <c r="K78" s="135"/>
      <c r="L78" s="139"/>
      <c r="M78" s="134"/>
      <c r="N78" s="134"/>
      <c r="O78" s="134"/>
      <c r="P78" s="134"/>
      <c r="Q78" s="134"/>
      <c r="R78" s="134"/>
      <c r="S78" s="139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3"/>
      <c r="BD78" s="83"/>
      <c r="BE78" s="83"/>
      <c r="BF78" s="83"/>
      <c r="BG78" s="82"/>
      <c r="BH78" s="81"/>
      <c r="BI78" s="80"/>
      <c r="BJ78" s="25"/>
      <c r="BK78" s="25"/>
      <c r="BL78" s="25"/>
      <c r="BM78" s="84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92"/>
      <c r="DG78" s="92"/>
      <c r="DH78" s="203"/>
      <c r="DI78" s="203"/>
      <c r="DJ78" s="203"/>
      <c r="DK78" s="203"/>
      <c r="DL78" s="203"/>
      <c r="DM78" s="203"/>
      <c r="DN78" s="203"/>
      <c r="DO78" s="203"/>
      <c r="DP78" s="208"/>
      <c r="DQ78" s="208"/>
      <c r="DR78" s="208"/>
      <c r="DS78" s="208"/>
      <c r="DT78" s="208"/>
      <c r="DU78" s="208"/>
      <c r="DV78" s="208"/>
      <c r="DW78" s="208"/>
      <c r="DX78" s="208"/>
      <c r="DY78" s="208"/>
      <c r="DZ78" s="208"/>
      <c r="EA78" s="208"/>
      <c r="EB78" s="208"/>
      <c r="EC78" s="208"/>
      <c r="ED78" s="208"/>
      <c r="EE78" s="208"/>
      <c r="EF78" s="208"/>
      <c r="EG78" s="208"/>
      <c r="EH78" s="208"/>
      <c r="EI78" s="208"/>
      <c r="EJ78" s="208"/>
      <c r="EK78" s="208"/>
      <c r="EL78" s="208"/>
      <c r="EM78" s="208"/>
      <c r="EN78" s="208"/>
      <c r="EO78" s="208"/>
      <c r="EP78" s="208"/>
      <c r="EQ78" s="208"/>
      <c r="ER78" s="208"/>
      <c r="ES78" s="208"/>
      <c r="ET78" s="208"/>
      <c r="EU78" s="208"/>
      <c r="EV78" s="208"/>
      <c r="EW78" s="208"/>
      <c r="EX78" s="208"/>
      <c r="EY78" s="208"/>
      <c r="EZ78" s="208">
        <v>0</v>
      </c>
      <c r="FA78" s="208">
        <v>0</v>
      </c>
      <c r="FB78" s="208">
        <v>0</v>
      </c>
      <c r="FC78" s="208"/>
      <c r="FD78" s="82"/>
      <c r="FE78" s="30"/>
    </row>
    <row r="79" spans="1:161" ht="15" hidden="1">
      <c r="A79" s="25" t="s">
        <v>547</v>
      </c>
      <c r="B79" s="212" t="s">
        <v>153</v>
      </c>
      <c r="C79" s="138"/>
      <c r="D79" s="221"/>
      <c r="E79" s="239">
        <v>770</v>
      </c>
      <c r="F79" s="95"/>
      <c r="G79" s="95"/>
      <c r="H79" s="147" t="s">
        <v>656</v>
      </c>
      <c r="I79" s="147"/>
      <c r="J79" s="135"/>
      <c r="K79" s="135"/>
      <c r="L79" s="139"/>
      <c r="M79" s="134"/>
      <c r="N79" s="134"/>
      <c r="O79" s="134"/>
      <c r="P79" s="134"/>
      <c r="Q79" s="134"/>
      <c r="R79" s="134"/>
      <c r="S79" s="139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3"/>
      <c r="BD79" s="83"/>
      <c r="BE79" s="83"/>
      <c r="BF79" s="83"/>
      <c r="BG79" s="82"/>
      <c r="BH79" s="81"/>
      <c r="BI79" s="80"/>
      <c r="BJ79" s="25"/>
      <c r="BK79" s="25"/>
      <c r="BL79" s="25"/>
      <c r="BM79" s="84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92"/>
      <c r="DG79" s="92"/>
      <c r="DH79" s="203"/>
      <c r="DI79" s="203"/>
      <c r="DJ79" s="203"/>
      <c r="DK79" s="203"/>
      <c r="DL79" s="203"/>
      <c r="DM79" s="203"/>
      <c r="DN79" s="203"/>
      <c r="DO79" s="203"/>
      <c r="DP79" s="208"/>
      <c r="DQ79" s="208"/>
      <c r="DR79" s="208"/>
      <c r="DS79" s="208"/>
      <c r="DT79" s="208"/>
      <c r="DU79" s="208"/>
      <c r="DV79" s="208"/>
      <c r="DW79" s="208"/>
      <c r="DX79" s="208"/>
      <c r="DY79" s="208"/>
      <c r="DZ79" s="208"/>
      <c r="EA79" s="208"/>
      <c r="EB79" s="208"/>
      <c r="EC79" s="208"/>
      <c r="ED79" s="208"/>
      <c r="EE79" s="208"/>
      <c r="EF79" s="208"/>
      <c r="EG79" s="208"/>
      <c r="EH79" s="208"/>
      <c r="EI79" s="208"/>
      <c r="EJ79" s="208"/>
      <c r="EK79" s="208"/>
      <c r="EL79" s="208"/>
      <c r="EM79" s="208"/>
      <c r="EN79" s="208"/>
      <c r="EO79" s="208"/>
      <c r="EP79" s="208"/>
      <c r="EQ79" s="208"/>
      <c r="ER79" s="208"/>
      <c r="ES79" s="208"/>
      <c r="ET79" s="208"/>
      <c r="EU79" s="208"/>
      <c r="EV79" s="208"/>
      <c r="EW79" s="208"/>
      <c r="EX79" s="208"/>
      <c r="EY79" s="208"/>
      <c r="EZ79" s="208">
        <v>0</v>
      </c>
      <c r="FA79" s="208">
        <v>0</v>
      </c>
      <c r="FB79" s="208">
        <v>0</v>
      </c>
      <c r="FC79" s="208"/>
      <c r="FD79" s="82"/>
      <c r="FE79" s="30"/>
    </row>
    <row r="80" spans="1:161" ht="15" hidden="1">
      <c r="A80" s="25" t="s">
        <v>496</v>
      </c>
      <c r="B80" s="232" t="s">
        <v>153</v>
      </c>
      <c r="C80" s="138"/>
      <c r="D80" s="221"/>
      <c r="E80" s="239">
        <v>970</v>
      </c>
      <c r="F80" s="95"/>
      <c r="G80" s="95"/>
      <c r="H80" s="147" t="s">
        <v>656</v>
      </c>
      <c r="I80" s="147"/>
      <c r="J80" s="135"/>
      <c r="K80" s="135"/>
      <c r="L80" s="139"/>
      <c r="M80" s="134"/>
      <c r="N80" s="134"/>
      <c r="O80" s="134"/>
      <c r="P80" s="134"/>
      <c r="Q80" s="134"/>
      <c r="R80" s="134"/>
      <c r="S80" s="139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3"/>
      <c r="BD80" s="83"/>
      <c r="BE80" s="83"/>
      <c r="BF80" s="83"/>
      <c r="BG80" s="82"/>
      <c r="BH80" s="81"/>
      <c r="BI80" s="80"/>
      <c r="BJ80" s="25"/>
      <c r="BK80" s="25"/>
      <c r="BL80" s="25"/>
      <c r="BM80" s="84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92"/>
      <c r="DG80" s="92"/>
      <c r="DH80" s="203"/>
      <c r="DI80" s="203"/>
      <c r="DJ80" s="203"/>
      <c r="DK80" s="203"/>
      <c r="DL80" s="203"/>
      <c r="DM80" s="203"/>
      <c r="DN80" s="203"/>
      <c r="DO80" s="203"/>
      <c r="DP80" s="208"/>
      <c r="DQ80" s="208"/>
      <c r="DR80" s="208"/>
      <c r="DS80" s="208"/>
      <c r="DT80" s="208"/>
      <c r="DU80" s="208"/>
      <c r="DV80" s="208"/>
      <c r="DW80" s="208"/>
      <c r="DX80" s="208"/>
      <c r="DY80" s="208"/>
      <c r="DZ80" s="208"/>
      <c r="EA80" s="208"/>
      <c r="EB80" s="208"/>
      <c r="EC80" s="208"/>
      <c r="ED80" s="208"/>
      <c r="EE80" s="208"/>
      <c r="EF80" s="208"/>
      <c r="EG80" s="208"/>
      <c r="EH80" s="208"/>
      <c r="EI80" s="208"/>
      <c r="EJ80" s="208"/>
      <c r="EK80" s="208"/>
      <c r="EL80" s="208"/>
      <c r="EM80" s="208"/>
      <c r="EN80" s="208"/>
      <c r="EO80" s="208"/>
      <c r="EP80" s="208"/>
      <c r="EQ80" s="208"/>
      <c r="ER80" s="208"/>
      <c r="ES80" s="208"/>
      <c r="ET80" s="208"/>
      <c r="EU80" s="208"/>
      <c r="EV80" s="208"/>
      <c r="EW80" s="208"/>
      <c r="EX80" s="208"/>
      <c r="EY80" s="208"/>
      <c r="EZ80" s="208">
        <v>0</v>
      </c>
      <c r="FA80" s="208">
        <v>0</v>
      </c>
      <c r="FB80" s="208">
        <v>0</v>
      </c>
      <c r="FC80" s="208"/>
      <c r="FD80" s="82"/>
      <c r="FE80" s="30"/>
    </row>
    <row r="81" spans="1:161" ht="15" hidden="1">
      <c r="A81" s="25" t="s">
        <v>531</v>
      </c>
      <c r="B81" s="232" t="s">
        <v>153</v>
      </c>
      <c r="C81" s="138"/>
      <c r="D81" s="221"/>
      <c r="E81" s="239">
        <v>970</v>
      </c>
      <c r="F81" s="95"/>
      <c r="G81" s="95"/>
      <c r="H81" s="147" t="s">
        <v>656</v>
      </c>
      <c r="I81" s="147"/>
      <c r="J81" s="135"/>
      <c r="K81" s="135"/>
      <c r="L81" s="139"/>
      <c r="M81" s="134"/>
      <c r="N81" s="134"/>
      <c r="O81" s="134"/>
      <c r="P81" s="134"/>
      <c r="Q81" s="134"/>
      <c r="R81" s="134"/>
      <c r="S81" s="139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3"/>
      <c r="BD81" s="83"/>
      <c r="BE81" s="83"/>
      <c r="BF81" s="83"/>
      <c r="BG81" s="82"/>
      <c r="BH81" s="81"/>
      <c r="BI81" s="80"/>
      <c r="BJ81" s="25"/>
      <c r="BK81" s="25"/>
      <c r="BL81" s="25"/>
      <c r="BM81" s="84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92"/>
      <c r="DG81" s="92"/>
      <c r="DH81" s="203"/>
      <c r="DI81" s="203"/>
      <c r="DJ81" s="203"/>
      <c r="DK81" s="203"/>
      <c r="DL81" s="203"/>
      <c r="DM81" s="203"/>
      <c r="DN81" s="203"/>
      <c r="DO81" s="203"/>
      <c r="DP81" s="208"/>
      <c r="DQ81" s="208"/>
      <c r="DR81" s="208"/>
      <c r="DS81" s="208"/>
      <c r="DT81" s="208"/>
      <c r="DU81" s="208"/>
      <c r="DV81" s="208"/>
      <c r="DW81" s="208"/>
      <c r="DX81" s="208"/>
      <c r="DY81" s="208"/>
      <c r="DZ81" s="208"/>
      <c r="EA81" s="208"/>
      <c r="EB81" s="208"/>
      <c r="EC81" s="208"/>
      <c r="ED81" s="208"/>
      <c r="EE81" s="208"/>
      <c r="EF81" s="208"/>
      <c r="EG81" s="208"/>
      <c r="EH81" s="208"/>
      <c r="EI81" s="208"/>
      <c r="EJ81" s="208"/>
      <c r="EK81" s="208"/>
      <c r="EL81" s="208"/>
      <c r="EM81" s="208"/>
      <c r="EN81" s="208"/>
      <c r="EO81" s="208"/>
      <c r="EP81" s="208"/>
      <c r="EQ81" s="208"/>
      <c r="ER81" s="208"/>
      <c r="ES81" s="208"/>
      <c r="ET81" s="208"/>
      <c r="EU81" s="208"/>
      <c r="EV81" s="208"/>
      <c r="EW81" s="208"/>
      <c r="EX81" s="208"/>
      <c r="EY81" s="208"/>
      <c r="EZ81" s="208">
        <v>0</v>
      </c>
      <c r="FA81" s="208">
        <v>0</v>
      </c>
      <c r="FB81" s="208">
        <v>0</v>
      </c>
      <c r="FC81" s="208"/>
      <c r="FD81" s="82"/>
      <c r="FE81" s="30"/>
    </row>
    <row r="82" spans="1:161" ht="15" hidden="1">
      <c r="A82" s="25" t="s">
        <v>511</v>
      </c>
      <c r="B82" s="232" t="s">
        <v>153</v>
      </c>
      <c r="C82" s="138"/>
      <c r="D82" s="221"/>
      <c r="E82" s="239">
        <v>970</v>
      </c>
      <c r="F82" s="95"/>
      <c r="G82" s="95"/>
      <c r="H82" s="147" t="s">
        <v>656</v>
      </c>
      <c r="I82" s="147"/>
      <c r="J82" s="135"/>
      <c r="K82" s="135"/>
      <c r="L82" s="139"/>
      <c r="M82" s="134"/>
      <c r="N82" s="134"/>
      <c r="O82" s="134"/>
      <c r="P82" s="134"/>
      <c r="Q82" s="134"/>
      <c r="R82" s="134"/>
      <c r="S82" s="139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3"/>
      <c r="BD82" s="83"/>
      <c r="BE82" s="83"/>
      <c r="BF82" s="83"/>
      <c r="BG82" s="82"/>
      <c r="BH82" s="81"/>
      <c r="BI82" s="80"/>
      <c r="BJ82" s="25"/>
      <c r="BK82" s="25"/>
      <c r="BL82" s="25"/>
      <c r="BM82" s="84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92"/>
      <c r="DG82" s="92"/>
      <c r="DH82" s="203"/>
      <c r="DI82" s="203"/>
      <c r="DJ82" s="203"/>
      <c r="DK82" s="203"/>
      <c r="DL82" s="203"/>
      <c r="DM82" s="203"/>
      <c r="DN82" s="203"/>
      <c r="DO82" s="203"/>
      <c r="DP82" s="208"/>
      <c r="DQ82" s="208"/>
      <c r="DR82" s="208"/>
      <c r="DS82" s="208"/>
      <c r="DT82" s="208"/>
      <c r="DU82" s="208"/>
      <c r="DV82" s="208"/>
      <c r="DW82" s="208"/>
      <c r="DX82" s="208"/>
      <c r="DY82" s="208"/>
      <c r="DZ82" s="208"/>
      <c r="EA82" s="208"/>
      <c r="EB82" s="208"/>
      <c r="EC82" s="208"/>
      <c r="ED82" s="208"/>
      <c r="EE82" s="208"/>
      <c r="EF82" s="208"/>
      <c r="EG82" s="208"/>
      <c r="EH82" s="208"/>
      <c r="EI82" s="208"/>
      <c r="EJ82" s="208"/>
      <c r="EK82" s="208"/>
      <c r="EL82" s="208"/>
      <c r="EM82" s="208"/>
      <c r="EN82" s="208"/>
      <c r="EO82" s="208"/>
      <c r="EP82" s="208"/>
      <c r="EQ82" s="208"/>
      <c r="ER82" s="208"/>
      <c r="ES82" s="208"/>
      <c r="ET82" s="208"/>
      <c r="EU82" s="208"/>
      <c r="EV82" s="208"/>
      <c r="EW82" s="208"/>
      <c r="EX82" s="208"/>
      <c r="EY82" s="208"/>
      <c r="EZ82" s="208">
        <v>0</v>
      </c>
      <c r="FA82" s="208">
        <v>0</v>
      </c>
      <c r="FB82" s="208">
        <v>0</v>
      </c>
      <c r="FC82" s="208"/>
      <c r="FD82" s="82"/>
      <c r="FE82" s="30"/>
    </row>
    <row r="83" spans="1:161" ht="15" hidden="1">
      <c r="A83" s="25" t="s">
        <v>517</v>
      </c>
      <c r="B83" s="232" t="s">
        <v>153</v>
      </c>
      <c r="C83" s="138"/>
      <c r="D83" s="221"/>
      <c r="E83" s="239">
        <v>970</v>
      </c>
      <c r="F83" s="95"/>
      <c r="G83" s="95"/>
      <c r="H83" s="147" t="s">
        <v>656</v>
      </c>
      <c r="I83" s="147"/>
      <c r="J83" s="135"/>
      <c r="K83" s="135"/>
      <c r="L83" s="139"/>
      <c r="M83" s="134"/>
      <c r="N83" s="134"/>
      <c r="O83" s="134"/>
      <c r="P83" s="134"/>
      <c r="Q83" s="134"/>
      <c r="R83" s="134"/>
      <c r="S83" s="139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3"/>
      <c r="BD83" s="83"/>
      <c r="BE83" s="83"/>
      <c r="BF83" s="83"/>
      <c r="BG83" s="82"/>
      <c r="BH83" s="81"/>
      <c r="BI83" s="80"/>
      <c r="BJ83" s="25"/>
      <c r="BK83" s="25"/>
      <c r="BL83" s="25"/>
      <c r="BM83" s="84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92"/>
      <c r="DG83" s="92"/>
      <c r="DH83" s="203"/>
      <c r="DI83" s="203"/>
      <c r="DJ83" s="203"/>
      <c r="DK83" s="203"/>
      <c r="DL83" s="203"/>
      <c r="DM83" s="203"/>
      <c r="DN83" s="203"/>
      <c r="DO83" s="203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D83" s="208"/>
      <c r="EE83" s="208"/>
      <c r="EF83" s="208"/>
      <c r="EG83" s="208"/>
      <c r="EH83" s="208"/>
      <c r="EI83" s="208"/>
      <c r="EJ83" s="208"/>
      <c r="EK83" s="208"/>
      <c r="EL83" s="208"/>
      <c r="EM83" s="208"/>
      <c r="EN83" s="208"/>
      <c r="EO83" s="208"/>
      <c r="EP83" s="208"/>
      <c r="EQ83" s="208"/>
      <c r="ER83" s="208"/>
      <c r="ES83" s="208"/>
      <c r="ET83" s="208"/>
      <c r="EU83" s="208"/>
      <c r="EV83" s="208"/>
      <c r="EW83" s="208"/>
      <c r="EX83" s="208"/>
      <c r="EY83" s="208"/>
      <c r="EZ83" s="208">
        <v>0</v>
      </c>
      <c r="FA83" s="208">
        <v>0</v>
      </c>
      <c r="FB83" s="208">
        <v>0</v>
      </c>
      <c r="FC83" s="208"/>
      <c r="FD83" s="82"/>
      <c r="FE83" s="30"/>
    </row>
    <row r="84" spans="1:161" ht="15" hidden="1">
      <c r="A84" s="25" t="s">
        <v>573</v>
      </c>
      <c r="B84" s="232" t="s">
        <v>153</v>
      </c>
      <c r="C84" s="138"/>
      <c r="D84" s="221"/>
      <c r="E84" s="239">
        <v>770</v>
      </c>
      <c r="F84" s="95"/>
      <c r="G84" s="95"/>
      <c r="H84" s="147" t="s">
        <v>656</v>
      </c>
      <c r="I84" s="147"/>
      <c r="J84" s="135"/>
      <c r="K84" s="135"/>
      <c r="L84" s="139"/>
      <c r="M84" s="134"/>
      <c r="N84" s="134"/>
      <c r="O84" s="134"/>
      <c r="P84" s="134"/>
      <c r="Q84" s="134"/>
      <c r="R84" s="134"/>
      <c r="S84" s="139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3"/>
      <c r="BD84" s="83"/>
      <c r="BE84" s="83"/>
      <c r="BF84" s="83"/>
      <c r="BG84" s="82"/>
      <c r="BH84" s="81"/>
      <c r="BI84" s="80"/>
      <c r="BJ84" s="25"/>
      <c r="BK84" s="25"/>
      <c r="BL84" s="25"/>
      <c r="BM84" s="84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92"/>
      <c r="DG84" s="92"/>
      <c r="DH84" s="203"/>
      <c r="DI84" s="203"/>
      <c r="DJ84" s="203"/>
      <c r="DK84" s="203"/>
      <c r="DL84" s="203"/>
      <c r="DM84" s="203"/>
      <c r="DN84" s="203"/>
      <c r="DO84" s="203"/>
      <c r="DP84" s="208"/>
      <c r="DQ84" s="208"/>
      <c r="DR84" s="208"/>
      <c r="DS84" s="208"/>
      <c r="DT84" s="208"/>
      <c r="DU84" s="208"/>
      <c r="DV84" s="208"/>
      <c r="DW84" s="208"/>
      <c r="DX84" s="208"/>
      <c r="DY84" s="208"/>
      <c r="DZ84" s="208"/>
      <c r="EA84" s="208"/>
      <c r="EB84" s="208"/>
      <c r="EC84" s="208"/>
      <c r="ED84" s="208"/>
      <c r="EE84" s="208"/>
      <c r="EF84" s="208"/>
      <c r="EG84" s="208"/>
      <c r="EH84" s="208"/>
      <c r="EI84" s="208"/>
      <c r="EJ84" s="208"/>
      <c r="EK84" s="208"/>
      <c r="EL84" s="208"/>
      <c r="EM84" s="208"/>
      <c r="EN84" s="208"/>
      <c r="EO84" s="208"/>
      <c r="EP84" s="208"/>
      <c r="EQ84" s="208"/>
      <c r="ER84" s="208"/>
      <c r="ES84" s="208"/>
      <c r="ET84" s="208"/>
      <c r="EU84" s="208"/>
      <c r="EV84" s="208"/>
      <c r="EW84" s="208"/>
      <c r="EX84" s="208"/>
      <c r="EY84" s="208"/>
      <c r="EZ84" s="208">
        <v>0</v>
      </c>
      <c r="FA84" s="208">
        <v>0</v>
      </c>
      <c r="FB84" s="208">
        <v>0</v>
      </c>
      <c r="FC84" s="208"/>
      <c r="FD84" s="82"/>
      <c r="FE84" s="30"/>
    </row>
    <row r="85" spans="1:161" ht="15" hidden="1">
      <c r="A85" s="25" t="s">
        <v>574</v>
      </c>
      <c r="B85" s="232" t="s">
        <v>153</v>
      </c>
      <c r="C85" s="138"/>
      <c r="D85" s="221"/>
      <c r="E85" s="239">
        <v>770</v>
      </c>
      <c r="F85" s="95"/>
      <c r="G85" s="95"/>
      <c r="H85" s="147" t="s">
        <v>656</v>
      </c>
      <c r="I85" s="147"/>
      <c r="J85" s="135"/>
      <c r="K85" s="135"/>
      <c r="L85" s="139"/>
      <c r="M85" s="134"/>
      <c r="N85" s="134"/>
      <c r="O85" s="134"/>
      <c r="P85" s="134"/>
      <c r="Q85" s="134"/>
      <c r="R85" s="134"/>
      <c r="S85" s="139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3"/>
      <c r="BD85" s="83"/>
      <c r="BE85" s="83"/>
      <c r="BF85" s="83"/>
      <c r="BG85" s="82"/>
      <c r="BH85" s="81"/>
      <c r="BI85" s="80"/>
      <c r="BJ85" s="25"/>
      <c r="BK85" s="25"/>
      <c r="BL85" s="25"/>
      <c r="BM85" s="84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92"/>
      <c r="DG85" s="92"/>
      <c r="DH85" s="203"/>
      <c r="DI85" s="203"/>
      <c r="DJ85" s="203"/>
      <c r="DK85" s="203"/>
      <c r="DL85" s="203"/>
      <c r="DM85" s="203"/>
      <c r="DN85" s="203"/>
      <c r="DO85" s="203"/>
      <c r="DP85" s="208"/>
      <c r="DQ85" s="208"/>
      <c r="DR85" s="208"/>
      <c r="DS85" s="208"/>
      <c r="DT85" s="208"/>
      <c r="DU85" s="208"/>
      <c r="DV85" s="208"/>
      <c r="DW85" s="208"/>
      <c r="DX85" s="208"/>
      <c r="DY85" s="208"/>
      <c r="DZ85" s="208"/>
      <c r="EA85" s="208"/>
      <c r="EB85" s="208"/>
      <c r="EC85" s="208"/>
      <c r="ED85" s="208"/>
      <c r="EE85" s="208"/>
      <c r="EF85" s="208"/>
      <c r="EG85" s="208"/>
      <c r="EH85" s="208"/>
      <c r="EI85" s="208"/>
      <c r="EJ85" s="208"/>
      <c r="EK85" s="208"/>
      <c r="EL85" s="208"/>
      <c r="EM85" s="208"/>
      <c r="EN85" s="208"/>
      <c r="EO85" s="208"/>
      <c r="EP85" s="208"/>
      <c r="EQ85" s="208"/>
      <c r="ER85" s="208"/>
      <c r="ES85" s="208"/>
      <c r="ET85" s="208"/>
      <c r="EU85" s="208"/>
      <c r="EV85" s="208"/>
      <c r="EW85" s="208"/>
      <c r="EX85" s="208"/>
      <c r="EY85" s="208"/>
      <c r="EZ85" s="208">
        <v>0</v>
      </c>
      <c r="FA85" s="208">
        <v>0</v>
      </c>
      <c r="FB85" s="208">
        <v>0</v>
      </c>
      <c r="FC85" s="208"/>
      <c r="FD85" s="82"/>
      <c r="FE85" s="30"/>
    </row>
    <row r="86" spans="1:161" ht="15" hidden="1">
      <c r="A86" s="25" t="s">
        <v>557</v>
      </c>
      <c r="B86" s="232" t="s">
        <v>153</v>
      </c>
      <c r="C86" s="138"/>
      <c r="D86" s="221"/>
      <c r="E86" s="239">
        <v>770</v>
      </c>
      <c r="F86" s="95"/>
      <c r="G86" s="95"/>
      <c r="H86" s="147" t="s">
        <v>656</v>
      </c>
      <c r="I86" s="147"/>
      <c r="J86" s="135"/>
      <c r="K86" s="135"/>
      <c r="L86" s="139"/>
      <c r="M86" s="134"/>
      <c r="N86" s="134"/>
      <c r="O86" s="134"/>
      <c r="P86" s="134"/>
      <c r="Q86" s="134"/>
      <c r="R86" s="134"/>
      <c r="S86" s="139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3"/>
      <c r="BD86" s="83"/>
      <c r="BE86" s="83"/>
      <c r="BF86" s="83"/>
      <c r="BG86" s="82"/>
      <c r="BH86" s="81"/>
      <c r="BI86" s="80"/>
      <c r="BJ86" s="25"/>
      <c r="BK86" s="25"/>
      <c r="BL86" s="25"/>
      <c r="BM86" s="84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92"/>
      <c r="DG86" s="92"/>
      <c r="DH86" s="203"/>
      <c r="DI86" s="203"/>
      <c r="DJ86" s="203"/>
      <c r="DK86" s="203"/>
      <c r="DL86" s="203"/>
      <c r="DM86" s="203"/>
      <c r="DN86" s="203"/>
      <c r="DO86" s="203"/>
      <c r="DP86" s="208"/>
      <c r="DQ86" s="208"/>
      <c r="DR86" s="208"/>
      <c r="DS86" s="208"/>
      <c r="DT86" s="208"/>
      <c r="DU86" s="208"/>
      <c r="DV86" s="208"/>
      <c r="DW86" s="208"/>
      <c r="DX86" s="208"/>
      <c r="DY86" s="208"/>
      <c r="DZ86" s="208"/>
      <c r="EA86" s="208"/>
      <c r="EB86" s="208"/>
      <c r="EC86" s="208"/>
      <c r="ED86" s="208"/>
      <c r="EE86" s="208"/>
      <c r="EF86" s="208"/>
      <c r="EG86" s="208"/>
      <c r="EH86" s="208"/>
      <c r="EI86" s="208"/>
      <c r="EJ86" s="208"/>
      <c r="EK86" s="208"/>
      <c r="EL86" s="208"/>
      <c r="EM86" s="208"/>
      <c r="EN86" s="208"/>
      <c r="EO86" s="208"/>
      <c r="EP86" s="208"/>
      <c r="EQ86" s="208"/>
      <c r="ER86" s="208"/>
      <c r="ES86" s="208"/>
      <c r="ET86" s="208"/>
      <c r="EU86" s="208"/>
      <c r="EV86" s="208"/>
      <c r="EW86" s="208"/>
      <c r="EX86" s="208"/>
      <c r="EY86" s="208"/>
      <c r="EZ86" s="208">
        <v>0</v>
      </c>
      <c r="FA86" s="208">
        <v>0</v>
      </c>
      <c r="FB86" s="208">
        <v>0</v>
      </c>
      <c r="FC86" s="208"/>
      <c r="FD86" s="82"/>
      <c r="FE86" s="30"/>
    </row>
    <row r="87" spans="1:161" ht="15" hidden="1">
      <c r="A87" s="25" t="s">
        <v>546</v>
      </c>
      <c r="B87" s="232" t="s">
        <v>153</v>
      </c>
      <c r="C87" s="138"/>
      <c r="D87" s="221"/>
      <c r="E87" s="239">
        <v>770</v>
      </c>
      <c r="F87" s="95"/>
      <c r="G87" s="95"/>
      <c r="H87" s="147" t="s">
        <v>656</v>
      </c>
      <c r="I87" s="147"/>
      <c r="J87" s="135"/>
      <c r="K87" s="135"/>
      <c r="L87" s="139"/>
      <c r="M87" s="134"/>
      <c r="N87" s="134"/>
      <c r="O87" s="134"/>
      <c r="P87" s="134"/>
      <c r="Q87" s="134"/>
      <c r="R87" s="134"/>
      <c r="S87" s="139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3"/>
      <c r="BD87" s="83"/>
      <c r="BE87" s="83"/>
      <c r="BF87" s="83"/>
      <c r="BG87" s="82"/>
      <c r="BH87" s="81"/>
      <c r="BI87" s="80"/>
      <c r="BJ87" s="25"/>
      <c r="BK87" s="25"/>
      <c r="BL87" s="25"/>
      <c r="BM87" s="84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92"/>
      <c r="DG87" s="92"/>
      <c r="DH87" s="203"/>
      <c r="DI87" s="203"/>
      <c r="DJ87" s="203"/>
      <c r="DK87" s="203"/>
      <c r="DL87" s="203"/>
      <c r="DM87" s="203"/>
      <c r="DN87" s="203"/>
      <c r="DO87" s="203"/>
      <c r="DP87" s="208"/>
      <c r="DQ87" s="208"/>
      <c r="DR87" s="208"/>
      <c r="DS87" s="208"/>
      <c r="DT87" s="208"/>
      <c r="DU87" s="208"/>
      <c r="DV87" s="208"/>
      <c r="DW87" s="208"/>
      <c r="DX87" s="208"/>
      <c r="DY87" s="208"/>
      <c r="DZ87" s="208"/>
      <c r="EA87" s="208"/>
      <c r="EB87" s="208"/>
      <c r="EC87" s="208"/>
      <c r="ED87" s="208"/>
      <c r="EE87" s="208"/>
      <c r="EF87" s="208"/>
      <c r="EG87" s="208"/>
      <c r="EH87" s="208"/>
      <c r="EI87" s="208"/>
      <c r="EJ87" s="208"/>
      <c r="EK87" s="208"/>
      <c r="EL87" s="208"/>
      <c r="EM87" s="208"/>
      <c r="EN87" s="208"/>
      <c r="EO87" s="208"/>
      <c r="EP87" s="208"/>
      <c r="EQ87" s="208"/>
      <c r="ER87" s="208"/>
      <c r="ES87" s="208"/>
      <c r="ET87" s="208"/>
      <c r="EU87" s="208"/>
      <c r="EV87" s="208"/>
      <c r="EW87" s="208"/>
      <c r="EX87" s="208"/>
      <c r="EY87" s="208"/>
      <c r="EZ87" s="208">
        <v>0</v>
      </c>
      <c r="FA87" s="208">
        <v>0</v>
      </c>
      <c r="FB87" s="208">
        <v>0</v>
      </c>
      <c r="FC87" s="208"/>
      <c r="FD87" s="82"/>
      <c r="FE87" s="30"/>
    </row>
    <row r="88" spans="1:161" ht="15" hidden="1">
      <c r="A88" s="25" t="s">
        <v>543</v>
      </c>
      <c r="B88" s="232" t="s">
        <v>153</v>
      </c>
      <c r="C88" s="138"/>
      <c r="D88" s="221"/>
      <c r="E88" s="239">
        <v>770</v>
      </c>
      <c r="F88" s="95"/>
      <c r="G88" s="95"/>
      <c r="H88" s="147" t="s">
        <v>656</v>
      </c>
      <c r="I88" s="147"/>
      <c r="J88" s="135"/>
      <c r="K88" s="135"/>
      <c r="L88" s="139"/>
      <c r="M88" s="134"/>
      <c r="N88" s="134"/>
      <c r="O88" s="134"/>
      <c r="P88" s="134"/>
      <c r="Q88" s="134"/>
      <c r="R88" s="134"/>
      <c r="S88" s="139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3"/>
      <c r="BD88" s="83"/>
      <c r="BE88" s="83"/>
      <c r="BF88" s="83"/>
      <c r="BG88" s="82"/>
      <c r="BH88" s="81"/>
      <c r="BI88" s="80"/>
      <c r="BJ88" s="25"/>
      <c r="BK88" s="25"/>
      <c r="BL88" s="25"/>
      <c r="BM88" s="84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92"/>
      <c r="DG88" s="92"/>
      <c r="DH88" s="203"/>
      <c r="DI88" s="203"/>
      <c r="DJ88" s="203"/>
      <c r="DK88" s="203"/>
      <c r="DL88" s="203"/>
      <c r="DM88" s="203"/>
      <c r="DN88" s="203"/>
      <c r="DO88" s="203"/>
      <c r="DP88" s="208"/>
      <c r="DQ88" s="208"/>
      <c r="DR88" s="208"/>
      <c r="DS88" s="208"/>
      <c r="DT88" s="208"/>
      <c r="DU88" s="208"/>
      <c r="DV88" s="208"/>
      <c r="DW88" s="208"/>
      <c r="DX88" s="208"/>
      <c r="DY88" s="208"/>
      <c r="DZ88" s="208"/>
      <c r="EA88" s="208"/>
      <c r="EB88" s="208"/>
      <c r="EC88" s="208"/>
      <c r="ED88" s="208"/>
      <c r="EE88" s="208"/>
      <c r="EF88" s="208"/>
      <c r="EG88" s="208"/>
      <c r="EH88" s="208"/>
      <c r="EI88" s="208"/>
      <c r="EJ88" s="208"/>
      <c r="EK88" s="208"/>
      <c r="EL88" s="208"/>
      <c r="EM88" s="208"/>
      <c r="EN88" s="208"/>
      <c r="EO88" s="208"/>
      <c r="EP88" s="208"/>
      <c r="EQ88" s="208"/>
      <c r="ER88" s="208"/>
      <c r="ES88" s="208"/>
      <c r="ET88" s="208"/>
      <c r="EU88" s="208"/>
      <c r="EV88" s="208"/>
      <c r="EW88" s="208"/>
      <c r="EX88" s="208"/>
      <c r="EY88" s="208"/>
      <c r="EZ88" s="208">
        <v>0</v>
      </c>
      <c r="FA88" s="208">
        <v>0</v>
      </c>
      <c r="FB88" s="208">
        <v>0</v>
      </c>
      <c r="FC88" s="208"/>
      <c r="FD88" s="82"/>
      <c r="FE88" s="30"/>
    </row>
    <row r="89" spans="1:161" ht="15" hidden="1">
      <c r="A89" s="25" t="s">
        <v>556</v>
      </c>
      <c r="B89" s="232" t="s">
        <v>153</v>
      </c>
      <c r="C89" s="138"/>
      <c r="D89" s="221"/>
      <c r="E89" s="239">
        <v>770</v>
      </c>
      <c r="F89" s="95"/>
      <c r="G89" s="95"/>
      <c r="H89" s="147" t="s">
        <v>656</v>
      </c>
      <c r="I89" s="147"/>
      <c r="J89" s="135"/>
      <c r="K89" s="135"/>
      <c r="L89" s="139"/>
      <c r="M89" s="134"/>
      <c r="N89" s="134"/>
      <c r="O89" s="134"/>
      <c r="P89" s="134"/>
      <c r="Q89" s="134"/>
      <c r="R89" s="134"/>
      <c r="S89" s="139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3"/>
      <c r="BD89" s="83"/>
      <c r="BE89" s="83"/>
      <c r="BF89" s="83"/>
      <c r="BG89" s="82"/>
      <c r="BH89" s="81"/>
      <c r="BI89" s="80"/>
      <c r="BJ89" s="25"/>
      <c r="BK89" s="25"/>
      <c r="BL89" s="25"/>
      <c r="BM89" s="84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92"/>
      <c r="DG89" s="92"/>
      <c r="DH89" s="203"/>
      <c r="DI89" s="203"/>
      <c r="DJ89" s="203"/>
      <c r="DK89" s="203"/>
      <c r="DL89" s="203"/>
      <c r="DM89" s="203"/>
      <c r="DN89" s="203"/>
      <c r="DO89" s="203"/>
      <c r="DP89" s="208"/>
      <c r="DQ89" s="208"/>
      <c r="DR89" s="208"/>
      <c r="DS89" s="208"/>
      <c r="DT89" s="208"/>
      <c r="DU89" s="208"/>
      <c r="DV89" s="208"/>
      <c r="DW89" s="208"/>
      <c r="DX89" s="208"/>
      <c r="DY89" s="208"/>
      <c r="DZ89" s="208"/>
      <c r="EA89" s="208"/>
      <c r="EB89" s="208"/>
      <c r="EC89" s="208"/>
      <c r="ED89" s="208"/>
      <c r="EE89" s="208"/>
      <c r="EF89" s="208"/>
      <c r="EG89" s="208"/>
      <c r="EH89" s="208"/>
      <c r="EI89" s="208"/>
      <c r="EJ89" s="208"/>
      <c r="EK89" s="208"/>
      <c r="EL89" s="208"/>
      <c r="EM89" s="208"/>
      <c r="EN89" s="208"/>
      <c r="EO89" s="208"/>
      <c r="EP89" s="208"/>
      <c r="EQ89" s="208"/>
      <c r="ER89" s="208"/>
      <c r="ES89" s="208"/>
      <c r="ET89" s="208"/>
      <c r="EU89" s="208"/>
      <c r="EV89" s="208"/>
      <c r="EW89" s="208"/>
      <c r="EX89" s="208"/>
      <c r="EY89" s="208"/>
      <c r="EZ89" s="208">
        <v>0</v>
      </c>
      <c r="FA89" s="208">
        <v>0</v>
      </c>
      <c r="FB89" s="208">
        <v>0</v>
      </c>
      <c r="FC89" s="208"/>
      <c r="FD89" s="82"/>
      <c r="FE89" s="30"/>
    </row>
    <row r="90" spans="1:161" ht="15" hidden="1">
      <c r="A90" s="25" t="s">
        <v>154</v>
      </c>
      <c r="B90" s="232" t="s">
        <v>153</v>
      </c>
      <c r="C90" s="138"/>
      <c r="D90" s="221"/>
      <c r="E90" s="239">
        <v>970</v>
      </c>
      <c r="F90" s="95"/>
      <c r="G90" s="95"/>
      <c r="H90" s="147" t="s">
        <v>656</v>
      </c>
      <c r="I90" s="147"/>
      <c r="J90" s="135"/>
      <c r="K90" s="135"/>
      <c r="L90" s="139"/>
      <c r="M90" s="134"/>
      <c r="N90" s="134"/>
      <c r="O90" s="134"/>
      <c r="P90" s="134"/>
      <c r="Q90" s="134"/>
      <c r="R90" s="134"/>
      <c r="S90" s="139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3"/>
      <c r="BD90" s="83"/>
      <c r="BE90" s="83"/>
      <c r="BF90" s="83"/>
      <c r="BG90" s="82"/>
      <c r="BH90" s="81"/>
      <c r="BI90" s="80"/>
      <c r="BJ90" s="25"/>
      <c r="BK90" s="25"/>
      <c r="BL90" s="25"/>
      <c r="BM90" s="84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92"/>
      <c r="DG90" s="92"/>
      <c r="DH90" s="203"/>
      <c r="DI90" s="203"/>
      <c r="DJ90" s="203"/>
      <c r="DK90" s="203"/>
      <c r="DL90" s="203"/>
      <c r="DM90" s="203"/>
      <c r="DN90" s="203"/>
      <c r="DO90" s="203"/>
      <c r="DP90" s="208"/>
      <c r="DQ90" s="208"/>
      <c r="DR90" s="208"/>
      <c r="DS90" s="208"/>
      <c r="DT90" s="208"/>
      <c r="DU90" s="208"/>
      <c r="DV90" s="208"/>
      <c r="DW90" s="208"/>
      <c r="DX90" s="208"/>
      <c r="DY90" s="208"/>
      <c r="DZ90" s="208"/>
      <c r="EA90" s="208"/>
      <c r="EB90" s="208"/>
      <c r="EC90" s="208"/>
      <c r="ED90" s="208"/>
      <c r="EE90" s="208"/>
      <c r="EF90" s="208"/>
      <c r="EG90" s="208"/>
      <c r="EH90" s="208"/>
      <c r="EI90" s="208"/>
      <c r="EJ90" s="208"/>
      <c r="EK90" s="208"/>
      <c r="EL90" s="208"/>
      <c r="EM90" s="208"/>
      <c r="EN90" s="208"/>
      <c r="EO90" s="208"/>
      <c r="EP90" s="208"/>
      <c r="EQ90" s="208"/>
      <c r="ER90" s="208"/>
      <c r="ES90" s="208"/>
      <c r="ET90" s="208"/>
      <c r="EU90" s="208"/>
      <c r="EV90" s="208"/>
      <c r="EW90" s="208"/>
      <c r="EX90" s="208"/>
      <c r="EY90" s="208"/>
      <c r="EZ90" s="208">
        <v>0</v>
      </c>
      <c r="FA90" s="208">
        <v>0</v>
      </c>
      <c r="FB90" s="208">
        <v>0</v>
      </c>
      <c r="FC90" s="208"/>
      <c r="FD90" s="82"/>
      <c r="FE90" s="30"/>
    </row>
    <row r="91" spans="1:161" ht="15" hidden="1">
      <c r="A91" s="25" t="s">
        <v>155</v>
      </c>
      <c r="B91" s="232" t="s">
        <v>153</v>
      </c>
      <c r="C91" s="138"/>
      <c r="D91" s="221"/>
      <c r="E91" s="239">
        <v>970</v>
      </c>
      <c r="F91" s="95"/>
      <c r="G91" s="95"/>
      <c r="H91" s="147" t="s">
        <v>656</v>
      </c>
      <c r="I91" s="147"/>
      <c r="J91" s="135"/>
      <c r="K91" s="135"/>
      <c r="L91" s="139"/>
      <c r="M91" s="134"/>
      <c r="N91" s="134"/>
      <c r="O91" s="134"/>
      <c r="P91" s="134"/>
      <c r="Q91" s="134"/>
      <c r="R91" s="134"/>
      <c r="S91" s="139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3"/>
      <c r="BD91" s="83"/>
      <c r="BE91" s="83"/>
      <c r="BF91" s="83"/>
      <c r="BG91" s="82"/>
      <c r="BH91" s="81"/>
      <c r="BI91" s="80"/>
      <c r="BJ91" s="25"/>
      <c r="BK91" s="25"/>
      <c r="BL91" s="25"/>
      <c r="BM91" s="84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92"/>
      <c r="DG91" s="92"/>
      <c r="DH91" s="203"/>
      <c r="DI91" s="203"/>
      <c r="DJ91" s="203"/>
      <c r="DK91" s="203"/>
      <c r="DL91" s="203"/>
      <c r="DM91" s="203"/>
      <c r="DN91" s="203"/>
      <c r="DO91" s="203"/>
      <c r="DP91" s="208"/>
      <c r="DQ91" s="208"/>
      <c r="DR91" s="208"/>
      <c r="DS91" s="208"/>
      <c r="DT91" s="208"/>
      <c r="DU91" s="208"/>
      <c r="DV91" s="208"/>
      <c r="DW91" s="208"/>
      <c r="DX91" s="208"/>
      <c r="DY91" s="208"/>
      <c r="DZ91" s="208"/>
      <c r="EA91" s="208"/>
      <c r="EB91" s="208"/>
      <c r="EC91" s="208"/>
      <c r="ED91" s="208"/>
      <c r="EE91" s="208"/>
      <c r="EF91" s="208"/>
      <c r="EG91" s="208"/>
      <c r="EH91" s="208"/>
      <c r="EI91" s="208"/>
      <c r="EJ91" s="208"/>
      <c r="EK91" s="208"/>
      <c r="EL91" s="208"/>
      <c r="EM91" s="208"/>
      <c r="EN91" s="208"/>
      <c r="EO91" s="208"/>
      <c r="EP91" s="208"/>
      <c r="EQ91" s="208"/>
      <c r="ER91" s="208"/>
      <c r="ES91" s="208"/>
      <c r="ET91" s="208"/>
      <c r="EU91" s="208"/>
      <c r="EV91" s="208"/>
      <c r="EW91" s="208"/>
      <c r="EX91" s="208"/>
      <c r="EY91" s="208"/>
      <c r="EZ91" s="208">
        <v>0</v>
      </c>
      <c r="FA91" s="208">
        <v>0</v>
      </c>
      <c r="FB91" s="208">
        <v>0</v>
      </c>
      <c r="FC91" s="208"/>
      <c r="FD91" s="82"/>
      <c r="FE91" s="30"/>
    </row>
    <row r="92" spans="1:161" ht="15" hidden="1">
      <c r="A92" s="25" t="s">
        <v>156</v>
      </c>
      <c r="B92" s="232" t="s">
        <v>153</v>
      </c>
      <c r="C92" s="138"/>
      <c r="D92" s="221"/>
      <c r="E92" s="239">
        <v>970</v>
      </c>
      <c r="F92" s="95"/>
      <c r="G92" s="95"/>
      <c r="H92" s="147" t="s">
        <v>656</v>
      </c>
      <c r="I92" s="147"/>
      <c r="J92" s="135"/>
      <c r="K92" s="135"/>
      <c r="L92" s="139"/>
      <c r="M92" s="134"/>
      <c r="N92" s="134"/>
      <c r="O92" s="134"/>
      <c r="P92" s="134"/>
      <c r="Q92" s="134"/>
      <c r="R92" s="134"/>
      <c r="S92" s="139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3"/>
      <c r="BD92" s="83"/>
      <c r="BE92" s="83"/>
      <c r="BF92" s="83"/>
      <c r="BG92" s="82"/>
      <c r="BH92" s="81"/>
      <c r="BI92" s="80"/>
      <c r="BJ92" s="25"/>
      <c r="BK92" s="25"/>
      <c r="BL92" s="25"/>
      <c r="BM92" s="84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92"/>
      <c r="DG92" s="92"/>
      <c r="DH92" s="203"/>
      <c r="DI92" s="203"/>
      <c r="DJ92" s="203"/>
      <c r="DK92" s="203"/>
      <c r="DL92" s="203"/>
      <c r="DM92" s="203"/>
      <c r="DN92" s="203"/>
      <c r="DO92" s="203"/>
      <c r="DP92" s="208"/>
      <c r="DQ92" s="208"/>
      <c r="DR92" s="208"/>
      <c r="DS92" s="208"/>
      <c r="DT92" s="208"/>
      <c r="DU92" s="208"/>
      <c r="DV92" s="208"/>
      <c r="DW92" s="208"/>
      <c r="DX92" s="208"/>
      <c r="DY92" s="208"/>
      <c r="DZ92" s="208"/>
      <c r="EA92" s="208"/>
      <c r="EB92" s="208"/>
      <c r="EC92" s="208"/>
      <c r="ED92" s="208"/>
      <c r="EE92" s="208"/>
      <c r="EF92" s="208"/>
      <c r="EG92" s="208"/>
      <c r="EH92" s="208"/>
      <c r="EI92" s="208"/>
      <c r="EJ92" s="208"/>
      <c r="EK92" s="208"/>
      <c r="EL92" s="208"/>
      <c r="EM92" s="208"/>
      <c r="EN92" s="208"/>
      <c r="EO92" s="208"/>
      <c r="EP92" s="208"/>
      <c r="EQ92" s="208"/>
      <c r="ER92" s="208"/>
      <c r="ES92" s="208"/>
      <c r="ET92" s="208"/>
      <c r="EU92" s="208"/>
      <c r="EV92" s="208"/>
      <c r="EW92" s="208"/>
      <c r="EX92" s="208"/>
      <c r="EY92" s="208"/>
      <c r="EZ92" s="208">
        <v>0</v>
      </c>
      <c r="FA92" s="208">
        <v>0</v>
      </c>
      <c r="FB92" s="208">
        <v>0</v>
      </c>
      <c r="FC92" s="208"/>
      <c r="FD92" s="82"/>
      <c r="FE92" s="30"/>
    </row>
    <row r="93" spans="1:161" ht="15" hidden="1">
      <c r="A93" s="25" t="s">
        <v>774</v>
      </c>
      <c r="B93" s="232" t="s">
        <v>153</v>
      </c>
      <c r="C93" s="138"/>
      <c r="D93" s="221"/>
      <c r="E93" s="239">
        <v>970</v>
      </c>
      <c r="F93" s="95"/>
      <c r="G93" s="95"/>
      <c r="H93" s="147" t="s">
        <v>656</v>
      </c>
      <c r="I93" s="147"/>
      <c r="J93" s="135"/>
      <c r="K93" s="135"/>
      <c r="L93" s="139"/>
      <c r="M93" s="134"/>
      <c r="N93" s="134"/>
      <c r="O93" s="134"/>
      <c r="P93" s="134"/>
      <c r="Q93" s="134"/>
      <c r="R93" s="134"/>
      <c r="S93" s="139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3"/>
      <c r="BD93" s="83"/>
      <c r="BE93" s="83"/>
      <c r="BF93" s="83"/>
      <c r="BG93" s="82"/>
      <c r="BH93" s="81"/>
      <c r="BI93" s="80"/>
      <c r="BJ93" s="25"/>
      <c r="BK93" s="25"/>
      <c r="BL93" s="25"/>
      <c r="BM93" s="84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92"/>
      <c r="DG93" s="92"/>
      <c r="DH93" s="203"/>
      <c r="DI93" s="203"/>
      <c r="DJ93" s="203"/>
      <c r="DK93" s="203"/>
      <c r="DL93" s="203"/>
      <c r="DM93" s="203"/>
      <c r="DN93" s="203"/>
      <c r="DO93" s="203"/>
      <c r="DP93" s="208"/>
      <c r="DQ93" s="208"/>
      <c r="DR93" s="208"/>
      <c r="DS93" s="208"/>
      <c r="DT93" s="208"/>
      <c r="DU93" s="208"/>
      <c r="DV93" s="208"/>
      <c r="DW93" s="208"/>
      <c r="DX93" s="208"/>
      <c r="DY93" s="208"/>
      <c r="DZ93" s="208"/>
      <c r="EA93" s="208"/>
      <c r="EB93" s="208"/>
      <c r="EC93" s="208"/>
      <c r="ED93" s="208"/>
      <c r="EE93" s="208"/>
      <c r="EF93" s="208"/>
      <c r="EG93" s="208"/>
      <c r="EH93" s="208"/>
      <c r="EI93" s="208"/>
      <c r="EJ93" s="208"/>
      <c r="EK93" s="208"/>
      <c r="EL93" s="208"/>
      <c r="EM93" s="208"/>
      <c r="EN93" s="208"/>
      <c r="EO93" s="208"/>
      <c r="EP93" s="208"/>
      <c r="EQ93" s="208"/>
      <c r="ER93" s="208"/>
      <c r="ES93" s="208"/>
      <c r="ET93" s="208"/>
      <c r="EU93" s="208"/>
      <c r="EV93" s="208"/>
      <c r="EW93" s="208"/>
      <c r="EX93" s="208"/>
      <c r="EY93" s="208"/>
      <c r="EZ93" s="208">
        <v>0</v>
      </c>
      <c r="FA93" s="208">
        <v>0</v>
      </c>
      <c r="FB93" s="208">
        <v>0</v>
      </c>
      <c r="FC93" s="208"/>
      <c r="FD93" s="82"/>
      <c r="FE93" s="30"/>
    </row>
    <row r="94" spans="1:161" ht="15" hidden="1">
      <c r="A94" s="25" t="s">
        <v>578</v>
      </c>
      <c r="B94" s="232" t="s">
        <v>153</v>
      </c>
      <c r="C94" s="138"/>
      <c r="D94" s="221"/>
      <c r="E94" s="239">
        <v>770</v>
      </c>
      <c r="F94" s="95"/>
      <c r="G94" s="95"/>
      <c r="H94" s="147" t="s">
        <v>656</v>
      </c>
      <c r="I94" s="147"/>
      <c r="J94" s="135"/>
      <c r="K94" s="135"/>
      <c r="L94" s="139"/>
      <c r="M94" s="134"/>
      <c r="N94" s="134"/>
      <c r="O94" s="134"/>
      <c r="P94" s="134"/>
      <c r="Q94" s="134"/>
      <c r="R94" s="134"/>
      <c r="S94" s="139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3"/>
      <c r="BD94" s="83"/>
      <c r="BE94" s="83"/>
      <c r="BF94" s="83"/>
      <c r="BG94" s="82"/>
      <c r="BH94" s="81"/>
      <c r="BI94" s="80"/>
      <c r="BJ94" s="25"/>
      <c r="BK94" s="25"/>
      <c r="BL94" s="25"/>
      <c r="BM94" s="84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92"/>
      <c r="DG94" s="92"/>
      <c r="DH94" s="203"/>
      <c r="DI94" s="203"/>
      <c r="DJ94" s="203"/>
      <c r="DK94" s="203"/>
      <c r="DL94" s="203"/>
      <c r="DM94" s="203"/>
      <c r="DN94" s="203"/>
      <c r="DO94" s="203"/>
      <c r="DP94" s="208"/>
      <c r="DQ94" s="208"/>
      <c r="DR94" s="208"/>
      <c r="DS94" s="208"/>
      <c r="DT94" s="208"/>
      <c r="DU94" s="208"/>
      <c r="DV94" s="208"/>
      <c r="DW94" s="208"/>
      <c r="DX94" s="208"/>
      <c r="DY94" s="208"/>
      <c r="DZ94" s="208"/>
      <c r="EA94" s="208"/>
      <c r="EB94" s="208"/>
      <c r="EC94" s="208"/>
      <c r="ED94" s="208"/>
      <c r="EE94" s="208"/>
      <c r="EF94" s="208"/>
      <c r="EG94" s="208"/>
      <c r="EH94" s="208"/>
      <c r="EI94" s="208"/>
      <c r="EJ94" s="208"/>
      <c r="EK94" s="208"/>
      <c r="EL94" s="208"/>
      <c r="EM94" s="208"/>
      <c r="EN94" s="208"/>
      <c r="EO94" s="208"/>
      <c r="EP94" s="208"/>
      <c r="EQ94" s="208"/>
      <c r="ER94" s="208"/>
      <c r="ES94" s="208"/>
      <c r="ET94" s="208"/>
      <c r="EU94" s="208"/>
      <c r="EV94" s="208"/>
      <c r="EW94" s="208"/>
      <c r="EX94" s="208"/>
      <c r="EY94" s="208"/>
      <c r="EZ94" s="208">
        <v>0</v>
      </c>
      <c r="FA94" s="208">
        <v>0</v>
      </c>
      <c r="FB94" s="208">
        <v>0</v>
      </c>
      <c r="FC94" s="208"/>
      <c r="FD94" s="82"/>
      <c r="FE94" s="30"/>
    </row>
    <row r="95" spans="1:161" ht="15" hidden="1">
      <c r="A95" s="25" t="s">
        <v>525</v>
      </c>
      <c r="B95" s="232" t="s">
        <v>153</v>
      </c>
      <c r="C95" s="138"/>
      <c r="D95" s="221"/>
      <c r="E95" s="239">
        <v>970</v>
      </c>
      <c r="F95" s="95"/>
      <c r="G95" s="95"/>
      <c r="H95" s="147" t="s">
        <v>656</v>
      </c>
      <c r="I95" s="147"/>
      <c r="J95" s="135"/>
      <c r="K95" s="135"/>
      <c r="L95" s="139"/>
      <c r="M95" s="134"/>
      <c r="N95" s="134"/>
      <c r="O95" s="134"/>
      <c r="P95" s="134"/>
      <c r="Q95" s="134"/>
      <c r="R95" s="134"/>
      <c r="S95" s="139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3"/>
      <c r="BD95" s="83"/>
      <c r="BE95" s="83"/>
      <c r="BF95" s="83"/>
      <c r="BG95" s="82"/>
      <c r="BH95" s="81"/>
      <c r="BI95" s="80"/>
      <c r="BJ95" s="25"/>
      <c r="BK95" s="25"/>
      <c r="BL95" s="25"/>
      <c r="BM95" s="84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92"/>
      <c r="DG95" s="92"/>
      <c r="DH95" s="203"/>
      <c r="DI95" s="203"/>
      <c r="DJ95" s="203"/>
      <c r="DK95" s="203"/>
      <c r="DL95" s="203"/>
      <c r="DM95" s="203"/>
      <c r="DN95" s="203"/>
      <c r="DO95" s="203"/>
      <c r="DP95" s="208"/>
      <c r="DQ95" s="208"/>
      <c r="DR95" s="208"/>
      <c r="DS95" s="208"/>
      <c r="DT95" s="208"/>
      <c r="DU95" s="208"/>
      <c r="DV95" s="208"/>
      <c r="DW95" s="208"/>
      <c r="DX95" s="208"/>
      <c r="DY95" s="208"/>
      <c r="DZ95" s="208"/>
      <c r="EA95" s="208"/>
      <c r="EB95" s="208"/>
      <c r="EC95" s="208"/>
      <c r="ED95" s="208"/>
      <c r="EE95" s="208"/>
      <c r="EF95" s="208"/>
      <c r="EG95" s="208"/>
      <c r="EH95" s="208"/>
      <c r="EI95" s="208"/>
      <c r="EJ95" s="208"/>
      <c r="EK95" s="208"/>
      <c r="EL95" s="208"/>
      <c r="EM95" s="208"/>
      <c r="EN95" s="208"/>
      <c r="EO95" s="208"/>
      <c r="EP95" s="208"/>
      <c r="EQ95" s="208"/>
      <c r="ER95" s="208"/>
      <c r="ES95" s="208"/>
      <c r="ET95" s="208"/>
      <c r="EU95" s="208"/>
      <c r="EV95" s="208"/>
      <c r="EW95" s="208"/>
      <c r="EX95" s="208"/>
      <c r="EY95" s="208"/>
      <c r="EZ95" s="208">
        <v>0</v>
      </c>
      <c r="FA95" s="208">
        <v>0</v>
      </c>
      <c r="FB95" s="208">
        <v>0</v>
      </c>
      <c r="FC95" s="208"/>
      <c r="FD95" s="82"/>
      <c r="FE95" s="30"/>
    </row>
    <row r="96" spans="1:161" ht="15" hidden="1">
      <c r="A96" s="25" t="s">
        <v>548</v>
      </c>
      <c r="B96" s="212" t="s">
        <v>153</v>
      </c>
      <c r="C96" s="138"/>
      <c r="D96" s="221"/>
      <c r="E96" s="239">
        <v>770</v>
      </c>
      <c r="F96" s="95"/>
      <c r="G96" s="95"/>
      <c r="H96" s="147" t="s">
        <v>656</v>
      </c>
      <c r="I96" s="147"/>
      <c r="J96" s="135"/>
      <c r="K96" s="135"/>
      <c r="L96" s="139"/>
      <c r="M96" s="134"/>
      <c r="N96" s="134"/>
      <c r="O96" s="134"/>
      <c r="P96" s="134"/>
      <c r="Q96" s="134"/>
      <c r="R96" s="134"/>
      <c r="S96" s="139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3"/>
      <c r="BD96" s="83"/>
      <c r="BE96" s="83"/>
      <c r="BF96" s="83"/>
      <c r="BG96" s="82"/>
      <c r="BH96" s="81"/>
      <c r="BI96" s="80"/>
      <c r="BJ96" s="25"/>
      <c r="BK96" s="25"/>
      <c r="BL96" s="25"/>
      <c r="BM96" s="84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92"/>
      <c r="DG96" s="92"/>
      <c r="DH96" s="203"/>
      <c r="DI96" s="203"/>
      <c r="DJ96" s="203"/>
      <c r="DK96" s="203"/>
      <c r="DL96" s="203"/>
      <c r="DM96" s="203"/>
      <c r="DN96" s="203"/>
      <c r="DO96" s="203"/>
      <c r="DP96" s="208"/>
      <c r="DQ96" s="208"/>
      <c r="DR96" s="208"/>
      <c r="DS96" s="208"/>
      <c r="DT96" s="208"/>
      <c r="DU96" s="208"/>
      <c r="DV96" s="208"/>
      <c r="DW96" s="208"/>
      <c r="DX96" s="208"/>
      <c r="DY96" s="208"/>
      <c r="DZ96" s="208"/>
      <c r="EA96" s="208"/>
      <c r="EB96" s="208"/>
      <c r="EC96" s="208"/>
      <c r="ED96" s="208"/>
      <c r="EE96" s="208"/>
      <c r="EF96" s="208"/>
      <c r="EG96" s="208"/>
      <c r="EH96" s="208"/>
      <c r="EI96" s="208"/>
      <c r="EJ96" s="208"/>
      <c r="EK96" s="208"/>
      <c r="EL96" s="208"/>
      <c r="EM96" s="208"/>
      <c r="EN96" s="208"/>
      <c r="EO96" s="208"/>
      <c r="EP96" s="208"/>
      <c r="EQ96" s="208"/>
      <c r="ER96" s="208"/>
      <c r="ES96" s="208"/>
      <c r="ET96" s="208"/>
      <c r="EU96" s="208"/>
      <c r="EV96" s="208"/>
      <c r="EW96" s="208"/>
      <c r="EX96" s="208"/>
      <c r="EY96" s="208"/>
      <c r="EZ96" s="208">
        <v>0</v>
      </c>
      <c r="FA96" s="208">
        <v>0</v>
      </c>
      <c r="FB96" s="208">
        <v>0</v>
      </c>
      <c r="FC96" s="208"/>
      <c r="FD96" s="82"/>
      <c r="FE96" s="30"/>
    </row>
    <row r="97" spans="1:161" ht="15" hidden="1">
      <c r="A97" s="25" t="s">
        <v>499</v>
      </c>
      <c r="B97" s="212" t="s">
        <v>153</v>
      </c>
      <c r="C97" s="138"/>
      <c r="D97" s="221"/>
      <c r="E97" s="239">
        <v>970</v>
      </c>
      <c r="F97" s="95"/>
      <c r="G97" s="95"/>
      <c r="H97" s="147" t="s">
        <v>656</v>
      </c>
      <c r="I97" s="147"/>
      <c r="J97" s="135"/>
      <c r="K97" s="135"/>
      <c r="L97" s="139"/>
      <c r="M97" s="134"/>
      <c r="N97" s="134"/>
      <c r="O97" s="134"/>
      <c r="P97" s="134"/>
      <c r="Q97" s="134"/>
      <c r="R97" s="134"/>
      <c r="S97" s="139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3"/>
      <c r="BD97" s="83"/>
      <c r="BE97" s="83"/>
      <c r="BF97" s="83"/>
      <c r="BG97" s="82"/>
      <c r="BH97" s="81"/>
      <c r="BI97" s="80"/>
      <c r="BJ97" s="25"/>
      <c r="BK97" s="25"/>
      <c r="BL97" s="25"/>
      <c r="BM97" s="84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92"/>
      <c r="DG97" s="92"/>
      <c r="DH97" s="203"/>
      <c r="DI97" s="203"/>
      <c r="DJ97" s="203"/>
      <c r="DK97" s="203"/>
      <c r="DL97" s="203"/>
      <c r="DM97" s="203"/>
      <c r="DN97" s="203"/>
      <c r="DO97" s="203"/>
      <c r="DP97" s="208"/>
      <c r="DQ97" s="208"/>
      <c r="DR97" s="208"/>
      <c r="DS97" s="208"/>
      <c r="DT97" s="208"/>
      <c r="DU97" s="208"/>
      <c r="DV97" s="208"/>
      <c r="DW97" s="208"/>
      <c r="DX97" s="208"/>
      <c r="DY97" s="208"/>
      <c r="DZ97" s="208"/>
      <c r="EA97" s="208"/>
      <c r="EB97" s="208"/>
      <c r="EC97" s="208"/>
      <c r="ED97" s="208"/>
      <c r="EE97" s="208"/>
      <c r="EF97" s="208"/>
      <c r="EG97" s="208"/>
      <c r="EH97" s="208"/>
      <c r="EI97" s="208"/>
      <c r="EJ97" s="208"/>
      <c r="EK97" s="208"/>
      <c r="EL97" s="208"/>
      <c r="EM97" s="208"/>
      <c r="EN97" s="208"/>
      <c r="EO97" s="208"/>
      <c r="EP97" s="208"/>
      <c r="EQ97" s="208"/>
      <c r="ER97" s="208"/>
      <c r="ES97" s="208"/>
      <c r="ET97" s="208"/>
      <c r="EU97" s="208"/>
      <c r="EV97" s="208"/>
      <c r="EW97" s="208"/>
      <c r="EX97" s="208"/>
      <c r="EY97" s="208"/>
      <c r="EZ97" s="208">
        <v>0</v>
      </c>
      <c r="FA97" s="208">
        <v>0</v>
      </c>
      <c r="FB97" s="208">
        <v>0</v>
      </c>
      <c r="FC97" s="208"/>
      <c r="FD97" s="82"/>
      <c r="FE97" s="30"/>
    </row>
    <row r="98" spans="1:161" ht="15" hidden="1">
      <c r="A98" s="25" t="s">
        <v>500</v>
      </c>
      <c r="B98" s="212" t="s">
        <v>153</v>
      </c>
      <c r="C98" s="138"/>
      <c r="D98" s="221"/>
      <c r="E98" s="239">
        <v>970</v>
      </c>
      <c r="F98" s="95"/>
      <c r="G98" s="95"/>
      <c r="H98" s="147" t="s">
        <v>656</v>
      </c>
      <c r="I98" s="147"/>
      <c r="J98" s="135"/>
      <c r="K98" s="135"/>
      <c r="L98" s="139"/>
      <c r="M98" s="134"/>
      <c r="N98" s="134"/>
      <c r="O98" s="134"/>
      <c r="P98" s="134"/>
      <c r="Q98" s="134"/>
      <c r="R98" s="134"/>
      <c r="S98" s="139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3"/>
      <c r="BD98" s="83"/>
      <c r="BE98" s="83"/>
      <c r="BF98" s="83"/>
      <c r="BG98" s="82"/>
      <c r="BH98" s="81"/>
      <c r="BI98" s="80"/>
      <c r="BJ98" s="25"/>
      <c r="BK98" s="25"/>
      <c r="BL98" s="25"/>
      <c r="BM98" s="84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92"/>
      <c r="DG98" s="92"/>
      <c r="DH98" s="203"/>
      <c r="DI98" s="203"/>
      <c r="DJ98" s="203"/>
      <c r="DK98" s="203"/>
      <c r="DL98" s="203"/>
      <c r="DM98" s="203"/>
      <c r="DN98" s="203"/>
      <c r="DO98" s="203"/>
      <c r="DP98" s="208"/>
      <c r="DQ98" s="208"/>
      <c r="DR98" s="208"/>
      <c r="DS98" s="208"/>
      <c r="DT98" s="208"/>
      <c r="DU98" s="208"/>
      <c r="DV98" s="208"/>
      <c r="DW98" s="208"/>
      <c r="DX98" s="208"/>
      <c r="DY98" s="208"/>
      <c r="DZ98" s="208"/>
      <c r="EA98" s="208"/>
      <c r="EB98" s="208"/>
      <c r="EC98" s="208"/>
      <c r="ED98" s="208"/>
      <c r="EE98" s="208"/>
      <c r="EF98" s="208"/>
      <c r="EG98" s="208"/>
      <c r="EH98" s="208"/>
      <c r="EI98" s="208"/>
      <c r="EJ98" s="208"/>
      <c r="EK98" s="208"/>
      <c r="EL98" s="208"/>
      <c r="EM98" s="208"/>
      <c r="EN98" s="208"/>
      <c r="EO98" s="208"/>
      <c r="EP98" s="208"/>
      <c r="EQ98" s="208"/>
      <c r="ER98" s="208"/>
      <c r="ES98" s="208"/>
      <c r="ET98" s="208"/>
      <c r="EU98" s="208"/>
      <c r="EV98" s="208"/>
      <c r="EW98" s="208"/>
      <c r="EX98" s="208"/>
      <c r="EY98" s="208"/>
      <c r="EZ98" s="208">
        <v>0</v>
      </c>
      <c r="FA98" s="208">
        <v>0</v>
      </c>
      <c r="FB98" s="208">
        <v>0</v>
      </c>
      <c r="FC98" s="208"/>
      <c r="FD98" s="82"/>
      <c r="FE98" s="30"/>
    </row>
    <row r="99" spans="1:161" ht="15" hidden="1">
      <c r="A99" s="25" t="s">
        <v>549</v>
      </c>
      <c r="B99" s="212" t="s">
        <v>153</v>
      </c>
      <c r="C99" s="138"/>
      <c r="D99" s="221"/>
      <c r="E99" s="239">
        <v>770</v>
      </c>
      <c r="F99" s="95"/>
      <c r="G99" s="95"/>
      <c r="H99" s="147" t="s">
        <v>656</v>
      </c>
      <c r="I99" s="147"/>
      <c r="J99" s="135"/>
      <c r="K99" s="135"/>
      <c r="L99" s="139"/>
      <c r="M99" s="134"/>
      <c r="N99" s="134"/>
      <c r="O99" s="134"/>
      <c r="P99" s="134"/>
      <c r="Q99" s="134"/>
      <c r="R99" s="134"/>
      <c r="S99" s="139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3"/>
      <c r="BD99" s="83"/>
      <c r="BE99" s="83"/>
      <c r="BF99" s="83"/>
      <c r="BG99" s="82"/>
      <c r="BH99" s="81"/>
      <c r="BI99" s="80"/>
      <c r="BJ99" s="25"/>
      <c r="BK99" s="25"/>
      <c r="BL99" s="25"/>
      <c r="BM99" s="84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92"/>
      <c r="DG99" s="92"/>
      <c r="DH99" s="203"/>
      <c r="DI99" s="203"/>
      <c r="DJ99" s="203"/>
      <c r="DK99" s="203"/>
      <c r="DL99" s="203"/>
      <c r="DM99" s="203"/>
      <c r="DN99" s="203"/>
      <c r="DO99" s="203"/>
      <c r="DP99" s="208"/>
      <c r="DQ99" s="208"/>
      <c r="DR99" s="208"/>
      <c r="DS99" s="208"/>
      <c r="DT99" s="208"/>
      <c r="DU99" s="208"/>
      <c r="DV99" s="208"/>
      <c r="DW99" s="208"/>
      <c r="DX99" s="208"/>
      <c r="DY99" s="208"/>
      <c r="DZ99" s="208"/>
      <c r="EA99" s="208"/>
      <c r="EB99" s="208"/>
      <c r="EC99" s="208"/>
      <c r="ED99" s="208"/>
      <c r="EE99" s="208"/>
      <c r="EF99" s="208"/>
      <c r="EG99" s="208"/>
      <c r="EH99" s="208"/>
      <c r="EI99" s="208"/>
      <c r="EJ99" s="208"/>
      <c r="EK99" s="208"/>
      <c r="EL99" s="208"/>
      <c r="EM99" s="208"/>
      <c r="EN99" s="208"/>
      <c r="EO99" s="208"/>
      <c r="EP99" s="208"/>
      <c r="EQ99" s="208"/>
      <c r="ER99" s="208"/>
      <c r="ES99" s="208"/>
      <c r="ET99" s="208"/>
      <c r="EU99" s="208"/>
      <c r="EV99" s="208"/>
      <c r="EW99" s="208"/>
      <c r="EX99" s="208"/>
      <c r="EY99" s="208"/>
      <c r="EZ99" s="208">
        <v>0</v>
      </c>
      <c r="FA99" s="208">
        <v>0</v>
      </c>
      <c r="FB99" s="208">
        <v>0</v>
      </c>
      <c r="FC99" s="208"/>
      <c r="FD99" s="82"/>
      <c r="FE99" s="30"/>
    </row>
    <row r="100" spans="1:161" ht="15" hidden="1">
      <c r="A100" s="25" t="s">
        <v>550</v>
      </c>
      <c r="B100" s="212" t="s">
        <v>153</v>
      </c>
      <c r="C100" s="138"/>
      <c r="D100" s="221"/>
      <c r="E100" s="239">
        <v>770</v>
      </c>
      <c r="F100" s="95"/>
      <c r="G100" s="95"/>
      <c r="H100" s="147" t="s">
        <v>656</v>
      </c>
      <c r="I100" s="147"/>
      <c r="J100" s="135"/>
      <c r="K100" s="135"/>
      <c r="L100" s="139"/>
      <c r="M100" s="134"/>
      <c r="N100" s="134"/>
      <c r="O100" s="134"/>
      <c r="P100" s="134"/>
      <c r="Q100" s="134"/>
      <c r="R100" s="134"/>
      <c r="S100" s="139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3"/>
      <c r="BD100" s="83"/>
      <c r="BE100" s="83"/>
      <c r="BF100" s="83"/>
      <c r="BG100" s="82"/>
      <c r="BH100" s="81"/>
      <c r="BI100" s="80"/>
      <c r="BJ100" s="25"/>
      <c r="BK100" s="25"/>
      <c r="BL100" s="25"/>
      <c r="BM100" s="84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92"/>
      <c r="DG100" s="92"/>
      <c r="DH100" s="203"/>
      <c r="DI100" s="203"/>
      <c r="DJ100" s="203"/>
      <c r="DK100" s="203"/>
      <c r="DL100" s="203"/>
      <c r="DM100" s="203"/>
      <c r="DN100" s="203"/>
      <c r="DO100" s="203"/>
      <c r="DP100" s="208"/>
      <c r="DQ100" s="208"/>
      <c r="DR100" s="208"/>
      <c r="DS100" s="208"/>
      <c r="DT100" s="208"/>
      <c r="DU100" s="208"/>
      <c r="DV100" s="208"/>
      <c r="DW100" s="208"/>
      <c r="DX100" s="208"/>
      <c r="DY100" s="208"/>
      <c r="DZ100" s="208"/>
      <c r="EA100" s="208"/>
      <c r="EB100" s="208"/>
      <c r="EC100" s="208"/>
      <c r="ED100" s="208"/>
      <c r="EE100" s="208"/>
      <c r="EF100" s="208"/>
      <c r="EG100" s="208"/>
      <c r="EH100" s="208"/>
      <c r="EI100" s="208"/>
      <c r="EJ100" s="208"/>
      <c r="EK100" s="208"/>
      <c r="EL100" s="208"/>
      <c r="EM100" s="208"/>
      <c r="EN100" s="208"/>
      <c r="EO100" s="208"/>
      <c r="EP100" s="208"/>
      <c r="EQ100" s="208"/>
      <c r="ER100" s="208"/>
      <c r="ES100" s="208"/>
      <c r="ET100" s="208"/>
      <c r="EU100" s="208"/>
      <c r="EV100" s="208"/>
      <c r="EW100" s="208"/>
      <c r="EX100" s="208"/>
      <c r="EY100" s="208"/>
      <c r="EZ100" s="208">
        <v>0</v>
      </c>
      <c r="FA100" s="208">
        <v>0</v>
      </c>
      <c r="FB100" s="208">
        <v>0</v>
      </c>
      <c r="FC100" s="208"/>
      <c r="FD100" s="82"/>
      <c r="FE100" s="30"/>
    </row>
    <row r="101" spans="1:161" ht="15" hidden="1">
      <c r="A101" s="25" t="s">
        <v>551</v>
      </c>
      <c r="B101" s="212" t="s">
        <v>153</v>
      </c>
      <c r="C101" s="138"/>
      <c r="D101" s="221"/>
      <c r="E101" s="239">
        <v>770</v>
      </c>
      <c r="F101" s="95"/>
      <c r="G101" s="95"/>
      <c r="H101" s="147" t="s">
        <v>656</v>
      </c>
      <c r="I101" s="147"/>
      <c r="J101" s="135"/>
      <c r="K101" s="135"/>
      <c r="L101" s="139"/>
      <c r="M101" s="134"/>
      <c r="N101" s="134"/>
      <c r="O101" s="134"/>
      <c r="P101" s="134"/>
      <c r="Q101" s="134"/>
      <c r="R101" s="134"/>
      <c r="S101" s="139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3"/>
      <c r="BD101" s="83"/>
      <c r="BE101" s="83"/>
      <c r="BF101" s="83"/>
      <c r="BG101" s="82"/>
      <c r="BH101" s="81"/>
      <c r="BI101" s="80"/>
      <c r="BJ101" s="25"/>
      <c r="BK101" s="25"/>
      <c r="BL101" s="25"/>
      <c r="BM101" s="84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92"/>
      <c r="DG101" s="92"/>
      <c r="DH101" s="203"/>
      <c r="DI101" s="203"/>
      <c r="DJ101" s="203"/>
      <c r="DK101" s="203"/>
      <c r="DL101" s="203"/>
      <c r="DM101" s="203"/>
      <c r="DN101" s="203"/>
      <c r="DO101" s="203"/>
      <c r="DP101" s="208"/>
      <c r="DQ101" s="208"/>
      <c r="DR101" s="208"/>
      <c r="DS101" s="208"/>
      <c r="DT101" s="208"/>
      <c r="DU101" s="208"/>
      <c r="DV101" s="208"/>
      <c r="DW101" s="208"/>
      <c r="DX101" s="208"/>
      <c r="DY101" s="208"/>
      <c r="DZ101" s="208"/>
      <c r="EA101" s="208"/>
      <c r="EB101" s="208"/>
      <c r="EC101" s="208"/>
      <c r="ED101" s="208"/>
      <c r="EE101" s="208"/>
      <c r="EF101" s="208"/>
      <c r="EG101" s="208"/>
      <c r="EH101" s="208"/>
      <c r="EI101" s="208"/>
      <c r="EJ101" s="208"/>
      <c r="EK101" s="208"/>
      <c r="EL101" s="208"/>
      <c r="EM101" s="208"/>
      <c r="EN101" s="208"/>
      <c r="EO101" s="208"/>
      <c r="EP101" s="208"/>
      <c r="EQ101" s="208"/>
      <c r="ER101" s="208"/>
      <c r="ES101" s="208"/>
      <c r="ET101" s="208"/>
      <c r="EU101" s="208"/>
      <c r="EV101" s="208"/>
      <c r="EW101" s="208"/>
      <c r="EX101" s="208"/>
      <c r="EY101" s="208"/>
      <c r="EZ101" s="208">
        <v>0</v>
      </c>
      <c r="FA101" s="208">
        <v>0</v>
      </c>
      <c r="FB101" s="208">
        <v>0</v>
      </c>
      <c r="FC101" s="208"/>
      <c r="FD101" s="82"/>
      <c r="FE101" s="30"/>
    </row>
    <row r="102" spans="1:161" ht="15" hidden="1">
      <c r="A102" s="25" t="s">
        <v>552</v>
      </c>
      <c r="B102" s="212" t="s">
        <v>153</v>
      </c>
      <c r="C102" s="138"/>
      <c r="D102" s="221"/>
      <c r="E102" s="239">
        <v>770</v>
      </c>
      <c r="F102" s="95"/>
      <c r="G102" s="95"/>
      <c r="H102" s="147" t="s">
        <v>656</v>
      </c>
      <c r="I102" s="147"/>
      <c r="J102" s="135"/>
      <c r="K102" s="135"/>
      <c r="L102" s="139"/>
      <c r="M102" s="134"/>
      <c r="N102" s="134"/>
      <c r="O102" s="134"/>
      <c r="P102" s="134"/>
      <c r="Q102" s="134"/>
      <c r="R102" s="134"/>
      <c r="S102" s="139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3"/>
      <c r="BD102" s="83"/>
      <c r="BE102" s="83"/>
      <c r="BF102" s="83"/>
      <c r="BG102" s="82"/>
      <c r="BH102" s="81"/>
      <c r="BI102" s="80"/>
      <c r="BJ102" s="25"/>
      <c r="BK102" s="25"/>
      <c r="BL102" s="25"/>
      <c r="BM102" s="84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92"/>
      <c r="DG102" s="92"/>
      <c r="DH102" s="203"/>
      <c r="DI102" s="203"/>
      <c r="DJ102" s="203"/>
      <c r="DK102" s="203"/>
      <c r="DL102" s="203"/>
      <c r="DM102" s="203"/>
      <c r="DN102" s="203"/>
      <c r="DO102" s="203"/>
      <c r="DP102" s="208"/>
      <c r="DQ102" s="208"/>
      <c r="DR102" s="208"/>
      <c r="DS102" s="208"/>
      <c r="DT102" s="208"/>
      <c r="DU102" s="208"/>
      <c r="DV102" s="208"/>
      <c r="DW102" s="208"/>
      <c r="DX102" s="208"/>
      <c r="DY102" s="208"/>
      <c r="DZ102" s="208"/>
      <c r="EA102" s="208"/>
      <c r="EB102" s="208"/>
      <c r="EC102" s="208"/>
      <c r="ED102" s="208"/>
      <c r="EE102" s="208"/>
      <c r="EF102" s="208"/>
      <c r="EG102" s="208"/>
      <c r="EH102" s="208"/>
      <c r="EI102" s="208"/>
      <c r="EJ102" s="208"/>
      <c r="EK102" s="208"/>
      <c r="EL102" s="208"/>
      <c r="EM102" s="208"/>
      <c r="EN102" s="208"/>
      <c r="EO102" s="208"/>
      <c r="EP102" s="208"/>
      <c r="EQ102" s="208"/>
      <c r="ER102" s="208"/>
      <c r="ES102" s="208"/>
      <c r="ET102" s="208"/>
      <c r="EU102" s="208"/>
      <c r="EV102" s="208"/>
      <c r="EW102" s="208"/>
      <c r="EX102" s="208"/>
      <c r="EY102" s="208"/>
      <c r="EZ102" s="208">
        <v>0</v>
      </c>
      <c r="FA102" s="208">
        <v>0</v>
      </c>
      <c r="FB102" s="208">
        <v>0</v>
      </c>
      <c r="FC102" s="208"/>
      <c r="FD102" s="82"/>
      <c r="FE102" s="30"/>
    </row>
    <row r="103" spans="1:161" ht="15" hidden="1">
      <c r="A103" s="25" t="s">
        <v>501</v>
      </c>
      <c r="B103" s="212" t="s">
        <v>153</v>
      </c>
      <c r="C103" s="138"/>
      <c r="D103" s="221"/>
      <c r="E103" s="239">
        <v>970</v>
      </c>
      <c r="F103" s="95"/>
      <c r="G103" s="95"/>
      <c r="H103" s="147" t="s">
        <v>656</v>
      </c>
      <c r="I103" s="147"/>
      <c r="J103" s="135"/>
      <c r="K103" s="135"/>
      <c r="L103" s="139"/>
      <c r="M103" s="134"/>
      <c r="N103" s="134"/>
      <c r="O103" s="134"/>
      <c r="P103" s="134"/>
      <c r="Q103" s="134"/>
      <c r="R103" s="134"/>
      <c r="S103" s="139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3"/>
      <c r="BD103" s="83"/>
      <c r="BE103" s="83"/>
      <c r="BF103" s="83"/>
      <c r="BG103" s="82"/>
      <c r="BH103" s="81"/>
      <c r="BI103" s="80"/>
      <c r="BJ103" s="25"/>
      <c r="BK103" s="25"/>
      <c r="BL103" s="25"/>
      <c r="BM103" s="84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92"/>
      <c r="DG103" s="92"/>
      <c r="DH103" s="203"/>
      <c r="DI103" s="203"/>
      <c r="DJ103" s="203"/>
      <c r="DK103" s="203"/>
      <c r="DL103" s="203"/>
      <c r="DM103" s="203"/>
      <c r="DN103" s="203"/>
      <c r="DO103" s="203"/>
      <c r="DP103" s="208"/>
      <c r="DQ103" s="208"/>
      <c r="DR103" s="208"/>
      <c r="DS103" s="208"/>
      <c r="DT103" s="208"/>
      <c r="DU103" s="208"/>
      <c r="DV103" s="208"/>
      <c r="DW103" s="208"/>
      <c r="DX103" s="208"/>
      <c r="DY103" s="208"/>
      <c r="DZ103" s="208"/>
      <c r="EA103" s="208"/>
      <c r="EB103" s="208"/>
      <c r="EC103" s="208"/>
      <c r="ED103" s="208"/>
      <c r="EE103" s="208"/>
      <c r="EF103" s="208"/>
      <c r="EG103" s="208"/>
      <c r="EH103" s="208"/>
      <c r="EI103" s="208"/>
      <c r="EJ103" s="208"/>
      <c r="EK103" s="208"/>
      <c r="EL103" s="208"/>
      <c r="EM103" s="208"/>
      <c r="EN103" s="208"/>
      <c r="EO103" s="208"/>
      <c r="EP103" s="208"/>
      <c r="EQ103" s="208"/>
      <c r="ER103" s="208"/>
      <c r="ES103" s="208"/>
      <c r="ET103" s="208"/>
      <c r="EU103" s="208"/>
      <c r="EV103" s="208"/>
      <c r="EW103" s="208"/>
      <c r="EX103" s="208"/>
      <c r="EY103" s="208"/>
      <c r="EZ103" s="208">
        <v>0</v>
      </c>
      <c r="FA103" s="208">
        <v>0</v>
      </c>
      <c r="FB103" s="208">
        <v>0</v>
      </c>
      <c r="FC103" s="208"/>
      <c r="FD103" s="82"/>
      <c r="FE103" s="30"/>
    </row>
    <row r="104" spans="1:161" ht="15" hidden="1">
      <c r="A104" s="25" t="s">
        <v>502</v>
      </c>
      <c r="B104" s="212" t="s">
        <v>153</v>
      </c>
      <c r="C104" s="138"/>
      <c r="D104" s="221"/>
      <c r="E104" s="239">
        <v>970</v>
      </c>
      <c r="F104" s="95"/>
      <c r="G104" s="95"/>
      <c r="H104" s="147" t="s">
        <v>656</v>
      </c>
      <c r="I104" s="147"/>
      <c r="J104" s="135"/>
      <c r="K104" s="135"/>
      <c r="L104" s="139"/>
      <c r="M104" s="134"/>
      <c r="N104" s="134"/>
      <c r="O104" s="134"/>
      <c r="P104" s="134"/>
      <c r="Q104" s="134"/>
      <c r="R104" s="134"/>
      <c r="S104" s="139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3"/>
      <c r="BD104" s="83"/>
      <c r="BE104" s="83"/>
      <c r="BF104" s="83"/>
      <c r="BG104" s="82"/>
      <c r="BH104" s="81"/>
      <c r="BI104" s="80"/>
      <c r="BJ104" s="25"/>
      <c r="BK104" s="25"/>
      <c r="BL104" s="25"/>
      <c r="BM104" s="84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92"/>
      <c r="DG104" s="92"/>
      <c r="DH104" s="203"/>
      <c r="DI104" s="203"/>
      <c r="DJ104" s="203"/>
      <c r="DK104" s="203"/>
      <c r="DL104" s="203"/>
      <c r="DM104" s="203"/>
      <c r="DN104" s="203"/>
      <c r="DO104" s="203"/>
      <c r="DP104" s="208"/>
      <c r="DQ104" s="208"/>
      <c r="DR104" s="208"/>
      <c r="DS104" s="208"/>
      <c r="DT104" s="208"/>
      <c r="DU104" s="208"/>
      <c r="DV104" s="208"/>
      <c r="DW104" s="208"/>
      <c r="DX104" s="208"/>
      <c r="DY104" s="208"/>
      <c r="DZ104" s="208"/>
      <c r="EA104" s="208"/>
      <c r="EB104" s="208"/>
      <c r="EC104" s="208"/>
      <c r="ED104" s="208"/>
      <c r="EE104" s="208"/>
      <c r="EF104" s="208"/>
      <c r="EG104" s="208"/>
      <c r="EH104" s="208"/>
      <c r="EI104" s="208"/>
      <c r="EJ104" s="208"/>
      <c r="EK104" s="208"/>
      <c r="EL104" s="208"/>
      <c r="EM104" s="208"/>
      <c r="EN104" s="208"/>
      <c r="EO104" s="208"/>
      <c r="EP104" s="208"/>
      <c r="EQ104" s="208"/>
      <c r="ER104" s="208"/>
      <c r="ES104" s="208"/>
      <c r="ET104" s="208"/>
      <c r="EU104" s="208"/>
      <c r="EV104" s="208"/>
      <c r="EW104" s="208"/>
      <c r="EX104" s="208"/>
      <c r="EY104" s="208"/>
      <c r="EZ104" s="208">
        <v>0</v>
      </c>
      <c r="FA104" s="208">
        <v>0</v>
      </c>
      <c r="FB104" s="208">
        <v>0</v>
      </c>
      <c r="FC104" s="208"/>
      <c r="FD104" s="82"/>
      <c r="FE104" s="30"/>
    </row>
    <row r="105" spans="1:161" ht="15" hidden="1">
      <c r="A105" s="25" t="s">
        <v>553</v>
      </c>
      <c r="B105" s="212" t="s">
        <v>153</v>
      </c>
      <c r="C105" s="138"/>
      <c r="D105" s="221"/>
      <c r="E105" s="239">
        <v>770</v>
      </c>
      <c r="F105" s="95"/>
      <c r="G105" s="95"/>
      <c r="H105" s="147" t="s">
        <v>656</v>
      </c>
      <c r="I105" s="147"/>
      <c r="J105" s="135"/>
      <c r="K105" s="135"/>
      <c r="L105" s="139"/>
      <c r="M105" s="134"/>
      <c r="N105" s="134"/>
      <c r="O105" s="134"/>
      <c r="P105" s="134"/>
      <c r="Q105" s="134"/>
      <c r="R105" s="134"/>
      <c r="S105" s="139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3"/>
      <c r="BD105" s="83"/>
      <c r="BE105" s="83"/>
      <c r="BF105" s="83"/>
      <c r="BG105" s="82"/>
      <c r="BH105" s="81"/>
      <c r="BI105" s="80"/>
      <c r="BJ105" s="25"/>
      <c r="BK105" s="25"/>
      <c r="BL105" s="25"/>
      <c r="BM105" s="84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92"/>
      <c r="DG105" s="92"/>
      <c r="DH105" s="203"/>
      <c r="DI105" s="203"/>
      <c r="DJ105" s="203"/>
      <c r="DK105" s="203"/>
      <c r="DL105" s="203"/>
      <c r="DM105" s="203"/>
      <c r="DN105" s="203"/>
      <c r="DO105" s="203"/>
      <c r="DP105" s="208"/>
      <c r="DQ105" s="208"/>
      <c r="DR105" s="208"/>
      <c r="DS105" s="208"/>
      <c r="DT105" s="208"/>
      <c r="DU105" s="208"/>
      <c r="DV105" s="208"/>
      <c r="DW105" s="208"/>
      <c r="DX105" s="208"/>
      <c r="DY105" s="208"/>
      <c r="DZ105" s="208"/>
      <c r="EA105" s="208"/>
      <c r="EB105" s="208"/>
      <c r="EC105" s="208"/>
      <c r="ED105" s="208"/>
      <c r="EE105" s="208"/>
      <c r="EF105" s="208"/>
      <c r="EG105" s="208"/>
      <c r="EH105" s="208"/>
      <c r="EI105" s="208"/>
      <c r="EJ105" s="208"/>
      <c r="EK105" s="208"/>
      <c r="EL105" s="208"/>
      <c r="EM105" s="208"/>
      <c r="EN105" s="208"/>
      <c r="EO105" s="208"/>
      <c r="EP105" s="208"/>
      <c r="EQ105" s="208"/>
      <c r="ER105" s="208"/>
      <c r="ES105" s="208"/>
      <c r="ET105" s="208"/>
      <c r="EU105" s="208"/>
      <c r="EV105" s="208"/>
      <c r="EW105" s="208"/>
      <c r="EX105" s="208"/>
      <c r="EY105" s="208"/>
      <c r="EZ105" s="208">
        <v>0</v>
      </c>
      <c r="FA105" s="208">
        <v>0</v>
      </c>
      <c r="FB105" s="208">
        <v>0</v>
      </c>
      <c r="FC105" s="208"/>
      <c r="FD105" s="82"/>
      <c r="FE105" s="30"/>
    </row>
    <row r="106" spans="1:161" ht="15" hidden="1">
      <c r="A106" s="25" t="s">
        <v>503</v>
      </c>
      <c r="B106" s="212" t="s">
        <v>153</v>
      </c>
      <c r="C106" s="138"/>
      <c r="D106" s="221"/>
      <c r="E106" s="239">
        <v>970</v>
      </c>
      <c r="F106" s="95"/>
      <c r="G106" s="95"/>
      <c r="H106" s="147" t="s">
        <v>656</v>
      </c>
      <c r="I106" s="147"/>
      <c r="J106" s="135"/>
      <c r="K106" s="135"/>
      <c r="L106" s="139"/>
      <c r="M106" s="134"/>
      <c r="N106" s="134"/>
      <c r="O106" s="134"/>
      <c r="P106" s="134"/>
      <c r="Q106" s="134"/>
      <c r="R106" s="134"/>
      <c r="S106" s="139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3"/>
      <c r="BD106" s="83"/>
      <c r="BE106" s="83"/>
      <c r="BF106" s="83"/>
      <c r="BG106" s="82"/>
      <c r="BH106" s="81"/>
      <c r="BI106" s="80"/>
      <c r="BJ106" s="25"/>
      <c r="BK106" s="25"/>
      <c r="BL106" s="25"/>
      <c r="BM106" s="84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92"/>
      <c r="DG106" s="92"/>
      <c r="DH106" s="203"/>
      <c r="DI106" s="203"/>
      <c r="DJ106" s="203"/>
      <c r="DK106" s="203"/>
      <c r="DL106" s="203"/>
      <c r="DM106" s="203"/>
      <c r="DN106" s="203"/>
      <c r="DO106" s="203"/>
      <c r="DP106" s="208"/>
      <c r="DQ106" s="208"/>
      <c r="DR106" s="208"/>
      <c r="DS106" s="208"/>
      <c r="DT106" s="208"/>
      <c r="DU106" s="208"/>
      <c r="DV106" s="208"/>
      <c r="DW106" s="208"/>
      <c r="DX106" s="208"/>
      <c r="DY106" s="208"/>
      <c r="DZ106" s="208"/>
      <c r="EA106" s="208"/>
      <c r="EB106" s="208"/>
      <c r="EC106" s="208"/>
      <c r="ED106" s="208"/>
      <c r="EE106" s="208"/>
      <c r="EF106" s="208"/>
      <c r="EG106" s="208"/>
      <c r="EH106" s="208"/>
      <c r="EI106" s="208"/>
      <c r="EJ106" s="208"/>
      <c r="EK106" s="208"/>
      <c r="EL106" s="208"/>
      <c r="EM106" s="208"/>
      <c r="EN106" s="208"/>
      <c r="EO106" s="208"/>
      <c r="EP106" s="208"/>
      <c r="EQ106" s="208"/>
      <c r="ER106" s="208"/>
      <c r="ES106" s="208"/>
      <c r="ET106" s="208"/>
      <c r="EU106" s="208"/>
      <c r="EV106" s="208"/>
      <c r="EW106" s="208"/>
      <c r="EX106" s="208"/>
      <c r="EY106" s="208"/>
      <c r="EZ106" s="208">
        <v>0</v>
      </c>
      <c r="FA106" s="208">
        <v>0</v>
      </c>
      <c r="FB106" s="208">
        <v>0</v>
      </c>
      <c r="FC106" s="208"/>
      <c r="FD106" s="82"/>
      <c r="FE106" s="30"/>
    </row>
    <row r="107" spans="1:161" ht="15" hidden="1">
      <c r="A107" s="25" t="s">
        <v>554</v>
      </c>
      <c r="B107" s="212" t="s">
        <v>153</v>
      </c>
      <c r="C107" s="138"/>
      <c r="D107" s="221"/>
      <c r="E107" s="239">
        <v>770</v>
      </c>
      <c r="F107" s="95"/>
      <c r="G107" s="95"/>
      <c r="H107" s="147" t="s">
        <v>656</v>
      </c>
      <c r="I107" s="147"/>
      <c r="J107" s="135"/>
      <c r="K107" s="135"/>
      <c r="L107" s="139"/>
      <c r="M107" s="134"/>
      <c r="N107" s="134"/>
      <c r="O107" s="134"/>
      <c r="P107" s="134"/>
      <c r="Q107" s="134"/>
      <c r="R107" s="134"/>
      <c r="S107" s="139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3"/>
      <c r="BD107" s="83"/>
      <c r="BE107" s="83"/>
      <c r="BF107" s="83"/>
      <c r="BG107" s="82"/>
      <c r="BH107" s="81"/>
      <c r="BI107" s="80"/>
      <c r="BJ107" s="25"/>
      <c r="BK107" s="25"/>
      <c r="BL107" s="25"/>
      <c r="BM107" s="84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92"/>
      <c r="DG107" s="92"/>
      <c r="DH107" s="203"/>
      <c r="DI107" s="203"/>
      <c r="DJ107" s="203"/>
      <c r="DK107" s="203"/>
      <c r="DL107" s="203"/>
      <c r="DM107" s="203"/>
      <c r="DN107" s="203"/>
      <c r="DO107" s="203"/>
      <c r="DP107" s="208"/>
      <c r="DQ107" s="208"/>
      <c r="DR107" s="208"/>
      <c r="DS107" s="208"/>
      <c r="DT107" s="208"/>
      <c r="DU107" s="208"/>
      <c r="DV107" s="208"/>
      <c r="DW107" s="208"/>
      <c r="DX107" s="208"/>
      <c r="DY107" s="208"/>
      <c r="DZ107" s="208"/>
      <c r="EA107" s="208"/>
      <c r="EB107" s="208"/>
      <c r="EC107" s="208"/>
      <c r="ED107" s="208"/>
      <c r="EE107" s="208"/>
      <c r="EF107" s="208"/>
      <c r="EG107" s="208"/>
      <c r="EH107" s="208"/>
      <c r="EI107" s="208"/>
      <c r="EJ107" s="208"/>
      <c r="EK107" s="208"/>
      <c r="EL107" s="208"/>
      <c r="EM107" s="208"/>
      <c r="EN107" s="208"/>
      <c r="EO107" s="208"/>
      <c r="EP107" s="208"/>
      <c r="EQ107" s="208"/>
      <c r="ER107" s="208"/>
      <c r="ES107" s="208"/>
      <c r="ET107" s="208"/>
      <c r="EU107" s="208"/>
      <c r="EV107" s="208"/>
      <c r="EW107" s="208"/>
      <c r="EX107" s="208"/>
      <c r="EY107" s="208"/>
      <c r="EZ107" s="208">
        <v>0</v>
      </c>
      <c r="FA107" s="208">
        <v>0</v>
      </c>
      <c r="FB107" s="208">
        <v>0</v>
      </c>
      <c r="FC107" s="208"/>
      <c r="FD107" s="82"/>
      <c r="FE107" s="30"/>
    </row>
    <row r="108" spans="1:161" ht="15" hidden="1">
      <c r="A108" s="25" t="s">
        <v>504</v>
      </c>
      <c r="B108" s="212" t="s">
        <v>153</v>
      </c>
      <c r="C108" s="138"/>
      <c r="D108" s="221"/>
      <c r="E108" s="239">
        <v>970</v>
      </c>
      <c r="F108" s="95"/>
      <c r="G108" s="95"/>
      <c r="H108" s="147" t="s">
        <v>656</v>
      </c>
      <c r="I108" s="147"/>
      <c r="J108" s="135"/>
      <c r="K108" s="135"/>
      <c r="L108" s="139"/>
      <c r="M108" s="134"/>
      <c r="N108" s="134"/>
      <c r="O108" s="134"/>
      <c r="P108" s="134"/>
      <c r="Q108" s="134"/>
      <c r="R108" s="134"/>
      <c r="S108" s="139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3"/>
      <c r="BD108" s="83"/>
      <c r="BE108" s="83"/>
      <c r="BF108" s="83"/>
      <c r="BG108" s="82"/>
      <c r="BH108" s="81"/>
      <c r="BI108" s="80"/>
      <c r="BJ108" s="25"/>
      <c r="BK108" s="25"/>
      <c r="BL108" s="25"/>
      <c r="BM108" s="84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92"/>
      <c r="DG108" s="92"/>
      <c r="DH108" s="203"/>
      <c r="DI108" s="203"/>
      <c r="DJ108" s="203"/>
      <c r="DK108" s="203"/>
      <c r="DL108" s="203"/>
      <c r="DM108" s="203"/>
      <c r="DN108" s="203"/>
      <c r="DO108" s="203"/>
      <c r="DP108" s="208"/>
      <c r="DQ108" s="208"/>
      <c r="DR108" s="208"/>
      <c r="DS108" s="208"/>
      <c r="DT108" s="208"/>
      <c r="DU108" s="208"/>
      <c r="DV108" s="208"/>
      <c r="DW108" s="208"/>
      <c r="DX108" s="208"/>
      <c r="DY108" s="208"/>
      <c r="DZ108" s="208"/>
      <c r="EA108" s="208"/>
      <c r="EB108" s="208"/>
      <c r="EC108" s="208"/>
      <c r="ED108" s="208"/>
      <c r="EE108" s="208"/>
      <c r="EF108" s="208"/>
      <c r="EG108" s="208"/>
      <c r="EH108" s="208"/>
      <c r="EI108" s="208"/>
      <c r="EJ108" s="208"/>
      <c r="EK108" s="208"/>
      <c r="EL108" s="208"/>
      <c r="EM108" s="208"/>
      <c r="EN108" s="208"/>
      <c r="EO108" s="208"/>
      <c r="EP108" s="208"/>
      <c r="EQ108" s="208"/>
      <c r="ER108" s="208"/>
      <c r="ES108" s="208"/>
      <c r="ET108" s="208"/>
      <c r="EU108" s="208"/>
      <c r="EV108" s="208"/>
      <c r="EW108" s="208"/>
      <c r="EX108" s="208"/>
      <c r="EY108" s="208"/>
      <c r="EZ108" s="208">
        <v>0</v>
      </c>
      <c r="FA108" s="208">
        <v>0</v>
      </c>
      <c r="FB108" s="208">
        <v>0</v>
      </c>
      <c r="FC108" s="208"/>
      <c r="FD108" s="82"/>
      <c r="FE108" s="30"/>
    </row>
    <row r="109" spans="1:161" ht="15" hidden="1">
      <c r="A109" s="25" t="s">
        <v>505</v>
      </c>
      <c r="B109" s="212" t="s">
        <v>153</v>
      </c>
      <c r="C109" s="138"/>
      <c r="D109" s="221"/>
      <c r="E109" s="239">
        <v>970</v>
      </c>
      <c r="F109" s="95"/>
      <c r="G109" s="95"/>
      <c r="H109" s="147" t="s">
        <v>656</v>
      </c>
      <c r="I109" s="147"/>
      <c r="J109" s="135"/>
      <c r="K109" s="135"/>
      <c r="L109" s="139"/>
      <c r="M109" s="134"/>
      <c r="N109" s="134"/>
      <c r="O109" s="134"/>
      <c r="P109" s="134"/>
      <c r="Q109" s="134"/>
      <c r="R109" s="134"/>
      <c r="S109" s="139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3"/>
      <c r="BD109" s="83"/>
      <c r="BE109" s="83"/>
      <c r="BF109" s="83"/>
      <c r="BG109" s="82"/>
      <c r="BH109" s="81"/>
      <c r="BI109" s="80"/>
      <c r="BJ109" s="25"/>
      <c r="BK109" s="25"/>
      <c r="BL109" s="25"/>
      <c r="BM109" s="84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92"/>
      <c r="DG109" s="92"/>
      <c r="DH109" s="203"/>
      <c r="DI109" s="203"/>
      <c r="DJ109" s="203"/>
      <c r="DK109" s="203"/>
      <c r="DL109" s="203"/>
      <c r="DM109" s="203"/>
      <c r="DN109" s="203"/>
      <c r="DO109" s="203"/>
      <c r="DP109" s="208"/>
      <c r="DQ109" s="208"/>
      <c r="DR109" s="208"/>
      <c r="DS109" s="208"/>
      <c r="DT109" s="208"/>
      <c r="DU109" s="208"/>
      <c r="DV109" s="208"/>
      <c r="DW109" s="208"/>
      <c r="DX109" s="208"/>
      <c r="DY109" s="208"/>
      <c r="DZ109" s="208"/>
      <c r="EA109" s="208"/>
      <c r="EB109" s="208"/>
      <c r="EC109" s="208"/>
      <c r="ED109" s="208"/>
      <c r="EE109" s="208"/>
      <c r="EF109" s="208"/>
      <c r="EG109" s="208"/>
      <c r="EH109" s="208"/>
      <c r="EI109" s="208"/>
      <c r="EJ109" s="208"/>
      <c r="EK109" s="208"/>
      <c r="EL109" s="208"/>
      <c r="EM109" s="208"/>
      <c r="EN109" s="208"/>
      <c r="EO109" s="208"/>
      <c r="EP109" s="208"/>
      <c r="EQ109" s="208"/>
      <c r="ER109" s="208"/>
      <c r="ES109" s="208"/>
      <c r="ET109" s="208"/>
      <c r="EU109" s="208"/>
      <c r="EV109" s="208"/>
      <c r="EW109" s="208"/>
      <c r="EX109" s="208"/>
      <c r="EY109" s="208"/>
      <c r="EZ109" s="208">
        <v>0</v>
      </c>
      <c r="FA109" s="208">
        <v>0</v>
      </c>
      <c r="FB109" s="208">
        <v>0</v>
      </c>
      <c r="FC109" s="208"/>
      <c r="FD109" s="82"/>
      <c r="FE109" s="30"/>
    </row>
    <row r="110" spans="1:161" ht="15" hidden="1">
      <c r="A110" s="25" t="s">
        <v>555</v>
      </c>
      <c r="B110" s="212" t="s">
        <v>153</v>
      </c>
      <c r="C110" s="138"/>
      <c r="D110" s="221"/>
      <c r="E110" s="239">
        <v>770</v>
      </c>
      <c r="F110" s="95"/>
      <c r="G110" s="95"/>
      <c r="H110" s="147" t="s">
        <v>656</v>
      </c>
      <c r="I110" s="147"/>
      <c r="J110" s="135"/>
      <c r="K110" s="135"/>
      <c r="L110" s="139"/>
      <c r="M110" s="134"/>
      <c r="N110" s="134"/>
      <c r="O110" s="134"/>
      <c r="P110" s="134"/>
      <c r="Q110" s="134"/>
      <c r="R110" s="134"/>
      <c r="S110" s="139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3"/>
      <c r="BD110" s="83"/>
      <c r="BE110" s="83"/>
      <c r="BF110" s="83"/>
      <c r="BG110" s="82"/>
      <c r="BH110" s="81"/>
      <c r="BI110" s="80"/>
      <c r="BJ110" s="25"/>
      <c r="BK110" s="25"/>
      <c r="BL110" s="25"/>
      <c r="BM110" s="84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92"/>
      <c r="DG110" s="92"/>
      <c r="DH110" s="203"/>
      <c r="DI110" s="203"/>
      <c r="DJ110" s="203"/>
      <c r="DK110" s="203"/>
      <c r="DL110" s="203"/>
      <c r="DM110" s="203"/>
      <c r="DN110" s="203"/>
      <c r="DO110" s="203"/>
      <c r="DP110" s="208"/>
      <c r="DQ110" s="208"/>
      <c r="DR110" s="208"/>
      <c r="DS110" s="208"/>
      <c r="DT110" s="208"/>
      <c r="DU110" s="208"/>
      <c r="DV110" s="208"/>
      <c r="DW110" s="208"/>
      <c r="DX110" s="208"/>
      <c r="DY110" s="208"/>
      <c r="DZ110" s="208"/>
      <c r="EA110" s="208"/>
      <c r="EB110" s="208"/>
      <c r="EC110" s="208"/>
      <c r="ED110" s="208"/>
      <c r="EE110" s="208"/>
      <c r="EF110" s="208"/>
      <c r="EG110" s="208"/>
      <c r="EH110" s="208"/>
      <c r="EI110" s="208"/>
      <c r="EJ110" s="208"/>
      <c r="EK110" s="208"/>
      <c r="EL110" s="208"/>
      <c r="EM110" s="208"/>
      <c r="EN110" s="208"/>
      <c r="EO110" s="208"/>
      <c r="EP110" s="208"/>
      <c r="EQ110" s="208"/>
      <c r="ER110" s="208"/>
      <c r="ES110" s="208"/>
      <c r="ET110" s="208"/>
      <c r="EU110" s="208"/>
      <c r="EV110" s="208"/>
      <c r="EW110" s="208"/>
      <c r="EX110" s="208"/>
      <c r="EY110" s="208"/>
      <c r="EZ110" s="208">
        <v>0</v>
      </c>
      <c r="FA110" s="208">
        <v>0</v>
      </c>
      <c r="FB110" s="208">
        <v>0</v>
      </c>
      <c r="FC110" s="208"/>
      <c r="FD110" s="82"/>
      <c r="FE110" s="30"/>
    </row>
    <row r="111" spans="1:161" ht="15" hidden="1">
      <c r="A111" s="25" t="s">
        <v>507</v>
      </c>
      <c r="B111" s="212" t="s">
        <v>153</v>
      </c>
      <c r="C111" s="138"/>
      <c r="D111" s="221"/>
      <c r="E111" s="239">
        <v>970</v>
      </c>
      <c r="F111" s="95"/>
      <c r="G111" s="95"/>
      <c r="H111" s="147" t="s">
        <v>656</v>
      </c>
      <c r="I111" s="147"/>
      <c r="J111" s="135"/>
      <c r="K111" s="135"/>
      <c r="L111" s="139"/>
      <c r="M111" s="134"/>
      <c r="N111" s="134"/>
      <c r="O111" s="134"/>
      <c r="P111" s="134"/>
      <c r="Q111" s="134"/>
      <c r="R111" s="134"/>
      <c r="S111" s="139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3"/>
      <c r="BD111" s="83"/>
      <c r="BE111" s="83"/>
      <c r="BF111" s="83"/>
      <c r="BG111" s="82"/>
      <c r="BH111" s="81"/>
      <c r="BI111" s="80"/>
      <c r="BJ111" s="25"/>
      <c r="BK111" s="25"/>
      <c r="BL111" s="25"/>
      <c r="BM111" s="84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92"/>
      <c r="DG111" s="92"/>
      <c r="DH111" s="203"/>
      <c r="DI111" s="203"/>
      <c r="DJ111" s="203"/>
      <c r="DK111" s="203"/>
      <c r="DL111" s="203"/>
      <c r="DM111" s="203"/>
      <c r="DN111" s="203"/>
      <c r="DO111" s="203"/>
      <c r="DP111" s="208"/>
      <c r="DQ111" s="208"/>
      <c r="DR111" s="208"/>
      <c r="DS111" s="208"/>
      <c r="DT111" s="208"/>
      <c r="DU111" s="208"/>
      <c r="DV111" s="208"/>
      <c r="DW111" s="208"/>
      <c r="DX111" s="208"/>
      <c r="DY111" s="208"/>
      <c r="DZ111" s="208"/>
      <c r="EA111" s="208"/>
      <c r="EB111" s="208"/>
      <c r="EC111" s="208"/>
      <c r="ED111" s="208"/>
      <c r="EE111" s="208"/>
      <c r="EF111" s="208"/>
      <c r="EG111" s="208"/>
      <c r="EH111" s="208"/>
      <c r="EI111" s="208"/>
      <c r="EJ111" s="208"/>
      <c r="EK111" s="208"/>
      <c r="EL111" s="208"/>
      <c r="EM111" s="208"/>
      <c r="EN111" s="208"/>
      <c r="EO111" s="208"/>
      <c r="EP111" s="208"/>
      <c r="EQ111" s="208"/>
      <c r="ER111" s="208"/>
      <c r="ES111" s="208"/>
      <c r="ET111" s="208"/>
      <c r="EU111" s="208"/>
      <c r="EV111" s="208"/>
      <c r="EW111" s="208"/>
      <c r="EX111" s="208"/>
      <c r="EY111" s="208"/>
      <c r="EZ111" s="208">
        <v>0</v>
      </c>
      <c r="FA111" s="208">
        <v>0</v>
      </c>
      <c r="FB111" s="208">
        <v>0</v>
      </c>
      <c r="FC111" s="208"/>
      <c r="FD111" s="82"/>
      <c r="FE111" s="30"/>
    </row>
    <row r="112" spans="1:161" ht="15" hidden="1">
      <c r="A112" s="25" t="s">
        <v>508</v>
      </c>
      <c r="B112" s="212" t="s">
        <v>153</v>
      </c>
      <c r="C112" s="138"/>
      <c r="D112" s="221"/>
      <c r="E112" s="239">
        <v>970</v>
      </c>
      <c r="F112" s="95"/>
      <c r="G112" s="95"/>
      <c r="H112" s="147" t="s">
        <v>656</v>
      </c>
      <c r="I112" s="147"/>
      <c r="J112" s="135"/>
      <c r="K112" s="135"/>
      <c r="L112" s="139"/>
      <c r="M112" s="134"/>
      <c r="N112" s="134"/>
      <c r="O112" s="134"/>
      <c r="P112" s="134"/>
      <c r="Q112" s="134"/>
      <c r="R112" s="134"/>
      <c r="S112" s="139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3"/>
      <c r="BD112" s="83"/>
      <c r="BE112" s="83"/>
      <c r="BF112" s="83"/>
      <c r="BG112" s="82"/>
      <c r="BH112" s="81"/>
      <c r="BI112" s="80"/>
      <c r="BJ112" s="25"/>
      <c r="BK112" s="25"/>
      <c r="BL112" s="25"/>
      <c r="BM112" s="84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92"/>
      <c r="DG112" s="92"/>
      <c r="DH112" s="203"/>
      <c r="DI112" s="203"/>
      <c r="DJ112" s="203"/>
      <c r="DK112" s="203"/>
      <c r="DL112" s="203"/>
      <c r="DM112" s="203"/>
      <c r="DN112" s="203"/>
      <c r="DO112" s="203"/>
      <c r="DP112" s="208"/>
      <c r="DQ112" s="208"/>
      <c r="DR112" s="208"/>
      <c r="DS112" s="208"/>
      <c r="DT112" s="208"/>
      <c r="DU112" s="208"/>
      <c r="DV112" s="208"/>
      <c r="DW112" s="208"/>
      <c r="DX112" s="208"/>
      <c r="DY112" s="208"/>
      <c r="DZ112" s="208"/>
      <c r="EA112" s="208"/>
      <c r="EB112" s="208"/>
      <c r="EC112" s="208"/>
      <c r="ED112" s="208"/>
      <c r="EE112" s="208"/>
      <c r="EF112" s="208"/>
      <c r="EG112" s="208"/>
      <c r="EH112" s="208"/>
      <c r="EI112" s="208"/>
      <c r="EJ112" s="208"/>
      <c r="EK112" s="208"/>
      <c r="EL112" s="208"/>
      <c r="EM112" s="208"/>
      <c r="EN112" s="208"/>
      <c r="EO112" s="208"/>
      <c r="EP112" s="208"/>
      <c r="EQ112" s="208"/>
      <c r="ER112" s="208"/>
      <c r="ES112" s="208"/>
      <c r="ET112" s="208"/>
      <c r="EU112" s="208"/>
      <c r="EV112" s="208"/>
      <c r="EW112" s="208"/>
      <c r="EX112" s="208"/>
      <c r="EY112" s="208"/>
      <c r="EZ112" s="208">
        <v>0</v>
      </c>
      <c r="FA112" s="208">
        <v>0</v>
      </c>
      <c r="FB112" s="208">
        <v>0</v>
      </c>
      <c r="FC112" s="208"/>
      <c r="FD112" s="82"/>
      <c r="FE112" s="30"/>
    </row>
    <row r="113" spans="1:161" ht="15" hidden="1">
      <c r="A113" s="25" t="s">
        <v>509</v>
      </c>
      <c r="B113" s="212" t="s">
        <v>153</v>
      </c>
      <c r="C113" s="138"/>
      <c r="D113" s="221"/>
      <c r="E113" s="239">
        <v>970</v>
      </c>
      <c r="F113" s="95"/>
      <c r="G113" s="95"/>
      <c r="H113" s="147" t="s">
        <v>656</v>
      </c>
      <c r="I113" s="147"/>
      <c r="J113" s="135"/>
      <c r="K113" s="135"/>
      <c r="L113" s="139"/>
      <c r="M113" s="134"/>
      <c r="N113" s="134"/>
      <c r="O113" s="134"/>
      <c r="P113" s="134"/>
      <c r="Q113" s="134"/>
      <c r="R113" s="134"/>
      <c r="S113" s="139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3"/>
      <c r="BD113" s="83"/>
      <c r="BE113" s="83"/>
      <c r="BF113" s="83"/>
      <c r="BG113" s="82"/>
      <c r="BH113" s="81"/>
      <c r="BI113" s="80"/>
      <c r="BJ113" s="25"/>
      <c r="BK113" s="25"/>
      <c r="BL113" s="25"/>
      <c r="BM113" s="84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92"/>
      <c r="DG113" s="92"/>
      <c r="DH113" s="203"/>
      <c r="DI113" s="203"/>
      <c r="DJ113" s="203"/>
      <c r="DK113" s="203"/>
      <c r="DL113" s="203"/>
      <c r="DM113" s="203"/>
      <c r="DN113" s="203"/>
      <c r="DO113" s="203"/>
      <c r="DP113" s="208"/>
      <c r="DQ113" s="208"/>
      <c r="DR113" s="208"/>
      <c r="DS113" s="208"/>
      <c r="DT113" s="208"/>
      <c r="DU113" s="208"/>
      <c r="DV113" s="208"/>
      <c r="DW113" s="208"/>
      <c r="DX113" s="208"/>
      <c r="DY113" s="208"/>
      <c r="DZ113" s="208"/>
      <c r="EA113" s="208"/>
      <c r="EB113" s="208"/>
      <c r="EC113" s="208"/>
      <c r="ED113" s="208"/>
      <c r="EE113" s="208"/>
      <c r="EF113" s="208"/>
      <c r="EG113" s="208"/>
      <c r="EH113" s="208"/>
      <c r="EI113" s="208"/>
      <c r="EJ113" s="208"/>
      <c r="EK113" s="208"/>
      <c r="EL113" s="208"/>
      <c r="EM113" s="208"/>
      <c r="EN113" s="208"/>
      <c r="EO113" s="208"/>
      <c r="EP113" s="208"/>
      <c r="EQ113" s="208"/>
      <c r="ER113" s="208"/>
      <c r="ES113" s="208"/>
      <c r="ET113" s="208"/>
      <c r="EU113" s="208"/>
      <c r="EV113" s="208"/>
      <c r="EW113" s="208"/>
      <c r="EX113" s="208"/>
      <c r="EY113" s="208"/>
      <c r="EZ113" s="208">
        <v>0</v>
      </c>
      <c r="FA113" s="208">
        <v>0</v>
      </c>
      <c r="FB113" s="208">
        <v>0</v>
      </c>
      <c r="FC113" s="208"/>
      <c r="FD113" s="82"/>
      <c r="FE113" s="30"/>
    </row>
    <row r="114" spans="1:161" ht="15" hidden="1">
      <c r="A114" s="25" t="s">
        <v>510</v>
      </c>
      <c r="B114" s="212" t="s">
        <v>153</v>
      </c>
      <c r="C114" s="138"/>
      <c r="D114" s="221"/>
      <c r="E114" s="239">
        <v>970</v>
      </c>
      <c r="F114" s="95"/>
      <c r="G114" s="95"/>
      <c r="H114" s="147" t="s">
        <v>656</v>
      </c>
      <c r="I114" s="147"/>
      <c r="J114" s="135"/>
      <c r="K114" s="135"/>
      <c r="L114" s="139"/>
      <c r="M114" s="134"/>
      <c r="N114" s="134"/>
      <c r="O114" s="134"/>
      <c r="P114" s="134"/>
      <c r="Q114" s="134"/>
      <c r="R114" s="134"/>
      <c r="S114" s="139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3"/>
      <c r="BD114" s="83"/>
      <c r="BE114" s="83"/>
      <c r="BF114" s="83"/>
      <c r="BG114" s="82"/>
      <c r="BH114" s="81"/>
      <c r="BI114" s="80"/>
      <c r="BJ114" s="25"/>
      <c r="BK114" s="25"/>
      <c r="BL114" s="25"/>
      <c r="BM114" s="84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92"/>
      <c r="DG114" s="92"/>
      <c r="DH114" s="203"/>
      <c r="DI114" s="203"/>
      <c r="DJ114" s="203"/>
      <c r="DK114" s="203"/>
      <c r="DL114" s="203"/>
      <c r="DM114" s="203"/>
      <c r="DN114" s="203"/>
      <c r="DO114" s="203"/>
      <c r="DP114" s="208"/>
      <c r="DQ114" s="208"/>
      <c r="DR114" s="208"/>
      <c r="DS114" s="208"/>
      <c r="DT114" s="208"/>
      <c r="DU114" s="208"/>
      <c r="DV114" s="208"/>
      <c r="DW114" s="208"/>
      <c r="DX114" s="208"/>
      <c r="DY114" s="208"/>
      <c r="DZ114" s="208"/>
      <c r="EA114" s="208"/>
      <c r="EB114" s="208"/>
      <c r="EC114" s="208"/>
      <c r="ED114" s="208"/>
      <c r="EE114" s="208"/>
      <c r="EF114" s="208"/>
      <c r="EG114" s="208"/>
      <c r="EH114" s="208"/>
      <c r="EI114" s="208"/>
      <c r="EJ114" s="208"/>
      <c r="EK114" s="208"/>
      <c r="EL114" s="208"/>
      <c r="EM114" s="208"/>
      <c r="EN114" s="208"/>
      <c r="EO114" s="208"/>
      <c r="EP114" s="208"/>
      <c r="EQ114" s="208"/>
      <c r="ER114" s="208"/>
      <c r="ES114" s="208"/>
      <c r="ET114" s="208"/>
      <c r="EU114" s="208"/>
      <c r="EV114" s="208"/>
      <c r="EW114" s="208"/>
      <c r="EX114" s="208"/>
      <c r="EY114" s="208"/>
      <c r="EZ114" s="208">
        <v>0</v>
      </c>
      <c r="FA114" s="208">
        <v>0</v>
      </c>
      <c r="FB114" s="208">
        <v>0</v>
      </c>
      <c r="FC114" s="208"/>
      <c r="FD114" s="82"/>
      <c r="FE114" s="30"/>
    </row>
    <row r="115" spans="1:161" ht="15" hidden="1">
      <c r="A115" s="25" t="s">
        <v>559</v>
      </c>
      <c r="B115" s="212" t="s">
        <v>153</v>
      </c>
      <c r="C115" s="138"/>
      <c r="D115" s="221"/>
      <c r="E115" s="239">
        <v>770</v>
      </c>
      <c r="F115" s="95"/>
      <c r="G115" s="95"/>
      <c r="H115" s="147" t="s">
        <v>656</v>
      </c>
      <c r="I115" s="147"/>
      <c r="J115" s="135"/>
      <c r="K115" s="135"/>
      <c r="L115" s="139"/>
      <c r="M115" s="134"/>
      <c r="N115" s="134"/>
      <c r="O115" s="134"/>
      <c r="P115" s="134"/>
      <c r="Q115" s="134"/>
      <c r="R115" s="134"/>
      <c r="S115" s="139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3"/>
      <c r="BD115" s="83"/>
      <c r="BE115" s="83"/>
      <c r="BF115" s="83"/>
      <c r="BG115" s="82"/>
      <c r="BH115" s="81"/>
      <c r="BI115" s="80"/>
      <c r="BJ115" s="25"/>
      <c r="BK115" s="25"/>
      <c r="BL115" s="25"/>
      <c r="BM115" s="84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92"/>
      <c r="DG115" s="92"/>
      <c r="DH115" s="203"/>
      <c r="DI115" s="203"/>
      <c r="DJ115" s="203"/>
      <c r="DK115" s="203"/>
      <c r="DL115" s="203"/>
      <c r="DM115" s="203"/>
      <c r="DN115" s="203"/>
      <c r="DO115" s="203"/>
      <c r="DP115" s="208"/>
      <c r="DQ115" s="208"/>
      <c r="DR115" s="208"/>
      <c r="DS115" s="208"/>
      <c r="DT115" s="208"/>
      <c r="DU115" s="208"/>
      <c r="DV115" s="208"/>
      <c r="DW115" s="208"/>
      <c r="DX115" s="208"/>
      <c r="DY115" s="208"/>
      <c r="DZ115" s="208"/>
      <c r="EA115" s="208"/>
      <c r="EB115" s="208"/>
      <c r="EC115" s="208"/>
      <c r="ED115" s="208"/>
      <c r="EE115" s="208"/>
      <c r="EF115" s="208"/>
      <c r="EG115" s="208"/>
      <c r="EH115" s="208"/>
      <c r="EI115" s="208"/>
      <c r="EJ115" s="208"/>
      <c r="EK115" s="208"/>
      <c r="EL115" s="208"/>
      <c r="EM115" s="208"/>
      <c r="EN115" s="208"/>
      <c r="EO115" s="208"/>
      <c r="EP115" s="208"/>
      <c r="EQ115" s="208"/>
      <c r="ER115" s="208"/>
      <c r="ES115" s="208"/>
      <c r="ET115" s="208"/>
      <c r="EU115" s="208"/>
      <c r="EV115" s="208"/>
      <c r="EW115" s="208"/>
      <c r="EX115" s="208"/>
      <c r="EY115" s="208"/>
      <c r="EZ115" s="208">
        <v>0</v>
      </c>
      <c r="FA115" s="208">
        <v>0</v>
      </c>
      <c r="FB115" s="208">
        <v>0</v>
      </c>
      <c r="FC115" s="208"/>
      <c r="FD115" s="82"/>
      <c r="FE115" s="30"/>
    </row>
    <row r="116" spans="1:161" ht="15" hidden="1">
      <c r="A116" s="25" t="s">
        <v>560</v>
      </c>
      <c r="B116" s="212" t="s">
        <v>153</v>
      </c>
      <c r="C116" s="138"/>
      <c r="D116" s="221"/>
      <c r="E116" s="239">
        <v>770</v>
      </c>
      <c r="F116" s="95"/>
      <c r="G116" s="95"/>
      <c r="H116" s="147" t="s">
        <v>656</v>
      </c>
      <c r="I116" s="147"/>
      <c r="J116" s="135"/>
      <c r="K116" s="135"/>
      <c r="L116" s="139"/>
      <c r="M116" s="134"/>
      <c r="N116" s="134"/>
      <c r="O116" s="134"/>
      <c r="P116" s="134"/>
      <c r="Q116" s="134"/>
      <c r="R116" s="134"/>
      <c r="S116" s="139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3"/>
      <c r="BD116" s="83"/>
      <c r="BE116" s="83"/>
      <c r="BF116" s="83"/>
      <c r="BG116" s="82"/>
      <c r="BH116" s="81"/>
      <c r="BI116" s="80"/>
      <c r="BJ116" s="25"/>
      <c r="BK116" s="25"/>
      <c r="BL116" s="25"/>
      <c r="BM116" s="84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92"/>
      <c r="DG116" s="92"/>
      <c r="DH116" s="203"/>
      <c r="DI116" s="203"/>
      <c r="DJ116" s="203"/>
      <c r="DK116" s="203"/>
      <c r="DL116" s="203"/>
      <c r="DM116" s="203"/>
      <c r="DN116" s="203"/>
      <c r="DO116" s="203"/>
      <c r="DP116" s="208"/>
      <c r="DQ116" s="208"/>
      <c r="DR116" s="208"/>
      <c r="DS116" s="208"/>
      <c r="DT116" s="208"/>
      <c r="DU116" s="208"/>
      <c r="DV116" s="208"/>
      <c r="DW116" s="208"/>
      <c r="DX116" s="208"/>
      <c r="DY116" s="208"/>
      <c r="DZ116" s="208"/>
      <c r="EA116" s="208"/>
      <c r="EB116" s="208"/>
      <c r="EC116" s="208"/>
      <c r="ED116" s="208"/>
      <c r="EE116" s="208"/>
      <c r="EF116" s="208"/>
      <c r="EG116" s="208"/>
      <c r="EH116" s="208"/>
      <c r="EI116" s="208"/>
      <c r="EJ116" s="208"/>
      <c r="EK116" s="208"/>
      <c r="EL116" s="208"/>
      <c r="EM116" s="208"/>
      <c r="EN116" s="208"/>
      <c r="EO116" s="208"/>
      <c r="EP116" s="208"/>
      <c r="EQ116" s="208"/>
      <c r="ER116" s="208"/>
      <c r="ES116" s="208"/>
      <c r="ET116" s="208"/>
      <c r="EU116" s="208"/>
      <c r="EV116" s="208"/>
      <c r="EW116" s="208"/>
      <c r="EX116" s="208"/>
      <c r="EY116" s="208"/>
      <c r="EZ116" s="208">
        <v>0</v>
      </c>
      <c r="FA116" s="208">
        <v>0</v>
      </c>
      <c r="FB116" s="208">
        <v>0</v>
      </c>
      <c r="FC116" s="208"/>
      <c r="FD116" s="82"/>
      <c r="FE116" s="30"/>
    </row>
    <row r="117" spans="1:161" ht="15" hidden="1">
      <c r="A117" s="25" t="s">
        <v>561</v>
      </c>
      <c r="B117" s="212" t="s">
        <v>153</v>
      </c>
      <c r="C117" s="138"/>
      <c r="D117" s="221"/>
      <c r="E117" s="239">
        <v>770</v>
      </c>
      <c r="F117" s="95"/>
      <c r="G117" s="95"/>
      <c r="H117" s="147" t="s">
        <v>656</v>
      </c>
      <c r="I117" s="147"/>
      <c r="J117" s="135"/>
      <c r="K117" s="135"/>
      <c r="L117" s="139"/>
      <c r="M117" s="134"/>
      <c r="N117" s="134"/>
      <c r="O117" s="134"/>
      <c r="P117" s="134"/>
      <c r="Q117" s="134"/>
      <c r="R117" s="134"/>
      <c r="S117" s="139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3"/>
      <c r="BD117" s="83"/>
      <c r="BE117" s="83"/>
      <c r="BF117" s="83"/>
      <c r="BG117" s="82"/>
      <c r="BH117" s="81"/>
      <c r="BI117" s="80"/>
      <c r="BJ117" s="25"/>
      <c r="BK117" s="25"/>
      <c r="BL117" s="25"/>
      <c r="BM117" s="84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92"/>
      <c r="DG117" s="92"/>
      <c r="DH117" s="203"/>
      <c r="DI117" s="203"/>
      <c r="DJ117" s="203"/>
      <c r="DK117" s="203"/>
      <c r="DL117" s="203"/>
      <c r="DM117" s="203"/>
      <c r="DN117" s="203"/>
      <c r="DO117" s="203"/>
      <c r="DP117" s="208"/>
      <c r="DQ117" s="208"/>
      <c r="DR117" s="208"/>
      <c r="DS117" s="208"/>
      <c r="DT117" s="208"/>
      <c r="DU117" s="208"/>
      <c r="DV117" s="208"/>
      <c r="DW117" s="208"/>
      <c r="DX117" s="208"/>
      <c r="DY117" s="208"/>
      <c r="DZ117" s="208"/>
      <c r="EA117" s="208"/>
      <c r="EB117" s="208"/>
      <c r="EC117" s="208"/>
      <c r="ED117" s="208"/>
      <c r="EE117" s="208"/>
      <c r="EF117" s="208"/>
      <c r="EG117" s="208"/>
      <c r="EH117" s="208"/>
      <c r="EI117" s="208"/>
      <c r="EJ117" s="208"/>
      <c r="EK117" s="208"/>
      <c r="EL117" s="208"/>
      <c r="EM117" s="208"/>
      <c r="EN117" s="208"/>
      <c r="EO117" s="208"/>
      <c r="EP117" s="208"/>
      <c r="EQ117" s="208"/>
      <c r="ER117" s="208"/>
      <c r="ES117" s="208"/>
      <c r="ET117" s="208"/>
      <c r="EU117" s="208"/>
      <c r="EV117" s="208"/>
      <c r="EW117" s="208"/>
      <c r="EX117" s="208"/>
      <c r="EY117" s="208"/>
      <c r="EZ117" s="208">
        <v>0</v>
      </c>
      <c r="FA117" s="208">
        <v>0</v>
      </c>
      <c r="FB117" s="208">
        <v>0</v>
      </c>
      <c r="FC117" s="208"/>
      <c r="FD117" s="82"/>
      <c r="FE117" s="30"/>
    </row>
    <row r="118" spans="1:161" ht="15" hidden="1">
      <c r="A118" s="25" t="s">
        <v>512</v>
      </c>
      <c r="B118" s="212" t="s">
        <v>153</v>
      </c>
      <c r="C118" s="138"/>
      <c r="D118" s="221"/>
      <c r="E118" s="239">
        <v>970</v>
      </c>
      <c r="F118" s="95"/>
      <c r="G118" s="95"/>
      <c r="H118" s="147" t="s">
        <v>656</v>
      </c>
      <c r="I118" s="147"/>
      <c r="J118" s="135"/>
      <c r="K118" s="135"/>
      <c r="L118" s="139"/>
      <c r="M118" s="134"/>
      <c r="N118" s="134"/>
      <c r="O118" s="134"/>
      <c r="P118" s="134"/>
      <c r="Q118" s="134"/>
      <c r="R118" s="134"/>
      <c r="S118" s="139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3"/>
      <c r="BD118" s="83"/>
      <c r="BE118" s="83"/>
      <c r="BF118" s="83"/>
      <c r="BG118" s="82"/>
      <c r="BH118" s="81"/>
      <c r="BI118" s="80"/>
      <c r="BJ118" s="25"/>
      <c r="BK118" s="25"/>
      <c r="BL118" s="25"/>
      <c r="BM118" s="84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92"/>
      <c r="DG118" s="92"/>
      <c r="DH118" s="203"/>
      <c r="DI118" s="203"/>
      <c r="DJ118" s="203"/>
      <c r="DK118" s="203"/>
      <c r="DL118" s="203"/>
      <c r="DM118" s="203"/>
      <c r="DN118" s="203"/>
      <c r="DO118" s="203"/>
      <c r="DP118" s="208"/>
      <c r="DQ118" s="208"/>
      <c r="DR118" s="208"/>
      <c r="DS118" s="208"/>
      <c r="DT118" s="208"/>
      <c r="DU118" s="208"/>
      <c r="DV118" s="208"/>
      <c r="DW118" s="208"/>
      <c r="DX118" s="208"/>
      <c r="DY118" s="208"/>
      <c r="DZ118" s="208"/>
      <c r="EA118" s="208"/>
      <c r="EB118" s="208"/>
      <c r="EC118" s="208"/>
      <c r="ED118" s="208"/>
      <c r="EE118" s="208"/>
      <c r="EF118" s="208"/>
      <c r="EG118" s="208"/>
      <c r="EH118" s="208"/>
      <c r="EI118" s="208"/>
      <c r="EJ118" s="208"/>
      <c r="EK118" s="208"/>
      <c r="EL118" s="208"/>
      <c r="EM118" s="208"/>
      <c r="EN118" s="208"/>
      <c r="EO118" s="208"/>
      <c r="EP118" s="208"/>
      <c r="EQ118" s="208"/>
      <c r="ER118" s="208"/>
      <c r="ES118" s="208"/>
      <c r="ET118" s="208"/>
      <c r="EU118" s="208"/>
      <c r="EV118" s="208"/>
      <c r="EW118" s="208"/>
      <c r="EX118" s="208"/>
      <c r="EY118" s="208"/>
      <c r="EZ118" s="208">
        <v>0</v>
      </c>
      <c r="FA118" s="208">
        <v>0</v>
      </c>
      <c r="FB118" s="208">
        <v>0</v>
      </c>
      <c r="FC118" s="208"/>
      <c r="FD118" s="82"/>
      <c r="FE118" s="30"/>
    </row>
    <row r="119" spans="1:161" ht="15" hidden="1">
      <c r="A119" s="25" t="s">
        <v>513</v>
      </c>
      <c r="B119" s="212" t="s">
        <v>153</v>
      </c>
      <c r="C119" s="138"/>
      <c r="D119" s="221"/>
      <c r="E119" s="239">
        <v>970</v>
      </c>
      <c r="F119" s="95"/>
      <c r="G119" s="95"/>
      <c r="H119" s="147" t="s">
        <v>656</v>
      </c>
      <c r="I119" s="147"/>
      <c r="J119" s="135"/>
      <c r="K119" s="135"/>
      <c r="L119" s="139"/>
      <c r="M119" s="134"/>
      <c r="N119" s="134"/>
      <c r="O119" s="134"/>
      <c r="P119" s="134"/>
      <c r="Q119" s="134"/>
      <c r="R119" s="134"/>
      <c r="S119" s="139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3"/>
      <c r="BD119" s="83"/>
      <c r="BE119" s="83"/>
      <c r="BF119" s="83"/>
      <c r="BG119" s="82"/>
      <c r="BH119" s="81"/>
      <c r="BI119" s="80"/>
      <c r="BJ119" s="25"/>
      <c r="BK119" s="25"/>
      <c r="BL119" s="25"/>
      <c r="BM119" s="84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92"/>
      <c r="DG119" s="92"/>
      <c r="DH119" s="203"/>
      <c r="DI119" s="203"/>
      <c r="DJ119" s="203"/>
      <c r="DK119" s="203"/>
      <c r="DL119" s="203"/>
      <c r="DM119" s="203"/>
      <c r="DN119" s="203"/>
      <c r="DO119" s="203"/>
      <c r="DP119" s="208"/>
      <c r="DQ119" s="208"/>
      <c r="DR119" s="208"/>
      <c r="DS119" s="208"/>
      <c r="DT119" s="208"/>
      <c r="DU119" s="208"/>
      <c r="DV119" s="208"/>
      <c r="DW119" s="208"/>
      <c r="DX119" s="208"/>
      <c r="DY119" s="208"/>
      <c r="DZ119" s="208"/>
      <c r="EA119" s="208"/>
      <c r="EB119" s="208"/>
      <c r="EC119" s="208"/>
      <c r="ED119" s="208"/>
      <c r="EE119" s="208"/>
      <c r="EF119" s="208"/>
      <c r="EG119" s="208"/>
      <c r="EH119" s="208"/>
      <c r="EI119" s="208"/>
      <c r="EJ119" s="208"/>
      <c r="EK119" s="208"/>
      <c r="EL119" s="208"/>
      <c r="EM119" s="208"/>
      <c r="EN119" s="208"/>
      <c r="EO119" s="208"/>
      <c r="EP119" s="208"/>
      <c r="EQ119" s="208"/>
      <c r="ER119" s="208"/>
      <c r="ES119" s="208"/>
      <c r="ET119" s="208"/>
      <c r="EU119" s="208"/>
      <c r="EV119" s="208"/>
      <c r="EW119" s="208"/>
      <c r="EX119" s="208"/>
      <c r="EY119" s="208"/>
      <c r="EZ119" s="208">
        <v>0</v>
      </c>
      <c r="FA119" s="208">
        <v>0</v>
      </c>
      <c r="FB119" s="208">
        <v>0</v>
      </c>
      <c r="FC119" s="208"/>
      <c r="FD119" s="82"/>
      <c r="FE119" s="30"/>
    </row>
    <row r="120" spans="1:161" ht="15" hidden="1">
      <c r="A120" s="25" t="s">
        <v>514</v>
      </c>
      <c r="B120" s="212" t="s">
        <v>153</v>
      </c>
      <c r="C120" s="138"/>
      <c r="D120" s="221"/>
      <c r="E120" s="239">
        <v>970</v>
      </c>
      <c r="F120" s="95"/>
      <c r="G120" s="95"/>
      <c r="H120" s="147" t="s">
        <v>656</v>
      </c>
      <c r="I120" s="147"/>
      <c r="J120" s="135"/>
      <c r="K120" s="135"/>
      <c r="L120" s="139"/>
      <c r="M120" s="134"/>
      <c r="N120" s="134"/>
      <c r="O120" s="134"/>
      <c r="P120" s="134"/>
      <c r="Q120" s="134"/>
      <c r="R120" s="134"/>
      <c r="S120" s="139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3"/>
      <c r="BD120" s="83"/>
      <c r="BE120" s="83"/>
      <c r="BF120" s="83"/>
      <c r="BG120" s="82"/>
      <c r="BH120" s="81"/>
      <c r="BI120" s="80"/>
      <c r="BJ120" s="25"/>
      <c r="BK120" s="25"/>
      <c r="BL120" s="25"/>
      <c r="BM120" s="84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92"/>
      <c r="DG120" s="92"/>
      <c r="DH120" s="203"/>
      <c r="DI120" s="203"/>
      <c r="DJ120" s="203"/>
      <c r="DK120" s="203"/>
      <c r="DL120" s="203"/>
      <c r="DM120" s="203"/>
      <c r="DN120" s="203"/>
      <c r="DO120" s="203"/>
      <c r="DP120" s="208"/>
      <c r="DQ120" s="208"/>
      <c r="DR120" s="208"/>
      <c r="DS120" s="208"/>
      <c r="DT120" s="208"/>
      <c r="DU120" s="208"/>
      <c r="DV120" s="208"/>
      <c r="DW120" s="208"/>
      <c r="DX120" s="208"/>
      <c r="DY120" s="208"/>
      <c r="DZ120" s="208"/>
      <c r="EA120" s="208"/>
      <c r="EB120" s="208"/>
      <c r="EC120" s="208"/>
      <c r="ED120" s="208"/>
      <c r="EE120" s="208"/>
      <c r="EF120" s="208"/>
      <c r="EG120" s="208"/>
      <c r="EH120" s="208"/>
      <c r="EI120" s="208"/>
      <c r="EJ120" s="208"/>
      <c r="EK120" s="208"/>
      <c r="EL120" s="208"/>
      <c r="EM120" s="208"/>
      <c r="EN120" s="208"/>
      <c r="EO120" s="208"/>
      <c r="EP120" s="208"/>
      <c r="EQ120" s="208"/>
      <c r="ER120" s="208"/>
      <c r="ES120" s="208"/>
      <c r="ET120" s="208"/>
      <c r="EU120" s="208"/>
      <c r="EV120" s="208"/>
      <c r="EW120" s="208"/>
      <c r="EX120" s="208"/>
      <c r="EY120" s="208"/>
      <c r="EZ120" s="208">
        <v>0</v>
      </c>
      <c r="FA120" s="208">
        <v>0</v>
      </c>
      <c r="FB120" s="208">
        <v>0</v>
      </c>
      <c r="FC120" s="208"/>
      <c r="FD120" s="82"/>
      <c r="FE120" s="30"/>
    </row>
    <row r="121" spans="1:161" ht="15" hidden="1">
      <c r="A121" s="25" t="s">
        <v>562</v>
      </c>
      <c r="B121" s="212" t="s">
        <v>153</v>
      </c>
      <c r="C121" s="138"/>
      <c r="D121" s="221"/>
      <c r="E121" s="239">
        <v>770</v>
      </c>
      <c r="F121" s="95"/>
      <c r="G121" s="95"/>
      <c r="H121" s="147" t="s">
        <v>656</v>
      </c>
      <c r="I121" s="147"/>
      <c r="J121" s="135"/>
      <c r="K121" s="135"/>
      <c r="L121" s="139"/>
      <c r="M121" s="134"/>
      <c r="N121" s="134"/>
      <c r="O121" s="134"/>
      <c r="P121" s="134"/>
      <c r="Q121" s="134"/>
      <c r="R121" s="134"/>
      <c r="S121" s="139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3"/>
      <c r="BD121" s="83"/>
      <c r="BE121" s="83"/>
      <c r="BF121" s="83"/>
      <c r="BG121" s="82"/>
      <c r="BH121" s="81"/>
      <c r="BI121" s="80"/>
      <c r="BJ121" s="25"/>
      <c r="BK121" s="25"/>
      <c r="BL121" s="25"/>
      <c r="BM121" s="84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92"/>
      <c r="DG121" s="92"/>
      <c r="DH121" s="203"/>
      <c r="DI121" s="203"/>
      <c r="DJ121" s="203"/>
      <c r="DK121" s="203"/>
      <c r="DL121" s="203"/>
      <c r="DM121" s="203"/>
      <c r="DN121" s="203"/>
      <c r="DO121" s="203"/>
      <c r="DP121" s="208"/>
      <c r="DQ121" s="208"/>
      <c r="DR121" s="208"/>
      <c r="DS121" s="208"/>
      <c r="DT121" s="208"/>
      <c r="DU121" s="208"/>
      <c r="DV121" s="208"/>
      <c r="DW121" s="208"/>
      <c r="DX121" s="208"/>
      <c r="DY121" s="208"/>
      <c r="DZ121" s="208"/>
      <c r="EA121" s="208"/>
      <c r="EB121" s="208"/>
      <c r="EC121" s="208"/>
      <c r="ED121" s="208"/>
      <c r="EE121" s="208"/>
      <c r="EF121" s="208"/>
      <c r="EG121" s="208"/>
      <c r="EH121" s="208"/>
      <c r="EI121" s="208"/>
      <c r="EJ121" s="208"/>
      <c r="EK121" s="208"/>
      <c r="EL121" s="208"/>
      <c r="EM121" s="208"/>
      <c r="EN121" s="208"/>
      <c r="EO121" s="208"/>
      <c r="EP121" s="208"/>
      <c r="EQ121" s="208"/>
      <c r="ER121" s="208"/>
      <c r="ES121" s="208"/>
      <c r="ET121" s="208"/>
      <c r="EU121" s="208"/>
      <c r="EV121" s="208"/>
      <c r="EW121" s="208"/>
      <c r="EX121" s="208"/>
      <c r="EY121" s="208"/>
      <c r="EZ121" s="208">
        <v>0</v>
      </c>
      <c r="FA121" s="208">
        <v>0</v>
      </c>
      <c r="FB121" s="208">
        <v>0</v>
      </c>
      <c r="FC121" s="208"/>
      <c r="FD121" s="82"/>
      <c r="FE121" s="30"/>
    </row>
    <row r="122" spans="1:161" ht="15" hidden="1">
      <c r="A122" s="25" t="s">
        <v>564</v>
      </c>
      <c r="B122" s="212" t="s">
        <v>153</v>
      </c>
      <c r="C122" s="138"/>
      <c r="D122" s="221"/>
      <c r="E122" s="239">
        <v>770</v>
      </c>
      <c r="F122" s="95"/>
      <c r="G122" s="95"/>
      <c r="H122" s="147" t="s">
        <v>656</v>
      </c>
      <c r="I122" s="147"/>
      <c r="J122" s="135"/>
      <c r="K122" s="135"/>
      <c r="L122" s="139"/>
      <c r="M122" s="134"/>
      <c r="N122" s="134"/>
      <c r="O122" s="134"/>
      <c r="P122" s="134"/>
      <c r="Q122" s="134"/>
      <c r="R122" s="134"/>
      <c r="S122" s="139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3"/>
      <c r="BD122" s="83"/>
      <c r="BE122" s="83"/>
      <c r="BF122" s="83"/>
      <c r="BG122" s="82"/>
      <c r="BH122" s="81"/>
      <c r="BI122" s="80"/>
      <c r="BJ122" s="25"/>
      <c r="BK122" s="25"/>
      <c r="BL122" s="25"/>
      <c r="BM122" s="84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92"/>
      <c r="DG122" s="92"/>
      <c r="DH122" s="203"/>
      <c r="DI122" s="203"/>
      <c r="DJ122" s="203"/>
      <c r="DK122" s="203"/>
      <c r="DL122" s="203"/>
      <c r="DM122" s="203"/>
      <c r="DN122" s="203"/>
      <c r="DO122" s="203"/>
      <c r="DP122" s="208"/>
      <c r="DQ122" s="208"/>
      <c r="DR122" s="208"/>
      <c r="DS122" s="208"/>
      <c r="DT122" s="208"/>
      <c r="DU122" s="208"/>
      <c r="DV122" s="208"/>
      <c r="DW122" s="208"/>
      <c r="DX122" s="208"/>
      <c r="DY122" s="208"/>
      <c r="DZ122" s="208"/>
      <c r="EA122" s="208"/>
      <c r="EB122" s="208"/>
      <c r="EC122" s="208"/>
      <c r="ED122" s="208"/>
      <c r="EE122" s="208"/>
      <c r="EF122" s="208"/>
      <c r="EG122" s="208"/>
      <c r="EH122" s="208"/>
      <c r="EI122" s="208"/>
      <c r="EJ122" s="208"/>
      <c r="EK122" s="208"/>
      <c r="EL122" s="208"/>
      <c r="EM122" s="208"/>
      <c r="EN122" s="208"/>
      <c r="EO122" s="208"/>
      <c r="EP122" s="208"/>
      <c r="EQ122" s="208"/>
      <c r="ER122" s="208"/>
      <c r="ES122" s="208"/>
      <c r="ET122" s="208"/>
      <c r="EU122" s="208"/>
      <c r="EV122" s="208"/>
      <c r="EW122" s="208"/>
      <c r="EX122" s="208"/>
      <c r="EY122" s="208"/>
      <c r="EZ122" s="208">
        <v>0</v>
      </c>
      <c r="FA122" s="208">
        <v>0</v>
      </c>
      <c r="FB122" s="208">
        <v>0</v>
      </c>
      <c r="FC122" s="208"/>
      <c r="FD122" s="82"/>
      <c r="FE122" s="30"/>
    </row>
    <row r="123" spans="1:161" ht="15" hidden="1">
      <c r="A123" s="25" t="s">
        <v>565</v>
      </c>
      <c r="B123" s="212" t="s">
        <v>153</v>
      </c>
      <c r="C123" s="138"/>
      <c r="D123" s="221"/>
      <c r="E123" s="239">
        <v>770</v>
      </c>
      <c r="F123" s="95"/>
      <c r="G123" s="95"/>
      <c r="H123" s="147" t="s">
        <v>656</v>
      </c>
      <c r="I123" s="147"/>
      <c r="J123" s="135"/>
      <c r="K123" s="135"/>
      <c r="L123" s="139"/>
      <c r="M123" s="134"/>
      <c r="N123" s="134"/>
      <c r="O123" s="134"/>
      <c r="P123" s="134"/>
      <c r="Q123" s="134"/>
      <c r="R123" s="134"/>
      <c r="S123" s="139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3"/>
      <c r="BD123" s="83"/>
      <c r="BE123" s="83"/>
      <c r="BF123" s="83"/>
      <c r="BG123" s="82"/>
      <c r="BH123" s="81"/>
      <c r="BI123" s="80"/>
      <c r="BJ123" s="25"/>
      <c r="BK123" s="25"/>
      <c r="BL123" s="25"/>
      <c r="BM123" s="84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92"/>
      <c r="DG123" s="92"/>
      <c r="DH123" s="203"/>
      <c r="DI123" s="203"/>
      <c r="DJ123" s="203"/>
      <c r="DK123" s="203"/>
      <c r="DL123" s="203"/>
      <c r="DM123" s="203"/>
      <c r="DN123" s="203"/>
      <c r="DO123" s="203"/>
      <c r="DP123" s="208"/>
      <c r="DQ123" s="208"/>
      <c r="DR123" s="208"/>
      <c r="DS123" s="208"/>
      <c r="DT123" s="208"/>
      <c r="DU123" s="208"/>
      <c r="DV123" s="208"/>
      <c r="DW123" s="208"/>
      <c r="DX123" s="208"/>
      <c r="DY123" s="208"/>
      <c r="DZ123" s="208"/>
      <c r="EA123" s="208"/>
      <c r="EB123" s="208"/>
      <c r="EC123" s="208"/>
      <c r="ED123" s="208"/>
      <c r="EE123" s="208"/>
      <c r="EF123" s="208"/>
      <c r="EG123" s="208"/>
      <c r="EH123" s="208"/>
      <c r="EI123" s="208"/>
      <c r="EJ123" s="208"/>
      <c r="EK123" s="208"/>
      <c r="EL123" s="208"/>
      <c r="EM123" s="208"/>
      <c r="EN123" s="208"/>
      <c r="EO123" s="208"/>
      <c r="EP123" s="208"/>
      <c r="EQ123" s="208"/>
      <c r="ER123" s="208"/>
      <c r="ES123" s="208"/>
      <c r="ET123" s="208"/>
      <c r="EU123" s="208"/>
      <c r="EV123" s="208"/>
      <c r="EW123" s="208"/>
      <c r="EX123" s="208"/>
      <c r="EY123" s="208"/>
      <c r="EZ123" s="208">
        <v>0</v>
      </c>
      <c r="FA123" s="208">
        <v>0</v>
      </c>
      <c r="FB123" s="208">
        <v>0</v>
      </c>
      <c r="FC123" s="208"/>
      <c r="FD123" s="82"/>
      <c r="FE123" s="30"/>
    </row>
    <row r="124" spans="1:161" ht="15" hidden="1">
      <c r="A124" s="25" t="s">
        <v>515</v>
      </c>
      <c r="B124" s="212" t="s">
        <v>153</v>
      </c>
      <c r="C124" s="138"/>
      <c r="D124" s="221"/>
      <c r="E124" s="239">
        <v>970</v>
      </c>
      <c r="F124" s="95"/>
      <c r="G124" s="95"/>
      <c r="H124" s="147" t="s">
        <v>656</v>
      </c>
      <c r="I124" s="147"/>
      <c r="J124" s="135"/>
      <c r="K124" s="135"/>
      <c r="L124" s="139"/>
      <c r="M124" s="134"/>
      <c r="N124" s="134"/>
      <c r="O124" s="134"/>
      <c r="P124" s="134"/>
      <c r="Q124" s="134"/>
      <c r="R124" s="134"/>
      <c r="S124" s="139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3"/>
      <c r="BD124" s="83"/>
      <c r="BE124" s="83"/>
      <c r="BF124" s="83"/>
      <c r="BG124" s="82"/>
      <c r="BH124" s="81"/>
      <c r="BI124" s="80"/>
      <c r="BJ124" s="25"/>
      <c r="BK124" s="25"/>
      <c r="BL124" s="25"/>
      <c r="BM124" s="84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92"/>
      <c r="DG124" s="92"/>
      <c r="DH124" s="203"/>
      <c r="DI124" s="203"/>
      <c r="DJ124" s="203"/>
      <c r="DK124" s="203"/>
      <c r="DL124" s="203"/>
      <c r="DM124" s="203"/>
      <c r="DN124" s="203"/>
      <c r="DO124" s="203"/>
      <c r="DP124" s="208"/>
      <c r="DQ124" s="208"/>
      <c r="DR124" s="208"/>
      <c r="DS124" s="208"/>
      <c r="DT124" s="208"/>
      <c r="DU124" s="208"/>
      <c r="DV124" s="208"/>
      <c r="DW124" s="208"/>
      <c r="DX124" s="208"/>
      <c r="DY124" s="208"/>
      <c r="DZ124" s="208"/>
      <c r="EA124" s="208"/>
      <c r="EB124" s="208"/>
      <c r="EC124" s="208"/>
      <c r="ED124" s="208"/>
      <c r="EE124" s="208"/>
      <c r="EF124" s="208"/>
      <c r="EG124" s="208"/>
      <c r="EH124" s="208"/>
      <c r="EI124" s="208"/>
      <c r="EJ124" s="208"/>
      <c r="EK124" s="208"/>
      <c r="EL124" s="208"/>
      <c r="EM124" s="208"/>
      <c r="EN124" s="208"/>
      <c r="EO124" s="208"/>
      <c r="EP124" s="208"/>
      <c r="EQ124" s="208"/>
      <c r="ER124" s="208"/>
      <c r="ES124" s="208"/>
      <c r="ET124" s="208"/>
      <c r="EU124" s="208"/>
      <c r="EV124" s="208"/>
      <c r="EW124" s="208"/>
      <c r="EX124" s="208"/>
      <c r="EY124" s="208"/>
      <c r="EZ124" s="208">
        <v>0</v>
      </c>
      <c r="FA124" s="208">
        <v>0</v>
      </c>
      <c r="FB124" s="208">
        <v>0</v>
      </c>
      <c r="FC124" s="208"/>
      <c r="FD124" s="82"/>
      <c r="FE124" s="30"/>
    </row>
    <row r="125" spans="1:161" ht="15" hidden="1">
      <c r="A125" s="25" t="s">
        <v>516</v>
      </c>
      <c r="B125" s="212" t="s">
        <v>153</v>
      </c>
      <c r="C125" s="138"/>
      <c r="D125" s="221"/>
      <c r="E125" s="239">
        <v>970</v>
      </c>
      <c r="F125" s="95"/>
      <c r="G125" s="95"/>
      <c r="H125" s="147" t="s">
        <v>656</v>
      </c>
      <c r="I125" s="147"/>
      <c r="J125" s="135"/>
      <c r="K125" s="135"/>
      <c r="L125" s="139"/>
      <c r="M125" s="134"/>
      <c r="N125" s="134"/>
      <c r="O125" s="134"/>
      <c r="P125" s="134"/>
      <c r="Q125" s="134"/>
      <c r="R125" s="134"/>
      <c r="S125" s="139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3"/>
      <c r="BD125" s="83"/>
      <c r="BE125" s="83"/>
      <c r="BF125" s="83"/>
      <c r="BG125" s="82"/>
      <c r="BH125" s="81"/>
      <c r="BI125" s="80"/>
      <c r="BJ125" s="25"/>
      <c r="BK125" s="25"/>
      <c r="BL125" s="25"/>
      <c r="BM125" s="84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92"/>
      <c r="DG125" s="92"/>
      <c r="DH125" s="203"/>
      <c r="DI125" s="203"/>
      <c r="DJ125" s="203"/>
      <c r="DK125" s="203"/>
      <c r="DL125" s="203"/>
      <c r="DM125" s="203"/>
      <c r="DN125" s="203"/>
      <c r="DO125" s="203"/>
      <c r="DP125" s="208"/>
      <c r="DQ125" s="208"/>
      <c r="DR125" s="208"/>
      <c r="DS125" s="208"/>
      <c r="DT125" s="208"/>
      <c r="DU125" s="208"/>
      <c r="DV125" s="208"/>
      <c r="DW125" s="208"/>
      <c r="DX125" s="208"/>
      <c r="DY125" s="208"/>
      <c r="DZ125" s="208"/>
      <c r="EA125" s="208"/>
      <c r="EB125" s="208"/>
      <c r="EC125" s="208"/>
      <c r="ED125" s="208"/>
      <c r="EE125" s="208"/>
      <c r="EF125" s="208"/>
      <c r="EG125" s="208"/>
      <c r="EH125" s="208"/>
      <c r="EI125" s="208"/>
      <c r="EJ125" s="208"/>
      <c r="EK125" s="208"/>
      <c r="EL125" s="208"/>
      <c r="EM125" s="208"/>
      <c r="EN125" s="208"/>
      <c r="EO125" s="208"/>
      <c r="EP125" s="208"/>
      <c r="EQ125" s="208"/>
      <c r="ER125" s="208"/>
      <c r="ES125" s="208"/>
      <c r="ET125" s="208"/>
      <c r="EU125" s="208"/>
      <c r="EV125" s="208"/>
      <c r="EW125" s="208"/>
      <c r="EX125" s="208"/>
      <c r="EY125" s="208"/>
      <c r="EZ125" s="208">
        <v>0</v>
      </c>
      <c r="FA125" s="208">
        <v>0</v>
      </c>
      <c r="FB125" s="208">
        <v>0</v>
      </c>
      <c r="FC125" s="208"/>
      <c r="FD125" s="82"/>
      <c r="FE125" s="30"/>
    </row>
    <row r="126" spans="1:161" ht="15" hidden="1">
      <c r="A126" s="25" t="s">
        <v>566</v>
      </c>
      <c r="B126" s="212" t="s">
        <v>153</v>
      </c>
      <c r="C126" s="138"/>
      <c r="D126" s="221"/>
      <c r="E126" s="239">
        <v>770</v>
      </c>
      <c r="F126" s="95"/>
      <c r="G126" s="95"/>
      <c r="H126" s="147" t="s">
        <v>656</v>
      </c>
      <c r="I126" s="147"/>
      <c r="J126" s="135"/>
      <c r="K126" s="135"/>
      <c r="L126" s="139"/>
      <c r="M126" s="134"/>
      <c r="N126" s="134"/>
      <c r="O126" s="134"/>
      <c r="P126" s="134"/>
      <c r="Q126" s="134"/>
      <c r="R126" s="134"/>
      <c r="S126" s="139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3"/>
      <c r="BD126" s="83"/>
      <c r="BE126" s="83"/>
      <c r="BF126" s="83"/>
      <c r="BG126" s="82"/>
      <c r="BH126" s="81"/>
      <c r="BI126" s="80"/>
      <c r="BJ126" s="25"/>
      <c r="BK126" s="25"/>
      <c r="BL126" s="25"/>
      <c r="BM126" s="84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92"/>
      <c r="DG126" s="92"/>
      <c r="DH126" s="203"/>
      <c r="DI126" s="203"/>
      <c r="DJ126" s="203"/>
      <c r="DK126" s="203"/>
      <c r="DL126" s="203"/>
      <c r="DM126" s="203"/>
      <c r="DN126" s="203"/>
      <c r="DO126" s="203"/>
      <c r="DP126" s="208"/>
      <c r="DQ126" s="208"/>
      <c r="DR126" s="208"/>
      <c r="DS126" s="208"/>
      <c r="DT126" s="208"/>
      <c r="DU126" s="208"/>
      <c r="DV126" s="208"/>
      <c r="DW126" s="208"/>
      <c r="DX126" s="208"/>
      <c r="DY126" s="208"/>
      <c r="DZ126" s="208"/>
      <c r="EA126" s="208"/>
      <c r="EB126" s="208"/>
      <c r="EC126" s="208"/>
      <c r="ED126" s="208"/>
      <c r="EE126" s="208"/>
      <c r="EF126" s="208"/>
      <c r="EG126" s="208"/>
      <c r="EH126" s="208"/>
      <c r="EI126" s="208"/>
      <c r="EJ126" s="208"/>
      <c r="EK126" s="208"/>
      <c r="EL126" s="208"/>
      <c r="EM126" s="208"/>
      <c r="EN126" s="208"/>
      <c r="EO126" s="208"/>
      <c r="EP126" s="208"/>
      <c r="EQ126" s="208"/>
      <c r="ER126" s="208"/>
      <c r="ES126" s="208"/>
      <c r="ET126" s="208"/>
      <c r="EU126" s="208"/>
      <c r="EV126" s="208"/>
      <c r="EW126" s="208"/>
      <c r="EX126" s="208"/>
      <c r="EY126" s="208"/>
      <c r="EZ126" s="208">
        <v>0</v>
      </c>
      <c r="FA126" s="208">
        <v>0</v>
      </c>
      <c r="FB126" s="208">
        <v>0</v>
      </c>
      <c r="FC126" s="208"/>
      <c r="FD126" s="82"/>
      <c r="FE126" s="30"/>
    </row>
    <row r="127" spans="1:161" ht="15" hidden="1">
      <c r="A127" s="25" t="s">
        <v>567</v>
      </c>
      <c r="B127" s="212" t="s">
        <v>153</v>
      </c>
      <c r="C127" s="138"/>
      <c r="D127" s="221"/>
      <c r="E127" s="239">
        <v>770</v>
      </c>
      <c r="F127" s="95"/>
      <c r="G127" s="95"/>
      <c r="H127" s="147" t="s">
        <v>656</v>
      </c>
      <c r="I127" s="147"/>
      <c r="J127" s="135"/>
      <c r="K127" s="135"/>
      <c r="L127" s="139"/>
      <c r="M127" s="134"/>
      <c r="N127" s="134"/>
      <c r="O127" s="134"/>
      <c r="P127" s="134"/>
      <c r="Q127" s="134"/>
      <c r="R127" s="134"/>
      <c r="S127" s="139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3"/>
      <c r="BD127" s="83"/>
      <c r="BE127" s="83"/>
      <c r="BF127" s="83"/>
      <c r="BG127" s="82"/>
      <c r="BH127" s="81"/>
      <c r="BI127" s="80"/>
      <c r="BJ127" s="25"/>
      <c r="BK127" s="25"/>
      <c r="BL127" s="25"/>
      <c r="BM127" s="84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92"/>
      <c r="DG127" s="92"/>
      <c r="DH127" s="203"/>
      <c r="DI127" s="203"/>
      <c r="DJ127" s="203"/>
      <c r="DK127" s="203"/>
      <c r="DL127" s="203"/>
      <c r="DM127" s="203"/>
      <c r="DN127" s="203"/>
      <c r="DO127" s="203"/>
      <c r="DP127" s="208"/>
      <c r="DQ127" s="208"/>
      <c r="DR127" s="208"/>
      <c r="DS127" s="208"/>
      <c r="DT127" s="208"/>
      <c r="DU127" s="208"/>
      <c r="DV127" s="208"/>
      <c r="DW127" s="208"/>
      <c r="DX127" s="208"/>
      <c r="DY127" s="208"/>
      <c r="DZ127" s="208"/>
      <c r="EA127" s="208"/>
      <c r="EB127" s="208"/>
      <c r="EC127" s="208"/>
      <c r="ED127" s="208"/>
      <c r="EE127" s="208"/>
      <c r="EF127" s="208"/>
      <c r="EG127" s="208"/>
      <c r="EH127" s="208"/>
      <c r="EI127" s="208"/>
      <c r="EJ127" s="208"/>
      <c r="EK127" s="208"/>
      <c r="EL127" s="208"/>
      <c r="EM127" s="208"/>
      <c r="EN127" s="208"/>
      <c r="EO127" s="208"/>
      <c r="EP127" s="208"/>
      <c r="EQ127" s="208"/>
      <c r="ER127" s="208"/>
      <c r="ES127" s="208"/>
      <c r="ET127" s="208"/>
      <c r="EU127" s="208"/>
      <c r="EV127" s="208"/>
      <c r="EW127" s="208"/>
      <c r="EX127" s="208"/>
      <c r="EY127" s="208"/>
      <c r="EZ127" s="208">
        <v>0</v>
      </c>
      <c r="FA127" s="208">
        <v>0</v>
      </c>
      <c r="FB127" s="208">
        <v>0</v>
      </c>
      <c r="FC127" s="208"/>
      <c r="FD127" s="82"/>
      <c r="FE127" s="30"/>
    </row>
    <row r="128" spans="1:161" ht="15" hidden="1">
      <c r="A128" s="25" t="s">
        <v>568</v>
      </c>
      <c r="B128" s="212" t="s">
        <v>153</v>
      </c>
      <c r="C128" s="138"/>
      <c r="D128" s="221"/>
      <c r="E128" s="239">
        <v>770</v>
      </c>
      <c r="F128" s="95"/>
      <c r="G128" s="95"/>
      <c r="H128" s="147" t="s">
        <v>656</v>
      </c>
      <c r="I128" s="147"/>
      <c r="J128" s="135"/>
      <c r="K128" s="135"/>
      <c r="L128" s="139"/>
      <c r="M128" s="134"/>
      <c r="N128" s="134"/>
      <c r="O128" s="134"/>
      <c r="P128" s="134"/>
      <c r="Q128" s="134"/>
      <c r="R128" s="134"/>
      <c r="S128" s="139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3"/>
      <c r="BD128" s="83"/>
      <c r="BE128" s="83"/>
      <c r="BF128" s="83"/>
      <c r="BG128" s="82"/>
      <c r="BH128" s="81"/>
      <c r="BI128" s="80"/>
      <c r="BJ128" s="25"/>
      <c r="BK128" s="25"/>
      <c r="BL128" s="25"/>
      <c r="BM128" s="84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92"/>
      <c r="DG128" s="92"/>
      <c r="DH128" s="203"/>
      <c r="DI128" s="203"/>
      <c r="DJ128" s="203"/>
      <c r="DK128" s="203"/>
      <c r="DL128" s="203"/>
      <c r="DM128" s="203"/>
      <c r="DN128" s="203"/>
      <c r="DO128" s="203"/>
      <c r="DP128" s="208"/>
      <c r="DQ128" s="208"/>
      <c r="DR128" s="208"/>
      <c r="DS128" s="208"/>
      <c r="DT128" s="208"/>
      <c r="DU128" s="208"/>
      <c r="DV128" s="208"/>
      <c r="DW128" s="208"/>
      <c r="DX128" s="208"/>
      <c r="DY128" s="208"/>
      <c r="DZ128" s="208"/>
      <c r="EA128" s="208"/>
      <c r="EB128" s="208"/>
      <c r="EC128" s="208"/>
      <c r="ED128" s="208"/>
      <c r="EE128" s="208"/>
      <c r="EF128" s="208"/>
      <c r="EG128" s="208"/>
      <c r="EH128" s="208"/>
      <c r="EI128" s="208"/>
      <c r="EJ128" s="208"/>
      <c r="EK128" s="208"/>
      <c r="EL128" s="208"/>
      <c r="EM128" s="208"/>
      <c r="EN128" s="208"/>
      <c r="EO128" s="208"/>
      <c r="EP128" s="208"/>
      <c r="EQ128" s="208"/>
      <c r="ER128" s="208"/>
      <c r="ES128" s="208"/>
      <c r="ET128" s="208"/>
      <c r="EU128" s="208"/>
      <c r="EV128" s="208"/>
      <c r="EW128" s="208"/>
      <c r="EX128" s="208"/>
      <c r="EY128" s="208"/>
      <c r="EZ128" s="208">
        <v>0</v>
      </c>
      <c r="FA128" s="208">
        <v>0</v>
      </c>
      <c r="FB128" s="208">
        <v>0</v>
      </c>
      <c r="FC128" s="208"/>
      <c r="FD128" s="82"/>
      <c r="FE128" s="30"/>
    </row>
    <row r="129" spans="1:161" ht="15" hidden="1">
      <c r="A129" s="25" t="s">
        <v>518</v>
      </c>
      <c r="B129" s="212" t="s">
        <v>153</v>
      </c>
      <c r="C129" s="138"/>
      <c r="D129" s="221"/>
      <c r="E129" s="239">
        <v>970</v>
      </c>
      <c r="F129" s="95"/>
      <c r="G129" s="95"/>
      <c r="H129" s="147" t="s">
        <v>656</v>
      </c>
      <c r="I129" s="147"/>
      <c r="J129" s="135"/>
      <c r="K129" s="135"/>
      <c r="L129" s="139"/>
      <c r="M129" s="134"/>
      <c r="N129" s="134"/>
      <c r="O129" s="134"/>
      <c r="P129" s="134"/>
      <c r="Q129" s="134"/>
      <c r="R129" s="134"/>
      <c r="S129" s="139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3"/>
      <c r="BD129" s="83"/>
      <c r="BE129" s="83"/>
      <c r="BF129" s="83"/>
      <c r="BG129" s="82"/>
      <c r="BH129" s="81"/>
      <c r="BI129" s="80"/>
      <c r="BJ129" s="25"/>
      <c r="BK129" s="25"/>
      <c r="BL129" s="25"/>
      <c r="BM129" s="84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92"/>
      <c r="DG129" s="92"/>
      <c r="DH129" s="203"/>
      <c r="DI129" s="203"/>
      <c r="DJ129" s="203"/>
      <c r="DK129" s="203"/>
      <c r="DL129" s="203"/>
      <c r="DM129" s="203"/>
      <c r="DN129" s="203"/>
      <c r="DO129" s="203"/>
      <c r="DP129" s="208"/>
      <c r="DQ129" s="208"/>
      <c r="DR129" s="208"/>
      <c r="DS129" s="208"/>
      <c r="DT129" s="208"/>
      <c r="DU129" s="208"/>
      <c r="DV129" s="208"/>
      <c r="DW129" s="208"/>
      <c r="DX129" s="208"/>
      <c r="DY129" s="208"/>
      <c r="DZ129" s="208"/>
      <c r="EA129" s="208"/>
      <c r="EB129" s="208"/>
      <c r="EC129" s="208"/>
      <c r="ED129" s="208"/>
      <c r="EE129" s="208"/>
      <c r="EF129" s="208"/>
      <c r="EG129" s="208"/>
      <c r="EH129" s="208"/>
      <c r="EI129" s="208"/>
      <c r="EJ129" s="208"/>
      <c r="EK129" s="208"/>
      <c r="EL129" s="208"/>
      <c r="EM129" s="208"/>
      <c r="EN129" s="208"/>
      <c r="EO129" s="208"/>
      <c r="EP129" s="208"/>
      <c r="EQ129" s="208"/>
      <c r="ER129" s="208"/>
      <c r="ES129" s="208"/>
      <c r="ET129" s="208"/>
      <c r="EU129" s="208"/>
      <c r="EV129" s="208"/>
      <c r="EW129" s="208"/>
      <c r="EX129" s="208"/>
      <c r="EY129" s="208"/>
      <c r="EZ129" s="208">
        <v>0</v>
      </c>
      <c r="FA129" s="208">
        <v>0</v>
      </c>
      <c r="FB129" s="208">
        <v>0</v>
      </c>
      <c r="FC129" s="208"/>
      <c r="FD129" s="82"/>
      <c r="FE129" s="30"/>
    </row>
    <row r="130" spans="1:161" ht="15" hidden="1">
      <c r="A130" s="25" t="s">
        <v>519</v>
      </c>
      <c r="B130" s="212" t="s">
        <v>153</v>
      </c>
      <c r="C130" s="138"/>
      <c r="D130" s="221"/>
      <c r="E130" s="239">
        <v>970</v>
      </c>
      <c r="F130" s="95"/>
      <c r="G130" s="95"/>
      <c r="H130" s="147" t="s">
        <v>656</v>
      </c>
      <c r="I130" s="147"/>
      <c r="J130" s="135"/>
      <c r="K130" s="135"/>
      <c r="L130" s="139"/>
      <c r="M130" s="134"/>
      <c r="N130" s="134"/>
      <c r="O130" s="134"/>
      <c r="P130" s="134"/>
      <c r="Q130" s="134"/>
      <c r="R130" s="134"/>
      <c r="S130" s="139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3"/>
      <c r="BD130" s="83"/>
      <c r="BE130" s="83"/>
      <c r="BF130" s="83"/>
      <c r="BG130" s="82"/>
      <c r="BH130" s="81"/>
      <c r="BI130" s="80"/>
      <c r="BJ130" s="25"/>
      <c r="BK130" s="25"/>
      <c r="BL130" s="25"/>
      <c r="BM130" s="84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92"/>
      <c r="DG130" s="92"/>
      <c r="DH130" s="203"/>
      <c r="DI130" s="203"/>
      <c r="DJ130" s="203"/>
      <c r="DK130" s="203"/>
      <c r="DL130" s="203"/>
      <c r="DM130" s="203"/>
      <c r="DN130" s="203"/>
      <c r="DO130" s="203"/>
      <c r="DP130" s="208"/>
      <c r="DQ130" s="208"/>
      <c r="DR130" s="208"/>
      <c r="DS130" s="208"/>
      <c r="DT130" s="208"/>
      <c r="DU130" s="208"/>
      <c r="DV130" s="208"/>
      <c r="DW130" s="208"/>
      <c r="DX130" s="208"/>
      <c r="DY130" s="208"/>
      <c r="DZ130" s="208"/>
      <c r="EA130" s="208"/>
      <c r="EB130" s="208"/>
      <c r="EC130" s="208"/>
      <c r="ED130" s="208"/>
      <c r="EE130" s="208"/>
      <c r="EF130" s="208"/>
      <c r="EG130" s="208"/>
      <c r="EH130" s="208"/>
      <c r="EI130" s="208"/>
      <c r="EJ130" s="208"/>
      <c r="EK130" s="208"/>
      <c r="EL130" s="208"/>
      <c r="EM130" s="208"/>
      <c r="EN130" s="208"/>
      <c r="EO130" s="208"/>
      <c r="EP130" s="208"/>
      <c r="EQ130" s="208"/>
      <c r="ER130" s="208"/>
      <c r="ES130" s="208"/>
      <c r="ET130" s="208"/>
      <c r="EU130" s="208"/>
      <c r="EV130" s="208"/>
      <c r="EW130" s="208"/>
      <c r="EX130" s="208"/>
      <c r="EY130" s="208"/>
      <c r="EZ130" s="208">
        <v>0</v>
      </c>
      <c r="FA130" s="208">
        <v>0</v>
      </c>
      <c r="FB130" s="208">
        <v>0</v>
      </c>
      <c r="FC130" s="208"/>
      <c r="FD130" s="82"/>
      <c r="FE130" s="30"/>
    </row>
    <row r="131" spans="1:161" ht="15" hidden="1">
      <c r="A131" s="25" t="s">
        <v>520</v>
      </c>
      <c r="B131" s="212" t="s">
        <v>153</v>
      </c>
      <c r="C131" s="138"/>
      <c r="D131" s="221"/>
      <c r="E131" s="239">
        <v>970</v>
      </c>
      <c r="F131" s="95"/>
      <c r="G131" s="95"/>
      <c r="H131" s="147" t="s">
        <v>656</v>
      </c>
      <c r="I131" s="147"/>
      <c r="J131" s="135"/>
      <c r="K131" s="135"/>
      <c r="L131" s="139"/>
      <c r="M131" s="134"/>
      <c r="N131" s="134"/>
      <c r="O131" s="134"/>
      <c r="P131" s="134"/>
      <c r="Q131" s="134"/>
      <c r="R131" s="134"/>
      <c r="S131" s="139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3"/>
      <c r="BD131" s="83"/>
      <c r="BE131" s="83"/>
      <c r="BF131" s="83"/>
      <c r="BG131" s="82"/>
      <c r="BH131" s="81"/>
      <c r="BI131" s="80"/>
      <c r="BJ131" s="25"/>
      <c r="BK131" s="25"/>
      <c r="BL131" s="25"/>
      <c r="BM131" s="84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92"/>
      <c r="DG131" s="92"/>
      <c r="DH131" s="203"/>
      <c r="DI131" s="203"/>
      <c r="DJ131" s="203"/>
      <c r="DK131" s="203"/>
      <c r="DL131" s="203"/>
      <c r="DM131" s="203"/>
      <c r="DN131" s="203"/>
      <c r="DO131" s="203"/>
      <c r="DP131" s="208"/>
      <c r="DQ131" s="208"/>
      <c r="DR131" s="208"/>
      <c r="DS131" s="208"/>
      <c r="DT131" s="208"/>
      <c r="DU131" s="208"/>
      <c r="DV131" s="208"/>
      <c r="DW131" s="208"/>
      <c r="DX131" s="208"/>
      <c r="DY131" s="208"/>
      <c r="DZ131" s="208"/>
      <c r="EA131" s="208"/>
      <c r="EB131" s="208"/>
      <c r="EC131" s="208"/>
      <c r="ED131" s="208"/>
      <c r="EE131" s="208"/>
      <c r="EF131" s="208"/>
      <c r="EG131" s="208"/>
      <c r="EH131" s="208"/>
      <c r="EI131" s="208"/>
      <c r="EJ131" s="208"/>
      <c r="EK131" s="208"/>
      <c r="EL131" s="208"/>
      <c r="EM131" s="208"/>
      <c r="EN131" s="208"/>
      <c r="EO131" s="208"/>
      <c r="EP131" s="208"/>
      <c r="EQ131" s="208"/>
      <c r="ER131" s="208"/>
      <c r="ES131" s="208"/>
      <c r="ET131" s="208"/>
      <c r="EU131" s="208"/>
      <c r="EV131" s="208"/>
      <c r="EW131" s="208"/>
      <c r="EX131" s="208"/>
      <c r="EY131" s="208"/>
      <c r="EZ131" s="208">
        <v>0</v>
      </c>
      <c r="FA131" s="208">
        <v>0</v>
      </c>
      <c r="FB131" s="208">
        <v>0</v>
      </c>
      <c r="FC131" s="208"/>
      <c r="FD131" s="82"/>
      <c r="FE131" s="30"/>
    </row>
    <row r="132" spans="1:161" ht="15" hidden="1">
      <c r="A132" s="25" t="s">
        <v>521</v>
      </c>
      <c r="B132" s="212" t="s">
        <v>153</v>
      </c>
      <c r="C132" s="138"/>
      <c r="D132" s="221"/>
      <c r="E132" s="239">
        <v>970</v>
      </c>
      <c r="F132" s="95"/>
      <c r="G132" s="95"/>
      <c r="H132" s="147" t="s">
        <v>656</v>
      </c>
      <c r="I132" s="147"/>
      <c r="J132" s="135"/>
      <c r="K132" s="135"/>
      <c r="L132" s="139"/>
      <c r="M132" s="134"/>
      <c r="N132" s="134"/>
      <c r="O132" s="134"/>
      <c r="P132" s="134"/>
      <c r="Q132" s="134"/>
      <c r="R132" s="134"/>
      <c r="S132" s="139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3"/>
      <c r="BD132" s="83"/>
      <c r="BE132" s="83"/>
      <c r="BF132" s="83"/>
      <c r="BG132" s="82"/>
      <c r="BH132" s="81"/>
      <c r="BI132" s="80"/>
      <c r="BJ132" s="25"/>
      <c r="BK132" s="25"/>
      <c r="BL132" s="25"/>
      <c r="BM132" s="84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92"/>
      <c r="DG132" s="92"/>
      <c r="DH132" s="203"/>
      <c r="DI132" s="203"/>
      <c r="DJ132" s="203"/>
      <c r="DK132" s="203"/>
      <c r="DL132" s="203"/>
      <c r="DM132" s="203"/>
      <c r="DN132" s="203"/>
      <c r="DO132" s="203"/>
      <c r="DP132" s="208"/>
      <c r="DQ132" s="208"/>
      <c r="DR132" s="208"/>
      <c r="DS132" s="208"/>
      <c r="DT132" s="208"/>
      <c r="DU132" s="208"/>
      <c r="DV132" s="208"/>
      <c r="DW132" s="208"/>
      <c r="DX132" s="208"/>
      <c r="DY132" s="208"/>
      <c r="DZ132" s="208"/>
      <c r="EA132" s="208"/>
      <c r="EB132" s="208"/>
      <c r="EC132" s="208"/>
      <c r="ED132" s="208"/>
      <c r="EE132" s="208"/>
      <c r="EF132" s="208"/>
      <c r="EG132" s="208"/>
      <c r="EH132" s="208"/>
      <c r="EI132" s="208"/>
      <c r="EJ132" s="208"/>
      <c r="EK132" s="208"/>
      <c r="EL132" s="208"/>
      <c r="EM132" s="208"/>
      <c r="EN132" s="208"/>
      <c r="EO132" s="208"/>
      <c r="EP132" s="208"/>
      <c r="EQ132" s="208"/>
      <c r="ER132" s="208"/>
      <c r="ES132" s="208"/>
      <c r="ET132" s="208"/>
      <c r="EU132" s="208"/>
      <c r="EV132" s="208"/>
      <c r="EW132" s="208"/>
      <c r="EX132" s="208"/>
      <c r="EY132" s="208"/>
      <c r="EZ132" s="208">
        <v>0</v>
      </c>
      <c r="FA132" s="208">
        <v>0</v>
      </c>
      <c r="FB132" s="208">
        <v>0</v>
      </c>
      <c r="FC132" s="208"/>
      <c r="FD132" s="82"/>
      <c r="FE132" s="30"/>
    </row>
    <row r="133" spans="1:161" ht="15" hidden="1">
      <c r="A133" s="25" t="s">
        <v>569</v>
      </c>
      <c r="B133" s="212" t="s">
        <v>153</v>
      </c>
      <c r="C133" s="138"/>
      <c r="D133" s="221"/>
      <c r="E133" s="239">
        <v>770</v>
      </c>
      <c r="F133" s="95"/>
      <c r="G133" s="95"/>
      <c r="H133" s="147" t="s">
        <v>656</v>
      </c>
      <c r="I133" s="147"/>
      <c r="J133" s="135"/>
      <c r="K133" s="135"/>
      <c r="L133" s="139"/>
      <c r="M133" s="134"/>
      <c r="N133" s="134"/>
      <c r="O133" s="134"/>
      <c r="P133" s="134"/>
      <c r="Q133" s="134"/>
      <c r="R133" s="134"/>
      <c r="S133" s="139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3"/>
      <c r="BD133" s="83"/>
      <c r="BE133" s="83"/>
      <c r="BF133" s="83"/>
      <c r="BG133" s="82"/>
      <c r="BH133" s="81"/>
      <c r="BI133" s="80"/>
      <c r="BJ133" s="25"/>
      <c r="BK133" s="25"/>
      <c r="BL133" s="25"/>
      <c r="BM133" s="84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92"/>
      <c r="DG133" s="92"/>
      <c r="DH133" s="203"/>
      <c r="DI133" s="203"/>
      <c r="DJ133" s="203"/>
      <c r="DK133" s="203"/>
      <c r="DL133" s="203"/>
      <c r="DM133" s="203"/>
      <c r="DN133" s="203"/>
      <c r="DO133" s="203"/>
      <c r="DP133" s="208"/>
      <c r="DQ133" s="208"/>
      <c r="DR133" s="208"/>
      <c r="DS133" s="208"/>
      <c r="DT133" s="208"/>
      <c r="DU133" s="208"/>
      <c r="DV133" s="208"/>
      <c r="DW133" s="208"/>
      <c r="DX133" s="208"/>
      <c r="DY133" s="208"/>
      <c r="DZ133" s="208"/>
      <c r="EA133" s="208"/>
      <c r="EB133" s="208"/>
      <c r="EC133" s="208"/>
      <c r="ED133" s="208"/>
      <c r="EE133" s="208"/>
      <c r="EF133" s="208"/>
      <c r="EG133" s="208"/>
      <c r="EH133" s="208"/>
      <c r="EI133" s="208"/>
      <c r="EJ133" s="208"/>
      <c r="EK133" s="208"/>
      <c r="EL133" s="208"/>
      <c r="EM133" s="208"/>
      <c r="EN133" s="208"/>
      <c r="EO133" s="208"/>
      <c r="EP133" s="208"/>
      <c r="EQ133" s="208"/>
      <c r="ER133" s="208"/>
      <c r="ES133" s="208"/>
      <c r="ET133" s="208"/>
      <c r="EU133" s="208"/>
      <c r="EV133" s="208"/>
      <c r="EW133" s="208"/>
      <c r="EX133" s="208"/>
      <c r="EY133" s="208"/>
      <c r="EZ133" s="208">
        <v>0</v>
      </c>
      <c r="FA133" s="208">
        <v>0</v>
      </c>
      <c r="FB133" s="208">
        <v>0</v>
      </c>
      <c r="FC133" s="208"/>
      <c r="FD133" s="82"/>
      <c r="FE133" s="30"/>
    </row>
    <row r="134" spans="1:161" ht="15" hidden="1">
      <c r="A134" s="25" t="s">
        <v>570</v>
      </c>
      <c r="B134" s="212" t="s">
        <v>153</v>
      </c>
      <c r="C134" s="138"/>
      <c r="D134" s="221"/>
      <c r="E134" s="239">
        <v>770</v>
      </c>
      <c r="F134" s="95"/>
      <c r="G134" s="95"/>
      <c r="H134" s="147" t="s">
        <v>656</v>
      </c>
      <c r="I134" s="147"/>
      <c r="J134" s="135"/>
      <c r="K134" s="135"/>
      <c r="L134" s="139"/>
      <c r="M134" s="134"/>
      <c r="N134" s="134"/>
      <c r="O134" s="134"/>
      <c r="P134" s="134"/>
      <c r="Q134" s="134"/>
      <c r="R134" s="134"/>
      <c r="S134" s="139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3"/>
      <c r="BD134" s="83"/>
      <c r="BE134" s="83"/>
      <c r="BF134" s="83"/>
      <c r="BG134" s="82"/>
      <c r="BH134" s="81"/>
      <c r="BI134" s="80"/>
      <c r="BJ134" s="25"/>
      <c r="BK134" s="25"/>
      <c r="BL134" s="25"/>
      <c r="BM134" s="84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92"/>
      <c r="DG134" s="92"/>
      <c r="DH134" s="203"/>
      <c r="DI134" s="203"/>
      <c r="DJ134" s="203"/>
      <c r="DK134" s="203"/>
      <c r="DL134" s="203"/>
      <c r="DM134" s="203"/>
      <c r="DN134" s="203"/>
      <c r="DO134" s="203"/>
      <c r="DP134" s="208"/>
      <c r="DQ134" s="208"/>
      <c r="DR134" s="208"/>
      <c r="DS134" s="208"/>
      <c r="DT134" s="208"/>
      <c r="DU134" s="208"/>
      <c r="DV134" s="208"/>
      <c r="DW134" s="208"/>
      <c r="DX134" s="208"/>
      <c r="DY134" s="208"/>
      <c r="DZ134" s="208"/>
      <c r="EA134" s="208"/>
      <c r="EB134" s="208"/>
      <c r="EC134" s="208"/>
      <c r="ED134" s="208"/>
      <c r="EE134" s="208"/>
      <c r="EF134" s="208"/>
      <c r="EG134" s="208"/>
      <c r="EH134" s="208"/>
      <c r="EI134" s="208"/>
      <c r="EJ134" s="208"/>
      <c r="EK134" s="208"/>
      <c r="EL134" s="208"/>
      <c r="EM134" s="208"/>
      <c r="EN134" s="208"/>
      <c r="EO134" s="208"/>
      <c r="EP134" s="208"/>
      <c r="EQ134" s="208"/>
      <c r="ER134" s="208"/>
      <c r="ES134" s="208"/>
      <c r="ET134" s="208"/>
      <c r="EU134" s="208"/>
      <c r="EV134" s="208"/>
      <c r="EW134" s="208"/>
      <c r="EX134" s="208"/>
      <c r="EY134" s="208"/>
      <c r="EZ134" s="208">
        <v>0</v>
      </c>
      <c r="FA134" s="208">
        <v>0</v>
      </c>
      <c r="FB134" s="208">
        <v>0</v>
      </c>
      <c r="FC134" s="208"/>
      <c r="FD134" s="82"/>
      <c r="FE134" s="30"/>
    </row>
    <row r="135" spans="1:161" ht="15" hidden="1">
      <c r="A135" s="25" t="s">
        <v>571</v>
      </c>
      <c r="B135" s="212" t="s">
        <v>153</v>
      </c>
      <c r="C135" s="138"/>
      <c r="D135" s="221"/>
      <c r="E135" s="239">
        <v>770</v>
      </c>
      <c r="F135" s="95"/>
      <c r="G135" s="95"/>
      <c r="H135" s="147" t="s">
        <v>656</v>
      </c>
      <c r="I135" s="147"/>
      <c r="J135" s="135"/>
      <c r="K135" s="135"/>
      <c r="L135" s="139"/>
      <c r="M135" s="134"/>
      <c r="N135" s="134"/>
      <c r="O135" s="134"/>
      <c r="P135" s="134"/>
      <c r="Q135" s="134"/>
      <c r="R135" s="134"/>
      <c r="S135" s="139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3"/>
      <c r="BD135" s="83"/>
      <c r="BE135" s="83"/>
      <c r="BF135" s="83"/>
      <c r="BG135" s="82"/>
      <c r="BH135" s="81"/>
      <c r="BI135" s="80"/>
      <c r="BJ135" s="25"/>
      <c r="BK135" s="25"/>
      <c r="BL135" s="25"/>
      <c r="BM135" s="84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92"/>
      <c r="DG135" s="92"/>
      <c r="DH135" s="203"/>
      <c r="DI135" s="203"/>
      <c r="DJ135" s="203"/>
      <c r="DK135" s="203"/>
      <c r="DL135" s="203"/>
      <c r="DM135" s="203"/>
      <c r="DN135" s="203"/>
      <c r="DO135" s="203"/>
      <c r="DP135" s="208"/>
      <c r="DQ135" s="208"/>
      <c r="DR135" s="208"/>
      <c r="DS135" s="208"/>
      <c r="DT135" s="208"/>
      <c r="DU135" s="208"/>
      <c r="DV135" s="208"/>
      <c r="DW135" s="208"/>
      <c r="DX135" s="208"/>
      <c r="DY135" s="208"/>
      <c r="DZ135" s="208"/>
      <c r="EA135" s="208"/>
      <c r="EB135" s="208"/>
      <c r="EC135" s="208"/>
      <c r="ED135" s="208"/>
      <c r="EE135" s="208"/>
      <c r="EF135" s="208"/>
      <c r="EG135" s="208"/>
      <c r="EH135" s="208"/>
      <c r="EI135" s="208"/>
      <c r="EJ135" s="208"/>
      <c r="EK135" s="208"/>
      <c r="EL135" s="208"/>
      <c r="EM135" s="208"/>
      <c r="EN135" s="208"/>
      <c r="EO135" s="208"/>
      <c r="EP135" s="208"/>
      <c r="EQ135" s="208"/>
      <c r="ER135" s="208"/>
      <c r="ES135" s="208"/>
      <c r="ET135" s="208"/>
      <c r="EU135" s="208"/>
      <c r="EV135" s="208"/>
      <c r="EW135" s="208"/>
      <c r="EX135" s="208"/>
      <c r="EY135" s="208"/>
      <c r="EZ135" s="208">
        <v>0</v>
      </c>
      <c r="FA135" s="208">
        <v>0</v>
      </c>
      <c r="FB135" s="208">
        <v>0</v>
      </c>
      <c r="FC135" s="208"/>
      <c r="FD135" s="82"/>
      <c r="FE135" s="30"/>
    </row>
    <row r="136" spans="1:161" ht="15" hidden="1">
      <c r="A136" s="25" t="s">
        <v>522</v>
      </c>
      <c r="B136" s="212" t="s">
        <v>153</v>
      </c>
      <c r="C136" s="138"/>
      <c r="D136" s="221"/>
      <c r="E136" s="239">
        <v>970</v>
      </c>
      <c r="F136" s="95"/>
      <c r="G136" s="95"/>
      <c r="H136" s="147" t="s">
        <v>656</v>
      </c>
      <c r="I136" s="147"/>
      <c r="J136" s="135"/>
      <c r="K136" s="135"/>
      <c r="L136" s="139"/>
      <c r="M136" s="134"/>
      <c r="N136" s="134"/>
      <c r="O136" s="134"/>
      <c r="P136" s="134"/>
      <c r="Q136" s="134"/>
      <c r="R136" s="134"/>
      <c r="S136" s="139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3"/>
      <c r="BD136" s="83"/>
      <c r="BE136" s="83"/>
      <c r="BF136" s="83"/>
      <c r="BG136" s="82"/>
      <c r="BH136" s="81"/>
      <c r="BI136" s="80"/>
      <c r="BJ136" s="25"/>
      <c r="BK136" s="25"/>
      <c r="BL136" s="25"/>
      <c r="BM136" s="84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92"/>
      <c r="DG136" s="92"/>
      <c r="DH136" s="203"/>
      <c r="DI136" s="203"/>
      <c r="DJ136" s="203"/>
      <c r="DK136" s="203"/>
      <c r="DL136" s="203"/>
      <c r="DM136" s="203"/>
      <c r="DN136" s="203"/>
      <c r="DO136" s="203"/>
      <c r="DP136" s="208"/>
      <c r="DQ136" s="208"/>
      <c r="DR136" s="208"/>
      <c r="DS136" s="208"/>
      <c r="DT136" s="208"/>
      <c r="DU136" s="208"/>
      <c r="DV136" s="208"/>
      <c r="DW136" s="208"/>
      <c r="DX136" s="208"/>
      <c r="DY136" s="208"/>
      <c r="DZ136" s="208"/>
      <c r="EA136" s="208"/>
      <c r="EB136" s="208"/>
      <c r="EC136" s="208"/>
      <c r="ED136" s="208"/>
      <c r="EE136" s="208"/>
      <c r="EF136" s="208"/>
      <c r="EG136" s="208"/>
      <c r="EH136" s="208"/>
      <c r="EI136" s="208"/>
      <c r="EJ136" s="208"/>
      <c r="EK136" s="208"/>
      <c r="EL136" s="208"/>
      <c r="EM136" s="208"/>
      <c r="EN136" s="208"/>
      <c r="EO136" s="208"/>
      <c r="EP136" s="208"/>
      <c r="EQ136" s="208"/>
      <c r="ER136" s="208"/>
      <c r="ES136" s="208"/>
      <c r="ET136" s="208"/>
      <c r="EU136" s="208"/>
      <c r="EV136" s="208"/>
      <c r="EW136" s="208"/>
      <c r="EX136" s="208"/>
      <c r="EY136" s="208"/>
      <c r="EZ136" s="208">
        <v>0</v>
      </c>
      <c r="FA136" s="208">
        <v>0</v>
      </c>
      <c r="FB136" s="208">
        <v>0</v>
      </c>
      <c r="FC136" s="208"/>
      <c r="FD136" s="82"/>
      <c r="FE136" s="30"/>
    </row>
    <row r="137" spans="1:161" ht="15" hidden="1">
      <c r="A137" s="25" t="s">
        <v>523</v>
      </c>
      <c r="B137" s="212" t="s">
        <v>153</v>
      </c>
      <c r="C137" s="138"/>
      <c r="D137" s="221"/>
      <c r="E137" s="239">
        <v>970</v>
      </c>
      <c r="F137" s="95"/>
      <c r="G137" s="95"/>
      <c r="H137" s="147" t="s">
        <v>656</v>
      </c>
      <c r="I137" s="147"/>
      <c r="J137" s="135"/>
      <c r="K137" s="135"/>
      <c r="L137" s="139"/>
      <c r="M137" s="134"/>
      <c r="N137" s="134"/>
      <c r="O137" s="134"/>
      <c r="P137" s="134"/>
      <c r="Q137" s="134"/>
      <c r="R137" s="134"/>
      <c r="S137" s="139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3"/>
      <c r="BD137" s="83"/>
      <c r="BE137" s="83"/>
      <c r="BF137" s="83"/>
      <c r="BG137" s="82"/>
      <c r="BH137" s="81"/>
      <c r="BI137" s="80"/>
      <c r="BJ137" s="25"/>
      <c r="BK137" s="25"/>
      <c r="BL137" s="25"/>
      <c r="BM137" s="84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92"/>
      <c r="DG137" s="92"/>
      <c r="DH137" s="203"/>
      <c r="DI137" s="203"/>
      <c r="DJ137" s="203"/>
      <c r="DK137" s="203"/>
      <c r="DL137" s="203"/>
      <c r="DM137" s="203"/>
      <c r="DN137" s="203"/>
      <c r="DO137" s="203"/>
      <c r="DP137" s="208"/>
      <c r="DQ137" s="208"/>
      <c r="DR137" s="208"/>
      <c r="DS137" s="208"/>
      <c r="DT137" s="208"/>
      <c r="DU137" s="208"/>
      <c r="DV137" s="208"/>
      <c r="DW137" s="208"/>
      <c r="DX137" s="208"/>
      <c r="DY137" s="208"/>
      <c r="DZ137" s="208"/>
      <c r="EA137" s="208"/>
      <c r="EB137" s="208"/>
      <c r="EC137" s="208"/>
      <c r="ED137" s="208"/>
      <c r="EE137" s="208"/>
      <c r="EF137" s="208"/>
      <c r="EG137" s="208"/>
      <c r="EH137" s="208"/>
      <c r="EI137" s="208"/>
      <c r="EJ137" s="208"/>
      <c r="EK137" s="208"/>
      <c r="EL137" s="208"/>
      <c r="EM137" s="208"/>
      <c r="EN137" s="208"/>
      <c r="EO137" s="208"/>
      <c r="EP137" s="208"/>
      <c r="EQ137" s="208"/>
      <c r="ER137" s="208"/>
      <c r="ES137" s="208"/>
      <c r="ET137" s="208"/>
      <c r="EU137" s="208"/>
      <c r="EV137" s="208"/>
      <c r="EW137" s="208"/>
      <c r="EX137" s="208"/>
      <c r="EY137" s="208"/>
      <c r="EZ137" s="208">
        <v>0</v>
      </c>
      <c r="FA137" s="208">
        <v>0</v>
      </c>
      <c r="FB137" s="208">
        <v>0</v>
      </c>
      <c r="FC137" s="208"/>
      <c r="FD137" s="82"/>
      <c r="FE137" s="30"/>
    </row>
    <row r="138" spans="1:161" ht="15" hidden="1">
      <c r="A138" s="25" t="s">
        <v>572</v>
      </c>
      <c r="B138" s="212" t="s">
        <v>153</v>
      </c>
      <c r="C138" s="138"/>
      <c r="D138" s="221"/>
      <c r="E138" s="239">
        <v>770</v>
      </c>
      <c r="F138" s="95"/>
      <c r="G138" s="95"/>
      <c r="H138" s="147" t="s">
        <v>656</v>
      </c>
      <c r="I138" s="147"/>
      <c r="J138" s="135"/>
      <c r="K138" s="135"/>
      <c r="L138" s="139"/>
      <c r="M138" s="134"/>
      <c r="N138" s="134"/>
      <c r="O138" s="134"/>
      <c r="P138" s="134"/>
      <c r="Q138" s="134"/>
      <c r="R138" s="134"/>
      <c r="S138" s="139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3"/>
      <c r="BD138" s="83"/>
      <c r="BE138" s="83"/>
      <c r="BF138" s="83"/>
      <c r="BG138" s="82"/>
      <c r="BH138" s="81"/>
      <c r="BI138" s="80"/>
      <c r="BJ138" s="25"/>
      <c r="BK138" s="25"/>
      <c r="BL138" s="25"/>
      <c r="BM138" s="84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92"/>
      <c r="DG138" s="92"/>
      <c r="DH138" s="203"/>
      <c r="DI138" s="203"/>
      <c r="DJ138" s="203"/>
      <c r="DK138" s="203"/>
      <c r="DL138" s="203"/>
      <c r="DM138" s="203"/>
      <c r="DN138" s="203"/>
      <c r="DO138" s="203"/>
      <c r="DP138" s="208"/>
      <c r="DQ138" s="208"/>
      <c r="DR138" s="208"/>
      <c r="DS138" s="208"/>
      <c r="DT138" s="208"/>
      <c r="DU138" s="208"/>
      <c r="DV138" s="208"/>
      <c r="DW138" s="208"/>
      <c r="DX138" s="208"/>
      <c r="DY138" s="208"/>
      <c r="DZ138" s="208"/>
      <c r="EA138" s="208"/>
      <c r="EB138" s="208"/>
      <c r="EC138" s="208"/>
      <c r="ED138" s="208"/>
      <c r="EE138" s="208"/>
      <c r="EF138" s="208"/>
      <c r="EG138" s="208"/>
      <c r="EH138" s="208"/>
      <c r="EI138" s="208"/>
      <c r="EJ138" s="208"/>
      <c r="EK138" s="208"/>
      <c r="EL138" s="208"/>
      <c r="EM138" s="208"/>
      <c r="EN138" s="208"/>
      <c r="EO138" s="208"/>
      <c r="EP138" s="208"/>
      <c r="EQ138" s="208"/>
      <c r="ER138" s="208"/>
      <c r="ES138" s="208"/>
      <c r="ET138" s="208"/>
      <c r="EU138" s="208"/>
      <c r="EV138" s="208"/>
      <c r="EW138" s="208"/>
      <c r="EX138" s="208"/>
      <c r="EY138" s="208"/>
      <c r="EZ138" s="208">
        <v>0</v>
      </c>
      <c r="FA138" s="208">
        <v>0</v>
      </c>
      <c r="FB138" s="208">
        <v>0</v>
      </c>
      <c r="FC138" s="208"/>
      <c r="FD138" s="82"/>
      <c r="FE138" s="30"/>
    </row>
    <row r="139" spans="1:161" ht="15" hidden="1">
      <c r="A139" s="25" t="s">
        <v>528</v>
      </c>
      <c r="B139" s="212" t="s">
        <v>153</v>
      </c>
      <c r="C139" s="138"/>
      <c r="D139" s="221"/>
      <c r="E139" s="239">
        <v>970</v>
      </c>
      <c r="F139" s="95"/>
      <c r="G139" s="95"/>
      <c r="H139" s="147" t="s">
        <v>656</v>
      </c>
      <c r="I139" s="147"/>
      <c r="J139" s="135"/>
      <c r="K139" s="135"/>
      <c r="L139" s="139"/>
      <c r="M139" s="134"/>
      <c r="N139" s="134"/>
      <c r="O139" s="134"/>
      <c r="P139" s="134"/>
      <c r="Q139" s="134"/>
      <c r="R139" s="134"/>
      <c r="S139" s="139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3"/>
      <c r="BD139" s="83"/>
      <c r="BE139" s="83"/>
      <c r="BF139" s="83"/>
      <c r="BG139" s="82"/>
      <c r="BH139" s="81"/>
      <c r="BI139" s="80"/>
      <c r="BJ139" s="25"/>
      <c r="BK139" s="25"/>
      <c r="BL139" s="25"/>
      <c r="BM139" s="84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92"/>
      <c r="DG139" s="92"/>
      <c r="DH139" s="203"/>
      <c r="DI139" s="203"/>
      <c r="DJ139" s="203"/>
      <c r="DK139" s="203"/>
      <c r="DL139" s="203"/>
      <c r="DM139" s="203"/>
      <c r="DN139" s="203"/>
      <c r="DO139" s="203"/>
      <c r="DP139" s="208"/>
      <c r="DQ139" s="208"/>
      <c r="DR139" s="208"/>
      <c r="DS139" s="208"/>
      <c r="DT139" s="208"/>
      <c r="DU139" s="208"/>
      <c r="DV139" s="208"/>
      <c r="DW139" s="208"/>
      <c r="DX139" s="208"/>
      <c r="DY139" s="208"/>
      <c r="DZ139" s="208"/>
      <c r="EA139" s="208"/>
      <c r="EB139" s="208"/>
      <c r="EC139" s="208"/>
      <c r="ED139" s="208"/>
      <c r="EE139" s="208"/>
      <c r="EF139" s="208"/>
      <c r="EG139" s="208"/>
      <c r="EH139" s="208"/>
      <c r="EI139" s="208"/>
      <c r="EJ139" s="208"/>
      <c r="EK139" s="208"/>
      <c r="EL139" s="208"/>
      <c r="EM139" s="208"/>
      <c r="EN139" s="208"/>
      <c r="EO139" s="208"/>
      <c r="EP139" s="208"/>
      <c r="EQ139" s="208"/>
      <c r="ER139" s="208"/>
      <c r="ES139" s="208"/>
      <c r="ET139" s="208"/>
      <c r="EU139" s="208"/>
      <c r="EV139" s="208"/>
      <c r="EW139" s="208"/>
      <c r="EX139" s="208"/>
      <c r="EY139" s="208"/>
      <c r="EZ139" s="208">
        <v>0</v>
      </c>
      <c r="FA139" s="208">
        <v>0</v>
      </c>
      <c r="FB139" s="208">
        <v>0</v>
      </c>
      <c r="FC139" s="208"/>
      <c r="FD139" s="82"/>
      <c r="FE139" s="30"/>
    </row>
    <row r="140" spans="1:161" ht="15" hidden="1">
      <c r="A140" s="25" t="s">
        <v>575</v>
      </c>
      <c r="B140" s="212" t="s">
        <v>153</v>
      </c>
      <c r="C140" s="138"/>
      <c r="D140" s="221"/>
      <c r="E140" s="239">
        <v>770</v>
      </c>
      <c r="F140" s="95"/>
      <c r="G140" s="95"/>
      <c r="H140" s="147" t="s">
        <v>656</v>
      </c>
      <c r="I140" s="147"/>
      <c r="J140" s="135"/>
      <c r="K140" s="135"/>
      <c r="L140" s="139"/>
      <c r="M140" s="134"/>
      <c r="N140" s="134"/>
      <c r="O140" s="134"/>
      <c r="P140" s="134"/>
      <c r="Q140" s="134"/>
      <c r="R140" s="134"/>
      <c r="S140" s="139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3"/>
      <c r="BD140" s="83"/>
      <c r="BE140" s="83"/>
      <c r="BF140" s="83"/>
      <c r="BG140" s="82"/>
      <c r="BH140" s="81"/>
      <c r="BI140" s="80"/>
      <c r="BJ140" s="25"/>
      <c r="BK140" s="25"/>
      <c r="BL140" s="25"/>
      <c r="BM140" s="84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92"/>
      <c r="DG140" s="92"/>
      <c r="DH140" s="203"/>
      <c r="DI140" s="203"/>
      <c r="DJ140" s="203"/>
      <c r="DK140" s="203"/>
      <c r="DL140" s="203"/>
      <c r="DM140" s="203"/>
      <c r="DN140" s="203"/>
      <c r="DO140" s="203"/>
      <c r="DP140" s="208"/>
      <c r="DQ140" s="208"/>
      <c r="DR140" s="208"/>
      <c r="DS140" s="208"/>
      <c r="DT140" s="208"/>
      <c r="DU140" s="208"/>
      <c r="DV140" s="208"/>
      <c r="DW140" s="208"/>
      <c r="DX140" s="208"/>
      <c r="DY140" s="208"/>
      <c r="DZ140" s="208"/>
      <c r="EA140" s="208"/>
      <c r="EB140" s="208"/>
      <c r="EC140" s="208"/>
      <c r="ED140" s="208"/>
      <c r="EE140" s="208"/>
      <c r="EF140" s="208"/>
      <c r="EG140" s="208"/>
      <c r="EH140" s="208"/>
      <c r="EI140" s="208"/>
      <c r="EJ140" s="208"/>
      <c r="EK140" s="208"/>
      <c r="EL140" s="208"/>
      <c r="EM140" s="208"/>
      <c r="EN140" s="208"/>
      <c r="EO140" s="208"/>
      <c r="EP140" s="208"/>
      <c r="EQ140" s="208"/>
      <c r="ER140" s="208"/>
      <c r="ES140" s="208"/>
      <c r="ET140" s="208"/>
      <c r="EU140" s="208"/>
      <c r="EV140" s="208"/>
      <c r="EW140" s="208"/>
      <c r="EX140" s="208"/>
      <c r="EY140" s="208"/>
      <c r="EZ140" s="208">
        <v>0</v>
      </c>
      <c r="FA140" s="208">
        <v>0</v>
      </c>
      <c r="FB140" s="208">
        <v>0</v>
      </c>
      <c r="FC140" s="208"/>
      <c r="FD140" s="82"/>
      <c r="FE140" s="30"/>
    </row>
    <row r="141" spans="1:161" ht="15" hidden="1">
      <c r="A141" s="25" t="s">
        <v>529</v>
      </c>
      <c r="B141" s="212" t="s">
        <v>153</v>
      </c>
      <c r="C141" s="138"/>
      <c r="D141" s="221"/>
      <c r="E141" s="239">
        <v>970</v>
      </c>
      <c r="F141" s="95"/>
      <c r="G141" s="95"/>
      <c r="H141" s="147" t="s">
        <v>656</v>
      </c>
      <c r="I141" s="147"/>
      <c r="J141" s="135"/>
      <c r="K141" s="135"/>
      <c r="L141" s="139"/>
      <c r="M141" s="134"/>
      <c r="N141" s="134"/>
      <c r="O141" s="134"/>
      <c r="P141" s="134"/>
      <c r="Q141" s="134"/>
      <c r="R141" s="134"/>
      <c r="S141" s="139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3"/>
      <c r="BD141" s="83"/>
      <c r="BE141" s="83"/>
      <c r="BF141" s="83"/>
      <c r="BG141" s="82"/>
      <c r="BH141" s="81"/>
      <c r="BI141" s="80"/>
      <c r="BJ141" s="25"/>
      <c r="BK141" s="25"/>
      <c r="BL141" s="25"/>
      <c r="BM141" s="84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92"/>
      <c r="DG141" s="92"/>
      <c r="DH141" s="203"/>
      <c r="DI141" s="203"/>
      <c r="DJ141" s="203"/>
      <c r="DK141" s="203"/>
      <c r="DL141" s="203"/>
      <c r="DM141" s="203"/>
      <c r="DN141" s="203"/>
      <c r="DO141" s="203"/>
      <c r="DP141" s="208"/>
      <c r="DQ141" s="208"/>
      <c r="DR141" s="208"/>
      <c r="DS141" s="208"/>
      <c r="DT141" s="208"/>
      <c r="DU141" s="208"/>
      <c r="DV141" s="208"/>
      <c r="DW141" s="208"/>
      <c r="DX141" s="208"/>
      <c r="DY141" s="208"/>
      <c r="DZ141" s="208"/>
      <c r="EA141" s="208"/>
      <c r="EB141" s="208"/>
      <c r="EC141" s="208"/>
      <c r="ED141" s="208"/>
      <c r="EE141" s="208"/>
      <c r="EF141" s="208"/>
      <c r="EG141" s="208"/>
      <c r="EH141" s="208"/>
      <c r="EI141" s="208"/>
      <c r="EJ141" s="208"/>
      <c r="EK141" s="208"/>
      <c r="EL141" s="208"/>
      <c r="EM141" s="208"/>
      <c r="EN141" s="208"/>
      <c r="EO141" s="208"/>
      <c r="EP141" s="208"/>
      <c r="EQ141" s="208"/>
      <c r="ER141" s="208"/>
      <c r="ES141" s="208"/>
      <c r="ET141" s="208"/>
      <c r="EU141" s="208"/>
      <c r="EV141" s="208"/>
      <c r="EW141" s="208"/>
      <c r="EX141" s="208"/>
      <c r="EY141" s="208"/>
      <c r="EZ141" s="208">
        <v>0</v>
      </c>
      <c r="FA141" s="208">
        <v>0</v>
      </c>
      <c r="FB141" s="208">
        <v>0</v>
      </c>
      <c r="FC141" s="208"/>
      <c r="FD141" s="82"/>
      <c r="FE141" s="30"/>
    </row>
    <row r="142" spans="1:161" ht="15" hidden="1">
      <c r="A142" s="25" t="s">
        <v>185</v>
      </c>
      <c r="B142" s="212" t="s">
        <v>117</v>
      </c>
      <c r="C142" s="138"/>
      <c r="D142" s="221"/>
      <c r="E142" s="239">
        <v>1380</v>
      </c>
      <c r="F142" s="95"/>
      <c r="G142" s="95"/>
      <c r="H142" s="147" t="s">
        <v>656</v>
      </c>
      <c r="I142" s="147"/>
      <c r="J142" s="135"/>
      <c r="K142" s="135"/>
      <c r="L142" s="139"/>
      <c r="M142" s="134"/>
      <c r="N142" s="134"/>
      <c r="O142" s="134"/>
      <c r="P142" s="134"/>
      <c r="Q142" s="134"/>
      <c r="R142" s="134"/>
      <c r="S142" s="139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3"/>
      <c r="BD142" s="83"/>
      <c r="BE142" s="83"/>
      <c r="BF142" s="83"/>
      <c r="BG142" s="82"/>
      <c r="BH142" s="81"/>
      <c r="BI142" s="80"/>
      <c r="BJ142" s="25"/>
      <c r="BK142" s="25"/>
      <c r="BL142" s="25"/>
      <c r="BM142" s="84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92"/>
      <c r="DG142" s="92"/>
      <c r="DH142" s="203"/>
      <c r="DI142" s="203"/>
      <c r="DJ142" s="203"/>
      <c r="DK142" s="203"/>
      <c r="DL142" s="203"/>
      <c r="DM142" s="203"/>
      <c r="DN142" s="203"/>
      <c r="DO142" s="203"/>
      <c r="DP142" s="208"/>
      <c r="DQ142" s="208"/>
      <c r="DR142" s="208"/>
      <c r="DS142" s="208"/>
      <c r="DT142" s="208"/>
      <c r="DU142" s="208"/>
      <c r="DV142" s="208"/>
      <c r="DW142" s="208"/>
      <c r="DX142" s="208"/>
      <c r="DY142" s="208"/>
      <c r="DZ142" s="208"/>
      <c r="EA142" s="208"/>
      <c r="EB142" s="208"/>
      <c r="EC142" s="208"/>
      <c r="ED142" s="208"/>
      <c r="EE142" s="208"/>
      <c r="EF142" s="208"/>
      <c r="EG142" s="208"/>
      <c r="EH142" s="208"/>
      <c r="EI142" s="208"/>
      <c r="EJ142" s="208"/>
      <c r="EK142" s="208"/>
      <c r="EL142" s="208"/>
      <c r="EM142" s="208"/>
      <c r="EN142" s="208"/>
      <c r="EO142" s="208"/>
      <c r="EP142" s="208"/>
      <c r="EQ142" s="208"/>
      <c r="ER142" s="208"/>
      <c r="ES142" s="208"/>
      <c r="ET142" s="208"/>
      <c r="EU142" s="208"/>
      <c r="EV142" s="208"/>
      <c r="EW142" s="208"/>
      <c r="EX142" s="208"/>
      <c r="EY142" s="208"/>
      <c r="EZ142" s="208">
        <v>0</v>
      </c>
      <c r="FA142" s="208">
        <v>0</v>
      </c>
      <c r="FB142" s="208">
        <v>0</v>
      </c>
      <c r="FC142" s="208"/>
      <c r="FD142" s="82"/>
      <c r="FE142" s="30"/>
    </row>
    <row r="143" spans="1:161" ht="15" hidden="1">
      <c r="A143" s="25" t="s">
        <v>576</v>
      </c>
      <c r="B143" s="212" t="s">
        <v>153</v>
      </c>
      <c r="C143" s="138"/>
      <c r="D143" s="221"/>
      <c r="E143" s="239">
        <v>770</v>
      </c>
      <c r="F143" s="95"/>
      <c r="G143" s="95"/>
      <c r="H143" s="147" t="s">
        <v>656</v>
      </c>
      <c r="I143" s="147"/>
      <c r="J143" s="135"/>
      <c r="K143" s="135"/>
      <c r="L143" s="139"/>
      <c r="M143" s="134"/>
      <c r="N143" s="134"/>
      <c r="O143" s="134"/>
      <c r="P143" s="134"/>
      <c r="Q143" s="134"/>
      <c r="R143" s="134"/>
      <c r="S143" s="139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3"/>
      <c r="BD143" s="83"/>
      <c r="BE143" s="83"/>
      <c r="BF143" s="83"/>
      <c r="BG143" s="82"/>
      <c r="BH143" s="81"/>
      <c r="BI143" s="80"/>
      <c r="BJ143" s="25"/>
      <c r="BK143" s="25"/>
      <c r="BL143" s="25"/>
      <c r="BM143" s="84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92"/>
      <c r="DG143" s="92"/>
      <c r="DH143" s="203"/>
      <c r="DI143" s="203"/>
      <c r="DJ143" s="203"/>
      <c r="DK143" s="203"/>
      <c r="DL143" s="203"/>
      <c r="DM143" s="203"/>
      <c r="DN143" s="203"/>
      <c r="DO143" s="203"/>
      <c r="DP143" s="208"/>
      <c r="DQ143" s="208"/>
      <c r="DR143" s="208"/>
      <c r="DS143" s="208"/>
      <c r="DT143" s="208"/>
      <c r="DU143" s="208"/>
      <c r="DV143" s="208"/>
      <c r="DW143" s="208"/>
      <c r="DX143" s="208"/>
      <c r="DY143" s="208"/>
      <c r="DZ143" s="208"/>
      <c r="EA143" s="208"/>
      <c r="EB143" s="208"/>
      <c r="EC143" s="208"/>
      <c r="ED143" s="208"/>
      <c r="EE143" s="208"/>
      <c r="EF143" s="208"/>
      <c r="EG143" s="208"/>
      <c r="EH143" s="208"/>
      <c r="EI143" s="208"/>
      <c r="EJ143" s="208"/>
      <c r="EK143" s="208"/>
      <c r="EL143" s="208"/>
      <c r="EM143" s="208"/>
      <c r="EN143" s="208"/>
      <c r="EO143" s="208"/>
      <c r="EP143" s="208"/>
      <c r="EQ143" s="208"/>
      <c r="ER143" s="208"/>
      <c r="ES143" s="208"/>
      <c r="ET143" s="208"/>
      <c r="EU143" s="208"/>
      <c r="EV143" s="208"/>
      <c r="EW143" s="208"/>
      <c r="EX143" s="208"/>
      <c r="EY143" s="208"/>
      <c r="EZ143" s="208">
        <v>0</v>
      </c>
      <c r="FA143" s="208">
        <v>0</v>
      </c>
      <c r="FB143" s="208">
        <v>0</v>
      </c>
      <c r="FC143" s="208"/>
      <c r="FD143" s="82"/>
      <c r="FE143" s="30"/>
    </row>
    <row r="144" spans="1:161" ht="15" hidden="1">
      <c r="A144" s="25" t="s">
        <v>186</v>
      </c>
      <c r="B144" s="212" t="s">
        <v>117</v>
      </c>
      <c r="C144" s="138"/>
      <c r="D144" s="221"/>
      <c r="E144" s="239">
        <v>1380</v>
      </c>
      <c r="F144" s="95"/>
      <c r="G144" s="95"/>
      <c r="H144" s="147" t="s">
        <v>656</v>
      </c>
      <c r="I144" s="147"/>
      <c r="J144" s="135"/>
      <c r="K144" s="135"/>
      <c r="L144" s="139"/>
      <c r="M144" s="134"/>
      <c r="N144" s="134"/>
      <c r="O144" s="134"/>
      <c r="P144" s="134"/>
      <c r="Q144" s="134"/>
      <c r="R144" s="134"/>
      <c r="S144" s="139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3"/>
      <c r="BD144" s="83"/>
      <c r="BE144" s="83"/>
      <c r="BF144" s="83"/>
      <c r="BG144" s="82"/>
      <c r="BH144" s="81"/>
      <c r="BI144" s="80"/>
      <c r="BJ144" s="25"/>
      <c r="BK144" s="25"/>
      <c r="BL144" s="25"/>
      <c r="BM144" s="84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92"/>
      <c r="DG144" s="92"/>
      <c r="DH144" s="203"/>
      <c r="DI144" s="203"/>
      <c r="DJ144" s="203"/>
      <c r="DK144" s="203"/>
      <c r="DL144" s="203"/>
      <c r="DM144" s="203"/>
      <c r="DN144" s="203"/>
      <c r="DO144" s="203"/>
      <c r="DP144" s="208"/>
      <c r="DQ144" s="208"/>
      <c r="DR144" s="208"/>
      <c r="DS144" s="208"/>
      <c r="DT144" s="208"/>
      <c r="DU144" s="208"/>
      <c r="DV144" s="208"/>
      <c r="DW144" s="208"/>
      <c r="DX144" s="208"/>
      <c r="DY144" s="208"/>
      <c r="DZ144" s="208"/>
      <c r="EA144" s="208"/>
      <c r="EB144" s="208"/>
      <c r="EC144" s="208"/>
      <c r="ED144" s="208"/>
      <c r="EE144" s="208"/>
      <c r="EF144" s="208"/>
      <c r="EG144" s="208"/>
      <c r="EH144" s="208"/>
      <c r="EI144" s="208"/>
      <c r="EJ144" s="208"/>
      <c r="EK144" s="208"/>
      <c r="EL144" s="208"/>
      <c r="EM144" s="208"/>
      <c r="EN144" s="208"/>
      <c r="EO144" s="208"/>
      <c r="EP144" s="208"/>
      <c r="EQ144" s="208"/>
      <c r="ER144" s="208"/>
      <c r="ES144" s="208"/>
      <c r="ET144" s="208"/>
      <c r="EU144" s="208"/>
      <c r="EV144" s="208"/>
      <c r="EW144" s="208"/>
      <c r="EX144" s="208"/>
      <c r="EY144" s="208"/>
      <c r="EZ144" s="208">
        <v>0</v>
      </c>
      <c r="FA144" s="208">
        <v>0</v>
      </c>
      <c r="FB144" s="208">
        <v>0</v>
      </c>
      <c r="FC144" s="208"/>
      <c r="FD144" s="82"/>
      <c r="FE144" s="30"/>
    </row>
    <row r="145" spans="1:161" ht="15" hidden="1">
      <c r="A145" s="25" t="s">
        <v>119</v>
      </c>
      <c r="B145" s="224" t="s">
        <v>117</v>
      </c>
      <c r="C145" s="138"/>
      <c r="D145" s="221"/>
      <c r="E145" s="239">
        <v>1155</v>
      </c>
      <c r="F145" s="95"/>
      <c r="G145" s="95"/>
      <c r="H145" s="225" t="s">
        <v>656</v>
      </c>
      <c r="I145" s="147"/>
      <c r="J145" s="135"/>
      <c r="K145" s="135"/>
      <c r="L145" s="139"/>
      <c r="M145" s="134"/>
      <c r="N145" s="134"/>
      <c r="O145" s="134"/>
      <c r="P145" s="134"/>
      <c r="Q145" s="134"/>
      <c r="R145" s="134"/>
      <c r="S145" s="139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3"/>
      <c r="BD145" s="83"/>
      <c r="BE145" s="83"/>
      <c r="BF145" s="83"/>
      <c r="BG145" s="82"/>
      <c r="BH145" s="81"/>
      <c r="BI145" s="80"/>
      <c r="BJ145" s="25"/>
      <c r="BK145" s="25"/>
      <c r="BL145" s="25"/>
      <c r="BM145" s="84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92"/>
      <c r="DG145" s="92"/>
      <c r="DH145" s="203"/>
      <c r="DI145" s="203"/>
      <c r="DJ145" s="203"/>
      <c r="DK145" s="203"/>
      <c r="DL145" s="203"/>
      <c r="DM145" s="203"/>
      <c r="DN145" s="203"/>
      <c r="DO145" s="203"/>
      <c r="DP145" s="208"/>
      <c r="DQ145" s="208"/>
      <c r="DR145" s="208"/>
      <c r="DS145" s="208"/>
      <c r="DT145" s="208"/>
      <c r="DU145" s="208"/>
      <c r="DV145" s="208"/>
      <c r="DW145" s="208"/>
      <c r="DX145" s="208"/>
      <c r="DY145" s="208"/>
      <c r="DZ145" s="208"/>
      <c r="EA145" s="208"/>
      <c r="EB145" s="208"/>
      <c r="EC145" s="208"/>
      <c r="ED145" s="208"/>
      <c r="EE145" s="208"/>
      <c r="EF145" s="208"/>
      <c r="EG145" s="208"/>
      <c r="EH145" s="208"/>
      <c r="EI145" s="208"/>
      <c r="EJ145" s="208"/>
      <c r="EK145" s="208"/>
      <c r="EL145" s="208"/>
      <c r="EM145" s="208"/>
      <c r="EN145" s="208"/>
      <c r="EO145" s="208"/>
      <c r="EP145" s="208"/>
      <c r="EQ145" s="208"/>
      <c r="ER145" s="208"/>
      <c r="ES145" s="208"/>
      <c r="ET145" s="208"/>
      <c r="EU145" s="208"/>
      <c r="EV145" s="208"/>
      <c r="EW145" s="208"/>
      <c r="EX145" s="208"/>
      <c r="EY145" s="208"/>
      <c r="EZ145" s="208">
        <v>0</v>
      </c>
      <c r="FA145" s="208">
        <v>0</v>
      </c>
      <c r="FB145" s="208">
        <v>0</v>
      </c>
      <c r="FC145" s="208"/>
      <c r="FD145" s="82"/>
      <c r="FE145" s="30"/>
    </row>
    <row r="146" spans="1:161" ht="15" hidden="1">
      <c r="A146" s="25" t="s">
        <v>577</v>
      </c>
      <c r="B146" s="212" t="s">
        <v>153</v>
      </c>
      <c r="C146" s="138"/>
      <c r="D146" s="221"/>
      <c r="E146" s="239">
        <v>770</v>
      </c>
      <c r="F146" s="95"/>
      <c r="G146" s="95"/>
      <c r="H146" s="147" t="s">
        <v>656</v>
      </c>
      <c r="I146" s="147"/>
      <c r="J146" s="135"/>
      <c r="K146" s="135"/>
      <c r="L146" s="139"/>
      <c r="M146" s="134"/>
      <c r="N146" s="134"/>
      <c r="O146" s="134"/>
      <c r="P146" s="134"/>
      <c r="Q146" s="134"/>
      <c r="R146" s="134"/>
      <c r="S146" s="139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3"/>
      <c r="BD146" s="83"/>
      <c r="BE146" s="83"/>
      <c r="BF146" s="83"/>
      <c r="BG146" s="82"/>
      <c r="BH146" s="81"/>
      <c r="BI146" s="80"/>
      <c r="BJ146" s="25"/>
      <c r="BK146" s="25"/>
      <c r="BL146" s="25"/>
      <c r="BM146" s="84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92"/>
      <c r="DG146" s="92"/>
      <c r="DH146" s="203"/>
      <c r="DI146" s="203"/>
      <c r="DJ146" s="203"/>
      <c r="DK146" s="203"/>
      <c r="DL146" s="203"/>
      <c r="DM146" s="203"/>
      <c r="DN146" s="203"/>
      <c r="DO146" s="203"/>
      <c r="DP146" s="208"/>
      <c r="DQ146" s="208"/>
      <c r="DR146" s="208"/>
      <c r="DS146" s="208"/>
      <c r="DT146" s="208"/>
      <c r="DU146" s="208"/>
      <c r="DV146" s="208"/>
      <c r="DW146" s="208"/>
      <c r="DX146" s="208"/>
      <c r="DY146" s="208"/>
      <c r="DZ146" s="208"/>
      <c r="EA146" s="208"/>
      <c r="EB146" s="208"/>
      <c r="EC146" s="208"/>
      <c r="ED146" s="208"/>
      <c r="EE146" s="208"/>
      <c r="EF146" s="208"/>
      <c r="EG146" s="208"/>
      <c r="EH146" s="208"/>
      <c r="EI146" s="208"/>
      <c r="EJ146" s="208"/>
      <c r="EK146" s="208"/>
      <c r="EL146" s="208"/>
      <c r="EM146" s="208"/>
      <c r="EN146" s="208"/>
      <c r="EO146" s="208"/>
      <c r="EP146" s="208"/>
      <c r="EQ146" s="208"/>
      <c r="ER146" s="208"/>
      <c r="ES146" s="208"/>
      <c r="ET146" s="208"/>
      <c r="EU146" s="208"/>
      <c r="EV146" s="208"/>
      <c r="EW146" s="208"/>
      <c r="EX146" s="208"/>
      <c r="EY146" s="208"/>
      <c r="EZ146" s="208">
        <v>0</v>
      </c>
      <c r="FA146" s="208">
        <v>0</v>
      </c>
      <c r="FB146" s="208">
        <v>0</v>
      </c>
      <c r="FC146" s="208"/>
      <c r="FD146" s="82"/>
      <c r="FE146" s="30"/>
    </row>
    <row r="147" spans="1:161" ht="15" hidden="1">
      <c r="A147" s="25" t="s">
        <v>176</v>
      </c>
      <c r="B147" s="212" t="s">
        <v>117</v>
      </c>
      <c r="C147" s="138"/>
      <c r="D147" s="221"/>
      <c r="E147" s="239">
        <v>1155</v>
      </c>
      <c r="F147" s="95"/>
      <c r="G147" s="95"/>
      <c r="H147" s="147" t="s">
        <v>656</v>
      </c>
      <c r="I147" s="147"/>
      <c r="J147" s="135"/>
      <c r="K147" s="135"/>
      <c r="L147" s="139"/>
      <c r="M147" s="134"/>
      <c r="N147" s="134"/>
      <c r="O147" s="134"/>
      <c r="P147" s="134"/>
      <c r="Q147" s="134"/>
      <c r="R147" s="134"/>
      <c r="S147" s="139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3"/>
      <c r="BD147" s="83"/>
      <c r="BE147" s="83"/>
      <c r="BF147" s="83"/>
      <c r="BG147" s="82"/>
      <c r="BH147" s="81"/>
      <c r="BI147" s="80"/>
      <c r="BJ147" s="25"/>
      <c r="BK147" s="25"/>
      <c r="BL147" s="25"/>
      <c r="BM147" s="84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92"/>
      <c r="DG147" s="92"/>
      <c r="DH147" s="203"/>
      <c r="DI147" s="203"/>
      <c r="DJ147" s="203"/>
      <c r="DK147" s="203"/>
      <c r="DL147" s="203"/>
      <c r="DM147" s="203"/>
      <c r="DN147" s="203"/>
      <c r="DO147" s="203"/>
      <c r="DP147" s="208"/>
      <c r="DQ147" s="208"/>
      <c r="DR147" s="208"/>
      <c r="DS147" s="208"/>
      <c r="DT147" s="208"/>
      <c r="DU147" s="208"/>
      <c r="DV147" s="208"/>
      <c r="DW147" s="208"/>
      <c r="DX147" s="208"/>
      <c r="DY147" s="208"/>
      <c r="DZ147" s="208"/>
      <c r="EA147" s="208"/>
      <c r="EB147" s="208"/>
      <c r="EC147" s="208"/>
      <c r="ED147" s="208"/>
      <c r="EE147" s="208"/>
      <c r="EF147" s="208"/>
      <c r="EG147" s="208"/>
      <c r="EH147" s="208"/>
      <c r="EI147" s="208"/>
      <c r="EJ147" s="208"/>
      <c r="EK147" s="208"/>
      <c r="EL147" s="208"/>
      <c r="EM147" s="208"/>
      <c r="EN147" s="208"/>
      <c r="EO147" s="208"/>
      <c r="EP147" s="208"/>
      <c r="EQ147" s="208"/>
      <c r="ER147" s="208"/>
      <c r="ES147" s="208"/>
      <c r="ET147" s="208"/>
      <c r="EU147" s="208"/>
      <c r="EV147" s="208"/>
      <c r="EW147" s="208"/>
      <c r="EX147" s="208"/>
      <c r="EY147" s="208"/>
      <c r="EZ147" s="208">
        <v>0</v>
      </c>
      <c r="FA147" s="208">
        <v>0</v>
      </c>
      <c r="FB147" s="208">
        <v>0</v>
      </c>
      <c r="FC147" s="208"/>
      <c r="FD147" s="82"/>
      <c r="FE147" s="30"/>
    </row>
    <row r="148" spans="1:161" ht="15" hidden="1">
      <c r="A148" s="25" t="s">
        <v>530</v>
      </c>
      <c r="B148" s="212" t="s">
        <v>153</v>
      </c>
      <c r="C148" s="138"/>
      <c r="D148" s="221"/>
      <c r="E148" s="239">
        <v>970</v>
      </c>
      <c r="F148" s="95"/>
      <c r="G148" s="95"/>
      <c r="H148" s="147" t="s">
        <v>656</v>
      </c>
      <c r="I148" s="147"/>
      <c r="J148" s="135"/>
      <c r="K148" s="135"/>
      <c r="L148" s="139"/>
      <c r="M148" s="134"/>
      <c r="N148" s="134"/>
      <c r="O148" s="134"/>
      <c r="P148" s="134"/>
      <c r="Q148" s="134"/>
      <c r="R148" s="134"/>
      <c r="S148" s="139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3"/>
      <c r="BD148" s="83"/>
      <c r="BE148" s="83"/>
      <c r="BF148" s="83"/>
      <c r="BG148" s="82"/>
      <c r="BH148" s="81"/>
      <c r="BI148" s="80"/>
      <c r="BJ148" s="25"/>
      <c r="BK148" s="25"/>
      <c r="BL148" s="25"/>
      <c r="BM148" s="84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92"/>
      <c r="DG148" s="92"/>
      <c r="DH148" s="203"/>
      <c r="DI148" s="203"/>
      <c r="DJ148" s="203"/>
      <c r="DK148" s="203"/>
      <c r="DL148" s="203"/>
      <c r="DM148" s="203"/>
      <c r="DN148" s="203"/>
      <c r="DO148" s="203"/>
      <c r="DP148" s="208"/>
      <c r="DQ148" s="208"/>
      <c r="DR148" s="208"/>
      <c r="DS148" s="208"/>
      <c r="DT148" s="208"/>
      <c r="DU148" s="208"/>
      <c r="DV148" s="208"/>
      <c r="DW148" s="208"/>
      <c r="DX148" s="208"/>
      <c r="DY148" s="208"/>
      <c r="DZ148" s="208"/>
      <c r="EA148" s="208"/>
      <c r="EB148" s="208"/>
      <c r="EC148" s="208"/>
      <c r="ED148" s="208"/>
      <c r="EE148" s="208"/>
      <c r="EF148" s="208"/>
      <c r="EG148" s="208"/>
      <c r="EH148" s="208"/>
      <c r="EI148" s="208"/>
      <c r="EJ148" s="208"/>
      <c r="EK148" s="208"/>
      <c r="EL148" s="208"/>
      <c r="EM148" s="208"/>
      <c r="EN148" s="208"/>
      <c r="EO148" s="208"/>
      <c r="EP148" s="208"/>
      <c r="EQ148" s="208"/>
      <c r="ER148" s="208"/>
      <c r="ES148" s="208"/>
      <c r="ET148" s="208"/>
      <c r="EU148" s="208"/>
      <c r="EV148" s="208"/>
      <c r="EW148" s="208"/>
      <c r="EX148" s="208"/>
      <c r="EY148" s="208"/>
      <c r="EZ148" s="208">
        <v>0</v>
      </c>
      <c r="FA148" s="208">
        <v>0</v>
      </c>
      <c r="FB148" s="208">
        <v>0</v>
      </c>
      <c r="FC148" s="208"/>
      <c r="FD148" s="82"/>
      <c r="FE148" s="30"/>
    </row>
    <row r="149" spans="1:161" ht="15" hidden="1">
      <c r="A149" s="25" t="s">
        <v>177</v>
      </c>
      <c r="B149" s="212" t="s">
        <v>117</v>
      </c>
      <c r="C149" s="138"/>
      <c r="D149" s="221"/>
      <c r="E149" s="239">
        <v>1155</v>
      </c>
      <c r="F149" s="95"/>
      <c r="G149" s="95"/>
      <c r="H149" s="147" t="s">
        <v>656</v>
      </c>
      <c r="I149" s="147"/>
      <c r="J149" s="135"/>
      <c r="K149" s="135"/>
      <c r="L149" s="139"/>
      <c r="M149" s="134"/>
      <c r="N149" s="134"/>
      <c r="O149" s="134"/>
      <c r="P149" s="134"/>
      <c r="Q149" s="134"/>
      <c r="R149" s="134"/>
      <c r="S149" s="139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3"/>
      <c r="BD149" s="83"/>
      <c r="BE149" s="83"/>
      <c r="BF149" s="83"/>
      <c r="BG149" s="82"/>
      <c r="BH149" s="81"/>
      <c r="BI149" s="80"/>
      <c r="BJ149" s="25"/>
      <c r="BK149" s="25"/>
      <c r="BL149" s="25"/>
      <c r="BM149" s="84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92"/>
      <c r="DG149" s="92"/>
      <c r="DH149" s="203"/>
      <c r="DI149" s="203"/>
      <c r="DJ149" s="203"/>
      <c r="DK149" s="203"/>
      <c r="DL149" s="203"/>
      <c r="DM149" s="203"/>
      <c r="DN149" s="203"/>
      <c r="DO149" s="203"/>
      <c r="DP149" s="208"/>
      <c r="DQ149" s="208"/>
      <c r="DR149" s="208"/>
      <c r="DS149" s="208"/>
      <c r="DT149" s="208"/>
      <c r="DU149" s="208"/>
      <c r="DV149" s="208"/>
      <c r="DW149" s="208"/>
      <c r="DX149" s="208"/>
      <c r="DY149" s="208"/>
      <c r="DZ149" s="208"/>
      <c r="EA149" s="208"/>
      <c r="EB149" s="208"/>
      <c r="EC149" s="208"/>
      <c r="ED149" s="208"/>
      <c r="EE149" s="208"/>
      <c r="EF149" s="208"/>
      <c r="EG149" s="208"/>
      <c r="EH149" s="208"/>
      <c r="EI149" s="208"/>
      <c r="EJ149" s="208"/>
      <c r="EK149" s="208"/>
      <c r="EL149" s="208"/>
      <c r="EM149" s="208"/>
      <c r="EN149" s="208"/>
      <c r="EO149" s="208"/>
      <c r="EP149" s="208"/>
      <c r="EQ149" s="208"/>
      <c r="ER149" s="208"/>
      <c r="ES149" s="208"/>
      <c r="ET149" s="208"/>
      <c r="EU149" s="208"/>
      <c r="EV149" s="208"/>
      <c r="EW149" s="208"/>
      <c r="EX149" s="208"/>
      <c r="EY149" s="208"/>
      <c r="EZ149" s="208">
        <v>0</v>
      </c>
      <c r="FA149" s="208">
        <v>0</v>
      </c>
      <c r="FB149" s="208">
        <v>0</v>
      </c>
      <c r="FC149" s="208"/>
      <c r="FD149" s="82"/>
      <c r="FE149" s="30"/>
    </row>
    <row r="150" spans="1:161" ht="15" hidden="1">
      <c r="A150" s="25" t="s">
        <v>178</v>
      </c>
      <c r="B150" s="212" t="s">
        <v>117</v>
      </c>
      <c r="C150" s="138"/>
      <c r="D150" s="221"/>
      <c r="E150" s="239">
        <v>1155</v>
      </c>
      <c r="F150" s="95"/>
      <c r="G150" s="95"/>
      <c r="H150" s="147" t="s">
        <v>656</v>
      </c>
      <c r="I150" s="147"/>
      <c r="J150" s="135"/>
      <c r="K150" s="135"/>
      <c r="L150" s="139"/>
      <c r="M150" s="134"/>
      <c r="N150" s="134"/>
      <c r="O150" s="134"/>
      <c r="P150" s="134"/>
      <c r="Q150" s="134"/>
      <c r="R150" s="134"/>
      <c r="S150" s="139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3"/>
      <c r="BD150" s="83"/>
      <c r="BE150" s="83"/>
      <c r="BF150" s="83"/>
      <c r="BG150" s="82"/>
      <c r="BH150" s="81"/>
      <c r="BI150" s="80"/>
      <c r="BJ150" s="25"/>
      <c r="BK150" s="25"/>
      <c r="BL150" s="25"/>
      <c r="BM150" s="84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92"/>
      <c r="DG150" s="92"/>
      <c r="DH150" s="203"/>
      <c r="DI150" s="203"/>
      <c r="DJ150" s="203"/>
      <c r="DK150" s="203"/>
      <c r="DL150" s="203"/>
      <c r="DM150" s="203"/>
      <c r="DN150" s="203"/>
      <c r="DO150" s="203"/>
      <c r="DP150" s="208"/>
      <c r="DQ150" s="208"/>
      <c r="DR150" s="208"/>
      <c r="DS150" s="208"/>
      <c r="DT150" s="208"/>
      <c r="DU150" s="208"/>
      <c r="DV150" s="208"/>
      <c r="DW150" s="208"/>
      <c r="DX150" s="208"/>
      <c r="DY150" s="208"/>
      <c r="DZ150" s="208"/>
      <c r="EA150" s="208"/>
      <c r="EB150" s="208"/>
      <c r="EC150" s="208"/>
      <c r="ED150" s="208"/>
      <c r="EE150" s="208"/>
      <c r="EF150" s="208"/>
      <c r="EG150" s="208"/>
      <c r="EH150" s="208"/>
      <c r="EI150" s="208"/>
      <c r="EJ150" s="208"/>
      <c r="EK150" s="208"/>
      <c r="EL150" s="208"/>
      <c r="EM150" s="208"/>
      <c r="EN150" s="208"/>
      <c r="EO150" s="208"/>
      <c r="EP150" s="208"/>
      <c r="EQ150" s="208"/>
      <c r="ER150" s="208"/>
      <c r="ES150" s="208"/>
      <c r="ET150" s="208"/>
      <c r="EU150" s="208"/>
      <c r="EV150" s="208"/>
      <c r="EW150" s="208"/>
      <c r="EX150" s="208"/>
      <c r="EY150" s="208"/>
      <c r="EZ150" s="208">
        <v>0</v>
      </c>
      <c r="FA150" s="208">
        <v>0</v>
      </c>
      <c r="FB150" s="208">
        <v>0</v>
      </c>
      <c r="FC150" s="208"/>
      <c r="FD150" s="82"/>
      <c r="FE150" s="30"/>
    </row>
    <row r="151" spans="1:161" ht="15" hidden="1">
      <c r="A151" s="25" t="s">
        <v>579</v>
      </c>
      <c r="B151" s="212" t="s">
        <v>153</v>
      </c>
      <c r="C151" s="138"/>
      <c r="D151" s="221"/>
      <c r="E151" s="239">
        <v>770</v>
      </c>
      <c r="F151" s="95"/>
      <c r="G151" s="95"/>
      <c r="H151" s="147" t="s">
        <v>656</v>
      </c>
      <c r="I151" s="147"/>
      <c r="J151" s="135"/>
      <c r="K151" s="135"/>
      <c r="L151" s="139"/>
      <c r="M151" s="134"/>
      <c r="N151" s="134"/>
      <c r="O151" s="134"/>
      <c r="P151" s="134"/>
      <c r="Q151" s="134"/>
      <c r="R151" s="134"/>
      <c r="S151" s="139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3"/>
      <c r="BD151" s="83"/>
      <c r="BE151" s="83"/>
      <c r="BF151" s="83"/>
      <c r="BG151" s="82"/>
      <c r="BH151" s="81"/>
      <c r="BI151" s="80"/>
      <c r="BJ151" s="25"/>
      <c r="BK151" s="25"/>
      <c r="BL151" s="25"/>
      <c r="BM151" s="84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92"/>
      <c r="DG151" s="92"/>
      <c r="DH151" s="203"/>
      <c r="DI151" s="203"/>
      <c r="DJ151" s="203"/>
      <c r="DK151" s="203"/>
      <c r="DL151" s="203"/>
      <c r="DM151" s="203"/>
      <c r="DN151" s="203"/>
      <c r="DO151" s="203"/>
      <c r="DP151" s="208"/>
      <c r="DQ151" s="208"/>
      <c r="DR151" s="208"/>
      <c r="DS151" s="208"/>
      <c r="DT151" s="208"/>
      <c r="DU151" s="208"/>
      <c r="DV151" s="208"/>
      <c r="DW151" s="208"/>
      <c r="DX151" s="208"/>
      <c r="DY151" s="208"/>
      <c r="DZ151" s="208"/>
      <c r="EA151" s="208"/>
      <c r="EB151" s="208"/>
      <c r="EC151" s="208"/>
      <c r="ED151" s="208"/>
      <c r="EE151" s="208"/>
      <c r="EF151" s="208"/>
      <c r="EG151" s="208"/>
      <c r="EH151" s="208"/>
      <c r="EI151" s="208"/>
      <c r="EJ151" s="208"/>
      <c r="EK151" s="208"/>
      <c r="EL151" s="208"/>
      <c r="EM151" s="208"/>
      <c r="EN151" s="208"/>
      <c r="EO151" s="208"/>
      <c r="EP151" s="208"/>
      <c r="EQ151" s="208"/>
      <c r="ER151" s="208"/>
      <c r="ES151" s="208"/>
      <c r="ET151" s="208"/>
      <c r="EU151" s="208"/>
      <c r="EV151" s="208"/>
      <c r="EW151" s="208"/>
      <c r="EX151" s="208"/>
      <c r="EY151" s="208"/>
      <c r="EZ151" s="208">
        <v>0</v>
      </c>
      <c r="FA151" s="208">
        <v>0</v>
      </c>
      <c r="FB151" s="208">
        <v>0</v>
      </c>
      <c r="FC151" s="208"/>
      <c r="FD151" s="82"/>
      <c r="FE151" s="30"/>
    </row>
    <row r="152" spans="1:161" ht="15" hidden="1">
      <c r="A152" s="25" t="s">
        <v>187</v>
      </c>
      <c r="B152" s="212" t="s">
        <v>117</v>
      </c>
      <c r="C152" s="138"/>
      <c r="D152" s="221"/>
      <c r="E152" s="239">
        <v>1380</v>
      </c>
      <c r="F152" s="95"/>
      <c r="G152" s="95"/>
      <c r="H152" s="147" t="s">
        <v>656</v>
      </c>
      <c r="I152" s="147"/>
      <c r="J152" s="135"/>
      <c r="K152" s="135"/>
      <c r="L152" s="139"/>
      <c r="M152" s="134"/>
      <c r="N152" s="134"/>
      <c r="O152" s="134"/>
      <c r="P152" s="134"/>
      <c r="Q152" s="134"/>
      <c r="R152" s="134"/>
      <c r="S152" s="139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3"/>
      <c r="BD152" s="83"/>
      <c r="BE152" s="83"/>
      <c r="BF152" s="83"/>
      <c r="BG152" s="82"/>
      <c r="BH152" s="81"/>
      <c r="BI152" s="80"/>
      <c r="BJ152" s="25"/>
      <c r="BK152" s="25"/>
      <c r="BL152" s="25"/>
      <c r="BM152" s="84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92"/>
      <c r="DG152" s="92"/>
      <c r="DH152" s="203"/>
      <c r="DI152" s="203"/>
      <c r="DJ152" s="203"/>
      <c r="DK152" s="203"/>
      <c r="DL152" s="203"/>
      <c r="DM152" s="203"/>
      <c r="DN152" s="203"/>
      <c r="DO152" s="203"/>
      <c r="DP152" s="208"/>
      <c r="DQ152" s="208"/>
      <c r="DR152" s="208"/>
      <c r="DS152" s="208"/>
      <c r="DT152" s="208"/>
      <c r="DU152" s="208"/>
      <c r="DV152" s="208"/>
      <c r="DW152" s="208"/>
      <c r="DX152" s="208"/>
      <c r="DY152" s="208"/>
      <c r="DZ152" s="208"/>
      <c r="EA152" s="208"/>
      <c r="EB152" s="208"/>
      <c r="EC152" s="208"/>
      <c r="ED152" s="208"/>
      <c r="EE152" s="208"/>
      <c r="EF152" s="208"/>
      <c r="EG152" s="208"/>
      <c r="EH152" s="208"/>
      <c r="EI152" s="208"/>
      <c r="EJ152" s="208"/>
      <c r="EK152" s="208"/>
      <c r="EL152" s="208"/>
      <c r="EM152" s="208"/>
      <c r="EN152" s="208"/>
      <c r="EO152" s="208"/>
      <c r="EP152" s="208"/>
      <c r="EQ152" s="208"/>
      <c r="ER152" s="208"/>
      <c r="ES152" s="208"/>
      <c r="ET152" s="208"/>
      <c r="EU152" s="208"/>
      <c r="EV152" s="208"/>
      <c r="EW152" s="208"/>
      <c r="EX152" s="208"/>
      <c r="EY152" s="208"/>
      <c r="EZ152" s="208">
        <v>0</v>
      </c>
      <c r="FA152" s="208">
        <v>0</v>
      </c>
      <c r="FB152" s="208">
        <v>0</v>
      </c>
      <c r="FC152" s="208"/>
      <c r="FD152" s="82"/>
      <c r="FE152" s="30"/>
    </row>
    <row r="153" spans="1:161" ht="15" hidden="1">
      <c r="A153" s="25" t="s">
        <v>188</v>
      </c>
      <c r="B153" s="212" t="s">
        <v>117</v>
      </c>
      <c r="C153" s="138"/>
      <c r="D153" s="221"/>
      <c r="E153" s="239">
        <v>1380</v>
      </c>
      <c r="F153" s="95"/>
      <c r="G153" s="95"/>
      <c r="H153" s="147" t="s">
        <v>656</v>
      </c>
      <c r="I153" s="147"/>
      <c r="J153" s="135"/>
      <c r="K153" s="135"/>
      <c r="L153" s="139"/>
      <c r="M153" s="134"/>
      <c r="N153" s="134"/>
      <c r="O153" s="134"/>
      <c r="P153" s="134"/>
      <c r="Q153" s="134"/>
      <c r="R153" s="134"/>
      <c r="S153" s="139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3"/>
      <c r="BD153" s="83"/>
      <c r="BE153" s="83"/>
      <c r="BF153" s="83"/>
      <c r="BG153" s="82"/>
      <c r="BH153" s="81"/>
      <c r="BI153" s="80"/>
      <c r="BJ153" s="25"/>
      <c r="BK153" s="25"/>
      <c r="BL153" s="25"/>
      <c r="BM153" s="84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92"/>
      <c r="DG153" s="92"/>
      <c r="DH153" s="203"/>
      <c r="DI153" s="203"/>
      <c r="DJ153" s="203"/>
      <c r="DK153" s="203"/>
      <c r="DL153" s="203"/>
      <c r="DM153" s="203"/>
      <c r="DN153" s="203"/>
      <c r="DO153" s="203"/>
      <c r="DP153" s="208"/>
      <c r="DQ153" s="208"/>
      <c r="DR153" s="208"/>
      <c r="DS153" s="208"/>
      <c r="DT153" s="208"/>
      <c r="DU153" s="208"/>
      <c r="DV153" s="208"/>
      <c r="DW153" s="208"/>
      <c r="DX153" s="208"/>
      <c r="DY153" s="208"/>
      <c r="DZ153" s="208"/>
      <c r="EA153" s="208"/>
      <c r="EB153" s="208"/>
      <c r="EC153" s="208"/>
      <c r="ED153" s="208"/>
      <c r="EE153" s="208"/>
      <c r="EF153" s="208"/>
      <c r="EG153" s="208"/>
      <c r="EH153" s="208"/>
      <c r="EI153" s="208"/>
      <c r="EJ153" s="208"/>
      <c r="EK153" s="208"/>
      <c r="EL153" s="208"/>
      <c r="EM153" s="208"/>
      <c r="EN153" s="208"/>
      <c r="EO153" s="208"/>
      <c r="EP153" s="208"/>
      <c r="EQ153" s="208"/>
      <c r="ER153" s="208"/>
      <c r="ES153" s="208"/>
      <c r="ET153" s="208"/>
      <c r="EU153" s="208"/>
      <c r="EV153" s="208"/>
      <c r="EW153" s="208"/>
      <c r="EX153" s="208"/>
      <c r="EY153" s="208"/>
      <c r="EZ153" s="208">
        <v>0</v>
      </c>
      <c r="FA153" s="208">
        <v>0</v>
      </c>
      <c r="FB153" s="208">
        <v>0</v>
      </c>
      <c r="FC153" s="208"/>
      <c r="FD153" s="82"/>
      <c r="FE153" s="30"/>
    </row>
    <row r="154" spans="1:161" ht="15" hidden="1">
      <c r="A154" s="25" t="s">
        <v>580</v>
      </c>
      <c r="B154" s="212" t="s">
        <v>153</v>
      </c>
      <c r="C154" s="138"/>
      <c r="D154" s="221"/>
      <c r="E154" s="239">
        <v>770</v>
      </c>
      <c r="F154" s="95"/>
      <c r="G154" s="95"/>
      <c r="H154" s="147" t="s">
        <v>656</v>
      </c>
      <c r="I154" s="147"/>
      <c r="J154" s="135"/>
      <c r="K154" s="135"/>
      <c r="L154" s="139"/>
      <c r="M154" s="134"/>
      <c r="N154" s="134"/>
      <c r="O154" s="134"/>
      <c r="P154" s="134"/>
      <c r="Q154" s="134"/>
      <c r="R154" s="134"/>
      <c r="S154" s="139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3"/>
      <c r="BD154" s="83"/>
      <c r="BE154" s="83"/>
      <c r="BF154" s="83"/>
      <c r="BG154" s="82"/>
      <c r="BH154" s="81"/>
      <c r="BI154" s="80"/>
      <c r="BJ154" s="25"/>
      <c r="BK154" s="25"/>
      <c r="BL154" s="25"/>
      <c r="BM154" s="84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92"/>
      <c r="DG154" s="92"/>
      <c r="DH154" s="203"/>
      <c r="DI154" s="203"/>
      <c r="DJ154" s="203"/>
      <c r="DK154" s="203"/>
      <c r="DL154" s="203"/>
      <c r="DM154" s="203"/>
      <c r="DN154" s="203"/>
      <c r="DO154" s="203"/>
      <c r="DP154" s="208"/>
      <c r="DQ154" s="208"/>
      <c r="DR154" s="208"/>
      <c r="DS154" s="208"/>
      <c r="DT154" s="208"/>
      <c r="DU154" s="208"/>
      <c r="DV154" s="208"/>
      <c r="DW154" s="208"/>
      <c r="DX154" s="208"/>
      <c r="DY154" s="208"/>
      <c r="DZ154" s="208"/>
      <c r="EA154" s="208"/>
      <c r="EB154" s="208"/>
      <c r="EC154" s="208"/>
      <c r="ED154" s="208"/>
      <c r="EE154" s="208"/>
      <c r="EF154" s="208"/>
      <c r="EG154" s="208"/>
      <c r="EH154" s="208"/>
      <c r="EI154" s="208"/>
      <c r="EJ154" s="208"/>
      <c r="EK154" s="208"/>
      <c r="EL154" s="208"/>
      <c r="EM154" s="208"/>
      <c r="EN154" s="208"/>
      <c r="EO154" s="208"/>
      <c r="EP154" s="208"/>
      <c r="EQ154" s="208"/>
      <c r="ER154" s="208"/>
      <c r="ES154" s="208"/>
      <c r="ET154" s="208"/>
      <c r="EU154" s="208"/>
      <c r="EV154" s="208"/>
      <c r="EW154" s="208"/>
      <c r="EX154" s="208"/>
      <c r="EY154" s="208"/>
      <c r="EZ154" s="208">
        <v>0</v>
      </c>
      <c r="FA154" s="208">
        <v>0</v>
      </c>
      <c r="FB154" s="208">
        <v>0</v>
      </c>
      <c r="FC154" s="208"/>
      <c r="FD154" s="82"/>
      <c r="FE154" s="30"/>
    </row>
    <row r="155" spans="1:161" ht="15" hidden="1">
      <c r="A155" s="25" t="s">
        <v>189</v>
      </c>
      <c r="B155" s="212" t="s">
        <v>117</v>
      </c>
      <c r="C155" s="138"/>
      <c r="D155" s="221"/>
      <c r="E155" s="239">
        <v>1380</v>
      </c>
      <c r="F155" s="95"/>
      <c r="G155" s="95"/>
      <c r="H155" s="147" t="s">
        <v>656</v>
      </c>
      <c r="I155" s="147"/>
      <c r="J155" s="135"/>
      <c r="K155" s="135"/>
      <c r="L155" s="139"/>
      <c r="M155" s="134"/>
      <c r="N155" s="134"/>
      <c r="O155" s="134"/>
      <c r="P155" s="134"/>
      <c r="Q155" s="134"/>
      <c r="R155" s="134"/>
      <c r="S155" s="139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3"/>
      <c r="BD155" s="83"/>
      <c r="BE155" s="83"/>
      <c r="BF155" s="83"/>
      <c r="BG155" s="82"/>
      <c r="BH155" s="81"/>
      <c r="BI155" s="80"/>
      <c r="BJ155" s="25"/>
      <c r="BK155" s="25"/>
      <c r="BL155" s="25"/>
      <c r="BM155" s="84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92"/>
      <c r="DG155" s="92"/>
      <c r="DH155" s="203"/>
      <c r="DI155" s="203"/>
      <c r="DJ155" s="203"/>
      <c r="DK155" s="203"/>
      <c r="DL155" s="203"/>
      <c r="DM155" s="203"/>
      <c r="DN155" s="203"/>
      <c r="DO155" s="203"/>
      <c r="DP155" s="208"/>
      <c r="DQ155" s="208"/>
      <c r="DR155" s="208"/>
      <c r="DS155" s="208"/>
      <c r="DT155" s="208"/>
      <c r="DU155" s="208"/>
      <c r="DV155" s="208"/>
      <c r="DW155" s="208"/>
      <c r="DX155" s="208"/>
      <c r="DY155" s="208"/>
      <c r="DZ155" s="208"/>
      <c r="EA155" s="208"/>
      <c r="EB155" s="208"/>
      <c r="EC155" s="208"/>
      <c r="ED155" s="208"/>
      <c r="EE155" s="208"/>
      <c r="EF155" s="208"/>
      <c r="EG155" s="208"/>
      <c r="EH155" s="208"/>
      <c r="EI155" s="208"/>
      <c r="EJ155" s="208"/>
      <c r="EK155" s="208"/>
      <c r="EL155" s="208"/>
      <c r="EM155" s="208"/>
      <c r="EN155" s="208"/>
      <c r="EO155" s="208"/>
      <c r="EP155" s="208"/>
      <c r="EQ155" s="208"/>
      <c r="ER155" s="208"/>
      <c r="ES155" s="208"/>
      <c r="ET155" s="208"/>
      <c r="EU155" s="208"/>
      <c r="EV155" s="208"/>
      <c r="EW155" s="208"/>
      <c r="EX155" s="208"/>
      <c r="EY155" s="208"/>
      <c r="EZ155" s="208">
        <v>0</v>
      </c>
      <c r="FA155" s="208">
        <v>0</v>
      </c>
      <c r="FB155" s="208">
        <v>0</v>
      </c>
      <c r="FC155" s="208"/>
      <c r="FD155" s="82"/>
      <c r="FE155" s="30"/>
    </row>
    <row r="156" spans="1:161" ht="15" hidden="1">
      <c r="A156" s="25" t="s">
        <v>581</v>
      </c>
      <c r="B156" s="212" t="s">
        <v>153</v>
      </c>
      <c r="C156" s="138"/>
      <c r="D156" s="221"/>
      <c r="E156" s="239">
        <v>770</v>
      </c>
      <c r="F156" s="95"/>
      <c r="G156" s="95"/>
      <c r="H156" s="147" t="s">
        <v>656</v>
      </c>
      <c r="I156" s="147"/>
      <c r="J156" s="135"/>
      <c r="K156" s="135"/>
      <c r="L156" s="139"/>
      <c r="M156" s="134"/>
      <c r="N156" s="134"/>
      <c r="O156" s="134"/>
      <c r="P156" s="134"/>
      <c r="Q156" s="134"/>
      <c r="R156" s="134"/>
      <c r="S156" s="139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3"/>
      <c r="BD156" s="83"/>
      <c r="BE156" s="83"/>
      <c r="BF156" s="83"/>
      <c r="BG156" s="82"/>
      <c r="BH156" s="81"/>
      <c r="BI156" s="80"/>
      <c r="BJ156" s="25"/>
      <c r="BK156" s="25"/>
      <c r="BL156" s="25"/>
      <c r="BM156" s="84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92"/>
      <c r="DG156" s="92"/>
      <c r="DH156" s="203"/>
      <c r="DI156" s="203"/>
      <c r="DJ156" s="203"/>
      <c r="DK156" s="203"/>
      <c r="DL156" s="203"/>
      <c r="DM156" s="203"/>
      <c r="DN156" s="203"/>
      <c r="DO156" s="203"/>
      <c r="DP156" s="208"/>
      <c r="DQ156" s="208"/>
      <c r="DR156" s="208"/>
      <c r="DS156" s="208"/>
      <c r="DT156" s="208"/>
      <c r="DU156" s="208"/>
      <c r="DV156" s="208"/>
      <c r="DW156" s="208"/>
      <c r="DX156" s="208"/>
      <c r="DY156" s="208"/>
      <c r="DZ156" s="208"/>
      <c r="EA156" s="208"/>
      <c r="EB156" s="208"/>
      <c r="EC156" s="208"/>
      <c r="ED156" s="208"/>
      <c r="EE156" s="208"/>
      <c r="EF156" s="208"/>
      <c r="EG156" s="208"/>
      <c r="EH156" s="208"/>
      <c r="EI156" s="208"/>
      <c r="EJ156" s="208"/>
      <c r="EK156" s="208"/>
      <c r="EL156" s="208"/>
      <c r="EM156" s="208"/>
      <c r="EN156" s="208"/>
      <c r="EO156" s="208"/>
      <c r="EP156" s="208"/>
      <c r="EQ156" s="208"/>
      <c r="ER156" s="208"/>
      <c r="ES156" s="208"/>
      <c r="ET156" s="208"/>
      <c r="EU156" s="208"/>
      <c r="EV156" s="208"/>
      <c r="EW156" s="208"/>
      <c r="EX156" s="208"/>
      <c r="EY156" s="208"/>
      <c r="EZ156" s="208">
        <v>0</v>
      </c>
      <c r="FA156" s="208">
        <v>0</v>
      </c>
      <c r="FB156" s="208">
        <v>0</v>
      </c>
      <c r="FC156" s="208"/>
      <c r="FD156" s="82"/>
      <c r="FE156" s="30"/>
    </row>
    <row r="157" spans="1:161" ht="15" hidden="1">
      <c r="A157" s="25" t="s">
        <v>582</v>
      </c>
      <c r="B157" s="212" t="s">
        <v>153</v>
      </c>
      <c r="C157" s="138"/>
      <c r="D157" s="221"/>
      <c r="E157" s="239">
        <v>770</v>
      </c>
      <c r="F157" s="95"/>
      <c r="G157" s="95"/>
      <c r="H157" s="147" t="s">
        <v>656</v>
      </c>
      <c r="I157" s="147"/>
      <c r="J157" s="135"/>
      <c r="K157" s="135"/>
      <c r="L157" s="139"/>
      <c r="M157" s="134"/>
      <c r="N157" s="134"/>
      <c r="O157" s="134"/>
      <c r="P157" s="134"/>
      <c r="Q157" s="134"/>
      <c r="R157" s="134"/>
      <c r="S157" s="139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3"/>
      <c r="BD157" s="83"/>
      <c r="BE157" s="83"/>
      <c r="BF157" s="83"/>
      <c r="BG157" s="82"/>
      <c r="BH157" s="81"/>
      <c r="BI157" s="80"/>
      <c r="BJ157" s="25"/>
      <c r="BK157" s="25"/>
      <c r="BL157" s="25"/>
      <c r="BM157" s="84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92"/>
      <c r="DG157" s="92"/>
      <c r="DH157" s="203"/>
      <c r="DI157" s="203"/>
      <c r="DJ157" s="203"/>
      <c r="DK157" s="203"/>
      <c r="DL157" s="203"/>
      <c r="DM157" s="203"/>
      <c r="DN157" s="203"/>
      <c r="DO157" s="203"/>
      <c r="DP157" s="208"/>
      <c r="DQ157" s="208"/>
      <c r="DR157" s="208"/>
      <c r="DS157" s="208"/>
      <c r="DT157" s="208"/>
      <c r="DU157" s="208"/>
      <c r="DV157" s="208"/>
      <c r="DW157" s="208"/>
      <c r="DX157" s="208"/>
      <c r="DY157" s="208"/>
      <c r="DZ157" s="208"/>
      <c r="EA157" s="208"/>
      <c r="EB157" s="208"/>
      <c r="EC157" s="208"/>
      <c r="ED157" s="208"/>
      <c r="EE157" s="208"/>
      <c r="EF157" s="208"/>
      <c r="EG157" s="208"/>
      <c r="EH157" s="208"/>
      <c r="EI157" s="208"/>
      <c r="EJ157" s="208"/>
      <c r="EK157" s="208"/>
      <c r="EL157" s="208"/>
      <c r="EM157" s="208"/>
      <c r="EN157" s="208"/>
      <c r="EO157" s="208"/>
      <c r="EP157" s="208"/>
      <c r="EQ157" s="208"/>
      <c r="ER157" s="208"/>
      <c r="ES157" s="208"/>
      <c r="ET157" s="208"/>
      <c r="EU157" s="208"/>
      <c r="EV157" s="208"/>
      <c r="EW157" s="208"/>
      <c r="EX157" s="208"/>
      <c r="EY157" s="208"/>
      <c r="EZ157" s="208">
        <v>0</v>
      </c>
      <c r="FA157" s="208">
        <v>0</v>
      </c>
      <c r="FB157" s="208">
        <v>0</v>
      </c>
      <c r="FC157" s="208"/>
      <c r="FD157" s="82"/>
      <c r="FE157" s="30"/>
    </row>
    <row r="158" spans="1:161" ht="15" hidden="1">
      <c r="A158" s="25" t="s">
        <v>595</v>
      </c>
      <c r="B158" s="212" t="s">
        <v>164</v>
      </c>
      <c r="C158" s="138"/>
      <c r="D158" s="221"/>
      <c r="E158" s="239">
        <v>1585</v>
      </c>
      <c r="F158" s="95"/>
      <c r="G158" s="95"/>
      <c r="H158" s="147" t="s">
        <v>656</v>
      </c>
      <c r="I158" s="147"/>
      <c r="J158" s="135"/>
      <c r="K158" s="135"/>
      <c r="L158" s="139"/>
      <c r="M158" s="134"/>
      <c r="N158" s="134"/>
      <c r="O158" s="134"/>
      <c r="P158" s="134"/>
      <c r="Q158" s="134"/>
      <c r="R158" s="134"/>
      <c r="S158" s="139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3"/>
      <c r="BD158" s="83"/>
      <c r="BE158" s="83"/>
      <c r="BF158" s="83"/>
      <c r="BG158" s="82"/>
      <c r="BH158" s="81"/>
      <c r="BI158" s="80"/>
      <c r="BJ158" s="25"/>
      <c r="BK158" s="25"/>
      <c r="BL158" s="25"/>
      <c r="BM158" s="84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92"/>
      <c r="DG158" s="92"/>
      <c r="DH158" s="203"/>
      <c r="DI158" s="203"/>
      <c r="DJ158" s="203"/>
      <c r="DK158" s="203"/>
      <c r="DL158" s="203"/>
      <c r="DM158" s="203"/>
      <c r="DN158" s="203"/>
      <c r="DO158" s="203"/>
      <c r="DP158" s="208"/>
      <c r="DQ158" s="208"/>
      <c r="DR158" s="208"/>
      <c r="DS158" s="208"/>
      <c r="DT158" s="208"/>
      <c r="DU158" s="208"/>
      <c r="DV158" s="208"/>
      <c r="DW158" s="208"/>
      <c r="DX158" s="208"/>
      <c r="DY158" s="208"/>
      <c r="DZ158" s="208"/>
      <c r="EA158" s="208"/>
      <c r="EB158" s="208"/>
      <c r="EC158" s="208"/>
      <c r="ED158" s="208"/>
      <c r="EE158" s="208"/>
      <c r="EF158" s="208"/>
      <c r="EG158" s="208"/>
      <c r="EH158" s="208"/>
      <c r="EI158" s="208"/>
      <c r="EJ158" s="208"/>
      <c r="EK158" s="208"/>
      <c r="EL158" s="208"/>
      <c r="EM158" s="208"/>
      <c r="EN158" s="208"/>
      <c r="EO158" s="208"/>
      <c r="EP158" s="208"/>
      <c r="EQ158" s="208"/>
      <c r="ER158" s="208"/>
      <c r="ES158" s="208"/>
      <c r="ET158" s="208"/>
      <c r="EU158" s="208"/>
      <c r="EV158" s="208"/>
      <c r="EW158" s="208"/>
      <c r="EX158" s="208"/>
      <c r="EY158" s="208"/>
      <c r="EZ158" s="208">
        <v>0</v>
      </c>
      <c r="FA158" s="208">
        <v>0</v>
      </c>
      <c r="FB158" s="208">
        <v>0</v>
      </c>
      <c r="FC158" s="208"/>
      <c r="FD158" s="82"/>
      <c r="FE158" s="30"/>
    </row>
    <row r="159" spans="1:161" ht="15" hidden="1">
      <c r="A159" s="25" t="s">
        <v>597</v>
      </c>
      <c r="B159" s="212" t="s">
        <v>164</v>
      </c>
      <c r="C159" s="138"/>
      <c r="D159" s="221"/>
      <c r="E159" s="239">
        <v>1585</v>
      </c>
      <c r="F159" s="95"/>
      <c r="G159" s="95"/>
      <c r="H159" s="147" t="s">
        <v>656</v>
      </c>
      <c r="I159" s="147"/>
      <c r="J159" s="135"/>
      <c r="K159" s="135"/>
      <c r="L159" s="139"/>
      <c r="M159" s="134"/>
      <c r="N159" s="134"/>
      <c r="O159" s="134"/>
      <c r="P159" s="134"/>
      <c r="Q159" s="134"/>
      <c r="R159" s="134"/>
      <c r="S159" s="139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3"/>
      <c r="BD159" s="83"/>
      <c r="BE159" s="83"/>
      <c r="BF159" s="83"/>
      <c r="BG159" s="82"/>
      <c r="BH159" s="81"/>
      <c r="BI159" s="80"/>
      <c r="BJ159" s="25"/>
      <c r="BK159" s="25"/>
      <c r="BL159" s="25"/>
      <c r="BM159" s="84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92"/>
      <c r="DG159" s="92"/>
      <c r="DH159" s="203"/>
      <c r="DI159" s="203"/>
      <c r="DJ159" s="203"/>
      <c r="DK159" s="203"/>
      <c r="DL159" s="203"/>
      <c r="DM159" s="203"/>
      <c r="DN159" s="203"/>
      <c r="DO159" s="203"/>
      <c r="DP159" s="208"/>
      <c r="DQ159" s="208"/>
      <c r="DR159" s="208"/>
      <c r="DS159" s="208"/>
      <c r="DT159" s="208"/>
      <c r="DU159" s="208"/>
      <c r="DV159" s="208"/>
      <c r="DW159" s="208"/>
      <c r="DX159" s="208"/>
      <c r="DY159" s="208"/>
      <c r="DZ159" s="208"/>
      <c r="EA159" s="208"/>
      <c r="EB159" s="208"/>
      <c r="EC159" s="208"/>
      <c r="ED159" s="208"/>
      <c r="EE159" s="208"/>
      <c r="EF159" s="208"/>
      <c r="EG159" s="208"/>
      <c r="EH159" s="208"/>
      <c r="EI159" s="208"/>
      <c r="EJ159" s="208"/>
      <c r="EK159" s="208"/>
      <c r="EL159" s="208"/>
      <c r="EM159" s="208"/>
      <c r="EN159" s="208"/>
      <c r="EO159" s="208"/>
      <c r="EP159" s="208"/>
      <c r="EQ159" s="208"/>
      <c r="ER159" s="208"/>
      <c r="ES159" s="208"/>
      <c r="ET159" s="208"/>
      <c r="EU159" s="208"/>
      <c r="EV159" s="208"/>
      <c r="EW159" s="208"/>
      <c r="EX159" s="208"/>
      <c r="EY159" s="208"/>
      <c r="EZ159" s="208">
        <v>0</v>
      </c>
      <c r="FA159" s="208">
        <v>0</v>
      </c>
      <c r="FB159" s="208">
        <v>0</v>
      </c>
      <c r="FC159" s="208"/>
      <c r="FD159" s="82"/>
      <c r="FE159" s="30"/>
    </row>
    <row r="160" spans="1:161" ht="15" hidden="1">
      <c r="A160" s="25" t="s">
        <v>598</v>
      </c>
      <c r="B160" s="212" t="s">
        <v>164</v>
      </c>
      <c r="C160" s="138"/>
      <c r="D160" s="221"/>
      <c r="E160" s="239">
        <v>1585</v>
      </c>
      <c r="F160" s="95"/>
      <c r="G160" s="95"/>
      <c r="H160" s="147" t="s">
        <v>656</v>
      </c>
      <c r="I160" s="147"/>
      <c r="J160" s="135"/>
      <c r="K160" s="135"/>
      <c r="L160" s="139"/>
      <c r="M160" s="134"/>
      <c r="N160" s="134"/>
      <c r="O160" s="134"/>
      <c r="P160" s="134"/>
      <c r="Q160" s="134"/>
      <c r="R160" s="134"/>
      <c r="S160" s="139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3"/>
      <c r="BD160" s="83"/>
      <c r="BE160" s="83"/>
      <c r="BF160" s="83"/>
      <c r="BG160" s="82"/>
      <c r="BH160" s="81"/>
      <c r="BI160" s="80"/>
      <c r="BJ160" s="25"/>
      <c r="BK160" s="25"/>
      <c r="BL160" s="25"/>
      <c r="BM160" s="84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92"/>
      <c r="DG160" s="92"/>
      <c r="DH160" s="203"/>
      <c r="DI160" s="203"/>
      <c r="DJ160" s="203"/>
      <c r="DK160" s="203"/>
      <c r="DL160" s="203"/>
      <c r="DM160" s="203"/>
      <c r="DN160" s="203"/>
      <c r="DO160" s="203"/>
      <c r="DP160" s="208"/>
      <c r="DQ160" s="208"/>
      <c r="DR160" s="208"/>
      <c r="DS160" s="208"/>
      <c r="DT160" s="208"/>
      <c r="DU160" s="208"/>
      <c r="DV160" s="208"/>
      <c r="DW160" s="208"/>
      <c r="DX160" s="208"/>
      <c r="DY160" s="208"/>
      <c r="DZ160" s="208"/>
      <c r="EA160" s="208"/>
      <c r="EB160" s="208"/>
      <c r="EC160" s="208"/>
      <c r="ED160" s="208"/>
      <c r="EE160" s="208"/>
      <c r="EF160" s="208"/>
      <c r="EG160" s="208"/>
      <c r="EH160" s="208"/>
      <c r="EI160" s="208"/>
      <c r="EJ160" s="208"/>
      <c r="EK160" s="208"/>
      <c r="EL160" s="208"/>
      <c r="EM160" s="208"/>
      <c r="EN160" s="208"/>
      <c r="EO160" s="208"/>
      <c r="EP160" s="208"/>
      <c r="EQ160" s="208"/>
      <c r="ER160" s="208"/>
      <c r="ES160" s="208"/>
      <c r="ET160" s="208"/>
      <c r="EU160" s="208"/>
      <c r="EV160" s="208"/>
      <c r="EW160" s="208"/>
      <c r="EX160" s="208"/>
      <c r="EY160" s="208"/>
      <c r="EZ160" s="208">
        <v>0</v>
      </c>
      <c r="FA160" s="208">
        <v>0</v>
      </c>
      <c r="FB160" s="208">
        <v>0</v>
      </c>
      <c r="FC160" s="208"/>
      <c r="FD160" s="82"/>
      <c r="FE160" s="30"/>
    </row>
    <row r="161" spans="1:161" ht="15" hidden="1">
      <c r="A161" s="25" t="s">
        <v>601</v>
      </c>
      <c r="B161" s="212" t="s">
        <v>164</v>
      </c>
      <c r="C161" s="138"/>
      <c r="D161" s="221"/>
      <c r="E161" s="239">
        <v>1585</v>
      </c>
      <c r="F161" s="95"/>
      <c r="G161" s="95"/>
      <c r="H161" s="147" t="s">
        <v>656</v>
      </c>
      <c r="I161" s="147"/>
      <c r="J161" s="135"/>
      <c r="K161" s="135"/>
      <c r="L161" s="139"/>
      <c r="M161" s="134"/>
      <c r="N161" s="134"/>
      <c r="O161" s="134"/>
      <c r="P161" s="134"/>
      <c r="Q161" s="134"/>
      <c r="R161" s="134"/>
      <c r="S161" s="139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3"/>
      <c r="BD161" s="83"/>
      <c r="BE161" s="83"/>
      <c r="BF161" s="83"/>
      <c r="BG161" s="82"/>
      <c r="BH161" s="81"/>
      <c r="BI161" s="80"/>
      <c r="BJ161" s="25"/>
      <c r="BK161" s="25"/>
      <c r="BL161" s="25"/>
      <c r="BM161" s="84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92"/>
      <c r="DG161" s="92"/>
      <c r="DH161" s="203"/>
      <c r="DI161" s="203"/>
      <c r="DJ161" s="203"/>
      <c r="DK161" s="203"/>
      <c r="DL161" s="203"/>
      <c r="DM161" s="203"/>
      <c r="DN161" s="203"/>
      <c r="DO161" s="203"/>
      <c r="DP161" s="208"/>
      <c r="DQ161" s="208"/>
      <c r="DR161" s="208"/>
      <c r="DS161" s="208"/>
      <c r="DT161" s="208"/>
      <c r="DU161" s="208"/>
      <c r="DV161" s="208"/>
      <c r="DW161" s="208"/>
      <c r="DX161" s="208"/>
      <c r="DY161" s="208"/>
      <c r="DZ161" s="208"/>
      <c r="EA161" s="208"/>
      <c r="EB161" s="208"/>
      <c r="EC161" s="208"/>
      <c r="ED161" s="208"/>
      <c r="EE161" s="208"/>
      <c r="EF161" s="208"/>
      <c r="EG161" s="208"/>
      <c r="EH161" s="208"/>
      <c r="EI161" s="208"/>
      <c r="EJ161" s="208"/>
      <c r="EK161" s="208"/>
      <c r="EL161" s="208"/>
      <c r="EM161" s="208"/>
      <c r="EN161" s="208"/>
      <c r="EO161" s="208"/>
      <c r="EP161" s="208"/>
      <c r="EQ161" s="208"/>
      <c r="ER161" s="208"/>
      <c r="ES161" s="208"/>
      <c r="ET161" s="208"/>
      <c r="EU161" s="208"/>
      <c r="EV161" s="208"/>
      <c r="EW161" s="208"/>
      <c r="EX161" s="208"/>
      <c r="EY161" s="208"/>
      <c r="EZ161" s="208">
        <v>0</v>
      </c>
      <c r="FA161" s="208">
        <v>0</v>
      </c>
      <c r="FB161" s="208">
        <v>0</v>
      </c>
      <c r="FC161" s="208"/>
      <c r="FD161" s="82"/>
      <c r="FE161" s="30"/>
    </row>
    <row r="162" spans="1:161" ht="15">
      <c r="A162" s="25" t="s">
        <v>612</v>
      </c>
      <c r="B162" s="212" t="s">
        <v>164</v>
      </c>
      <c r="C162" s="138"/>
      <c r="D162" s="221"/>
      <c r="E162" s="239">
        <v>1795</v>
      </c>
      <c r="F162" s="95"/>
      <c r="G162" s="95"/>
      <c r="H162" s="147" t="s">
        <v>656</v>
      </c>
      <c r="I162" s="147"/>
      <c r="J162" s="135"/>
      <c r="K162" s="135"/>
      <c r="L162" s="139"/>
      <c r="M162" s="134"/>
      <c r="N162" s="134"/>
      <c r="O162" s="134"/>
      <c r="P162" s="134"/>
      <c r="Q162" s="134"/>
      <c r="R162" s="134"/>
      <c r="S162" s="139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3"/>
      <c r="BD162" s="83"/>
      <c r="BE162" s="83"/>
      <c r="BF162" s="83"/>
      <c r="BG162" s="82"/>
      <c r="BH162" s="81"/>
      <c r="BI162" s="80"/>
      <c r="BJ162" s="25"/>
      <c r="BK162" s="25"/>
      <c r="BL162" s="25"/>
      <c r="BM162" s="84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92"/>
      <c r="DG162" s="92"/>
      <c r="DH162" s="203"/>
      <c r="DI162" s="203"/>
      <c r="DJ162" s="203"/>
      <c r="DK162" s="203"/>
      <c r="DL162" s="203"/>
      <c r="DM162" s="203"/>
      <c r="DN162" s="203"/>
      <c r="DO162" s="203"/>
      <c r="DP162" s="208"/>
      <c r="DQ162" s="208"/>
      <c r="DR162" s="208"/>
      <c r="DS162" s="208"/>
      <c r="DT162" s="208"/>
      <c r="DU162" s="208"/>
      <c r="DV162" s="208"/>
      <c r="DW162" s="208"/>
      <c r="DX162" s="208"/>
      <c r="DY162" s="208"/>
      <c r="DZ162" s="208"/>
      <c r="EA162" s="208"/>
      <c r="EB162" s="208"/>
      <c r="EC162" s="208"/>
      <c r="ED162" s="208"/>
      <c r="EE162" s="208"/>
      <c r="EF162" s="208"/>
      <c r="EG162" s="208"/>
      <c r="EH162" s="208"/>
      <c r="EI162" s="208"/>
      <c r="EJ162" s="208"/>
      <c r="EK162" s="208"/>
      <c r="EL162" s="208"/>
      <c r="EM162" s="208"/>
      <c r="EN162" s="208"/>
      <c r="EO162" s="208"/>
      <c r="EP162" s="208"/>
      <c r="EQ162" s="208"/>
      <c r="ER162" s="208"/>
      <c r="ES162" s="208"/>
      <c r="ET162" s="208"/>
      <c r="EU162" s="208"/>
      <c r="EV162" s="208"/>
      <c r="EW162" s="208"/>
      <c r="EX162" s="208"/>
      <c r="EY162" s="208"/>
      <c r="EZ162" s="208">
        <v>0</v>
      </c>
      <c r="FA162" s="208">
        <v>0</v>
      </c>
      <c r="FB162" s="208">
        <v>0</v>
      </c>
      <c r="FC162" s="208"/>
      <c r="FD162" s="82"/>
      <c r="FE162" s="30"/>
    </row>
    <row r="163" spans="1:161" ht="15">
      <c r="A163" s="25" t="s">
        <v>613</v>
      </c>
      <c r="B163" s="212" t="s">
        <v>164</v>
      </c>
      <c r="C163" s="138"/>
      <c r="D163" s="221"/>
      <c r="E163" s="239">
        <v>1795</v>
      </c>
      <c r="F163" s="95"/>
      <c r="G163" s="95"/>
      <c r="H163" s="147" t="s">
        <v>656</v>
      </c>
      <c r="I163" s="147"/>
      <c r="J163" s="135"/>
      <c r="K163" s="135"/>
      <c r="L163" s="139"/>
      <c r="M163" s="134"/>
      <c r="N163" s="134"/>
      <c r="O163" s="134"/>
      <c r="P163" s="134"/>
      <c r="Q163" s="134"/>
      <c r="R163" s="134"/>
      <c r="S163" s="139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3"/>
      <c r="BD163" s="83"/>
      <c r="BE163" s="83"/>
      <c r="BF163" s="83"/>
      <c r="BG163" s="82"/>
      <c r="BH163" s="81"/>
      <c r="BI163" s="80"/>
      <c r="BJ163" s="25"/>
      <c r="BK163" s="25"/>
      <c r="BL163" s="25"/>
      <c r="BM163" s="84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92"/>
      <c r="DG163" s="92"/>
      <c r="DH163" s="203"/>
      <c r="DI163" s="203"/>
      <c r="DJ163" s="203"/>
      <c r="DK163" s="203"/>
      <c r="DL163" s="203"/>
      <c r="DM163" s="203"/>
      <c r="DN163" s="203"/>
      <c r="DO163" s="203"/>
      <c r="DP163" s="208"/>
      <c r="DQ163" s="208"/>
      <c r="DR163" s="208"/>
      <c r="DS163" s="208"/>
      <c r="DT163" s="208"/>
      <c r="DU163" s="208"/>
      <c r="DV163" s="208"/>
      <c r="DW163" s="208"/>
      <c r="DX163" s="208"/>
      <c r="DY163" s="208"/>
      <c r="DZ163" s="208"/>
      <c r="EA163" s="208"/>
      <c r="EB163" s="208"/>
      <c r="EC163" s="208"/>
      <c r="ED163" s="208"/>
      <c r="EE163" s="208"/>
      <c r="EF163" s="208"/>
      <c r="EG163" s="208"/>
      <c r="EH163" s="208"/>
      <c r="EI163" s="208"/>
      <c r="EJ163" s="208"/>
      <c r="EK163" s="208"/>
      <c r="EL163" s="208"/>
      <c r="EM163" s="208"/>
      <c r="EN163" s="208"/>
      <c r="EO163" s="208"/>
      <c r="EP163" s="208"/>
      <c r="EQ163" s="208"/>
      <c r="ER163" s="208"/>
      <c r="ES163" s="208"/>
      <c r="ET163" s="208"/>
      <c r="EU163" s="208"/>
      <c r="EV163" s="208"/>
      <c r="EW163" s="208"/>
      <c r="EX163" s="208"/>
      <c r="EY163" s="208"/>
      <c r="EZ163" s="208">
        <v>0</v>
      </c>
      <c r="FA163" s="208">
        <v>0</v>
      </c>
      <c r="FB163" s="208">
        <v>0</v>
      </c>
      <c r="FC163" s="208"/>
      <c r="FD163" s="82"/>
      <c r="FE163" s="30"/>
    </row>
    <row r="164" spans="1:161" ht="15" hidden="1">
      <c r="A164" s="25" t="s">
        <v>201</v>
      </c>
      <c r="B164" s="224" t="s">
        <v>125</v>
      </c>
      <c r="C164" s="138"/>
      <c r="D164" s="221"/>
      <c r="E164" s="239">
        <v>770</v>
      </c>
      <c r="F164" s="95"/>
      <c r="G164" s="95"/>
      <c r="H164" s="147" t="s">
        <v>656</v>
      </c>
      <c r="I164" s="147"/>
      <c r="J164" s="135"/>
      <c r="K164" s="135"/>
      <c r="L164" s="139"/>
      <c r="M164" s="134"/>
      <c r="N164" s="134"/>
      <c r="O164" s="134"/>
      <c r="P164" s="134"/>
      <c r="Q164" s="134"/>
      <c r="R164" s="134"/>
      <c r="S164" s="139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3"/>
      <c r="BD164" s="83"/>
      <c r="BE164" s="83"/>
      <c r="BF164" s="83"/>
      <c r="BG164" s="82"/>
      <c r="BH164" s="81"/>
      <c r="BI164" s="80"/>
      <c r="BJ164" s="25"/>
      <c r="BK164" s="25"/>
      <c r="BL164" s="25"/>
      <c r="BM164" s="84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92"/>
      <c r="DG164" s="92"/>
      <c r="DH164" s="203"/>
      <c r="DI164" s="203"/>
      <c r="DJ164" s="203"/>
      <c r="DK164" s="203"/>
      <c r="DL164" s="203"/>
      <c r="DM164" s="203"/>
      <c r="DN164" s="203"/>
      <c r="DO164" s="203"/>
      <c r="DP164" s="208"/>
      <c r="DQ164" s="208"/>
      <c r="DR164" s="208"/>
      <c r="DS164" s="208"/>
      <c r="DT164" s="208"/>
      <c r="DU164" s="208"/>
      <c r="DV164" s="208"/>
      <c r="DW164" s="208"/>
      <c r="DX164" s="208"/>
      <c r="DY164" s="208"/>
      <c r="DZ164" s="208"/>
      <c r="EA164" s="208"/>
      <c r="EB164" s="208"/>
      <c r="EC164" s="208"/>
      <c r="ED164" s="208"/>
      <c r="EE164" s="208"/>
      <c r="EF164" s="208"/>
      <c r="EG164" s="208"/>
      <c r="EH164" s="208"/>
      <c r="EI164" s="208"/>
      <c r="EJ164" s="208"/>
      <c r="EK164" s="208"/>
      <c r="EL164" s="208"/>
      <c r="EM164" s="208"/>
      <c r="EN164" s="208"/>
      <c r="EO164" s="208"/>
      <c r="EP164" s="208"/>
      <c r="EQ164" s="208"/>
      <c r="ER164" s="208"/>
      <c r="ES164" s="208"/>
      <c r="ET164" s="208"/>
      <c r="EU164" s="208"/>
      <c r="EV164" s="208"/>
      <c r="EW164" s="208"/>
      <c r="EX164" s="208"/>
      <c r="EY164" s="208"/>
      <c r="EZ164" s="208">
        <v>0</v>
      </c>
      <c r="FA164" s="208">
        <v>0</v>
      </c>
      <c r="FB164" s="208">
        <v>0</v>
      </c>
      <c r="FC164" s="208"/>
      <c r="FD164" s="82"/>
      <c r="FE164" s="30"/>
    </row>
    <row r="165" spans="1:161" ht="15" hidden="1">
      <c r="A165" s="25" t="s">
        <v>126</v>
      </c>
      <c r="B165" s="224" t="s">
        <v>125</v>
      </c>
      <c r="C165" s="138"/>
      <c r="D165" s="221"/>
      <c r="E165" s="239">
        <v>970</v>
      </c>
      <c r="F165" s="95"/>
      <c r="G165" s="95"/>
      <c r="H165" s="147" t="s">
        <v>656</v>
      </c>
      <c r="I165" s="147"/>
      <c r="J165" s="135"/>
      <c r="K165" s="135"/>
      <c r="L165" s="139"/>
      <c r="M165" s="134"/>
      <c r="N165" s="134"/>
      <c r="O165" s="134"/>
      <c r="P165" s="134"/>
      <c r="Q165" s="134"/>
      <c r="R165" s="134"/>
      <c r="S165" s="139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3"/>
      <c r="BD165" s="83"/>
      <c r="BE165" s="83"/>
      <c r="BF165" s="83"/>
      <c r="BG165" s="82"/>
      <c r="BH165" s="81"/>
      <c r="BI165" s="80"/>
      <c r="BJ165" s="25"/>
      <c r="BK165" s="25"/>
      <c r="BL165" s="25"/>
      <c r="BM165" s="84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92"/>
      <c r="DG165" s="92"/>
      <c r="DH165" s="203"/>
      <c r="DI165" s="203"/>
      <c r="DJ165" s="203"/>
      <c r="DK165" s="203"/>
      <c r="DL165" s="203"/>
      <c r="DM165" s="203"/>
      <c r="DN165" s="203"/>
      <c r="DO165" s="203"/>
      <c r="DP165" s="208"/>
      <c r="DQ165" s="208"/>
      <c r="DR165" s="208"/>
      <c r="DS165" s="208"/>
      <c r="DT165" s="208"/>
      <c r="DU165" s="208"/>
      <c r="DV165" s="208"/>
      <c r="DW165" s="208"/>
      <c r="DX165" s="208"/>
      <c r="DY165" s="208"/>
      <c r="DZ165" s="208"/>
      <c r="EA165" s="208"/>
      <c r="EB165" s="208"/>
      <c r="EC165" s="208"/>
      <c r="ED165" s="208"/>
      <c r="EE165" s="208"/>
      <c r="EF165" s="208"/>
      <c r="EG165" s="208"/>
      <c r="EH165" s="208"/>
      <c r="EI165" s="208"/>
      <c r="EJ165" s="208"/>
      <c r="EK165" s="208"/>
      <c r="EL165" s="208"/>
      <c r="EM165" s="208"/>
      <c r="EN165" s="208"/>
      <c r="EO165" s="208"/>
      <c r="EP165" s="208"/>
      <c r="EQ165" s="208"/>
      <c r="ER165" s="208"/>
      <c r="ES165" s="208"/>
      <c r="ET165" s="208"/>
      <c r="EU165" s="208"/>
      <c r="EV165" s="208"/>
      <c r="EW165" s="208"/>
      <c r="EX165" s="208"/>
      <c r="EY165" s="208"/>
      <c r="EZ165" s="208">
        <v>0</v>
      </c>
      <c r="FA165" s="208">
        <v>0</v>
      </c>
      <c r="FB165" s="208">
        <v>0</v>
      </c>
      <c r="FC165" s="208"/>
      <c r="FD165" s="82"/>
      <c r="FE165" s="30"/>
    </row>
    <row r="166" spans="1:161" ht="15" hidden="1">
      <c r="A166" s="25" t="s">
        <v>602</v>
      </c>
      <c r="B166" s="212" t="s">
        <v>164</v>
      </c>
      <c r="C166" s="138"/>
      <c r="D166" s="221"/>
      <c r="E166" s="239">
        <v>1585</v>
      </c>
      <c r="F166" s="95"/>
      <c r="G166" s="95"/>
      <c r="H166" s="147" t="s">
        <v>656</v>
      </c>
      <c r="I166" s="147"/>
      <c r="J166" s="135"/>
      <c r="K166" s="135"/>
      <c r="L166" s="139"/>
      <c r="M166" s="134"/>
      <c r="N166" s="134"/>
      <c r="O166" s="134"/>
      <c r="P166" s="134"/>
      <c r="Q166" s="134"/>
      <c r="R166" s="134"/>
      <c r="S166" s="139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3"/>
      <c r="BD166" s="83"/>
      <c r="BE166" s="83"/>
      <c r="BF166" s="83"/>
      <c r="BG166" s="82"/>
      <c r="BH166" s="81"/>
      <c r="BI166" s="80"/>
      <c r="BJ166" s="25"/>
      <c r="BK166" s="25"/>
      <c r="BL166" s="25"/>
      <c r="BM166" s="84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92"/>
      <c r="DG166" s="92"/>
      <c r="DH166" s="203"/>
      <c r="DI166" s="203"/>
      <c r="DJ166" s="203"/>
      <c r="DK166" s="203"/>
      <c r="DL166" s="203"/>
      <c r="DM166" s="203"/>
      <c r="DN166" s="203"/>
      <c r="DO166" s="203"/>
      <c r="DP166" s="208"/>
      <c r="DQ166" s="208"/>
      <c r="DR166" s="208"/>
      <c r="DS166" s="208"/>
      <c r="DT166" s="208"/>
      <c r="DU166" s="208"/>
      <c r="DV166" s="208"/>
      <c r="DW166" s="208"/>
      <c r="DX166" s="208"/>
      <c r="DY166" s="208"/>
      <c r="DZ166" s="208"/>
      <c r="EA166" s="208"/>
      <c r="EB166" s="208"/>
      <c r="EC166" s="208"/>
      <c r="ED166" s="208"/>
      <c r="EE166" s="208"/>
      <c r="EF166" s="208"/>
      <c r="EG166" s="208"/>
      <c r="EH166" s="208"/>
      <c r="EI166" s="208"/>
      <c r="EJ166" s="208"/>
      <c r="EK166" s="208"/>
      <c r="EL166" s="208"/>
      <c r="EM166" s="208"/>
      <c r="EN166" s="208"/>
      <c r="EO166" s="208"/>
      <c r="EP166" s="208"/>
      <c r="EQ166" s="208"/>
      <c r="ER166" s="208"/>
      <c r="ES166" s="208"/>
      <c r="ET166" s="208"/>
      <c r="EU166" s="208"/>
      <c r="EV166" s="208"/>
      <c r="EW166" s="208"/>
      <c r="EX166" s="208"/>
      <c r="EY166" s="208"/>
      <c r="EZ166" s="208">
        <v>0</v>
      </c>
      <c r="FA166" s="208">
        <v>0</v>
      </c>
      <c r="FB166" s="208">
        <v>0</v>
      </c>
      <c r="FC166" s="208"/>
      <c r="FD166" s="82"/>
      <c r="FE166" s="30"/>
    </row>
    <row r="167" spans="1:161" ht="15" hidden="1">
      <c r="A167" s="25" t="s">
        <v>603</v>
      </c>
      <c r="B167" s="212" t="s">
        <v>164</v>
      </c>
      <c r="C167" s="138"/>
      <c r="D167" s="221"/>
      <c r="E167" s="239">
        <v>1585</v>
      </c>
      <c r="F167" s="95"/>
      <c r="G167" s="95"/>
      <c r="H167" s="147" t="s">
        <v>656</v>
      </c>
      <c r="I167" s="147"/>
      <c r="J167" s="135"/>
      <c r="K167" s="135"/>
      <c r="L167" s="139"/>
      <c r="M167" s="134"/>
      <c r="N167" s="134"/>
      <c r="O167" s="134"/>
      <c r="P167" s="134"/>
      <c r="Q167" s="134"/>
      <c r="R167" s="134"/>
      <c r="S167" s="139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3"/>
      <c r="BD167" s="83"/>
      <c r="BE167" s="83"/>
      <c r="BF167" s="83"/>
      <c r="BG167" s="82"/>
      <c r="BH167" s="81"/>
      <c r="BI167" s="80"/>
      <c r="BJ167" s="25"/>
      <c r="BK167" s="25"/>
      <c r="BL167" s="25"/>
      <c r="BM167" s="84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92"/>
      <c r="DG167" s="92"/>
      <c r="DH167" s="203"/>
      <c r="DI167" s="203"/>
      <c r="DJ167" s="203"/>
      <c r="DK167" s="203"/>
      <c r="DL167" s="203"/>
      <c r="DM167" s="203"/>
      <c r="DN167" s="203"/>
      <c r="DO167" s="203"/>
      <c r="DP167" s="208"/>
      <c r="DQ167" s="208"/>
      <c r="DR167" s="208"/>
      <c r="DS167" s="208"/>
      <c r="DT167" s="208"/>
      <c r="DU167" s="208"/>
      <c r="DV167" s="208"/>
      <c r="DW167" s="208"/>
      <c r="DX167" s="208"/>
      <c r="DY167" s="208"/>
      <c r="DZ167" s="208"/>
      <c r="EA167" s="208"/>
      <c r="EB167" s="208"/>
      <c r="EC167" s="208"/>
      <c r="ED167" s="208"/>
      <c r="EE167" s="208"/>
      <c r="EF167" s="208"/>
      <c r="EG167" s="208"/>
      <c r="EH167" s="208"/>
      <c r="EI167" s="208"/>
      <c r="EJ167" s="208"/>
      <c r="EK167" s="208"/>
      <c r="EL167" s="208"/>
      <c r="EM167" s="208"/>
      <c r="EN167" s="208"/>
      <c r="EO167" s="208"/>
      <c r="EP167" s="208"/>
      <c r="EQ167" s="208"/>
      <c r="ER167" s="208"/>
      <c r="ES167" s="208"/>
      <c r="ET167" s="208"/>
      <c r="EU167" s="208"/>
      <c r="EV167" s="208"/>
      <c r="EW167" s="208"/>
      <c r="EX167" s="208"/>
      <c r="EY167" s="208"/>
      <c r="EZ167" s="208">
        <v>0</v>
      </c>
      <c r="FA167" s="208">
        <v>0</v>
      </c>
      <c r="FB167" s="208">
        <v>0</v>
      </c>
      <c r="FC167" s="208"/>
      <c r="FD167" s="82"/>
      <c r="FE167" s="30"/>
    </row>
    <row r="168" spans="1:161" ht="15">
      <c r="A168" s="25" t="s">
        <v>608</v>
      </c>
      <c r="B168" s="212" t="s">
        <v>164</v>
      </c>
      <c r="C168" s="138"/>
      <c r="D168" s="221"/>
      <c r="E168" s="239">
        <v>1795</v>
      </c>
      <c r="F168" s="95"/>
      <c r="G168" s="95"/>
      <c r="H168" s="147" t="s">
        <v>656</v>
      </c>
      <c r="I168" s="147"/>
      <c r="J168" s="135"/>
      <c r="K168" s="135"/>
      <c r="L168" s="139"/>
      <c r="M168" s="134"/>
      <c r="N168" s="134"/>
      <c r="O168" s="134"/>
      <c r="P168" s="134"/>
      <c r="Q168" s="134"/>
      <c r="R168" s="134"/>
      <c r="S168" s="139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3"/>
      <c r="BD168" s="83"/>
      <c r="BE168" s="83"/>
      <c r="BF168" s="83"/>
      <c r="BG168" s="82"/>
      <c r="BH168" s="81"/>
      <c r="BI168" s="80"/>
      <c r="BJ168" s="25"/>
      <c r="BK168" s="25"/>
      <c r="BL168" s="25"/>
      <c r="BM168" s="84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92"/>
      <c r="DG168" s="92"/>
      <c r="DH168" s="203"/>
      <c r="DI168" s="203"/>
      <c r="DJ168" s="203"/>
      <c r="DK168" s="203"/>
      <c r="DL168" s="203"/>
      <c r="DM168" s="203"/>
      <c r="DN168" s="203"/>
      <c r="DO168" s="203"/>
      <c r="DP168" s="208"/>
      <c r="DQ168" s="208"/>
      <c r="DR168" s="208"/>
      <c r="DS168" s="208"/>
      <c r="DT168" s="208"/>
      <c r="DU168" s="208"/>
      <c r="DV168" s="208"/>
      <c r="DW168" s="208"/>
      <c r="DX168" s="208"/>
      <c r="DY168" s="208"/>
      <c r="DZ168" s="208"/>
      <c r="EA168" s="208"/>
      <c r="EB168" s="208"/>
      <c r="EC168" s="208"/>
      <c r="ED168" s="208"/>
      <c r="EE168" s="208"/>
      <c r="EF168" s="208"/>
      <c r="EG168" s="208"/>
      <c r="EH168" s="208"/>
      <c r="EI168" s="208"/>
      <c r="EJ168" s="208"/>
      <c r="EK168" s="208"/>
      <c r="EL168" s="208"/>
      <c r="EM168" s="208"/>
      <c r="EN168" s="208"/>
      <c r="EO168" s="208"/>
      <c r="EP168" s="208"/>
      <c r="EQ168" s="208"/>
      <c r="ER168" s="208"/>
      <c r="ES168" s="208"/>
      <c r="ET168" s="208"/>
      <c r="EU168" s="208"/>
      <c r="EV168" s="208"/>
      <c r="EW168" s="208"/>
      <c r="EX168" s="208"/>
      <c r="EY168" s="208"/>
      <c r="EZ168" s="208">
        <v>0</v>
      </c>
      <c r="FA168" s="208">
        <v>0</v>
      </c>
      <c r="FB168" s="208">
        <v>0</v>
      </c>
      <c r="FC168" s="208"/>
      <c r="FD168" s="82"/>
      <c r="FE168" s="30"/>
    </row>
    <row r="169" spans="1:161" ht="15">
      <c r="A169" s="25" t="s">
        <v>611</v>
      </c>
      <c r="B169" s="212" t="s">
        <v>164</v>
      </c>
      <c r="C169" s="138"/>
      <c r="D169" s="221"/>
      <c r="E169" s="239">
        <v>1795</v>
      </c>
      <c r="F169" s="95"/>
      <c r="G169" s="95"/>
      <c r="H169" s="147" t="s">
        <v>656</v>
      </c>
      <c r="I169" s="147"/>
      <c r="J169" s="135"/>
      <c r="K169" s="135"/>
      <c r="L169" s="139"/>
      <c r="M169" s="134"/>
      <c r="N169" s="134"/>
      <c r="O169" s="134"/>
      <c r="P169" s="134"/>
      <c r="Q169" s="134"/>
      <c r="R169" s="134"/>
      <c r="S169" s="139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3"/>
      <c r="BD169" s="83"/>
      <c r="BE169" s="83"/>
      <c r="BF169" s="83"/>
      <c r="BG169" s="82"/>
      <c r="BH169" s="81"/>
      <c r="BI169" s="80"/>
      <c r="BJ169" s="25"/>
      <c r="BK169" s="25"/>
      <c r="BL169" s="25"/>
      <c r="BM169" s="84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92"/>
      <c r="DG169" s="92"/>
      <c r="DH169" s="203"/>
      <c r="DI169" s="203"/>
      <c r="DJ169" s="203"/>
      <c r="DK169" s="203"/>
      <c r="DL169" s="203"/>
      <c r="DM169" s="203"/>
      <c r="DN169" s="203"/>
      <c r="DO169" s="203"/>
      <c r="DP169" s="208"/>
      <c r="DQ169" s="208"/>
      <c r="DR169" s="208"/>
      <c r="DS169" s="208"/>
      <c r="DT169" s="208"/>
      <c r="DU169" s="208"/>
      <c r="DV169" s="208"/>
      <c r="DW169" s="208"/>
      <c r="DX169" s="208"/>
      <c r="DY169" s="208"/>
      <c r="DZ169" s="208"/>
      <c r="EA169" s="208"/>
      <c r="EB169" s="208"/>
      <c r="EC169" s="208"/>
      <c r="ED169" s="208"/>
      <c r="EE169" s="208"/>
      <c r="EF169" s="208"/>
      <c r="EG169" s="208"/>
      <c r="EH169" s="208"/>
      <c r="EI169" s="208"/>
      <c r="EJ169" s="208"/>
      <c r="EK169" s="208"/>
      <c r="EL169" s="208"/>
      <c r="EM169" s="208"/>
      <c r="EN169" s="208"/>
      <c r="EO169" s="208"/>
      <c r="EP169" s="208"/>
      <c r="EQ169" s="208"/>
      <c r="ER169" s="208"/>
      <c r="ES169" s="208"/>
      <c r="ET169" s="208"/>
      <c r="EU169" s="208"/>
      <c r="EV169" s="208"/>
      <c r="EW169" s="208"/>
      <c r="EX169" s="208"/>
      <c r="EY169" s="208"/>
      <c r="EZ169" s="208">
        <v>0</v>
      </c>
      <c r="FA169" s="208">
        <v>0</v>
      </c>
      <c r="FB169" s="208">
        <v>0</v>
      </c>
      <c r="FC169" s="208"/>
      <c r="FD169" s="82"/>
      <c r="FE169" s="30"/>
    </row>
    <row r="170" spans="1:161" ht="15" hidden="1">
      <c r="A170" s="25" t="s">
        <v>596</v>
      </c>
      <c r="B170" s="212" t="s">
        <v>164</v>
      </c>
      <c r="C170" s="138"/>
      <c r="D170" s="221"/>
      <c r="E170" s="239">
        <v>1585</v>
      </c>
      <c r="F170" s="95"/>
      <c r="G170" s="95"/>
      <c r="H170" s="147" t="s">
        <v>656</v>
      </c>
      <c r="I170" s="147"/>
      <c r="J170" s="135"/>
      <c r="K170" s="135"/>
      <c r="L170" s="139"/>
      <c r="M170" s="134"/>
      <c r="N170" s="134"/>
      <c r="O170" s="134"/>
      <c r="P170" s="134"/>
      <c r="Q170" s="134"/>
      <c r="R170" s="134"/>
      <c r="S170" s="139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3"/>
      <c r="BD170" s="83"/>
      <c r="BE170" s="83"/>
      <c r="BF170" s="83"/>
      <c r="BG170" s="82"/>
      <c r="BH170" s="81"/>
      <c r="BI170" s="80"/>
      <c r="BJ170" s="25"/>
      <c r="BK170" s="25"/>
      <c r="BL170" s="25"/>
      <c r="BM170" s="84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92"/>
      <c r="DG170" s="92"/>
      <c r="DH170" s="203"/>
      <c r="DI170" s="203"/>
      <c r="DJ170" s="203"/>
      <c r="DK170" s="203"/>
      <c r="DL170" s="203"/>
      <c r="DM170" s="203"/>
      <c r="DN170" s="203"/>
      <c r="DO170" s="203"/>
      <c r="DP170" s="208"/>
      <c r="DQ170" s="208"/>
      <c r="DR170" s="208"/>
      <c r="DS170" s="208"/>
      <c r="DT170" s="208"/>
      <c r="DU170" s="208"/>
      <c r="DV170" s="208"/>
      <c r="DW170" s="208"/>
      <c r="DX170" s="208"/>
      <c r="DY170" s="208"/>
      <c r="DZ170" s="208"/>
      <c r="EA170" s="208"/>
      <c r="EB170" s="208"/>
      <c r="EC170" s="208"/>
      <c r="ED170" s="208"/>
      <c r="EE170" s="208"/>
      <c r="EF170" s="208"/>
      <c r="EG170" s="208"/>
      <c r="EH170" s="208"/>
      <c r="EI170" s="208"/>
      <c r="EJ170" s="208"/>
      <c r="EK170" s="208"/>
      <c r="EL170" s="208"/>
      <c r="EM170" s="208"/>
      <c r="EN170" s="208"/>
      <c r="EO170" s="208"/>
      <c r="EP170" s="208"/>
      <c r="EQ170" s="208"/>
      <c r="ER170" s="208"/>
      <c r="ES170" s="208"/>
      <c r="ET170" s="208"/>
      <c r="EU170" s="208"/>
      <c r="EV170" s="208"/>
      <c r="EW170" s="208"/>
      <c r="EX170" s="208"/>
      <c r="EY170" s="208"/>
      <c r="EZ170" s="208">
        <v>0</v>
      </c>
      <c r="FA170" s="208">
        <v>0</v>
      </c>
      <c r="FB170" s="208">
        <v>0</v>
      </c>
      <c r="FC170" s="208"/>
      <c r="FD170" s="82"/>
      <c r="FE170" s="30"/>
    </row>
    <row r="171" spans="1:161" ht="15" hidden="1">
      <c r="A171" s="25" t="s">
        <v>600</v>
      </c>
      <c r="B171" s="212" t="s">
        <v>164</v>
      </c>
      <c r="C171" s="138"/>
      <c r="D171" s="221"/>
      <c r="E171" s="239">
        <v>1585</v>
      </c>
      <c r="F171" s="95"/>
      <c r="G171" s="95"/>
      <c r="H171" s="147" t="s">
        <v>656</v>
      </c>
      <c r="I171" s="147"/>
      <c r="J171" s="135"/>
      <c r="K171" s="135"/>
      <c r="L171" s="139"/>
      <c r="M171" s="134"/>
      <c r="N171" s="134"/>
      <c r="O171" s="134"/>
      <c r="P171" s="134"/>
      <c r="Q171" s="134"/>
      <c r="R171" s="134"/>
      <c r="S171" s="139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3"/>
      <c r="BD171" s="83"/>
      <c r="BE171" s="83"/>
      <c r="BF171" s="83"/>
      <c r="BG171" s="82"/>
      <c r="BH171" s="81"/>
      <c r="BI171" s="80"/>
      <c r="BJ171" s="25"/>
      <c r="BK171" s="25"/>
      <c r="BL171" s="25"/>
      <c r="BM171" s="84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92"/>
      <c r="DG171" s="92"/>
      <c r="DH171" s="203"/>
      <c r="DI171" s="203"/>
      <c r="DJ171" s="203"/>
      <c r="DK171" s="203"/>
      <c r="DL171" s="203"/>
      <c r="DM171" s="203"/>
      <c r="DN171" s="203"/>
      <c r="DO171" s="203"/>
      <c r="DP171" s="208"/>
      <c r="DQ171" s="208"/>
      <c r="DR171" s="208"/>
      <c r="DS171" s="208"/>
      <c r="DT171" s="208"/>
      <c r="DU171" s="208"/>
      <c r="DV171" s="208"/>
      <c r="DW171" s="208"/>
      <c r="DX171" s="208"/>
      <c r="DY171" s="208"/>
      <c r="DZ171" s="208"/>
      <c r="EA171" s="208"/>
      <c r="EB171" s="208"/>
      <c r="EC171" s="208"/>
      <c r="ED171" s="208"/>
      <c r="EE171" s="208"/>
      <c r="EF171" s="208"/>
      <c r="EG171" s="208"/>
      <c r="EH171" s="208"/>
      <c r="EI171" s="208"/>
      <c r="EJ171" s="208"/>
      <c r="EK171" s="208"/>
      <c r="EL171" s="208"/>
      <c r="EM171" s="208"/>
      <c r="EN171" s="208"/>
      <c r="EO171" s="208"/>
      <c r="EP171" s="208"/>
      <c r="EQ171" s="208"/>
      <c r="ER171" s="208"/>
      <c r="ES171" s="208"/>
      <c r="ET171" s="208"/>
      <c r="EU171" s="208"/>
      <c r="EV171" s="208"/>
      <c r="EW171" s="208"/>
      <c r="EX171" s="208"/>
      <c r="EY171" s="208"/>
      <c r="EZ171" s="208">
        <v>0</v>
      </c>
      <c r="FA171" s="208">
        <v>0</v>
      </c>
      <c r="FB171" s="208">
        <v>0</v>
      </c>
      <c r="FC171" s="208"/>
      <c r="FD171" s="82"/>
      <c r="FE171" s="30"/>
    </row>
    <row r="172" spans="1:161" ht="15">
      <c r="A172" s="25" t="s">
        <v>609</v>
      </c>
      <c r="B172" s="212" t="s">
        <v>164</v>
      </c>
      <c r="C172" s="138"/>
      <c r="D172" s="221"/>
      <c r="E172" s="239">
        <v>1795</v>
      </c>
      <c r="F172" s="95"/>
      <c r="G172" s="95"/>
      <c r="H172" s="147" t="s">
        <v>656</v>
      </c>
      <c r="I172" s="147"/>
      <c r="J172" s="135"/>
      <c r="K172" s="135"/>
      <c r="L172" s="139"/>
      <c r="M172" s="134"/>
      <c r="N172" s="134"/>
      <c r="O172" s="134"/>
      <c r="P172" s="134"/>
      <c r="Q172" s="134"/>
      <c r="R172" s="134"/>
      <c r="S172" s="139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3"/>
      <c r="BD172" s="83"/>
      <c r="BE172" s="83"/>
      <c r="BF172" s="83"/>
      <c r="BG172" s="82"/>
      <c r="BH172" s="81"/>
      <c r="BI172" s="80"/>
      <c r="BJ172" s="25"/>
      <c r="BK172" s="25"/>
      <c r="BL172" s="25"/>
      <c r="BM172" s="84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92"/>
      <c r="DG172" s="92"/>
      <c r="DH172" s="203"/>
      <c r="DI172" s="203"/>
      <c r="DJ172" s="203"/>
      <c r="DK172" s="203"/>
      <c r="DL172" s="203"/>
      <c r="DM172" s="203"/>
      <c r="DN172" s="203"/>
      <c r="DO172" s="203"/>
      <c r="DP172" s="208"/>
      <c r="DQ172" s="208"/>
      <c r="DR172" s="208"/>
      <c r="DS172" s="208"/>
      <c r="DT172" s="208"/>
      <c r="DU172" s="208"/>
      <c r="DV172" s="208"/>
      <c r="DW172" s="208"/>
      <c r="DX172" s="208"/>
      <c r="DY172" s="208"/>
      <c r="DZ172" s="208"/>
      <c r="EA172" s="208"/>
      <c r="EB172" s="208"/>
      <c r="EC172" s="208"/>
      <c r="ED172" s="208"/>
      <c r="EE172" s="208"/>
      <c r="EF172" s="208"/>
      <c r="EG172" s="208"/>
      <c r="EH172" s="208"/>
      <c r="EI172" s="208"/>
      <c r="EJ172" s="208"/>
      <c r="EK172" s="208"/>
      <c r="EL172" s="208"/>
      <c r="EM172" s="208"/>
      <c r="EN172" s="208"/>
      <c r="EO172" s="208"/>
      <c r="EP172" s="208"/>
      <c r="EQ172" s="208"/>
      <c r="ER172" s="208"/>
      <c r="ES172" s="208"/>
      <c r="ET172" s="208"/>
      <c r="EU172" s="208"/>
      <c r="EV172" s="208"/>
      <c r="EW172" s="208"/>
      <c r="EX172" s="208"/>
      <c r="EY172" s="208"/>
      <c r="EZ172" s="208">
        <v>0</v>
      </c>
      <c r="FA172" s="208">
        <v>0</v>
      </c>
      <c r="FB172" s="208">
        <v>0</v>
      </c>
      <c r="FC172" s="208"/>
      <c r="FD172" s="82"/>
      <c r="FE172" s="30"/>
    </row>
    <row r="173" spans="1:161" ht="15">
      <c r="A173" s="25" t="s">
        <v>610</v>
      </c>
      <c r="B173" s="212" t="s">
        <v>164</v>
      </c>
      <c r="C173" s="138"/>
      <c r="D173" s="221"/>
      <c r="E173" s="239">
        <v>1795</v>
      </c>
      <c r="F173" s="95"/>
      <c r="G173" s="95"/>
      <c r="H173" s="147" t="s">
        <v>656</v>
      </c>
      <c r="I173" s="147"/>
      <c r="J173" s="135"/>
      <c r="K173" s="135"/>
      <c r="L173" s="139"/>
      <c r="M173" s="134"/>
      <c r="N173" s="134"/>
      <c r="O173" s="134"/>
      <c r="P173" s="134"/>
      <c r="Q173" s="134"/>
      <c r="R173" s="134"/>
      <c r="S173" s="139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3"/>
      <c r="BD173" s="83"/>
      <c r="BE173" s="83"/>
      <c r="BF173" s="83"/>
      <c r="BG173" s="82"/>
      <c r="BH173" s="81"/>
      <c r="BI173" s="80"/>
      <c r="BJ173" s="25"/>
      <c r="BK173" s="25"/>
      <c r="BL173" s="25"/>
      <c r="BM173" s="84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92"/>
      <c r="DG173" s="92"/>
      <c r="DH173" s="203"/>
      <c r="DI173" s="203"/>
      <c r="DJ173" s="203"/>
      <c r="DK173" s="203"/>
      <c r="DL173" s="203"/>
      <c r="DM173" s="203"/>
      <c r="DN173" s="203"/>
      <c r="DO173" s="203"/>
      <c r="DP173" s="208"/>
      <c r="DQ173" s="208"/>
      <c r="DR173" s="208"/>
      <c r="DS173" s="208"/>
      <c r="DT173" s="208"/>
      <c r="DU173" s="208"/>
      <c r="DV173" s="208"/>
      <c r="DW173" s="208"/>
      <c r="DX173" s="208"/>
      <c r="DY173" s="208"/>
      <c r="DZ173" s="208"/>
      <c r="EA173" s="208"/>
      <c r="EB173" s="208"/>
      <c r="EC173" s="208"/>
      <c r="ED173" s="208"/>
      <c r="EE173" s="208"/>
      <c r="EF173" s="208"/>
      <c r="EG173" s="208"/>
      <c r="EH173" s="208"/>
      <c r="EI173" s="208"/>
      <c r="EJ173" s="208"/>
      <c r="EK173" s="208"/>
      <c r="EL173" s="208"/>
      <c r="EM173" s="208"/>
      <c r="EN173" s="208"/>
      <c r="EO173" s="208"/>
      <c r="EP173" s="208"/>
      <c r="EQ173" s="208"/>
      <c r="ER173" s="208"/>
      <c r="ES173" s="208"/>
      <c r="ET173" s="208"/>
      <c r="EU173" s="208"/>
      <c r="EV173" s="208"/>
      <c r="EW173" s="208"/>
      <c r="EX173" s="208"/>
      <c r="EY173" s="208"/>
      <c r="EZ173" s="208">
        <v>0</v>
      </c>
      <c r="FA173" s="208">
        <v>0</v>
      </c>
      <c r="FB173" s="208">
        <v>0</v>
      </c>
      <c r="FC173" s="208"/>
      <c r="FD173" s="82"/>
      <c r="FE173" s="30"/>
    </row>
    <row r="174" spans="1:161" ht="15" hidden="1">
      <c r="A174" s="25" t="s">
        <v>604</v>
      </c>
      <c r="B174" s="212" t="s">
        <v>164</v>
      </c>
      <c r="C174" s="138"/>
      <c r="D174" s="221"/>
      <c r="E174" s="239">
        <v>1585</v>
      </c>
      <c r="F174" s="95"/>
      <c r="G174" s="95"/>
      <c r="H174" s="147" t="s">
        <v>656</v>
      </c>
      <c r="I174" s="147"/>
      <c r="J174" s="135"/>
      <c r="K174" s="135"/>
      <c r="L174" s="139"/>
      <c r="M174" s="134"/>
      <c r="N174" s="134"/>
      <c r="O174" s="134"/>
      <c r="P174" s="134"/>
      <c r="Q174" s="134"/>
      <c r="R174" s="134"/>
      <c r="S174" s="139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3"/>
      <c r="BD174" s="83"/>
      <c r="BE174" s="83"/>
      <c r="BF174" s="83"/>
      <c r="BG174" s="82"/>
      <c r="BH174" s="81"/>
      <c r="BI174" s="80"/>
      <c r="BJ174" s="25"/>
      <c r="BK174" s="25"/>
      <c r="BL174" s="25"/>
      <c r="BM174" s="84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92"/>
      <c r="DG174" s="92"/>
      <c r="DH174" s="203"/>
      <c r="DI174" s="203"/>
      <c r="DJ174" s="203"/>
      <c r="DK174" s="203"/>
      <c r="DL174" s="203"/>
      <c r="DM174" s="203"/>
      <c r="DN174" s="203"/>
      <c r="DO174" s="203"/>
      <c r="DP174" s="208"/>
      <c r="DQ174" s="208"/>
      <c r="DR174" s="208"/>
      <c r="DS174" s="208"/>
      <c r="DT174" s="208"/>
      <c r="DU174" s="208"/>
      <c r="DV174" s="208"/>
      <c r="DW174" s="208"/>
      <c r="DX174" s="208"/>
      <c r="DY174" s="208"/>
      <c r="DZ174" s="208"/>
      <c r="EA174" s="208"/>
      <c r="EB174" s="208"/>
      <c r="EC174" s="208"/>
      <c r="ED174" s="208"/>
      <c r="EE174" s="208"/>
      <c r="EF174" s="208"/>
      <c r="EG174" s="208"/>
      <c r="EH174" s="208"/>
      <c r="EI174" s="208"/>
      <c r="EJ174" s="208"/>
      <c r="EK174" s="208"/>
      <c r="EL174" s="208"/>
      <c r="EM174" s="208"/>
      <c r="EN174" s="208"/>
      <c r="EO174" s="208"/>
      <c r="EP174" s="208"/>
      <c r="EQ174" s="208"/>
      <c r="ER174" s="208"/>
      <c r="ES174" s="208"/>
      <c r="ET174" s="208"/>
      <c r="EU174" s="208"/>
      <c r="EV174" s="208"/>
      <c r="EW174" s="208"/>
      <c r="EX174" s="208"/>
      <c r="EY174" s="208"/>
      <c r="EZ174" s="208">
        <v>0</v>
      </c>
      <c r="FA174" s="208">
        <v>0</v>
      </c>
      <c r="FB174" s="208">
        <v>0</v>
      </c>
      <c r="FC174" s="208"/>
      <c r="FD174" s="82"/>
      <c r="FE174" s="30"/>
    </row>
    <row r="175" spans="1:161" ht="15" hidden="1">
      <c r="A175" s="25" t="s">
        <v>605</v>
      </c>
      <c r="B175" s="212" t="s">
        <v>164</v>
      </c>
      <c r="C175" s="138"/>
      <c r="D175" s="221"/>
      <c r="E175" s="239">
        <v>1585</v>
      </c>
      <c r="F175" s="95"/>
      <c r="G175" s="95"/>
      <c r="H175" s="147" t="s">
        <v>656</v>
      </c>
      <c r="I175" s="147"/>
      <c r="J175" s="135"/>
      <c r="K175" s="135"/>
      <c r="L175" s="139"/>
      <c r="M175" s="134"/>
      <c r="N175" s="134"/>
      <c r="O175" s="134"/>
      <c r="P175" s="134"/>
      <c r="Q175" s="134"/>
      <c r="R175" s="134"/>
      <c r="S175" s="139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3"/>
      <c r="BD175" s="83"/>
      <c r="BE175" s="83"/>
      <c r="BF175" s="83"/>
      <c r="BG175" s="82"/>
      <c r="BH175" s="81"/>
      <c r="BI175" s="80"/>
      <c r="BJ175" s="25"/>
      <c r="BK175" s="25"/>
      <c r="BL175" s="25"/>
      <c r="BM175" s="84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92"/>
      <c r="DG175" s="92"/>
      <c r="DH175" s="203"/>
      <c r="DI175" s="203"/>
      <c r="DJ175" s="203"/>
      <c r="DK175" s="203"/>
      <c r="DL175" s="203"/>
      <c r="DM175" s="203"/>
      <c r="DN175" s="203"/>
      <c r="DO175" s="203"/>
      <c r="DP175" s="208"/>
      <c r="DQ175" s="208"/>
      <c r="DR175" s="208"/>
      <c r="DS175" s="208"/>
      <c r="DT175" s="208"/>
      <c r="DU175" s="208"/>
      <c r="DV175" s="208"/>
      <c r="DW175" s="208"/>
      <c r="DX175" s="208"/>
      <c r="DY175" s="208"/>
      <c r="DZ175" s="208"/>
      <c r="EA175" s="208"/>
      <c r="EB175" s="208"/>
      <c r="EC175" s="208"/>
      <c r="ED175" s="208"/>
      <c r="EE175" s="208"/>
      <c r="EF175" s="208"/>
      <c r="EG175" s="208"/>
      <c r="EH175" s="208"/>
      <c r="EI175" s="208"/>
      <c r="EJ175" s="208"/>
      <c r="EK175" s="208"/>
      <c r="EL175" s="208"/>
      <c r="EM175" s="208"/>
      <c r="EN175" s="208"/>
      <c r="EO175" s="208"/>
      <c r="EP175" s="208"/>
      <c r="EQ175" s="208"/>
      <c r="ER175" s="208"/>
      <c r="ES175" s="208"/>
      <c r="ET175" s="208"/>
      <c r="EU175" s="208"/>
      <c r="EV175" s="208"/>
      <c r="EW175" s="208"/>
      <c r="EX175" s="208"/>
      <c r="EY175" s="208"/>
      <c r="EZ175" s="208">
        <v>0</v>
      </c>
      <c r="FA175" s="208">
        <v>0</v>
      </c>
      <c r="FB175" s="208">
        <v>0</v>
      </c>
      <c r="FC175" s="208"/>
      <c r="FD175" s="82"/>
      <c r="FE175" s="30"/>
    </row>
    <row r="176" spans="1:161" ht="15">
      <c r="A176" s="25" t="s">
        <v>615</v>
      </c>
      <c r="B176" s="212" t="s">
        <v>164</v>
      </c>
      <c r="C176" s="138"/>
      <c r="D176" s="221"/>
      <c r="E176" s="239">
        <v>1795</v>
      </c>
      <c r="F176" s="95"/>
      <c r="G176" s="95"/>
      <c r="H176" s="147" t="s">
        <v>656</v>
      </c>
      <c r="I176" s="147"/>
      <c r="J176" s="135"/>
      <c r="K176" s="135"/>
      <c r="L176" s="139"/>
      <c r="M176" s="134"/>
      <c r="N176" s="134"/>
      <c r="O176" s="134"/>
      <c r="P176" s="134"/>
      <c r="Q176" s="134"/>
      <c r="R176" s="134"/>
      <c r="S176" s="139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3"/>
      <c r="BD176" s="83"/>
      <c r="BE176" s="83"/>
      <c r="BF176" s="83"/>
      <c r="BG176" s="82"/>
      <c r="BH176" s="81"/>
      <c r="BI176" s="80"/>
      <c r="BJ176" s="25"/>
      <c r="BK176" s="25"/>
      <c r="BL176" s="25"/>
      <c r="BM176" s="84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92"/>
      <c r="DG176" s="92"/>
      <c r="DH176" s="203"/>
      <c r="DI176" s="203"/>
      <c r="DJ176" s="203"/>
      <c r="DK176" s="203"/>
      <c r="DL176" s="203"/>
      <c r="DM176" s="203"/>
      <c r="DN176" s="203"/>
      <c r="DO176" s="203"/>
      <c r="DP176" s="208"/>
      <c r="DQ176" s="208"/>
      <c r="DR176" s="208"/>
      <c r="DS176" s="208"/>
      <c r="DT176" s="208"/>
      <c r="DU176" s="208"/>
      <c r="DV176" s="208"/>
      <c r="DW176" s="208"/>
      <c r="DX176" s="208"/>
      <c r="DY176" s="208"/>
      <c r="DZ176" s="208"/>
      <c r="EA176" s="208"/>
      <c r="EB176" s="208"/>
      <c r="EC176" s="208"/>
      <c r="ED176" s="208"/>
      <c r="EE176" s="208"/>
      <c r="EF176" s="208"/>
      <c r="EG176" s="208"/>
      <c r="EH176" s="208"/>
      <c r="EI176" s="208"/>
      <c r="EJ176" s="208"/>
      <c r="EK176" s="208"/>
      <c r="EL176" s="208"/>
      <c r="EM176" s="208"/>
      <c r="EN176" s="208"/>
      <c r="EO176" s="208"/>
      <c r="EP176" s="208"/>
      <c r="EQ176" s="208"/>
      <c r="ER176" s="208"/>
      <c r="ES176" s="208"/>
      <c r="ET176" s="208"/>
      <c r="EU176" s="208"/>
      <c r="EV176" s="208"/>
      <c r="EW176" s="208"/>
      <c r="EX176" s="208"/>
      <c r="EY176" s="208"/>
      <c r="EZ176" s="208">
        <v>0</v>
      </c>
      <c r="FA176" s="208">
        <v>0</v>
      </c>
      <c r="FB176" s="208">
        <v>0</v>
      </c>
      <c r="FC176" s="208"/>
      <c r="FD176" s="82"/>
      <c r="FE176" s="30"/>
    </row>
    <row r="177" spans="1:161" ht="15" hidden="1">
      <c r="A177" s="25" t="s">
        <v>606</v>
      </c>
      <c r="B177" s="212" t="s">
        <v>164</v>
      </c>
      <c r="C177" s="138"/>
      <c r="D177" s="221"/>
      <c r="E177" s="239">
        <v>1585</v>
      </c>
      <c r="F177" s="95"/>
      <c r="G177" s="95"/>
      <c r="H177" s="147" t="s">
        <v>656</v>
      </c>
      <c r="I177" s="147"/>
      <c r="J177" s="135"/>
      <c r="K177" s="135"/>
      <c r="L177" s="139"/>
      <c r="M177" s="134"/>
      <c r="N177" s="134"/>
      <c r="O177" s="134"/>
      <c r="P177" s="134"/>
      <c r="Q177" s="134"/>
      <c r="R177" s="134"/>
      <c r="S177" s="139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3"/>
      <c r="BD177" s="83"/>
      <c r="BE177" s="83"/>
      <c r="BF177" s="83"/>
      <c r="BG177" s="82"/>
      <c r="BH177" s="81"/>
      <c r="BI177" s="80"/>
      <c r="BJ177" s="25"/>
      <c r="BK177" s="25"/>
      <c r="BL177" s="25"/>
      <c r="BM177" s="84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92"/>
      <c r="DG177" s="92"/>
      <c r="DH177" s="203"/>
      <c r="DI177" s="203"/>
      <c r="DJ177" s="203"/>
      <c r="DK177" s="203"/>
      <c r="DL177" s="203"/>
      <c r="DM177" s="203"/>
      <c r="DN177" s="203"/>
      <c r="DO177" s="203"/>
      <c r="DP177" s="208"/>
      <c r="DQ177" s="208"/>
      <c r="DR177" s="208"/>
      <c r="DS177" s="208"/>
      <c r="DT177" s="208"/>
      <c r="DU177" s="208"/>
      <c r="DV177" s="208"/>
      <c r="DW177" s="208"/>
      <c r="DX177" s="208"/>
      <c r="DY177" s="208"/>
      <c r="DZ177" s="208"/>
      <c r="EA177" s="208"/>
      <c r="EB177" s="208"/>
      <c r="EC177" s="208"/>
      <c r="ED177" s="208"/>
      <c r="EE177" s="208"/>
      <c r="EF177" s="208"/>
      <c r="EG177" s="208"/>
      <c r="EH177" s="208"/>
      <c r="EI177" s="208"/>
      <c r="EJ177" s="208"/>
      <c r="EK177" s="208"/>
      <c r="EL177" s="208"/>
      <c r="EM177" s="208"/>
      <c r="EN177" s="208"/>
      <c r="EO177" s="208"/>
      <c r="EP177" s="208"/>
      <c r="EQ177" s="208"/>
      <c r="ER177" s="208"/>
      <c r="ES177" s="208"/>
      <c r="ET177" s="208"/>
      <c r="EU177" s="208"/>
      <c r="EV177" s="208"/>
      <c r="EW177" s="208"/>
      <c r="EX177" s="208"/>
      <c r="EY177" s="208"/>
      <c r="EZ177" s="208">
        <v>0</v>
      </c>
      <c r="FA177" s="208">
        <v>0</v>
      </c>
      <c r="FB177" s="208">
        <v>0</v>
      </c>
      <c r="FC177" s="208"/>
      <c r="FD177" s="82"/>
      <c r="FE177" s="30"/>
    </row>
    <row r="178" spans="1:161" ht="15" hidden="1">
      <c r="A178" s="25" t="s">
        <v>646</v>
      </c>
      <c r="B178" s="212" t="s">
        <v>165</v>
      </c>
      <c r="C178" s="138"/>
      <c r="D178" s="221"/>
      <c r="E178" s="239">
        <v>1585</v>
      </c>
      <c r="F178" s="95"/>
      <c r="G178" s="95"/>
      <c r="H178" s="147" t="s">
        <v>656</v>
      </c>
      <c r="I178" s="147"/>
      <c r="J178" s="135"/>
      <c r="K178" s="135"/>
      <c r="L178" s="139"/>
      <c r="M178" s="134"/>
      <c r="N178" s="134"/>
      <c r="O178" s="134"/>
      <c r="P178" s="134"/>
      <c r="Q178" s="134"/>
      <c r="R178" s="134"/>
      <c r="S178" s="139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3"/>
      <c r="BD178" s="83"/>
      <c r="BE178" s="83"/>
      <c r="BF178" s="83"/>
      <c r="BG178" s="82"/>
      <c r="BH178" s="81"/>
      <c r="BI178" s="80"/>
      <c r="BJ178" s="25"/>
      <c r="BK178" s="25"/>
      <c r="BL178" s="25"/>
      <c r="BM178" s="84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92"/>
      <c r="DG178" s="92"/>
      <c r="DH178" s="203"/>
      <c r="DI178" s="203"/>
      <c r="DJ178" s="203"/>
      <c r="DK178" s="203"/>
      <c r="DL178" s="203"/>
      <c r="DM178" s="203"/>
      <c r="DN178" s="203"/>
      <c r="DO178" s="203"/>
      <c r="DP178" s="208"/>
      <c r="DQ178" s="208"/>
      <c r="DR178" s="208"/>
      <c r="DS178" s="208"/>
      <c r="DT178" s="208"/>
      <c r="DU178" s="208"/>
      <c r="DV178" s="208"/>
      <c r="DW178" s="208"/>
      <c r="DX178" s="208"/>
      <c r="DY178" s="208"/>
      <c r="DZ178" s="208"/>
      <c r="EA178" s="208"/>
      <c r="EB178" s="208"/>
      <c r="EC178" s="208"/>
      <c r="ED178" s="208"/>
      <c r="EE178" s="208"/>
      <c r="EF178" s="208"/>
      <c r="EG178" s="208"/>
      <c r="EH178" s="208"/>
      <c r="EI178" s="208"/>
      <c r="EJ178" s="208"/>
      <c r="EK178" s="208"/>
      <c r="EL178" s="208"/>
      <c r="EM178" s="208"/>
      <c r="EN178" s="208"/>
      <c r="EO178" s="208"/>
      <c r="EP178" s="208"/>
      <c r="EQ178" s="208"/>
      <c r="ER178" s="208"/>
      <c r="ES178" s="208"/>
      <c r="ET178" s="208"/>
      <c r="EU178" s="208"/>
      <c r="EV178" s="208"/>
      <c r="EW178" s="208"/>
      <c r="EX178" s="208"/>
      <c r="EY178" s="208"/>
      <c r="EZ178" s="208">
        <v>0</v>
      </c>
      <c r="FA178" s="208">
        <v>0</v>
      </c>
      <c r="FB178" s="208">
        <v>0</v>
      </c>
      <c r="FC178" s="208"/>
      <c r="FD178" s="82"/>
      <c r="FE178" s="30"/>
    </row>
    <row r="179" spans="1:161" ht="15" hidden="1">
      <c r="A179" s="25" t="s">
        <v>647</v>
      </c>
      <c r="B179" s="212" t="s">
        <v>165</v>
      </c>
      <c r="C179" s="138"/>
      <c r="D179" s="221"/>
      <c r="E179" s="239">
        <v>1585</v>
      </c>
      <c r="F179" s="95"/>
      <c r="G179" s="95"/>
      <c r="H179" s="147" t="s">
        <v>656</v>
      </c>
      <c r="I179" s="147"/>
      <c r="J179" s="135"/>
      <c r="K179" s="135"/>
      <c r="L179" s="139"/>
      <c r="M179" s="134"/>
      <c r="N179" s="134"/>
      <c r="O179" s="134"/>
      <c r="P179" s="134"/>
      <c r="Q179" s="134"/>
      <c r="R179" s="134"/>
      <c r="S179" s="139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3"/>
      <c r="BD179" s="83"/>
      <c r="BE179" s="83"/>
      <c r="BF179" s="83"/>
      <c r="BG179" s="82"/>
      <c r="BH179" s="81"/>
      <c r="BI179" s="80"/>
      <c r="BJ179" s="25"/>
      <c r="BK179" s="25"/>
      <c r="BL179" s="25"/>
      <c r="BM179" s="84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92"/>
      <c r="DG179" s="92"/>
      <c r="DH179" s="203"/>
      <c r="DI179" s="203"/>
      <c r="DJ179" s="203"/>
      <c r="DK179" s="203"/>
      <c r="DL179" s="203"/>
      <c r="DM179" s="203"/>
      <c r="DN179" s="203"/>
      <c r="DO179" s="203"/>
      <c r="DP179" s="208"/>
      <c r="DQ179" s="208"/>
      <c r="DR179" s="208"/>
      <c r="DS179" s="208"/>
      <c r="DT179" s="208"/>
      <c r="DU179" s="208"/>
      <c r="DV179" s="208"/>
      <c r="DW179" s="208"/>
      <c r="DX179" s="208"/>
      <c r="DY179" s="208"/>
      <c r="DZ179" s="208"/>
      <c r="EA179" s="208"/>
      <c r="EB179" s="208"/>
      <c r="EC179" s="208"/>
      <c r="ED179" s="208"/>
      <c r="EE179" s="208"/>
      <c r="EF179" s="208"/>
      <c r="EG179" s="208"/>
      <c r="EH179" s="208"/>
      <c r="EI179" s="208"/>
      <c r="EJ179" s="208"/>
      <c r="EK179" s="208"/>
      <c r="EL179" s="208"/>
      <c r="EM179" s="208"/>
      <c r="EN179" s="208"/>
      <c r="EO179" s="208"/>
      <c r="EP179" s="208"/>
      <c r="EQ179" s="208"/>
      <c r="ER179" s="208"/>
      <c r="ES179" s="208"/>
      <c r="ET179" s="208"/>
      <c r="EU179" s="208"/>
      <c r="EV179" s="208"/>
      <c r="EW179" s="208"/>
      <c r="EX179" s="208"/>
      <c r="EY179" s="208"/>
      <c r="EZ179" s="208">
        <v>0</v>
      </c>
      <c r="FA179" s="208">
        <v>0</v>
      </c>
      <c r="FB179" s="208">
        <v>0</v>
      </c>
      <c r="FC179" s="208"/>
      <c r="FD179" s="82"/>
      <c r="FE179" s="30"/>
    </row>
    <row r="180" spans="1:161" ht="15" hidden="1">
      <c r="A180" s="25" t="s">
        <v>648</v>
      </c>
      <c r="B180" s="212" t="s">
        <v>165</v>
      </c>
      <c r="C180" s="138"/>
      <c r="D180" s="221"/>
      <c r="E180" s="239">
        <v>1585</v>
      </c>
      <c r="F180" s="95"/>
      <c r="G180" s="95"/>
      <c r="H180" s="147" t="s">
        <v>656</v>
      </c>
      <c r="I180" s="147"/>
      <c r="J180" s="135"/>
      <c r="K180" s="135"/>
      <c r="L180" s="139"/>
      <c r="M180" s="134"/>
      <c r="N180" s="134"/>
      <c r="O180" s="134"/>
      <c r="P180" s="134"/>
      <c r="Q180" s="134"/>
      <c r="R180" s="134"/>
      <c r="S180" s="139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3"/>
      <c r="BD180" s="83"/>
      <c r="BE180" s="83"/>
      <c r="BF180" s="83"/>
      <c r="BG180" s="82"/>
      <c r="BH180" s="81"/>
      <c r="BI180" s="80"/>
      <c r="BJ180" s="25"/>
      <c r="BK180" s="25"/>
      <c r="BL180" s="25"/>
      <c r="BM180" s="84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92"/>
      <c r="DG180" s="92"/>
      <c r="DH180" s="203"/>
      <c r="DI180" s="203"/>
      <c r="DJ180" s="203"/>
      <c r="DK180" s="203"/>
      <c r="DL180" s="203"/>
      <c r="DM180" s="203"/>
      <c r="DN180" s="203"/>
      <c r="DO180" s="203"/>
      <c r="DP180" s="208"/>
      <c r="DQ180" s="208"/>
      <c r="DR180" s="208"/>
      <c r="DS180" s="208"/>
      <c r="DT180" s="208"/>
      <c r="DU180" s="208"/>
      <c r="DV180" s="208"/>
      <c r="DW180" s="208"/>
      <c r="DX180" s="208"/>
      <c r="DY180" s="208"/>
      <c r="DZ180" s="208"/>
      <c r="EA180" s="208"/>
      <c r="EB180" s="208"/>
      <c r="EC180" s="208"/>
      <c r="ED180" s="208"/>
      <c r="EE180" s="208"/>
      <c r="EF180" s="208"/>
      <c r="EG180" s="208"/>
      <c r="EH180" s="208"/>
      <c r="EI180" s="208"/>
      <c r="EJ180" s="208"/>
      <c r="EK180" s="208"/>
      <c r="EL180" s="208"/>
      <c r="EM180" s="208"/>
      <c r="EN180" s="208"/>
      <c r="EO180" s="208"/>
      <c r="EP180" s="208"/>
      <c r="EQ180" s="208"/>
      <c r="ER180" s="208"/>
      <c r="ES180" s="208"/>
      <c r="ET180" s="208"/>
      <c r="EU180" s="208"/>
      <c r="EV180" s="208"/>
      <c r="EW180" s="208"/>
      <c r="EX180" s="208"/>
      <c r="EY180" s="208"/>
      <c r="EZ180" s="208">
        <v>0</v>
      </c>
      <c r="FA180" s="208">
        <v>0</v>
      </c>
      <c r="FB180" s="208">
        <v>0</v>
      </c>
      <c r="FC180" s="208"/>
      <c r="FD180" s="82"/>
      <c r="FE180" s="30"/>
    </row>
    <row r="181" spans="1:161" ht="15" hidden="1">
      <c r="A181" s="25" t="s">
        <v>649</v>
      </c>
      <c r="B181" s="232" t="s">
        <v>165</v>
      </c>
      <c r="C181" s="138"/>
      <c r="D181" s="221"/>
      <c r="E181" s="239">
        <v>1585</v>
      </c>
      <c r="F181" s="95"/>
      <c r="G181" s="95"/>
      <c r="H181" s="147" t="s">
        <v>656</v>
      </c>
      <c r="I181" s="147"/>
      <c r="J181" s="135"/>
      <c r="K181" s="135"/>
      <c r="L181" s="139"/>
      <c r="M181" s="134"/>
      <c r="N181" s="134"/>
      <c r="O181" s="134"/>
      <c r="P181" s="134"/>
      <c r="Q181" s="134"/>
      <c r="R181" s="134"/>
      <c r="S181" s="139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3"/>
      <c r="BD181" s="83"/>
      <c r="BE181" s="83"/>
      <c r="BF181" s="83"/>
      <c r="BG181" s="82"/>
      <c r="BH181" s="81"/>
      <c r="BI181" s="80"/>
      <c r="BJ181" s="25"/>
      <c r="BK181" s="25"/>
      <c r="BL181" s="25"/>
      <c r="BM181" s="84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92"/>
      <c r="DG181" s="92"/>
      <c r="DH181" s="203"/>
      <c r="DI181" s="203"/>
      <c r="DJ181" s="203"/>
      <c r="DK181" s="203"/>
      <c r="DL181" s="203"/>
      <c r="DM181" s="203"/>
      <c r="DN181" s="203"/>
      <c r="DO181" s="203"/>
      <c r="DP181" s="208"/>
      <c r="DQ181" s="208"/>
      <c r="DR181" s="208"/>
      <c r="DS181" s="208"/>
      <c r="DT181" s="208"/>
      <c r="DU181" s="208"/>
      <c r="DV181" s="208"/>
      <c r="DW181" s="208"/>
      <c r="DX181" s="208"/>
      <c r="DY181" s="208"/>
      <c r="DZ181" s="208"/>
      <c r="EA181" s="208"/>
      <c r="EB181" s="208"/>
      <c r="EC181" s="208"/>
      <c r="ED181" s="208"/>
      <c r="EE181" s="208"/>
      <c r="EF181" s="208"/>
      <c r="EG181" s="208"/>
      <c r="EH181" s="208"/>
      <c r="EI181" s="208"/>
      <c r="EJ181" s="208"/>
      <c r="EK181" s="208"/>
      <c r="EL181" s="208"/>
      <c r="EM181" s="208"/>
      <c r="EN181" s="208"/>
      <c r="EO181" s="208"/>
      <c r="EP181" s="208"/>
      <c r="EQ181" s="208"/>
      <c r="ER181" s="208"/>
      <c r="ES181" s="208"/>
      <c r="ET181" s="208"/>
      <c r="EU181" s="208"/>
      <c r="EV181" s="208"/>
      <c r="EW181" s="208"/>
      <c r="EX181" s="208"/>
      <c r="EY181" s="208"/>
      <c r="EZ181" s="208">
        <v>0</v>
      </c>
      <c r="FA181" s="208">
        <v>0</v>
      </c>
      <c r="FB181" s="208">
        <v>0</v>
      </c>
      <c r="FC181" s="208"/>
      <c r="FD181" s="82"/>
      <c r="FE181" s="30"/>
    </row>
    <row r="182" spans="1:161" ht="15">
      <c r="A182" s="25" t="s">
        <v>653</v>
      </c>
      <c r="B182" s="212" t="s">
        <v>165</v>
      </c>
      <c r="C182" s="138"/>
      <c r="D182" s="221"/>
      <c r="E182" s="239">
        <v>1795</v>
      </c>
      <c r="F182" s="95"/>
      <c r="G182" s="95"/>
      <c r="H182" s="147" t="s">
        <v>656</v>
      </c>
      <c r="I182" s="147"/>
      <c r="J182" s="135"/>
      <c r="K182" s="135"/>
      <c r="L182" s="139"/>
      <c r="M182" s="134"/>
      <c r="N182" s="134"/>
      <c r="O182" s="134"/>
      <c r="P182" s="134"/>
      <c r="Q182" s="134"/>
      <c r="R182" s="134"/>
      <c r="S182" s="139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3"/>
      <c r="BD182" s="83"/>
      <c r="BE182" s="83"/>
      <c r="BF182" s="83"/>
      <c r="BG182" s="82"/>
      <c r="BH182" s="81"/>
      <c r="BI182" s="80"/>
      <c r="BJ182" s="25"/>
      <c r="BK182" s="25"/>
      <c r="BL182" s="25"/>
      <c r="BM182" s="84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92"/>
      <c r="DG182" s="92"/>
      <c r="DH182" s="203"/>
      <c r="DI182" s="203"/>
      <c r="DJ182" s="203"/>
      <c r="DK182" s="203"/>
      <c r="DL182" s="203"/>
      <c r="DM182" s="203"/>
      <c r="DN182" s="203"/>
      <c r="DO182" s="203"/>
      <c r="DP182" s="208"/>
      <c r="DQ182" s="208"/>
      <c r="DR182" s="208"/>
      <c r="DS182" s="208"/>
      <c r="DT182" s="208"/>
      <c r="DU182" s="208"/>
      <c r="DV182" s="208"/>
      <c r="DW182" s="208"/>
      <c r="DX182" s="208"/>
      <c r="DY182" s="208"/>
      <c r="DZ182" s="208"/>
      <c r="EA182" s="208"/>
      <c r="EB182" s="208"/>
      <c r="EC182" s="208"/>
      <c r="ED182" s="208"/>
      <c r="EE182" s="208"/>
      <c r="EF182" s="208"/>
      <c r="EG182" s="208"/>
      <c r="EH182" s="208"/>
      <c r="EI182" s="208"/>
      <c r="EJ182" s="208"/>
      <c r="EK182" s="208"/>
      <c r="EL182" s="208"/>
      <c r="EM182" s="208"/>
      <c r="EN182" s="208"/>
      <c r="EO182" s="208"/>
      <c r="EP182" s="208"/>
      <c r="EQ182" s="208"/>
      <c r="ER182" s="208"/>
      <c r="ES182" s="208"/>
      <c r="ET182" s="208"/>
      <c r="EU182" s="208"/>
      <c r="EV182" s="208"/>
      <c r="EW182" s="208"/>
      <c r="EX182" s="208"/>
      <c r="EY182" s="208"/>
      <c r="EZ182" s="208">
        <v>0</v>
      </c>
      <c r="FA182" s="208">
        <v>0</v>
      </c>
      <c r="FB182" s="208">
        <v>0</v>
      </c>
      <c r="FC182" s="208"/>
      <c r="FD182" s="82"/>
      <c r="FE182" s="30"/>
    </row>
    <row r="183" spans="1:161" ht="15" hidden="1">
      <c r="A183" s="25" t="s">
        <v>650</v>
      </c>
      <c r="B183" s="212" t="s">
        <v>165</v>
      </c>
      <c r="C183" s="138"/>
      <c r="D183" s="221"/>
      <c r="E183" s="239">
        <v>1585</v>
      </c>
      <c r="F183" s="95"/>
      <c r="G183" s="95"/>
      <c r="H183" s="147" t="s">
        <v>656</v>
      </c>
      <c r="I183" s="147"/>
      <c r="J183" s="135"/>
      <c r="K183" s="135"/>
      <c r="L183" s="139"/>
      <c r="M183" s="134"/>
      <c r="N183" s="134"/>
      <c r="O183" s="134"/>
      <c r="P183" s="134"/>
      <c r="Q183" s="134"/>
      <c r="R183" s="134"/>
      <c r="S183" s="139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3"/>
      <c r="BD183" s="83"/>
      <c r="BE183" s="83"/>
      <c r="BF183" s="83"/>
      <c r="BG183" s="82"/>
      <c r="BH183" s="81"/>
      <c r="BI183" s="80"/>
      <c r="BJ183" s="25"/>
      <c r="BK183" s="25"/>
      <c r="BL183" s="25"/>
      <c r="BM183" s="84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92"/>
      <c r="DG183" s="92"/>
      <c r="DH183" s="203"/>
      <c r="DI183" s="203"/>
      <c r="DJ183" s="203"/>
      <c r="DK183" s="203"/>
      <c r="DL183" s="203"/>
      <c r="DM183" s="203"/>
      <c r="DN183" s="203"/>
      <c r="DO183" s="203"/>
      <c r="DP183" s="208"/>
      <c r="DQ183" s="208"/>
      <c r="DR183" s="208"/>
      <c r="DS183" s="208"/>
      <c r="DT183" s="208"/>
      <c r="DU183" s="208"/>
      <c r="DV183" s="208"/>
      <c r="DW183" s="208"/>
      <c r="DX183" s="208"/>
      <c r="DY183" s="208"/>
      <c r="DZ183" s="208"/>
      <c r="EA183" s="208"/>
      <c r="EB183" s="208"/>
      <c r="EC183" s="208"/>
      <c r="ED183" s="208"/>
      <c r="EE183" s="208"/>
      <c r="EF183" s="208"/>
      <c r="EG183" s="208"/>
      <c r="EH183" s="208"/>
      <c r="EI183" s="208"/>
      <c r="EJ183" s="208"/>
      <c r="EK183" s="208"/>
      <c r="EL183" s="208"/>
      <c r="EM183" s="208"/>
      <c r="EN183" s="208"/>
      <c r="EO183" s="208"/>
      <c r="EP183" s="208"/>
      <c r="EQ183" s="208"/>
      <c r="ER183" s="208"/>
      <c r="ES183" s="208"/>
      <c r="ET183" s="208"/>
      <c r="EU183" s="208"/>
      <c r="EV183" s="208"/>
      <c r="EW183" s="208"/>
      <c r="EX183" s="208"/>
      <c r="EY183" s="208"/>
      <c r="EZ183" s="208">
        <v>0</v>
      </c>
      <c r="FA183" s="208">
        <v>0</v>
      </c>
      <c r="FB183" s="208">
        <v>0</v>
      </c>
      <c r="FC183" s="208"/>
      <c r="FD183" s="82"/>
      <c r="FE183" s="30"/>
    </row>
    <row r="184" spans="1:161" ht="15">
      <c r="A184" s="25" t="s">
        <v>654</v>
      </c>
      <c r="B184" s="212" t="s">
        <v>165</v>
      </c>
      <c r="C184" s="138"/>
      <c r="D184" s="221"/>
      <c r="E184" s="239">
        <v>1795</v>
      </c>
      <c r="F184" s="95"/>
      <c r="G184" s="95"/>
      <c r="H184" s="147" t="s">
        <v>656</v>
      </c>
      <c r="I184" s="147"/>
      <c r="J184" s="135"/>
      <c r="K184" s="135"/>
      <c r="L184" s="139"/>
      <c r="M184" s="134"/>
      <c r="N184" s="134"/>
      <c r="O184" s="134"/>
      <c r="P184" s="134"/>
      <c r="Q184" s="134"/>
      <c r="R184" s="134"/>
      <c r="S184" s="139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3"/>
      <c r="BD184" s="83"/>
      <c r="BE184" s="83"/>
      <c r="BF184" s="83"/>
      <c r="BG184" s="82"/>
      <c r="BH184" s="81"/>
      <c r="BI184" s="80"/>
      <c r="BJ184" s="25"/>
      <c r="BK184" s="25"/>
      <c r="BL184" s="25"/>
      <c r="BM184" s="84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92"/>
      <c r="DG184" s="92"/>
      <c r="DH184" s="203"/>
      <c r="DI184" s="203"/>
      <c r="DJ184" s="203"/>
      <c r="DK184" s="203"/>
      <c r="DL184" s="203"/>
      <c r="DM184" s="203"/>
      <c r="DN184" s="203"/>
      <c r="DO184" s="203"/>
      <c r="DP184" s="208"/>
      <c r="DQ184" s="208"/>
      <c r="DR184" s="208"/>
      <c r="DS184" s="208"/>
      <c r="DT184" s="208"/>
      <c r="DU184" s="208"/>
      <c r="DV184" s="208"/>
      <c r="DW184" s="208"/>
      <c r="DX184" s="208"/>
      <c r="DY184" s="208"/>
      <c r="DZ184" s="208"/>
      <c r="EA184" s="208"/>
      <c r="EB184" s="208"/>
      <c r="EC184" s="208"/>
      <c r="ED184" s="208"/>
      <c r="EE184" s="208"/>
      <c r="EF184" s="208"/>
      <c r="EG184" s="208"/>
      <c r="EH184" s="208"/>
      <c r="EI184" s="208"/>
      <c r="EJ184" s="208"/>
      <c r="EK184" s="208"/>
      <c r="EL184" s="208"/>
      <c r="EM184" s="208"/>
      <c r="EN184" s="208"/>
      <c r="EO184" s="208"/>
      <c r="EP184" s="208"/>
      <c r="EQ184" s="208"/>
      <c r="ER184" s="208"/>
      <c r="ES184" s="208"/>
      <c r="ET184" s="208"/>
      <c r="EU184" s="208"/>
      <c r="EV184" s="208"/>
      <c r="EW184" s="208"/>
      <c r="EX184" s="208"/>
      <c r="EY184" s="208"/>
      <c r="EZ184" s="208">
        <v>0</v>
      </c>
      <c r="FA184" s="208">
        <v>0</v>
      </c>
      <c r="FB184" s="208">
        <v>0</v>
      </c>
      <c r="FC184" s="208"/>
      <c r="FD184" s="82"/>
      <c r="FE184" s="30"/>
    </row>
    <row r="185" spans="1:161" ht="15">
      <c r="A185" s="25" t="s">
        <v>655</v>
      </c>
      <c r="B185" s="212" t="s">
        <v>165</v>
      </c>
      <c r="C185" s="138"/>
      <c r="D185" s="221"/>
      <c r="E185" s="239">
        <v>1795</v>
      </c>
      <c r="F185" s="95"/>
      <c r="G185" s="95"/>
      <c r="H185" s="147" t="s">
        <v>656</v>
      </c>
      <c r="I185" s="147"/>
      <c r="J185" s="135"/>
      <c r="K185" s="135"/>
      <c r="L185" s="139"/>
      <c r="M185" s="134"/>
      <c r="N185" s="134"/>
      <c r="O185" s="134"/>
      <c r="P185" s="134"/>
      <c r="Q185" s="134"/>
      <c r="R185" s="134"/>
      <c r="S185" s="139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3"/>
      <c r="BD185" s="83"/>
      <c r="BE185" s="83"/>
      <c r="BF185" s="83"/>
      <c r="BG185" s="82"/>
      <c r="BH185" s="81"/>
      <c r="BI185" s="80"/>
      <c r="BJ185" s="25"/>
      <c r="BK185" s="25"/>
      <c r="BL185" s="25"/>
      <c r="BM185" s="84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92"/>
      <c r="DG185" s="92"/>
      <c r="DH185" s="203"/>
      <c r="DI185" s="203"/>
      <c r="DJ185" s="203"/>
      <c r="DK185" s="203"/>
      <c r="DL185" s="203"/>
      <c r="DM185" s="203"/>
      <c r="DN185" s="203"/>
      <c r="DO185" s="203"/>
      <c r="DP185" s="208"/>
      <c r="DQ185" s="208"/>
      <c r="DR185" s="208"/>
      <c r="DS185" s="208"/>
      <c r="DT185" s="208"/>
      <c r="DU185" s="208"/>
      <c r="DV185" s="208"/>
      <c r="DW185" s="208"/>
      <c r="DX185" s="208"/>
      <c r="DY185" s="208"/>
      <c r="DZ185" s="208"/>
      <c r="EA185" s="208"/>
      <c r="EB185" s="208"/>
      <c r="EC185" s="208"/>
      <c r="ED185" s="208"/>
      <c r="EE185" s="208"/>
      <c r="EF185" s="208"/>
      <c r="EG185" s="208"/>
      <c r="EH185" s="208"/>
      <c r="EI185" s="208"/>
      <c r="EJ185" s="208"/>
      <c r="EK185" s="208"/>
      <c r="EL185" s="208"/>
      <c r="EM185" s="208"/>
      <c r="EN185" s="208"/>
      <c r="EO185" s="208"/>
      <c r="EP185" s="208"/>
      <c r="EQ185" s="208"/>
      <c r="ER185" s="208"/>
      <c r="ES185" s="208"/>
      <c r="ET185" s="208"/>
      <c r="EU185" s="208"/>
      <c r="EV185" s="208"/>
      <c r="EW185" s="208"/>
      <c r="EX185" s="208"/>
      <c r="EY185" s="208"/>
      <c r="EZ185" s="208">
        <v>0</v>
      </c>
      <c r="FA185" s="208">
        <v>0</v>
      </c>
      <c r="FB185" s="208">
        <v>0</v>
      </c>
      <c r="FC185" s="208"/>
      <c r="FD185" s="82"/>
      <c r="FE185" s="30"/>
    </row>
    <row r="186" spans="1:161" ht="15" hidden="1">
      <c r="A186" s="25" t="s">
        <v>651</v>
      </c>
      <c r="B186" s="212" t="s">
        <v>165</v>
      </c>
      <c r="C186" s="138"/>
      <c r="D186" s="221"/>
      <c r="E186" s="239">
        <v>1585</v>
      </c>
      <c r="F186" s="95"/>
      <c r="G186" s="95"/>
      <c r="H186" s="147" t="s">
        <v>656</v>
      </c>
      <c r="I186" s="147"/>
      <c r="J186" s="135"/>
      <c r="K186" s="135"/>
      <c r="L186" s="139"/>
      <c r="M186" s="134"/>
      <c r="N186" s="134"/>
      <c r="O186" s="134"/>
      <c r="P186" s="134"/>
      <c r="Q186" s="134"/>
      <c r="R186" s="134"/>
      <c r="S186" s="139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3"/>
      <c r="BD186" s="83"/>
      <c r="BE186" s="83"/>
      <c r="BF186" s="83"/>
      <c r="BG186" s="82"/>
      <c r="BH186" s="81"/>
      <c r="BI186" s="80"/>
      <c r="BJ186" s="25"/>
      <c r="BK186" s="25"/>
      <c r="BL186" s="25"/>
      <c r="BM186" s="84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92"/>
      <c r="DG186" s="92"/>
      <c r="DH186" s="203"/>
      <c r="DI186" s="203"/>
      <c r="DJ186" s="203"/>
      <c r="DK186" s="203"/>
      <c r="DL186" s="203"/>
      <c r="DM186" s="203"/>
      <c r="DN186" s="203"/>
      <c r="DO186" s="203"/>
      <c r="DP186" s="208"/>
      <c r="DQ186" s="208"/>
      <c r="DR186" s="208"/>
      <c r="DS186" s="208"/>
      <c r="DT186" s="208"/>
      <c r="DU186" s="208"/>
      <c r="DV186" s="208"/>
      <c r="DW186" s="208"/>
      <c r="DX186" s="208"/>
      <c r="DY186" s="208"/>
      <c r="DZ186" s="208"/>
      <c r="EA186" s="208"/>
      <c r="EB186" s="208"/>
      <c r="EC186" s="208"/>
      <c r="ED186" s="208"/>
      <c r="EE186" s="208"/>
      <c r="EF186" s="208"/>
      <c r="EG186" s="208"/>
      <c r="EH186" s="208"/>
      <c r="EI186" s="208"/>
      <c r="EJ186" s="208"/>
      <c r="EK186" s="208"/>
      <c r="EL186" s="208"/>
      <c r="EM186" s="208"/>
      <c r="EN186" s="208"/>
      <c r="EO186" s="208"/>
      <c r="EP186" s="208"/>
      <c r="EQ186" s="208"/>
      <c r="ER186" s="208"/>
      <c r="ES186" s="208"/>
      <c r="ET186" s="208"/>
      <c r="EU186" s="208"/>
      <c r="EV186" s="208"/>
      <c r="EW186" s="208"/>
      <c r="EX186" s="208"/>
      <c r="EY186" s="208"/>
      <c r="EZ186" s="208">
        <v>0</v>
      </c>
      <c r="FA186" s="208">
        <v>0</v>
      </c>
      <c r="FB186" s="208">
        <v>0</v>
      </c>
      <c r="FC186" s="208"/>
      <c r="FD186" s="82"/>
      <c r="FE186" s="30"/>
    </row>
    <row r="187" spans="1:161" ht="15" hidden="1">
      <c r="A187" s="25" t="s">
        <v>652</v>
      </c>
      <c r="B187" s="212" t="s">
        <v>165</v>
      </c>
      <c r="C187" s="138"/>
      <c r="D187" s="221"/>
      <c r="E187" s="239">
        <v>1585</v>
      </c>
      <c r="F187" s="95"/>
      <c r="G187" s="95"/>
      <c r="H187" s="147" t="s">
        <v>656</v>
      </c>
      <c r="I187" s="147"/>
      <c r="J187" s="135"/>
      <c r="K187" s="135"/>
      <c r="L187" s="139"/>
      <c r="M187" s="134"/>
      <c r="N187" s="134"/>
      <c r="O187" s="134"/>
      <c r="P187" s="134"/>
      <c r="Q187" s="134"/>
      <c r="R187" s="134"/>
      <c r="S187" s="139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3"/>
      <c r="BD187" s="83"/>
      <c r="BE187" s="83"/>
      <c r="BF187" s="83"/>
      <c r="BG187" s="82"/>
      <c r="BH187" s="81"/>
      <c r="BI187" s="80"/>
      <c r="BJ187" s="25"/>
      <c r="BK187" s="25"/>
      <c r="BL187" s="25"/>
      <c r="BM187" s="84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92"/>
      <c r="DG187" s="92"/>
      <c r="DH187" s="203"/>
      <c r="DI187" s="203"/>
      <c r="DJ187" s="203"/>
      <c r="DK187" s="203"/>
      <c r="DL187" s="203"/>
      <c r="DM187" s="203"/>
      <c r="DN187" s="203"/>
      <c r="DO187" s="203"/>
      <c r="DP187" s="208"/>
      <c r="DQ187" s="208"/>
      <c r="DR187" s="208"/>
      <c r="DS187" s="208"/>
      <c r="DT187" s="208"/>
      <c r="DU187" s="208"/>
      <c r="DV187" s="208"/>
      <c r="DW187" s="208"/>
      <c r="DX187" s="208"/>
      <c r="DY187" s="208"/>
      <c r="DZ187" s="208"/>
      <c r="EA187" s="208"/>
      <c r="EB187" s="208"/>
      <c r="EC187" s="208"/>
      <c r="ED187" s="208"/>
      <c r="EE187" s="208"/>
      <c r="EF187" s="208"/>
      <c r="EG187" s="208"/>
      <c r="EH187" s="208"/>
      <c r="EI187" s="208"/>
      <c r="EJ187" s="208"/>
      <c r="EK187" s="208"/>
      <c r="EL187" s="208"/>
      <c r="EM187" s="208"/>
      <c r="EN187" s="208"/>
      <c r="EO187" s="208"/>
      <c r="EP187" s="208"/>
      <c r="EQ187" s="208"/>
      <c r="ER187" s="208"/>
      <c r="ES187" s="208"/>
      <c r="ET187" s="208"/>
      <c r="EU187" s="208"/>
      <c r="EV187" s="208"/>
      <c r="EW187" s="208"/>
      <c r="EX187" s="208"/>
      <c r="EY187" s="208"/>
      <c r="EZ187" s="208">
        <v>0</v>
      </c>
      <c r="FA187" s="208">
        <v>0</v>
      </c>
      <c r="FB187" s="208">
        <v>0</v>
      </c>
      <c r="FC187" s="208"/>
      <c r="FD187" s="82"/>
      <c r="FE187" s="30"/>
    </row>
    <row r="188" spans="1:161" ht="15" hidden="1">
      <c r="A188" s="25" t="s">
        <v>591</v>
      </c>
      <c r="B188" s="212" t="s">
        <v>158</v>
      </c>
      <c r="C188" s="138"/>
      <c r="D188" s="221"/>
      <c r="E188" s="239">
        <v>1380</v>
      </c>
      <c r="F188" s="95"/>
      <c r="G188" s="95"/>
      <c r="H188" s="147" t="s">
        <v>656</v>
      </c>
      <c r="I188" s="147"/>
      <c r="J188" s="135"/>
      <c r="K188" s="135"/>
      <c r="L188" s="139"/>
      <c r="M188" s="134"/>
      <c r="N188" s="134"/>
      <c r="O188" s="134"/>
      <c r="P188" s="134"/>
      <c r="Q188" s="134"/>
      <c r="R188" s="134"/>
      <c r="S188" s="139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3"/>
      <c r="BD188" s="83"/>
      <c r="BE188" s="83"/>
      <c r="BF188" s="83"/>
      <c r="BG188" s="82"/>
      <c r="BH188" s="81"/>
      <c r="BI188" s="80"/>
      <c r="BJ188" s="25"/>
      <c r="BK188" s="25"/>
      <c r="BL188" s="25"/>
      <c r="BM188" s="84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92"/>
      <c r="DG188" s="92"/>
      <c r="DH188" s="203"/>
      <c r="DI188" s="203"/>
      <c r="DJ188" s="203"/>
      <c r="DK188" s="203"/>
      <c r="DL188" s="203"/>
      <c r="DM188" s="203"/>
      <c r="DN188" s="203"/>
      <c r="DO188" s="203"/>
      <c r="DP188" s="208"/>
      <c r="DQ188" s="208"/>
      <c r="DR188" s="208"/>
      <c r="DS188" s="208"/>
      <c r="DT188" s="208"/>
      <c r="DU188" s="208"/>
      <c r="DV188" s="208"/>
      <c r="DW188" s="208"/>
      <c r="DX188" s="208"/>
      <c r="DY188" s="208"/>
      <c r="DZ188" s="208"/>
      <c r="EA188" s="208"/>
      <c r="EB188" s="208"/>
      <c r="EC188" s="208"/>
      <c r="ED188" s="208"/>
      <c r="EE188" s="208"/>
      <c r="EF188" s="208"/>
      <c r="EG188" s="208"/>
      <c r="EH188" s="208"/>
      <c r="EI188" s="208"/>
      <c r="EJ188" s="208"/>
      <c r="EK188" s="208"/>
      <c r="EL188" s="208"/>
      <c r="EM188" s="208"/>
      <c r="EN188" s="208"/>
      <c r="EO188" s="208"/>
      <c r="EP188" s="208"/>
      <c r="EQ188" s="208"/>
      <c r="ER188" s="208"/>
      <c r="ES188" s="208"/>
      <c r="ET188" s="208"/>
      <c r="EU188" s="208"/>
      <c r="EV188" s="208"/>
      <c r="EW188" s="208"/>
      <c r="EX188" s="208"/>
      <c r="EY188" s="208"/>
      <c r="EZ188" s="208">
        <v>0</v>
      </c>
      <c r="FA188" s="208">
        <v>0</v>
      </c>
      <c r="FB188" s="208">
        <v>0</v>
      </c>
      <c r="FC188" s="208"/>
      <c r="FD188" s="82"/>
      <c r="FE188" s="30"/>
    </row>
    <row r="189" spans="1:161" ht="15" hidden="1">
      <c r="A189" s="25" t="s">
        <v>584</v>
      </c>
      <c r="B189" s="212" t="s">
        <v>158</v>
      </c>
      <c r="C189" s="138"/>
      <c r="D189" s="221"/>
      <c r="E189" s="239">
        <v>1155</v>
      </c>
      <c r="F189" s="95"/>
      <c r="G189" s="95"/>
      <c r="H189" s="147" t="s">
        <v>656</v>
      </c>
      <c r="I189" s="147"/>
      <c r="J189" s="135"/>
      <c r="K189" s="135"/>
      <c r="L189" s="139"/>
      <c r="M189" s="134"/>
      <c r="N189" s="134"/>
      <c r="O189" s="134"/>
      <c r="P189" s="134"/>
      <c r="Q189" s="134"/>
      <c r="R189" s="134"/>
      <c r="S189" s="139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3"/>
      <c r="BD189" s="83"/>
      <c r="BE189" s="83"/>
      <c r="BF189" s="83"/>
      <c r="BG189" s="82"/>
      <c r="BH189" s="81"/>
      <c r="BI189" s="80"/>
      <c r="BJ189" s="25"/>
      <c r="BK189" s="25"/>
      <c r="BL189" s="25"/>
      <c r="BM189" s="84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92"/>
      <c r="DG189" s="92"/>
      <c r="DH189" s="203"/>
      <c r="DI189" s="203"/>
      <c r="DJ189" s="203"/>
      <c r="DK189" s="203"/>
      <c r="DL189" s="203"/>
      <c r="DM189" s="203"/>
      <c r="DN189" s="203"/>
      <c r="DO189" s="203"/>
      <c r="DP189" s="208"/>
      <c r="DQ189" s="208"/>
      <c r="DR189" s="208"/>
      <c r="DS189" s="208"/>
      <c r="DT189" s="208"/>
      <c r="DU189" s="208"/>
      <c r="DV189" s="208"/>
      <c r="DW189" s="208"/>
      <c r="DX189" s="208"/>
      <c r="DY189" s="208"/>
      <c r="DZ189" s="208"/>
      <c r="EA189" s="208"/>
      <c r="EB189" s="208"/>
      <c r="EC189" s="208"/>
      <c r="ED189" s="208"/>
      <c r="EE189" s="208"/>
      <c r="EF189" s="208"/>
      <c r="EG189" s="208"/>
      <c r="EH189" s="208"/>
      <c r="EI189" s="208"/>
      <c r="EJ189" s="208"/>
      <c r="EK189" s="208"/>
      <c r="EL189" s="208"/>
      <c r="EM189" s="208"/>
      <c r="EN189" s="208"/>
      <c r="EO189" s="208"/>
      <c r="EP189" s="208"/>
      <c r="EQ189" s="208"/>
      <c r="ER189" s="208"/>
      <c r="ES189" s="208"/>
      <c r="ET189" s="208"/>
      <c r="EU189" s="208"/>
      <c r="EV189" s="208"/>
      <c r="EW189" s="208"/>
      <c r="EX189" s="208"/>
      <c r="EY189" s="208"/>
      <c r="EZ189" s="208">
        <v>0</v>
      </c>
      <c r="FA189" s="208">
        <v>0</v>
      </c>
      <c r="FB189" s="208">
        <v>0</v>
      </c>
      <c r="FC189" s="208"/>
      <c r="FD189" s="82"/>
      <c r="FE189" s="30"/>
    </row>
    <row r="190" spans="1:161" ht="15" hidden="1">
      <c r="A190" s="25" t="s">
        <v>159</v>
      </c>
      <c r="B190" s="232" t="s">
        <v>158</v>
      </c>
      <c r="C190" s="138"/>
      <c r="D190" s="221"/>
      <c r="E190" s="239">
        <v>1380</v>
      </c>
      <c r="F190" s="95"/>
      <c r="G190" s="95"/>
      <c r="H190" s="147" t="s">
        <v>656</v>
      </c>
      <c r="I190" s="147"/>
      <c r="J190" s="135"/>
      <c r="K190" s="135"/>
      <c r="L190" s="139"/>
      <c r="M190" s="134"/>
      <c r="N190" s="134"/>
      <c r="O190" s="134"/>
      <c r="P190" s="134"/>
      <c r="Q190" s="134"/>
      <c r="R190" s="134"/>
      <c r="S190" s="139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3"/>
      <c r="BD190" s="83"/>
      <c r="BE190" s="83"/>
      <c r="BF190" s="83"/>
      <c r="BG190" s="82"/>
      <c r="BH190" s="81"/>
      <c r="BI190" s="80"/>
      <c r="BJ190" s="25"/>
      <c r="BK190" s="25"/>
      <c r="BL190" s="25"/>
      <c r="BM190" s="84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92"/>
      <c r="DG190" s="92"/>
      <c r="DH190" s="203"/>
      <c r="DI190" s="203"/>
      <c r="DJ190" s="203"/>
      <c r="DK190" s="203"/>
      <c r="DL190" s="203"/>
      <c r="DM190" s="203"/>
      <c r="DN190" s="203"/>
      <c r="DO190" s="203"/>
      <c r="DP190" s="208"/>
      <c r="DQ190" s="208"/>
      <c r="DR190" s="208"/>
      <c r="DS190" s="208"/>
      <c r="DT190" s="208"/>
      <c r="DU190" s="208"/>
      <c r="DV190" s="208"/>
      <c r="DW190" s="208"/>
      <c r="DX190" s="208"/>
      <c r="DY190" s="208"/>
      <c r="DZ190" s="208"/>
      <c r="EA190" s="208"/>
      <c r="EB190" s="208"/>
      <c r="EC190" s="208"/>
      <c r="ED190" s="208"/>
      <c r="EE190" s="208"/>
      <c r="EF190" s="208"/>
      <c r="EG190" s="208"/>
      <c r="EH190" s="208"/>
      <c r="EI190" s="208"/>
      <c r="EJ190" s="208"/>
      <c r="EK190" s="208"/>
      <c r="EL190" s="208"/>
      <c r="EM190" s="208"/>
      <c r="EN190" s="208"/>
      <c r="EO190" s="208"/>
      <c r="EP190" s="208"/>
      <c r="EQ190" s="208"/>
      <c r="ER190" s="208"/>
      <c r="ES190" s="208"/>
      <c r="ET190" s="208"/>
      <c r="EU190" s="208"/>
      <c r="EV190" s="208"/>
      <c r="EW190" s="208"/>
      <c r="EX190" s="208"/>
      <c r="EY190" s="208"/>
      <c r="EZ190" s="208">
        <v>0</v>
      </c>
      <c r="FA190" s="208">
        <v>0</v>
      </c>
      <c r="FB190" s="208">
        <v>0</v>
      </c>
      <c r="FC190" s="208"/>
      <c r="FD190" s="82"/>
      <c r="FE190" s="30"/>
    </row>
    <row r="191" spans="1:161" ht="15" hidden="1">
      <c r="A191" s="25" t="s">
        <v>161</v>
      </c>
      <c r="B191" s="232" t="s">
        <v>158</v>
      </c>
      <c r="C191" s="138"/>
      <c r="D191" s="221"/>
      <c r="E191" s="239">
        <v>1155</v>
      </c>
      <c r="F191" s="95"/>
      <c r="G191" s="95"/>
      <c r="H191" s="147" t="s">
        <v>656</v>
      </c>
      <c r="I191" s="147"/>
      <c r="J191" s="135"/>
      <c r="K191" s="135"/>
      <c r="L191" s="139"/>
      <c r="M191" s="134"/>
      <c r="N191" s="134"/>
      <c r="O191" s="134"/>
      <c r="P191" s="134"/>
      <c r="Q191" s="134"/>
      <c r="R191" s="134"/>
      <c r="S191" s="139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3"/>
      <c r="BD191" s="83"/>
      <c r="BE191" s="83"/>
      <c r="BF191" s="83"/>
      <c r="BG191" s="82"/>
      <c r="BH191" s="81"/>
      <c r="BI191" s="80"/>
      <c r="BJ191" s="25"/>
      <c r="BK191" s="25"/>
      <c r="BL191" s="25"/>
      <c r="BM191" s="84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92"/>
      <c r="DG191" s="92"/>
      <c r="DH191" s="203"/>
      <c r="DI191" s="203"/>
      <c r="DJ191" s="203"/>
      <c r="DK191" s="203"/>
      <c r="DL191" s="203"/>
      <c r="DM191" s="203"/>
      <c r="DN191" s="203"/>
      <c r="DO191" s="203"/>
      <c r="DP191" s="208"/>
      <c r="DQ191" s="208"/>
      <c r="DR191" s="208"/>
      <c r="DS191" s="208"/>
      <c r="DT191" s="208"/>
      <c r="DU191" s="208"/>
      <c r="DV191" s="208"/>
      <c r="DW191" s="208"/>
      <c r="DX191" s="208"/>
      <c r="DY191" s="208"/>
      <c r="DZ191" s="208"/>
      <c r="EA191" s="208"/>
      <c r="EB191" s="208"/>
      <c r="EC191" s="208"/>
      <c r="ED191" s="208"/>
      <c r="EE191" s="208"/>
      <c r="EF191" s="208"/>
      <c r="EG191" s="208"/>
      <c r="EH191" s="208"/>
      <c r="EI191" s="208"/>
      <c r="EJ191" s="208"/>
      <c r="EK191" s="208"/>
      <c r="EL191" s="208"/>
      <c r="EM191" s="208"/>
      <c r="EN191" s="208"/>
      <c r="EO191" s="208"/>
      <c r="EP191" s="208"/>
      <c r="EQ191" s="208"/>
      <c r="ER191" s="208"/>
      <c r="ES191" s="208"/>
      <c r="ET191" s="208"/>
      <c r="EU191" s="208"/>
      <c r="EV191" s="208"/>
      <c r="EW191" s="208"/>
      <c r="EX191" s="208"/>
      <c r="EY191" s="208"/>
      <c r="EZ191" s="208">
        <v>0</v>
      </c>
      <c r="FA191" s="208">
        <v>0</v>
      </c>
      <c r="FB191" s="208">
        <v>0</v>
      </c>
      <c r="FC191" s="208"/>
      <c r="FD191" s="82"/>
      <c r="FE191" s="30"/>
    </row>
    <row r="192" spans="1:161" ht="15" hidden="1">
      <c r="A192" s="25" t="s">
        <v>162</v>
      </c>
      <c r="B192" s="232" t="s">
        <v>158</v>
      </c>
      <c r="C192" s="138"/>
      <c r="D192" s="221"/>
      <c r="E192" s="239">
        <v>1155</v>
      </c>
      <c r="F192" s="95"/>
      <c r="G192" s="95"/>
      <c r="H192" s="147" t="s">
        <v>656</v>
      </c>
      <c r="I192" s="147"/>
      <c r="J192" s="135"/>
      <c r="K192" s="135"/>
      <c r="L192" s="139"/>
      <c r="M192" s="134"/>
      <c r="N192" s="134"/>
      <c r="O192" s="134"/>
      <c r="P192" s="134"/>
      <c r="Q192" s="134"/>
      <c r="R192" s="134"/>
      <c r="S192" s="139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3"/>
      <c r="BD192" s="83"/>
      <c r="BE192" s="83"/>
      <c r="BF192" s="83"/>
      <c r="BG192" s="82"/>
      <c r="BH192" s="81"/>
      <c r="BI192" s="80"/>
      <c r="BJ192" s="25"/>
      <c r="BK192" s="25"/>
      <c r="BL192" s="25"/>
      <c r="BM192" s="84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92"/>
      <c r="DG192" s="92"/>
      <c r="DH192" s="203"/>
      <c r="DI192" s="203"/>
      <c r="DJ192" s="203"/>
      <c r="DK192" s="203"/>
      <c r="DL192" s="203"/>
      <c r="DM192" s="203"/>
      <c r="DN192" s="203"/>
      <c r="DO192" s="203"/>
      <c r="DP192" s="208"/>
      <c r="DQ192" s="208"/>
      <c r="DR192" s="208"/>
      <c r="DS192" s="208"/>
      <c r="DT192" s="208"/>
      <c r="DU192" s="208"/>
      <c r="DV192" s="208"/>
      <c r="DW192" s="208"/>
      <c r="DX192" s="208"/>
      <c r="DY192" s="208"/>
      <c r="DZ192" s="208"/>
      <c r="EA192" s="208"/>
      <c r="EB192" s="208"/>
      <c r="EC192" s="208"/>
      <c r="ED192" s="208"/>
      <c r="EE192" s="208"/>
      <c r="EF192" s="208"/>
      <c r="EG192" s="208"/>
      <c r="EH192" s="208"/>
      <c r="EI192" s="208"/>
      <c r="EJ192" s="208"/>
      <c r="EK192" s="208"/>
      <c r="EL192" s="208"/>
      <c r="EM192" s="208"/>
      <c r="EN192" s="208"/>
      <c r="EO192" s="208"/>
      <c r="EP192" s="208"/>
      <c r="EQ192" s="208"/>
      <c r="ER192" s="208"/>
      <c r="ES192" s="208"/>
      <c r="ET192" s="208"/>
      <c r="EU192" s="208"/>
      <c r="EV192" s="208"/>
      <c r="EW192" s="208"/>
      <c r="EX192" s="208"/>
      <c r="EY192" s="208"/>
      <c r="EZ192" s="208">
        <v>0</v>
      </c>
      <c r="FA192" s="208">
        <v>0</v>
      </c>
      <c r="FB192" s="208">
        <v>0</v>
      </c>
      <c r="FC192" s="208"/>
      <c r="FD192" s="82"/>
      <c r="FE192" s="30"/>
    </row>
    <row r="193" spans="1:161" ht="15" hidden="1">
      <c r="A193" s="25" t="s">
        <v>593</v>
      </c>
      <c r="B193" s="232" t="s">
        <v>158</v>
      </c>
      <c r="C193" s="233"/>
      <c r="D193" s="221"/>
      <c r="E193" s="239">
        <v>1380</v>
      </c>
      <c r="F193" s="95"/>
      <c r="G193" s="95"/>
      <c r="H193" s="147" t="s">
        <v>656</v>
      </c>
      <c r="I193" s="147"/>
      <c r="J193" s="135"/>
      <c r="K193" s="135"/>
      <c r="L193" s="139"/>
      <c r="M193" s="134"/>
      <c r="N193" s="134"/>
      <c r="O193" s="134"/>
      <c r="P193" s="134"/>
      <c r="Q193" s="134"/>
      <c r="R193" s="134"/>
      <c r="S193" s="139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3"/>
      <c r="BD193" s="83"/>
      <c r="BE193" s="83"/>
      <c r="BF193" s="83"/>
      <c r="BG193" s="82"/>
      <c r="BH193" s="81"/>
      <c r="BI193" s="80"/>
      <c r="BJ193" s="25"/>
      <c r="BK193" s="25"/>
      <c r="BL193" s="25"/>
      <c r="BM193" s="84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92"/>
      <c r="DG193" s="92"/>
      <c r="DH193" s="203"/>
      <c r="DI193" s="203"/>
      <c r="DJ193" s="203"/>
      <c r="DK193" s="203"/>
      <c r="DL193" s="203"/>
      <c r="DM193" s="203"/>
      <c r="DN193" s="203"/>
      <c r="DO193" s="203"/>
      <c r="DP193" s="208"/>
      <c r="DQ193" s="208"/>
      <c r="DR193" s="208"/>
      <c r="DS193" s="208"/>
      <c r="DT193" s="208"/>
      <c r="DU193" s="208"/>
      <c r="DV193" s="208"/>
      <c r="DW193" s="208"/>
      <c r="DX193" s="208"/>
      <c r="DY193" s="208"/>
      <c r="DZ193" s="208"/>
      <c r="EA193" s="208"/>
      <c r="EB193" s="208"/>
      <c r="EC193" s="208"/>
      <c r="ED193" s="208"/>
      <c r="EE193" s="208"/>
      <c r="EF193" s="208"/>
      <c r="EG193" s="208"/>
      <c r="EH193" s="208"/>
      <c r="EI193" s="208"/>
      <c r="EJ193" s="208"/>
      <c r="EK193" s="208"/>
      <c r="EL193" s="208"/>
      <c r="EM193" s="208"/>
      <c r="EN193" s="208"/>
      <c r="EO193" s="208"/>
      <c r="EP193" s="208"/>
      <c r="EQ193" s="208"/>
      <c r="ER193" s="208"/>
      <c r="ES193" s="208"/>
      <c r="ET193" s="208"/>
      <c r="EU193" s="208"/>
      <c r="EV193" s="208"/>
      <c r="EW193" s="208"/>
      <c r="EX193" s="208"/>
      <c r="EY193" s="208"/>
      <c r="EZ193" s="208">
        <v>0</v>
      </c>
      <c r="FA193" s="208">
        <v>0</v>
      </c>
      <c r="FB193" s="208">
        <v>0</v>
      </c>
      <c r="FC193" s="208"/>
      <c r="FD193" s="82"/>
      <c r="FE193" s="30"/>
    </row>
    <row r="194" spans="1:161" ht="15" hidden="1">
      <c r="A194" s="25" t="s">
        <v>589</v>
      </c>
      <c r="B194" s="232" t="s">
        <v>158</v>
      </c>
      <c r="C194" s="138"/>
      <c r="D194" s="221"/>
      <c r="E194" s="239">
        <v>1155</v>
      </c>
      <c r="F194" s="95"/>
      <c r="G194" s="95"/>
      <c r="H194" s="147" t="s">
        <v>656</v>
      </c>
      <c r="I194" s="147"/>
      <c r="J194" s="135"/>
      <c r="K194" s="135"/>
      <c r="L194" s="139"/>
      <c r="M194" s="134"/>
      <c r="N194" s="134"/>
      <c r="O194" s="134"/>
      <c r="P194" s="134"/>
      <c r="Q194" s="134"/>
      <c r="R194" s="134"/>
      <c r="S194" s="139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3"/>
      <c r="BD194" s="83"/>
      <c r="BE194" s="83"/>
      <c r="BF194" s="83"/>
      <c r="BG194" s="82"/>
      <c r="BH194" s="81"/>
      <c r="BI194" s="80"/>
      <c r="BJ194" s="25"/>
      <c r="BK194" s="25"/>
      <c r="BL194" s="25"/>
      <c r="BM194" s="84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92"/>
      <c r="DG194" s="92"/>
      <c r="DH194" s="203"/>
      <c r="DI194" s="203"/>
      <c r="DJ194" s="203"/>
      <c r="DK194" s="203"/>
      <c r="DL194" s="203"/>
      <c r="DM194" s="203"/>
      <c r="DN194" s="203"/>
      <c r="DO194" s="203"/>
      <c r="DP194" s="208"/>
      <c r="DQ194" s="208"/>
      <c r="DR194" s="208"/>
      <c r="DS194" s="208"/>
      <c r="DT194" s="208"/>
      <c r="DU194" s="208"/>
      <c r="DV194" s="208"/>
      <c r="DW194" s="208"/>
      <c r="DX194" s="208"/>
      <c r="DY194" s="208"/>
      <c r="DZ194" s="208"/>
      <c r="EA194" s="208"/>
      <c r="EB194" s="208"/>
      <c r="EC194" s="208"/>
      <c r="ED194" s="208"/>
      <c r="EE194" s="208"/>
      <c r="EF194" s="208"/>
      <c r="EG194" s="208"/>
      <c r="EH194" s="208"/>
      <c r="EI194" s="208"/>
      <c r="EJ194" s="208"/>
      <c r="EK194" s="208"/>
      <c r="EL194" s="208"/>
      <c r="EM194" s="208"/>
      <c r="EN194" s="208"/>
      <c r="EO194" s="208"/>
      <c r="EP194" s="208"/>
      <c r="EQ194" s="208"/>
      <c r="ER194" s="208"/>
      <c r="ES194" s="208"/>
      <c r="ET194" s="208"/>
      <c r="EU194" s="208"/>
      <c r="EV194" s="208"/>
      <c r="EW194" s="208"/>
      <c r="EX194" s="208"/>
      <c r="EY194" s="208"/>
      <c r="EZ194" s="208">
        <v>0</v>
      </c>
      <c r="FA194" s="208">
        <v>0</v>
      </c>
      <c r="FB194" s="208">
        <v>0</v>
      </c>
      <c r="FC194" s="208"/>
      <c r="FD194" s="82"/>
      <c r="FE194" s="30"/>
    </row>
    <row r="195" spans="1:161" ht="15" hidden="1">
      <c r="A195" s="25" t="s">
        <v>163</v>
      </c>
      <c r="B195" s="232" t="s">
        <v>158</v>
      </c>
      <c r="C195" s="138"/>
      <c r="D195" s="221"/>
      <c r="E195" s="239">
        <v>1155</v>
      </c>
      <c r="F195" s="95"/>
      <c r="G195" s="95"/>
      <c r="H195" s="147" t="s">
        <v>656</v>
      </c>
      <c r="I195" s="147"/>
      <c r="J195" s="135"/>
      <c r="K195" s="135"/>
      <c r="L195" s="139"/>
      <c r="M195" s="134"/>
      <c r="N195" s="134"/>
      <c r="O195" s="134"/>
      <c r="P195" s="134"/>
      <c r="Q195" s="134"/>
      <c r="R195" s="134"/>
      <c r="S195" s="139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3"/>
      <c r="BD195" s="83"/>
      <c r="BE195" s="83"/>
      <c r="BF195" s="83"/>
      <c r="BG195" s="82"/>
      <c r="BH195" s="81"/>
      <c r="BI195" s="80"/>
      <c r="BJ195" s="25"/>
      <c r="BK195" s="25"/>
      <c r="BL195" s="25"/>
      <c r="BM195" s="84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92"/>
      <c r="DG195" s="92"/>
      <c r="DH195" s="203"/>
      <c r="DI195" s="203"/>
      <c r="DJ195" s="203"/>
      <c r="DK195" s="203"/>
      <c r="DL195" s="203"/>
      <c r="DM195" s="203"/>
      <c r="DN195" s="203"/>
      <c r="DO195" s="203"/>
      <c r="DP195" s="208"/>
      <c r="DQ195" s="208"/>
      <c r="DR195" s="208"/>
      <c r="DS195" s="208"/>
      <c r="DT195" s="208"/>
      <c r="DU195" s="208"/>
      <c r="DV195" s="208"/>
      <c r="DW195" s="208"/>
      <c r="DX195" s="208"/>
      <c r="DY195" s="208"/>
      <c r="DZ195" s="208"/>
      <c r="EA195" s="208"/>
      <c r="EB195" s="208"/>
      <c r="EC195" s="208"/>
      <c r="ED195" s="208"/>
      <c r="EE195" s="208"/>
      <c r="EF195" s="208"/>
      <c r="EG195" s="208"/>
      <c r="EH195" s="208"/>
      <c r="EI195" s="208"/>
      <c r="EJ195" s="208"/>
      <c r="EK195" s="208"/>
      <c r="EL195" s="208"/>
      <c r="EM195" s="208"/>
      <c r="EN195" s="208"/>
      <c r="EO195" s="208"/>
      <c r="EP195" s="208"/>
      <c r="EQ195" s="208"/>
      <c r="ER195" s="208"/>
      <c r="ES195" s="208"/>
      <c r="ET195" s="208"/>
      <c r="EU195" s="208"/>
      <c r="EV195" s="208"/>
      <c r="EW195" s="208"/>
      <c r="EX195" s="208"/>
      <c r="EY195" s="208"/>
      <c r="EZ195" s="208">
        <v>0</v>
      </c>
      <c r="FA195" s="208">
        <v>0</v>
      </c>
      <c r="FB195" s="208">
        <v>0</v>
      </c>
      <c r="FC195" s="208"/>
      <c r="FD195" s="82"/>
      <c r="FE195" s="30"/>
    </row>
    <row r="196" spans="1:161" ht="15" hidden="1">
      <c r="A196" s="25" t="s">
        <v>588</v>
      </c>
      <c r="B196" s="232" t="s">
        <v>158</v>
      </c>
      <c r="C196" s="138"/>
      <c r="D196" s="221"/>
      <c r="E196" s="239">
        <v>1155</v>
      </c>
      <c r="F196" s="95"/>
      <c r="G196" s="95"/>
      <c r="H196" s="147" t="s">
        <v>656</v>
      </c>
      <c r="I196" s="147"/>
      <c r="J196" s="135"/>
      <c r="K196" s="135"/>
      <c r="L196" s="139"/>
      <c r="M196" s="134"/>
      <c r="N196" s="134"/>
      <c r="O196" s="134"/>
      <c r="P196" s="134"/>
      <c r="Q196" s="134"/>
      <c r="R196" s="134"/>
      <c r="S196" s="139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3"/>
      <c r="BD196" s="83"/>
      <c r="BE196" s="83"/>
      <c r="BF196" s="83"/>
      <c r="BG196" s="82"/>
      <c r="BH196" s="81"/>
      <c r="BI196" s="80"/>
      <c r="BJ196" s="25"/>
      <c r="BK196" s="25"/>
      <c r="BL196" s="25"/>
      <c r="BM196" s="84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92"/>
      <c r="DG196" s="92"/>
      <c r="DH196" s="203"/>
      <c r="DI196" s="203"/>
      <c r="DJ196" s="203"/>
      <c r="DK196" s="203"/>
      <c r="DL196" s="203"/>
      <c r="DM196" s="203"/>
      <c r="DN196" s="203"/>
      <c r="DO196" s="203"/>
      <c r="DP196" s="208"/>
      <c r="DQ196" s="208"/>
      <c r="DR196" s="208"/>
      <c r="DS196" s="208"/>
      <c r="DT196" s="208"/>
      <c r="DU196" s="208"/>
      <c r="DV196" s="208"/>
      <c r="DW196" s="208"/>
      <c r="DX196" s="208"/>
      <c r="DY196" s="208"/>
      <c r="DZ196" s="208"/>
      <c r="EA196" s="208"/>
      <c r="EB196" s="208"/>
      <c r="EC196" s="208"/>
      <c r="ED196" s="208"/>
      <c r="EE196" s="208"/>
      <c r="EF196" s="208"/>
      <c r="EG196" s="208"/>
      <c r="EH196" s="208"/>
      <c r="EI196" s="208"/>
      <c r="EJ196" s="208"/>
      <c r="EK196" s="208"/>
      <c r="EL196" s="208"/>
      <c r="EM196" s="208"/>
      <c r="EN196" s="208"/>
      <c r="EO196" s="208"/>
      <c r="EP196" s="208"/>
      <c r="EQ196" s="208"/>
      <c r="ER196" s="208"/>
      <c r="ES196" s="208"/>
      <c r="ET196" s="208"/>
      <c r="EU196" s="208"/>
      <c r="EV196" s="208"/>
      <c r="EW196" s="208"/>
      <c r="EX196" s="208"/>
      <c r="EY196" s="208"/>
      <c r="EZ196" s="208">
        <v>0</v>
      </c>
      <c r="FA196" s="208">
        <v>0</v>
      </c>
      <c r="FB196" s="208">
        <v>0</v>
      </c>
      <c r="FC196" s="208"/>
      <c r="FD196" s="82"/>
      <c r="FE196" s="30"/>
    </row>
    <row r="197" spans="1:161" ht="15" hidden="1">
      <c r="A197" s="25" t="s">
        <v>590</v>
      </c>
      <c r="B197" s="232" t="s">
        <v>158</v>
      </c>
      <c r="C197" s="138"/>
      <c r="D197" s="221"/>
      <c r="E197" s="239">
        <v>1380</v>
      </c>
      <c r="F197" s="95"/>
      <c r="G197" s="95"/>
      <c r="H197" s="147" t="s">
        <v>656</v>
      </c>
      <c r="I197" s="147"/>
      <c r="J197" s="135"/>
      <c r="K197" s="135"/>
      <c r="L197" s="139"/>
      <c r="M197" s="134"/>
      <c r="N197" s="134"/>
      <c r="O197" s="134"/>
      <c r="P197" s="134"/>
      <c r="Q197" s="134"/>
      <c r="R197" s="134"/>
      <c r="S197" s="139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3"/>
      <c r="BD197" s="83"/>
      <c r="BE197" s="83"/>
      <c r="BF197" s="83"/>
      <c r="BG197" s="82"/>
      <c r="BH197" s="81"/>
      <c r="BI197" s="80"/>
      <c r="BJ197" s="25"/>
      <c r="BK197" s="25"/>
      <c r="BL197" s="25"/>
      <c r="BM197" s="84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92"/>
      <c r="DG197" s="92"/>
      <c r="DH197" s="203"/>
      <c r="DI197" s="203"/>
      <c r="DJ197" s="203"/>
      <c r="DK197" s="203"/>
      <c r="DL197" s="203"/>
      <c r="DM197" s="203"/>
      <c r="DN197" s="203"/>
      <c r="DO197" s="203"/>
      <c r="DP197" s="208"/>
      <c r="DQ197" s="208"/>
      <c r="DR197" s="208"/>
      <c r="DS197" s="208"/>
      <c r="DT197" s="208"/>
      <c r="DU197" s="208"/>
      <c r="DV197" s="208"/>
      <c r="DW197" s="208"/>
      <c r="DX197" s="208"/>
      <c r="DY197" s="208"/>
      <c r="DZ197" s="208"/>
      <c r="EA197" s="208"/>
      <c r="EB197" s="208"/>
      <c r="EC197" s="208"/>
      <c r="ED197" s="208"/>
      <c r="EE197" s="208"/>
      <c r="EF197" s="208"/>
      <c r="EG197" s="208"/>
      <c r="EH197" s="208"/>
      <c r="EI197" s="208"/>
      <c r="EJ197" s="208"/>
      <c r="EK197" s="208"/>
      <c r="EL197" s="208"/>
      <c r="EM197" s="208"/>
      <c r="EN197" s="208"/>
      <c r="EO197" s="208"/>
      <c r="EP197" s="208"/>
      <c r="EQ197" s="208"/>
      <c r="ER197" s="208"/>
      <c r="ES197" s="208"/>
      <c r="ET197" s="208"/>
      <c r="EU197" s="208"/>
      <c r="EV197" s="208"/>
      <c r="EW197" s="208"/>
      <c r="EX197" s="208"/>
      <c r="EY197" s="208"/>
      <c r="EZ197" s="208">
        <v>0</v>
      </c>
      <c r="FA197" s="208">
        <v>0</v>
      </c>
      <c r="FB197" s="208">
        <v>0</v>
      </c>
      <c r="FC197" s="208"/>
      <c r="FD197" s="82"/>
      <c r="FE197" s="30"/>
    </row>
    <row r="198" spans="1:161" ht="15" hidden="1">
      <c r="A198" s="25" t="s">
        <v>585</v>
      </c>
      <c r="B198" s="212" t="s">
        <v>158</v>
      </c>
      <c r="C198" s="138"/>
      <c r="D198" s="221"/>
      <c r="E198" s="239">
        <v>1155</v>
      </c>
      <c r="F198" s="95"/>
      <c r="G198" s="95"/>
      <c r="H198" s="147" t="s">
        <v>656</v>
      </c>
      <c r="I198" s="147"/>
      <c r="J198" s="135"/>
      <c r="K198" s="135"/>
      <c r="L198" s="139"/>
      <c r="M198" s="134"/>
      <c r="N198" s="134"/>
      <c r="O198" s="134"/>
      <c r="P198" s="134"/>
      <c r="Q198" s="134"/>
      <c r="R198" s="134"/>
      <c r="S198" s="139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3"/>
      <c r="BD198" s="83"/>
      <c r="BE198" s="83"/>
      <c r="BF198" s="83"/>
      <c r="BG198" s="82"/>
      <c r="BH198" s="81"/>
      <c r="BI198" s="80"/>
      <c r="BJ198" s="25"/>
      <c r="BK198" s="25"/>
      <c r="BL198" s="25"/>
      <c r="BM198" s="84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92"/>
      <c r="DG198" s="92"/>
      <c r="DH198" s="203"/>
      <c r="DI198" s="203"/>
      <c r="DJ198" s="203"/>
      <c r="DK198" s="203"/>
      <c r="DL198" s="203"/>
      <c r="DM198" s="203"/>
      <c r="DN198" s="203"/>
      <c r="DO198" s="203"/>
      <c r="DP198" s="208"/>
      <c r="DQ198" s="208"/>
      <c r="DR198" s="208"/>
      <c r="DS198" s="208"/>
      <c r="DT198" s="208"/>
      <c r="DU198" s="208"/>
      <c r="DV198" s="208"/>
      <c r="DW198" s="208"/>
      <c r="DX198" s="208"/>
      <c r="DY198" s="208"/>
      <c r="DZ198" s="208"/>
      <c r="EA198" s="208"/>
      <c r="EB198" s="208"/>
      <c r="EC198" s="208"/>
      <c r="ED198" s="208"/>
      <c r="EE198" s="208"/>
      <c r="EF198" s="208"/>
      <c r="EG198" s="208"/>
      <c r="EH198" s="208"/>
      <c r="EI198" s="208"/>
      <c r="EJ198" s="208"/>
      <c r="EK198" s="208"/>
      <c r="EL198" s="208"/>
      <c r="EM198" s="208"/>
      <c r="EN198" s="208"/>
      <c r="EO198" s="208"/>
      <c r="EP198" s="208"/>
      <c r="EQ198" s="208"/>
      <c r="ER198" s="208"/>
      <c r="ES198" s="208"/>
      <c r="ET198" s="208"/>
      <c r="EU198" s="208"/>
      <c r="EV198" s="208"/>
      <c r="EW198" s="208"/>
      <c r="EX198" s="208"/>
      <c r="EY198" s="208"/>
      <c r="EZ198" s="208">
        <v>0</v>
      </c>
      <c r="FA198" s="208">
        <v>0</v>
      </c>
      <c r="FB198" s="208">
        <v>0</v>
      </c>
      <c r="FC198" s="208"/>
      <c r="FD198" s="82"/>
      <c r="FE198" s="30"/>
    </row>
    <row r="199" spans="1:161" ht="15" hidden="1">
      <c r="A199" s="25" t="s">
        <v>586</v>
      </c>
      <c r="B199" s="212" t="s">
        <v>158</v>
      </c>
      <c r="C199" s="138"/>
      <c r="D199" s="221"/>
      <c r="E199" s="239">
        <v>1155</v>
      </c>
      <c r="F199" s="95"/>
      <c r="G199" s="95"/>
      <c r="H199" s="147" t="s">
        <v>656</v>
      </c>
      <c r="I199" s="147"/>
      <c r="J199" s="135"/>
      <c r="K199" s="135"/>
      <c r="L199" s="139"/>
      <c r="M199" s="134"/>
      <c r="N199" s="134"/>
      <c r="O199" s="134"/>
      <c r="P199" s="134"/>
      <c r="Q199" s="134"/>
      <c r="R199" s="134"/>
      <c r="S199" s="139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3"/>
      <c r="BD199" s="83"/>
      <c r="BE199" s="83"/>
      <c r="BF199" s="83"/>
      <c r="BG199" s="82"/>
      <c r="BH199" s="81"/>
      <c r="BI199" s="80"/>
      <c r="BJ199" s="25"/>
      <c r="BK199" s="25"/>
      <c r="BL199" s="25"/>
      <c r="BM199" s="84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92"/>
      <c r="DG199" s="92"/>
      <c r="DH199" s="203"/>
      <c r="DI199" s="203"/>
      <c r="DJ199" s="203"/>
      <c r="DK199" s="203"/>
      <c r="DL199" s="203"/>
      <c r="DM199" s="203"/>
      <c r="DN199" s="203"/>
      <c r="DO199" s="203"/>
      <c r="DP199" s="208"/>
      <c r="DQ199" s="208"/>
      <c r="DR199" s="208"/>
      <c r="DS199" s="208"/>
      <c r="DT199" s="208"/>
      <c r="DU199" s="208"/>
      <c r="DV199" s="208"/>
      <c r="DW199" s="208"/>
      <c r="DX199" s="208"/>
      <c r="DY199" s="208"/>
      <c r="DZ199" s="208"/>
      <c r="EA199" s="208"/>
      <c r="EB199" s="208"/>
      <c r="EC199" s="208"/>
      <c r="ED199" s="208"/>
      <c r="EE199" s="208"/>
      <c r="EF199" s="208"/>
      <c r="EG199" s="208"/>
      <c r="EH199" s="208"/>
      <c r="EI199" s="208"/>
      <c r="EJ199" s="208"/>
      <c r="EK199" s="208"/>
      <c r="EL199" s="208"/>
      <c r="EM199" s="208"/>
      <c r="EN199" s="208"/>
      <c r="EO199" s="208"/>
      <c r="EP199" s="208"/>
      <c r="EQ199" s="208"/>
      <c r="ER199" s="208"/>
      <c r="ES199" s="208"/>
      <c r="ET199" s="208"/>
      <c r="EU199" s="208"/>
      <c r="EV199" s="208"/>
      <c r="EW199" s="208"/>
      <c r="EX199" s="208"/>
      <c r="EY199" s="208"/>
      <c r="EZ199" s="208">
        <v>0</v>
      </c>
      <c r="FA199" s="208">
        <v>0</v>
      </c>
      <c r="FB199" s="208">
        <v>0</v>
      </c>
      <c r="FC199" s="208"/>
      <c r="FD199" s="82"/>
      <c r="FE199" s="30"/>
    </row>
    <row r="200" spans="1:161" ht="15" hidden="1">
      <c r="A200" s="25" t="s">
        <v>587</v>
      </c>
      <c r="B200" s="212" t="s">
        <v>158</v>
      </c>
      <c r="C200" s="138"/>
      <c r="D200" s="221"/>
      <c r="E200" s="239">
        <v>1155</v>
      </c>
      <c r="F200" s="95"/>
      <c r="G200" s="95"/>
      <c r="H200" s="147" t="s">
        <v>656</v>
      </c>
      <c r="I200" s="147"/>
      <c r="J200" s="135"/>
      <c r="K200" s="135"/>
      <c r="L200" s="139"/>
      <c r="M200" s="134"/>
      <c r="N200" s="134"/>
      <c r="O200" s="134"/>
      <c r="P200" s="134"/>
      <c r="Q200" s="134"/>
      <c r="R200" s="134"/>
      <c r="S200" s="139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3"/>
      <c r="BD200" s="83"/>
      <c r="BE200" s="83"/>
      <c r="BF200" s="83"/>
      <c r="BG200" s="82"/>
      <c r="BH200" s="81"/>
      <c r="BI200" s="80"/>
      <c r="BJ200" s="25"/>
      <c r="BK200" s="25"/>
      <c r="BL200" s="25"/>
      <c r="BM200" s="84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92"/>
      <c r="DG200" s="92"/>
      <c r="DH200" s="203"/>
      <c r="DI200" s="203"/>
      <c r="DJ200" s="203"/>
      <c r="DK200" s="203"/>
      <c r="DL200" s="203"/>
      <c r="DM200" s="203"/>
      <c r="DN200" s="203"/>
      <c r="DO200" s="203"/>
      <c r="DP200" s="208"/>
      <c r="DQ200" s="208"/>
      <c r="DR200" s="208"/>
      <c r="DS200" s="208"/>
      <c r="DT200" s="208"/>
      <c r="DU200" s="208"/>
      <c r="DV200" s="208"/>
      <c r="DW200" s="208"/>
      <c r="DX200" s="208"/>
      <c r="DY200" s="208"/>
      <c r="DZ200" s="208"/>
      <c r="EA200" s="208"/>
      <c r="EB200" s="208"/>
      <c r="EC200" s="208"/>
      <c r="ED200" s="208"/>
      <c r="EE200" s="208"/>
      <c r="EF200" s="208"/>
      <c r="EG200" s="208"/>
      <c r="EH200" s="208"/>
      <c r="EI200" s="208"/>
      <c r="EJ200" s="208"/>
      <c r="EK200" s="208"/>
      <c r="EL200" s="208"/>
      <c r="EM200" s="208"/>
      <c r="EN200" s="208"/>
      <c r="EO200" s="208"/>
      <c r="EP200" s="208"/>
      <c r="EQ200" s="208"/>
      <c r="ER200" s="208"/>
      <c r="ES200" s="208"/>
      <c r="ET200" s="208"/>
      <c r="EU200" s="208"/>
      <c r="EV200" s="208"/>
      <c r="EW200" s="208"/>
      <c r="EX200" s="208"/>
      <c r="EY200" s="208"/>
      <c r="EZ200" s="208">
        <v>0</v>
      </c>
      <c r="FA200" s="208">
        <v>0</v>
      </c>
      <c r="FB200" s="208">
        <v>0</v>
      </c>
      <c r="FC200" s="208"/>
      <c r="FD200" s="82"/>
      <c r="FE200" s="30"/>
    </row>
    <row r="201" spans="1:161" ht="15" hidden="1">
      <c r="A201" s="25" t="s">
        <v>592</v>
      </c>
      <c r="B201" s="212" t="s">
        <v>158</v>
      </c>
      <c r="C201" s="138"/>
      <c r="D201" s="221"/>
      <c r="E201" s="239">
        <v>1380</v>
      </c>
      <c r="F201" s="95"/>
      <c r="G201" s="95"/>
      <c r="H201" s="147" t="s">
        <v>656</v>
      </c>
      <c r="I201" s="147"/>
      <c r="J201" s="135"/>
      <c r="K201" s="135"/>
      <c r="L201" s="139"/>
      <c r="M201" s="134"/>
      <c r="N201" s="134"/>
      <c r="O201" s="134"/>
      <c r="P201" s="134"/>
      <c r="Q201" s="134"/>
      <c r="R201" s="134"/>
      <c r="S201" s="139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3"/>
      <c r="BD201" s="83"/>
      <c r="BE201" s="83"/>
      <c r="BF201" s="83"/>
      <c r="BG201" s="82"/>
      <c r="BH201" s="81"/>
      <c r="BI201" s="80"/>
      <c r="BJ201" s="25"/>
      <c r="BK201" s="25"/>
      <c r="BL201" s="25"/>
      <c r="BM201" s="84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92"/>
      <c r="DG201" s="92"/>
      <c r="DH201" s="203"/>
      <c r="DI201" s="203"/>
      <c r="DJ201" s="203"/>
      <c r="DK201" s="203"/>
      <c r="DL201" s="203"/>
      <c r="DM201" s="203"/>
      <c r="DN201" s="203"/>
      <c r="DO201" s="203"/>
      <c r="DP201" s="208"/>
      <c r="DQ201" s="208"/>
      <c r="DR201" s="208"/>
      <c r="DS201" s="208"/>
      <c r="DT201" s="208"/>
      <c r="DU201" s="208"/>
      <c r="DV201" s="208"/>
      <c r="DW201" s="208"/>
      <c r="DX201" s="208"/>
      <c r="DY201" s="208"/>
      <c r="DZ201" s="208"/>
      <c r="EA201" s="208"/>
      <c r="EB201" s="208"/>
      <c r="EC201" s="208"/>
      <c r="ED201" s="208"/>
      <c r="EE201" s="208"/>
      <c r="EF201" s="208"/>
      <c r="EG201" s="208"/>
      <c r="EH201" s="208"/>
      <c r="EI201" s="208"/>
      <c r="EJ201" s="208"/>
      <c r="EK201" s="208"/>
      <c r="EL201" s="208"/>
      <c r="EM201" s="208"/>
      <c r="EN201" s="208"/>
      <c r="EO201" s="208"/>
      <c r="EP201" s="208"/>
      <c r="EQ201" s="208"/>
      <c r="ER201" s="208"/>
      <c r="ES201" s="208"/>
      <c r="ET201" s="208"/>
      <c r="EU201" s="208"/>
      <c r="EV201" s="208"/>
      <c r="EW201" s="208"/>
      <c r="EX201" s="208"/>
      <c r="EY201" s="208"/>
      <c r="EZ201" s="208">
        <v>0</v>
      </c>
      <c r="FA201" s="208">
        <v>0</v>
      </c>
      <c r="FB201" s="208">
        <v>0</v>
      </c>
      <c r="FC201" s="208"/>
      <c r="FD201" s="82"/>
      <c r="FE201" s="30"/>
    </row>
    <row r="202" spans="1:161" ht="15" hidden="1">
      <c r="A202" s="25" t="s">
        <v>197</v>
      </c>
      <c r="B202" s="212" t="s">
        <v>121</v>
      </c>
      <c r="C202" s="138"/>
      <c r="D202" s="221"/>
      <c r="E202" s="239">
        <v>1380</v>
      </c>
      <c r="F202" s="95"/>
      <c r="G202" s="95"/>
      <c r="H202" s="147" t="s">
        <v>656</v>
      </c>
      <c r="I202" s="147"/>
      <c r="J202" s="135"/>
      <c r="K202" s="135"/>
      <c r="L202" s="139"/>
      <c r="M202" s="134"/>
      <c r="N202" s="134"/>
      <c r="O202" s="134"/>
      <c r="P202" s="134"/>
      <c r="Q202" s="134"/>
      <c r="R202" s="134"/>
      <c r="S202" s="139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3"/>
      <c r="BD202" s="83"/>
      <c r="BE202" s="83"/>
      <c r="BF202" s="83"/>
      <c r="BG202" s="82"/>
      <c r="BH202" s="81"/>
      <c r="BI202" s="80"/>
      <c r="BJ202" s="25"/>
      <c r="BK202" s="25"/>
      <c r="BL202" s="25"/>
      <c r="BM202" s="84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92"/>
      <c r="DG202" s="92"/>
      <c r="DH202" s="203"/>
      <c r="DI202" s="203"/>
      <c r="DJ202" s="203"/>
      <c r="DK202" s="203"/>
      <c r="DL202" s="203"/>
      <c r="DM202" s="203"/>
      <c r="DN202" s="203"/>
      <c r="DO202" s="203"/>
      <c r="DP202" s="208"/>
      <c r="DQ202" s="208"/>
      <c r="DR202" s="208"/>
      <c r="DS202" s="208"/>
      <c r="DT202" s="208"/>
      <c r="DU202" s="208"/>
      <c r="DV202" s="208"/>
      <c r="DW202" s="208"/>
      <c r="DX202" s="208"/>
      <c r="DY202" s="208"/>
      <c r="DZ202" s="208"/>
      <c r="EA202" s="208"/>
      <c r="EB202" s="208"/>
      <c r="EC202" s="208"/>
      <c r="ED202" s="208"/>
      <c r="EE202" s="208"/>
      <c r="EF202" s="208"/>
      <c r="EG202" s="208"/>
      <c r="EH202" s="208"/>
      <c r="EI202" s="208"/>
      <c r="EJ202" s="208"/>
      <c r="EK202" s="208"/>
      <c r="EL202" s="208"/>
      <c r="EM202" s="208"/>
      <c r="EN202" s="208"/>
      <c r="EO202" s="208"/>
      <c r="EP202" s="208"/>
      <c r="EQ202" s="208"/>
      <c r="ER202" s="208"/>
      <c r="ES202" s="208"/>
      <c r="ET202" s="208"/>
      <c r="EU202" s="208"/>
      <c r="EV202" s="208"/>
      <c r="EW202" s="208"/>
      <c r="EX202" s="208"/>
      <c r="EY202" s="208"/>
      <c r="EZ202" s="208">
        <v>0</v>
      </c>
      <c r="FA202" s="208">
        <v>0</v>
      </c>
      <c r="FB202" s="208">
        <v>0</v>
      </c>
      <c r="FC202" s="208"/>
      <c r="FD202" s="82"/>
      <c r="FE202" s="30"/>
    </row>
    <row r="203" spans="1:161" ht="15" hidden="1">
      <c r="A203" s="25" t="s">
        <v>192</v>
      </c>
      <c r="B203" s="212" t="s">
        <v>121</v>
      </c>
      <c r="C203" s="138"/>
      <c r="D203" s="221"/>
      <c r="E203" s="239">
        <v>1155</v>
      </c>
      <c r="F203" s="95"/>
      <c r="G203" s="95"/>
      <c r="H203" s="147" t="s">
        <v>656</v>
      </c>
      <c r="I203" s="147"/>
      <c r="J203" s="135"/>
      <c r="K203" s="135"/>
      <c r="L203" s="139"/>
      <c r="M203" s="134"/>
      <c r="N203" s="134"/>
      <c r="O203" s="134"/>
      <c r="P203" s="134"/>
      <c r="Q203" s="134"/>
      <c r="R203" s="134"/>
      <c r="S203" s="139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3"/>
      <c r="BD203" s="83"/>
      <c r="BE203" s="83"/>
      <c r="BF203" s="83"/>
      <c r="BG203" s="82"/>
      <c r="BH203" s="81"/>
      <c r="BI203" s="80"/>
      <c r="BJ203" s="25"/>
      <c r="BK203" s="25"/>
      <c r="BL203" s="25"/>
      <c r="BM203" s="84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92"/>
      <c r="DG203" s="92"/>
      <c r="DH203" s="203"/>
      <c r="DI203" s="203"/>
      <c r="DJ203" s="203"/>
      <c r="DK203" s="203"/>
      <c r="DL203" s="203"/>
      <c r="DM203" s="203"/>
      <c r="DN203" s="203"/>
      <c r="DO203" s="203"/>
      <c r="DP203" s="208"/>
      <c r="DQ203" s="208"/>
      <c r="DR203" s="208"/>
      <c r="DS203" s="208"/>
      <c r="DT203" s="208"/>
      <c r="DU203" s="208"/>
      <c r="DV203" s="208"/>
      <c r="DW203" s="208"/>
      <c r="DX203" s="208"/>
      <c r="DY203" s="208"/>
      <c r="DZ203" s="208"/>
      <c r="EA203" s="208"/>
      <c r="EB203" s="208"/>
      <c r="EC203" s="208"/>
      <c r="ED203" s="208"/>
      <c r="EE203" s="208"/>
      <c r="EF203" s="208"/>
      <c r="EG203" s="208"/>
      <c r="EH203" s="208"/>
      <c r="EI203" s="208"/>
      <c r="EJ203" s="208"/>
      <c r="EK203" s="208"/>
      <c r="EL203" s="208"/>
      <c r="EM203" s="208"/>
      <c r="EN203" s="208"/>
      <c r="EO203" s="208"/>
      <c r="EP203" s="208"/>
      <c r="EQ203" s="208"/>
      <c r="ER203" s="208"/>
      <c r="ES203" s="208"/>
      <c r="ET203" s="208"/>
      <c r="EU203" s="208"/>
      <c r="EV203" s="208"/>
      <c r="EW203" s="208"/>
      <c r="EX203" s="208"/>
      <c r="EY203" s="208"/>
      <c r="EZ203" s="208">
        <v>0</v>
      </c>
      <c r="FA203" s="208">
        <v>0</v>
      </c>
      <c r="FB203" s="208">
        <v>0</v>
      </c>
      <c r="FC203" s="208"/>
      <c r="FD203" s="82"/>
      <c r="FE203" s="30"/>
    </row>
    <row r="204" spans="1:161" ht="15" hidden="1">
      <c r="A204" s="25" t="s">
        <v>193</v>
      </c>
      <c r="B204" s="212" t="s">
        <v>121</v>
      </c>
      <c r="C204" s="138"/>
      <c r="D204" s="221"/>
      <c r="E204" s="239">
        <v>1155</v>
      </c>
      <c r="F204" s="95"/>
      <c r="G204" s="95"/>
      <c r="H204" s="147" t="s">
        <v>656</v>
      </c>
      <c r="I204" s="147"/>
      <c r="J204" s="135"/>
      <c r="K204" s="135"/>
      <c r="L204" s="139"/>
      <c r="M204" s="134"/>
      <c r="N204" s="134"/>
      <c r="O204" s="134"/>
      <c r="P204" s="134"/>
      <c r="Q204" s="134"/>
      <c r="R204" s="134"/>
      <c r="S204" s="139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3"/>
      <c r="BD204" s="83"/>
      <c r="BE204" s="83"/>
      <c r="BF204" s="83"/>
      <c r="BG204" s="82"/>
      <c r="BH204" s="81"/>
      <c r="BI204" s="80"/>
      <c r="BJ204" s="25"/>
      <c r="BK204" s="25"/>
      <c r="BL204" s="25"/>
      <c r="BM204" s="84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92"/>
      <c r="DG204" s="92"/>
      <c r="DH204" s="203"/>
      <c r="DI204" s="203"/>
      <c r="DJ204" s="203"/>
      <c r="DK204" s="203"/>
      <c r="DL204" s="203"/>
      <c r="DM204" s="203"/>
      <c r="DN204" s="203"/>
      <c r="DO204" s="203"/>
      <c r="DP204" s="208"/>
      <c r="DQ204" s="208"/>
      <c r="DR204" s="208"/>
      <c r="DS204" s="208"/>
      <c r="DT204" s="208"/>
      <c r="DU204" s="208"/>
      <c r="DV204" s="208"/>
      <c r="DW204" s="208"/>
      <c r="DX204" s="208"/>
      <c r="DY204" s="208"/>
      <c r="DZ204" s="208"/>
      <c r="EA204" s="208"/>
      <c r="EB204" s="208"/>
      <c r="EC204" s="208"/>
      <c r="ED204" s="208"/>
      <c r="EE204" s="208"/>
      <c r="EF204" s="208"/>
      <c r="EG204" s="208"/>
      <c r="EH204" s="208"/>
      <c r="EI204" s="208"/>
      <c r="EJ204" s="208"/>
      <c r="EK204" s="208"/>
      <c r="EL204" s="208"/>
      <c r="EM204" s="208"/>
      <c r="EN204" s="208"/>
      <c r="EO204" s="208"/>
      <c r="EP204" s="208"/>
      <c r="EQ204" s="208"/>
      <c r="ER204" s="208"/>
      <c r="ES204" s="208"/>
      <c r="ET204" s="208"/>
      <c r="EU204" s="208"/>
      <c r="EV204" s="208"/>
      <c r="EW204" s="208"/>
      <c r="EX204" s="208"/>
      <c r="EY204" s="208"/>
      <c r="EZ204" s="208">
        <v>0</v>
      </c>
      <c r="FA204" s="208">
        <v>0</v>
      </c>
      <c r="FB204" s="208">
        <v>0</v>
      </c>
      <c r="FC204" s="208"/>
      <c r="FD204" s="82"/>
      <c r="FE204" s="30"/>
    </row>
    <row r="205" spans="1:161" ht="15" hidden="1">
      <c r="A205" s="25" t="s">
        <v>194</v>
      </c>
      <c r="B205" s="212" t="s">
        <v>121</v>
      </c>
      <c r="C205" s="138"/>
      <c r="D205" s="221"/>
      <c r="E205" s="239">
        <v>1155</v>
      </c>
      <c r="F205" s="95"/>
      <c r="G205" s="95"/>
      <c r="H205" s="147" t="s">
        <v>656</v>
      </c>
      <c r="I205" s="147"/>
      <c r="J205" s="135"/>
      <c r="K205" s="135"/>
      <c r="L205" s="139"/>
      <c r="M205" s="134"/>
      <c r="N205" s="134"/>
      <c r="O205" s="134"/>
      <c r="P205" s="134"/>
      <c r="Q205" s="134"/>
      <c r="R205" s="134"/>
      <c r="S205" s="139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3"/>
      <c r="BD205" s="83"/>
      <c r="BE205" s="83"/>
      <c r="BF205" s="83"/>
      <c r="BG205" s="82"/>
      <c r="BH205" s="81"/>
      <c r="BI205" s="80"/>
      <c r="BJ205" s="25"/>
      <c r="BK205" s="25"/>
      <c r="BL205" s="25"/>
      <c r="BM205" s="84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92"/>
      <c r="DG205" s="92"/>
      <c r="DH205" s="203"/>
      <c r="DI205" s="203"/>
      <c r="DJ205" s="203"/>
      <c r="DK205" s="203"/>
      <c r="DL205" s="203"/>
      <c r="DM205" s="203"/>
      <c r="DN205" s="203"/>
      <c r="DO205" s="203"/>
      <c r="DP205" s="208"/>
      <c r="DQ205" s="208"/>
      <c r="DR205" s="208"/>
      <c r="DS205" s="208"/>
      <c r="DT205" s="208"/>
      <c r="DU205" s="208"/>
      <c r="DV205" s="208"/>
      <c r="DW205" s="208"/>
      <c r="DX205" s="208"/>
      <c r="DY205" s="208"/>
      <c r="DZ205" s="208"/>
      <c r="EA205" s="208"/>
      <c r="EB205" s="208"/>
      <c r="EC205" s="208"/>
      <c r="ED205" s="208"/>
      <c r="EE205" s="208"/>
      <c r="EF205" s="208"/>
      <c r="EG205" s="208"/>
      <c r="EH205" s="208"/>
      <c r="EI205" s="208"/>
      <c r="EJ205" s="208"/>
      <c r="EK205" s="208"/>
      <c r="EL205" s="208"/>
      <c r="EM205" s="208"/>
      <c r="EN205" s="208"/>
      <c r="EO205" s="208"/>
      <c r="EP205" s="208"/>
      <c r="EQ205" s="208"/>
      <c r="ER205" s="208"/>
      <c r="ES205" s="208"/>
      <c r="ET205" s="208"/>
      <c r="EU205" s="208"/>
      <c r="EV205" s="208"/>
      <c r="EW205" s="208"/>
      <c r="EX205" s="208"/>
      <c r="EY205" s="208"/>
      <c r="EZ205" s="208">
        <v>0</v>
      </c>
      <c r="FA205" s="208">
        <v>0</v>
      </c>
      <c r="FB205" s="208">
        <v>0</v>
      </c>
      <c r="FC205" s="208"/>
      <c r="FD205" s="82"/>
      <c r="FE205" s="30"/>
    </row>
    <row r="206" spans="1:161" ht="15" hidden="1">
      <c r="A206" s="25" t="s">
        <v>198</v>
      </c>
      <c r="B206" s="212" t="s">
        <v>121</v>
      </c>
      <c r="C206" s="138"/>
      <c r="D206" s="221"/>
      <c r="E206" s="239">
        <v>1380</v>
      </c>
      <c r="F206" s="95"/>
      <c r="G206" s="95"/>
      <c r="H206" s="147" t="s">
        <v>656</v>
      </c>
      <c r="I206" s="147"/>
      <c r="J206" s="135"/>
      <c r="K206" s="135"/>
      <c r="L206" s="139"/>
      <c r="M206" s="134"/>
      <c r="N206" s="134"/>
      <c r="O206" s="134"/>
      <c r="P206" s="134"/>
      <c r="Q206" s="134"/>
      <c r="R206" s="134"/>
      <c r="S206" s="139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3"/>
      <c r="BD206" s="83"/>
      <c r="BE206" s="83"/>
      <c r="BF206" s="83"/>
      <c r="BG206" s="82"/>
      <c r="BH206" s="81"/>
      <c r="BI206" s="80"/>
      <c r="BJ206" s="25"/>
      <c r="BK206" s="25"/>
      <c r="BL206" s="25"/>
      <c r="BM206" s="84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92"/>
      <c r="DG206" s="92"/>
      <c r="DH206" s="203"/>
      <c r="DI206" s="203"/>
      <c r="DJ206" s="203"/>
      <c r="DK206" s="203"/>
      <c r="DL206" s="203"/>
      <c r="DM206" s="203"/>
      <c r="DN206" s="203"/>
      <c r="DO206" s="203"/>
      <c r="DP206" s="208"/>
      <c r="DQ206" s="208"/>
      <c r="DR206" s="208"/>
      <c r="DS206" s="208"/>
      <c r="DT206" s="208"/>
      <c r="DU206" s="208"/>
      <c r="DV206" s="208"/>
      <c r="DW206" s="208"/>
      <c r="DX206" s="208"/>
      <c r="DY206" s="208"/>
      <c r="DZ206" s="208"/>
      <c r="EA206" s="208"/>
      <c r="EB206" s="208"/>
      <c r="EC206" s="208"/>
      <c r="ED206" s="208"/>
      <c r="EE206" s="208"/>
      <c r="EF206" s="208"/>
      <c r="EG206" s="208"/>
      <c r="EH206" s="208"/>
      <c r="EI206" s="208"/>
      <c r="EJ206" s="208"/>
      <c r="EK206" s="208"/>
      <c r="EL206" s="208"/>
      <c r="EM206" s="208"/>
      <c r="EN206" s="208"/>
      <c r="EO206" s="208"/>
      <c r="EP206" s="208"/>
      <c r="EQ206" s="208"/>
      <c r="ER206" s="208"/>
      <c r="ES206" s="208"/>
      <c r="ET206" s="208"/>
      <c r="EU206" s="208"/>
      <c r="EV206" s="208"/>
      <c r="EW206" s="208"/>
      <c r="EX206" s="208"/>
      <c r="EY206" s="208"/>
      <c r="EZ206" s="208">
        <v>0</v>
      </c>
      <c r="FA206" s="208">
        <v>0</v>
      </c>
      <c r="FB206" s="208">
        <v>0</v>
      </c>
      <c r="FC206" s="208"/>
      <c r="FD206" s="82"/>
      <c r="FE206" s="30"/>
    </row>
    <row r="207" spans="1:161" ht="15" hidden="1">
      <c r="A207" s="25" t="s">
        <v>199</v>
      </c>
      <c r="B207" s="212" t="s">
        <v>121</v>
      </c>
      <c r="C207" s="138"/>
      <c r="D207" s="221"/>
      <c r="E207" s="239">
        <v>1380</v>
      </c>
      <c r="F207" s="95"/>
      <c r="G207" s="95"/>
      <c r="H207" s="147" t="s">
        <v>656</v>
      </c>
      <c r="I207" s="147"/>
      <c r="J207" s="135"/>
      <c r="K207" s="135"/>
      <c r="L207" s="139"/>
      <c r="M207" s="134"/>
      <c r="N207" s="134"/>
      <c r="O207" s="134"/>
      <c r="P207" s="134"/>
      <c r="Q207" s="134"/>
      <c r="R207" s="134"/>
      <c r="S207" s="139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3"/>
      <c r="BD207" s="83"/>
      <c r="BE207" s="83"/>
      <c r="BF207" s="83"/>
      <c r="BG207" s="82"/>
      <c r="BH207" s="81"/>
      <c r="BI207" s="80"/>
      <c r="BJ207" s="25"/>
      <c r="BK207" s="25"/>
      <c r="BL207" s="25"/>
      <c r="BM207" s="84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92"/>
      <c r="DG207" s="92"/>
      <c r="DH207" s="203"/>
      <c r="DI207" s="203"/>
      <c r="DJ207" s="203"/>
      <c r="DK207" s="203"/>
      <c r="DL207" s="203"/>
      <c r="DM207" s="203"/>
      <c r="DN207" s="203"/>
      <c r="DO207" s="203"/>
      <c r="DP207" s="208"/>
      <c r="DQ207" s="208"/>
      <c r="DR207" s="208"/>
      <c r="DS207" s="208"/>
      <c r="DT207" s="208"/>
      <c r="DU207" s="208"/>
      <c r="DV207" s="208"/>
      <c r="DW207" s="208"/>
      <c r="DX207" s="208"/>
      <c r="DY207" s="208"/>
      <c r="DZ207" s="208"/>
      <c r="EA207" s="208"/>
      <c r="EB207" s="208"/>
      <c r="EC207" s="208"/>
      <c r="ED207" s="208"/>
      <c r="EE207" s="208"/>
      <c r="EF207" s="208"/>
      <c r="EG207" s="208"/>
      <c r="EH207" s="208"/>
      <c r="EI207" s="208"/>
      <c r="EJ207" s="208"/>
      <c r="EK207" s="208"/>
      <c r="EL207" s="208"/>
      <c r="EM207" s="208"/>
      <c r="EN207" s="208"/>
      <c r="EO207" s="208"/>
      <c r="EP207" s="208"/>
      <c r="EQ207" s="208"/>
      <c r="ER207" s="208"/>
      <c r="ES207" s="208"/>
      <c r="ET207" s="208"/>
      <c r="EU207" s="208"/>
      <c r="EV207" s="208"/>
      <c r="EW207" s="208"/>
      <c r="EX207" s="208"/>
      <c r="EY207" s="208"/>
      <c r="EZ207" s="208">
        <v>0</v>
      </c>
      <c r="FA207" s="208">
        <v>0</v>
      </c>
      <c r="FB207" s="208">
        <v>0</v>
      </c>
      <c r="FC207" s="208"/>
      <c r="FD207" s="82"/>
      <c r="FE207" s="30"/>
    </row>
    <row r="208" spans="1:161" ht="15" hidden="1">
      <c r="A208" s="25" t="s">
        <v>200</v>
      </c>
      <c r="B208" s="212" t="s">
        <v>121</v>
      </c>
      <c r="C208" s="138"/>
      <c r="D208" s="221"/>
      <c r="E208" s="239">
        <v>1380</v>
      </c>
      <c r="F208" s="95"/>
      <c r="G208" s="95"/>
      <c r="H208" s="147" t="s">
        <v>656</v>
      </c>
      <c r="I208" s="147"/>
      <c r="J208" s="135"/>
      <c r="K208" s="135"/>
      <c r="L208" s="139"/>
      <c r="M208" s="134"/>
      <c r="N208" s="134"/>
      <c r="O208" s="134"/>
      <c r="P208" s="134"/>
      <c r="Q208" s="134"/>
      <c r="R208" s="134"/>
      <c r="S208" s="139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3"/>
      <c r="BD208" s="83"/>
      <c r="BE208" s="83"/>
      <c r="BF208" s="83"/>
      <c r="BG208" s="82"/>
      <c r="BH208" s="81"/>
      <c r="BI208" s="80"/>
      <c r="BJ208" s="25"/>
      <c r="BK208" s="25"/>
      <c r="BL208" s="25"/>
      <c r="BM208" s="84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92"/>
      <c r="DG208" s="92"/>
      <c r="DH208" s="203"/>
      <c r="DI208" s="203"/>
      <c r="DJ208" s="203"/>
      <c r="DK208" s="203"/>
      <c r="DL208" s="203"/>
      <c r="DM208" s="203"/>
      <c r="DN208" s="203"/>
      <c r="DO208" s="203"/>
      <c r="DP208" s="208"/>
      <c r="DQ208" s="208"/>
      <c r="DR208" s="208"/>
      <c r="DS208" s="208"/>
      <c r="DT208" s="208"/>
      <c r="DU208" s="208"/>
      <c r="DV208" s="208"/>
      <c r="DW208" s="208"/>
      <c r="DX208" s="208"/>
      <c r="DY208" s="208"/>
      <c r="DZ208" s="208"/>
      <c r="EA208" s="208"/>
      <c r="EB208" s="208"/>
      <c r="EC208" s="208"/>
      <c r="ED208" s="208"/>
      <c r="EE208" s="208"/>
      <c r="EF208" s="208"/>
      <c r="EG208" s="208"/>
      <c r="EH208" s="208"/>
      <c r="EI208" s="208"/>
      <c r="EJ208" s="208"/>
      <c r="EK208" s="208"/>
      <c r="EL208" s="208"/>
      <c r="EM208" s="208"/>
      <c r="EN208" s="208"/>
      <c r="EO208" s="208"/>
      <c r="EP208" s="208"/>
      <c r="EQ208" s="208"/>
      <c r="ER208" s="208"/>
      <c r="ES208" s="208"/>
      <c r="ET208" s="208"/>
      <c r="EU208" s="208"/>
      <c r="EV208" s="208"/>
      <c r="EW208" s="208"/>
      <c r="EX208" s="208"/>
      <c r="EY208" s="208"/>
      <c r="EZ208" s="208">
        <v>0</v>
      </c>
      <c r="FA208" s="208">
        <v>0</v>
      </c>
      <c r="FB208" s="208">
        <v>0</v>
      </c>
      <c r="FC208" s="208"/>
      <c r="FD208" s="82"/>
      <c r="FE208" s="30"/>
    </row>
    <row r="209" spans="1:161" ht="15" hidden="1">
      <c r="A209" s="25" t="s">
        <v>122</v>
      </c>
      <c r="B209" s="224" t="s">
        <v>121</v>
      </c>
      <c r="C209" s="138"/>
      <c r="D209" s="221"/>
      <c r="E209" s="239">
        <v>1380</v>
      </c>
      <c r="F209" s="95"/>
      <c r="G209" s="95"/>
      <c r="H209" s="225" t="s">
        <v>656</v>
      </c>
      <c r="I209" s="147"/>
      <c r="J209" s="135"/>
      <c r="K209" s="135"/>
      <c r="L209" s="139"/>
      <c r="M209" s="134"/>
      <c r="N209" s="134"/>
      <c r="O209" s="134"/>
      <c r="P209" s="134"/>
      <c r="Q209" s="134"/>
      <c r="R209" s="134"/>
      <c r="S209" s="139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3"/>
      <c r="BD209" s="83"/>
      <c r="BE209" s="83"/>
      <c r="BF209" s="83"/>
      <c r="BG209" s="82"/>
      <c r="BH209" s="81"/>
      <c r="BI209" s="80"/>
      <c r="BJ209" s="25"/>
      <c r="BK209" s="25"/>
      <c r="BL209" s="25"/>
      <c r="BM209" s="84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92"/>
      <c r="DG209" s="92"/>
      <c r="DH209" s="203"/>
      <c r="DI209" s="203"/>
      <c r="DJ209" s="203"/>
      <c r="DK209" s="203"/>
      <c r="DL209" s="203"/>
      <c r="DM209" s="203"/>
      <c r="DN209" s="203"/>
      <c r="DO209" s="203"/>
      <c r="DP209" s="208"/>
      <c r="DQ209" s="208"/>
      <c r="DR209" s="208"/>
      <c r="DS209" s="208"/>
      <c r="DT209" s="208"/>
      <c r="DU209" s="208"/>
      <c r="DV209" s="208"/>
      <c r="DW209" s="208"/>
      <c r="DX209" s="208"/>
      <c r="DY209" s="208"/>
      <c r="DZ209" s="208"/>
      <c r="EA209" s="208"/>
      <c r="EB209" s="208"/>
      <c r="EC209" s="208"/>
      <c r="ED209" s="208"/>
      <c r="EE209" s="208"/>
      <c r="EF209" s="208"/>
      <c r="EG209" s="208"/>
      <c r="EH209" s="208"/>
      <c r="EI209" s="208"/>
      <c r="EJ209" s="208"/>
      <c r="EK209" s="208"/>
      <c r="EL209" s="208"/>
      <c r="EM209" s="208"/>
      <c r="EN209" s="208"/>
      <c r="EO209" s="208"/>
      <c r="EP209" s="208"/>
      <c r="EQ209" s="208"/>
      <c r="ER209" s="208"/>
      <c r="ES209" s="208"/>
      <c r="ET209" s="208"/>
      <c r="EU209" s="208"/>
      <c r="EV209" s="208"/>
      <c r="EW209" s="208"/>
      <c r="EX209" s="208"/>
      <c r="EY209" s="208"/>
      <c r="EZ209" s="208">
        <v>0</v>
      </c>
      <c r="FA209" s="208">
        <v>0</v>
      </c>
      <c r="FB209" s="208">
        <v>0</v>
      </c>
      <c r="FC209" s="208"/>
      <c r="FD209" s="82"/>
      <c r="FE209" s="30"/>
    </row>
    <row r="210" spans="1:161" ht="15" hidden="1">
      <c r="A210" s="25" t="s">
        <v>123</v>
      </c>
      <c r="B210" s="224" t="s">
        <v>121</v>
      </c>
      <c r="C210" s="138"/>
      <c r="D210" s="221"/>
      <c r="E210" s="239">
        <v>1380</v>
      </c>
      <c r="F210" s="95"/>
      <c r="G210" s="95"/>
      <c r="H210" s="225" t="s">
        <v>656</v>
      </c>
      <c r="I210" s="147"/>
      <c r="J210" s="135"/>
      <c r="K210" s="135"/>
      <c r="L210" s="139"/>
      <c r="M210" s="134"/>
      <c r="N210" s="134"/>
      <c r="O210" s="134"/>
      <c r="P210" s="134"/>
      <c r="Q210" s="134"/>
      <c r="R210" s="134"/>
      <c r="S210" s="139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3"/>
      <c r="BD210" s="83"/>
      <c r="BE210" s="83"/>
      <c r="BF210" s="83"/>
      <c r="BG210" s="82"/>
      <c r="BH210" s="81"/>
      <c r="BI210" s="80"/>
      <c r="BJ210" s="25"/>
      <c r="BK210" s="25"/>
      <c r="BL210" s="25"/>
      <c r="BM210" s="84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92"/>
      <c r="DG210" s="92"/>
      <c r="DH210" s="203"/>
      <c r="DI210" s="203"/>
      <c r="DJ210" s="203"/>
      <c r="DK210" s="203"/>
      <c r="DL210" s="203"/>
      <c r="DM210" s="203"/>
      <c r="DN210" s="203"/>
      <c r="DO210" s="203"/>
      <c r="DP210" s="208"/>
      <c r="DQ210" s="208"/>
      <c r="DR210" s="208"/>
      <c r="DS210" s="208"/>
      <c r="DT210" s="208"/>
      <c r="DU210" s="208"/>
      <c r="DV210" s="208"/>
      <c r="DW210" s="208"/>
      <c r="DX210" s="208"/>
      <c r="DY210" s="208"/>
      <c r="DZ210" s="208"/>
      <c r="EA210" s="208"/>
      <c r="EB210" s="208"/>
      <c r="EC210" s="208"/>
      <c r="ED210" s="208"/>
      <c r="EE210" s="208"/>
      <c r="EF210" s="208"/>
      <c r="EG210" s="208"/>
      <c r="EH210" s="208"/>
      <c r="EI210" s="208"/>
      <c r="EJ210" s="208"/>
      <c r="EK210" s="208"/>
      <c r="EL210" s="208"/>
      <c r="EM210" s="208"/>
      <c r="EN210" s="208"/>
      <c r="EO210" s="208"/>
      <c r="EP210" s="208"/>
      <c r="EQ210" s="208"/>
      <c r="ER210" s="208"/>
      <c r="ES210" s="208"/>
      <c r="ET210" s="208"/>
      <c r="EU210" s="208"/>
      <c r="EV210" s="208"/>
      <c r="EW210" s="208"/>
      <c r="EX210" s="208"/>
      <c r="EY210" s="208"/>
      <c r="EZ210" s="208">
        <v>0</v>
      </c>
      <c r="FA210" s="208">
        <v>0</v>
      </c>
      <c r="FB210" s="208">
        <v>0</v>
      </c>
      <c r="FC210" s="208"/>
      <c r="FD210" s="82"/>
      <c r="FE210" s="30"/>
    </row>
    <row r="211" spans="1:161" ht="15" hidden="1">
      <c r="A211" s="25" t="s">
        <v>124</v>
      </c>
      <c r="B211" s="224" t="s">
        <v>121</v>
      </c>
      <c r="C211" s="138"/>
      <c r="D211" s="221"/>
      <c r="E211" s="239">
        <v>1155</v>
      </c>
      <c r="F211" s="95"/>
      <c r="G211" s="95"/>
      <c r="H211" s="225" t="s">
        <v>656</v>
      </c>
      <c r="I211" s="147"/>
      <c r="J211" s="135"/>
      <c r="K211" s="135"/>
      <c r="L211" s="139"/>
      <c r="M211" s="134"/>
      <c r="N211" s="134"/>
      <c r="O211" s="134"/>
      <c r="P211" s="134"/>
      <c r="Q211" s="134"/>
      <c r="R211" s="134"/>
      <c r="S211" s="139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3"/>
      <c r="BD211" s="83"/>
      <c r="BE211" s="83"/>
      <c r="BF211" s="83"/>
      <c r="BG211" s="82"/>
      <c r="BH211" s="81"/>
      <c r="BI211" s="80"/>
      <c r="BJ211" s="25"/>
      <c r="BK211" s="25"/>
      <c r="BL211" s="25"/>
      <c r="BM211" s="84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92"/>
      <c r="DG211" s="92"/>
      <c r="DH211" s="203"/>
      <c r="DI211" s="203"/>
      <c r="DJ211" s="203"/>
      <c r="DK211" s="203"/>
      <c r="DL211" s="203"/>
      <c r="DM211" s="203"/>
      <c r="DN211" s="203"/>
      <c r="DO211" s="203"/>
      <c r="DP211" s="208"/>
      <c r="DQ211" s="208"/>
      <c r="DR211" s="208"/>
      <c r="DS211" s="208"/>
      <c r="DT211" s="208"/>
      <c r="DU211" s="208"/>
      <c r="DV211" s="208"/>
      <c r="DW211" s="208"/>
      <c r="DX211" s="208"/>
      <c r="DY211" s="208"/>
      <c r="DZ211" s="208"/>
      <c r="EA211" s="208"/>
      <c r="EB211" s="208"/>
      <c r="EC211" s="208"/>
      <c r="ED211" s="208"/>
      <c r="EE211" s="208"/>
      <c r="EF211" s="208"/>
      <c r="EG211" s="208"/>
      <c r="EH211" s="208"/>
      <c r="EI211" s="208"/>
      <c r="EJ211" s="208"/>
      <c r="EK211" s="208"/>
      <c r="EL211" s="208"/>
      <c r="EM211" s="208"/>
      <c r="EN211" s="208"/>
      <c r="EO211" s="208"/>
      <c r="EP211" s="208"/>
      <c r="EQ211" s="208"/>
      <c r="ER211" s="208"/>
      <c r="ES211" s="208"/>
      <c r="ET211" s="208"/>
      <c r="EU211" s="208"/>
      <c r="EV211" s="208"/>
      <c r="EW211" s="208"/>
      <c r="EX211" s="208"/>
      <c r="EY211" s="208"/>
      <c r="EZ211" s="208">
        <v>0</v>
      </c>
      <c r="FA211" s="208">
        <v>0</v>
      </c>
      <c r="FB211" s="208">
        <v>0</v>
      </c>
      <c r="FC211" s="208"/>
      <c r="FD211" s="82"/>
      <c r="FE211" s="30"/>
    </row>
    <row r="212" spans="1:161" ht="15" hidden="1">
      <c r="A212" s="25" t="s">
        <v>127</v>
      </c>
      <c r="B212" s="212" t="s">
        <v>125</v>
      </c>
      <c r="C212" s="138"/>
      <c r="D212" s="221"/>
      <c r="E212" s="239">
        <v>770</v>
      </c>
      <c r="F212" s="95"/>
      <c r="G212" s="95"/>
      <c r="H212" s="147" t="s">
        <v>656</v>
      </c>
      <c r="I212" s="147"/>
      <c r="J212" s="135"/>
      <c r="K212" s="135"/>
      <c r="L212" s="139"/>
      <c r="M212" s="134"/>
      <c r="N212" s="134"/>
      <c r="O212" s="134"/>
      <c r="P212" s="134"/>
      <c r="Q212" s="134"/>
      <c r="R212" s="134"/>
      <c r="S212" s="139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3"/>
      <c r="BD212" s="83"/>
      <c r="BE212" s="83"/>
      <c r="BF212" s="83"/>
      <c r="BG212" s="82"/>
      <c r="BH212" s="81"/>
      <c r="BI212" s="80"/>
      <c r="BJ212" s="25"/>
      <c r="BK212" s="25"/>
      <c r="BL212" s="25"/>
      <c r="BM212" s="84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92"/>
      <c r="DG212" s="92"/>
      <c r="DH212" s="203"/>
      <c r="DI212" s="203"/>
      <c r="DJ212" s="203"/>
      <c r="DK212" s="203"/>
      <c r="DL212" s="203"/>
      <c r="DM212" s="203"/>
      <c r="DN212" s="203"/>
      <c r="DO212" s="203"/>
      <c r="DP212" s="208"/>
      <c r="DQ212" s="208"/>
      <c r="DR212" s="208"/>
      <c r="DS212" s="208"/>
      <c r="DT212" s="208"/>
      <c r="DU212" s="208"/>
      <c r="DV212" s="208"/>
      <c r="DW212" s="208"/>
      <c r="DX212" s="208"/>
      <c r="DY212" s="208"/>
      <c r="DZ212" s="208"/>
      <c r="EA212" s="208"/>
      <c r="EB212" s="208"/>
      <c r="EC212" s="208"/>
      <c r="ED212" s="208"/>
      <c r="EE212" s="208"/>
      <c r="EF212" s="208"/>
      <c r="EG212" s="208"/>
      <c r="EH212" s="208"/>
      <c r="EI212" s="208"/>
      <c r="EJ212" s="208"/>
      <c r="EK212" s="208"/>
      <c r="EL212" s="208"/>
      <c r="EM212" s="208"/>
      <c r="EN212" s="208"/>
      <c r="EO212" s="208"/>
      <c r="EP212" s="208"/>
      <c r="EQ212" s="208"/>
      <c r="ER212" s="208"/>
      <c r="ES212" s="208"/>
      <c r="ET212" s="208"/>
      <c r="EU212" s="208"/>
      <c r="EV212" s="208"/>
      <c r="EW212" s="208"/>
      <c r="EX212" s="208"/>
      <c r="EY212" s="208"/>
      <c r="EZ212" s="208">
        <v>0</v>
      </c>
      <c r="FA212" s="208">
        <v>0</v>
      </c>
      <c r="FB212" s="208">
        <v>0</v>
      </c>
      <c r="FC212" s="208"/>
      <c r="FD212" s="82"/>
      <c r="FE212" s="30"/>
    </row>
    <row r="213" spans="1:161" ht="15" hidden="1">
      <c r="A213" s="25" t="s">
        <v>206</v>
      </c>
      <c r="B213" s="212" t="s">
        <v>125</v>
      </c>
      <c r="C213" s="138"/>
      <c r="D213" s="221"/>
      <c r="E213" s="239">
        <v>970</v>
      </c>
      <c r="F213" s="95"/>
      <c r="G213" s="95"/>
      <c r="H213" s="147" t="s">
        <v>656</v>
      </c>
      <c r="I213" s="147"/>
      <c r="J213" s="135"/>
      <c r="K213" s="135"/>
      <c r="L213" s="139"/>
      <c r="M213" s="134"/>
      <c r="N213" s="134"/>
      <c r="O213" s="134"/>
      <c r="P213" s="134"/>
      <c r="Q213" s="134"/>
      <c r="R213" s="134"/>
      <c r="S213" s="139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3"/>
      <c r="BD213" s="83"/>
      <c r="BE213" s="83"/>
      <c r="BF213" s="83"/>
      <c r="BG213" s="82"/>
      <c r="BH213" s="81"/>
      <c r="BI213" s="80"/>
      <c r="BJ213" s="25"/>
      <c r="BK213" s="25"/>
      <c r="BL213" s="25"/>
      <c r="BM213" s="84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92"/>
      <c r="DG213" s="92"/>
      <c r="DH213" s="203"/>
      <c r="DI213" s="203"/>
      <c r="DJ213" s="203"/>
      <c r="DK213" s="203"/>
      <c r="DL213" s="203"/>
      <c r="DM213" s="203"/>
      <c r="DN213" s="203"/>
      <c r="DO213" s="203"/>
      <c r="DP213" s="208"/>
      <c r="DQ213" s="208"/>
      <c r="DR213" s="208"/>
      <c r="DS213" s="208"/>
      <c r="DT213" s="208"/>
      <c r="DU213" s="208"/>
      <c r="DV213" s="208"/>
      <c r="DW213" s="208"/>
      <c r="DX213" s="208"/>
      <c r="DY213" s="208"/>
      <c r="DZ213" s="208"/>
      <c r="EA213" s="208"/>
      <c r="EB213" s="208"/>
      <c r="EC213" s="208"/>
      <c r="ED213" s="208"/>
      <c r="EE213" s="208"/>
      <c r="EF213" s="208"/>
      <c r="EG213" s="208"/>
      <c r="EH213" s="208"/>
      <c r="EI213" s="208"/>
      <c r="EJ213" s="208"/>
      <c r="EK213" s="208"/>
      <c r="EL213" s="208"/>
      <c r="EM213" s="208"/>
      <c r="EN213" s="208"/>
      <c r="EO213" s="208"/>
      <c r="EP213" s="208"/>
      <c r="EQ213" s="208"/>
      <c r="ER213" s="208"/>
      <c r="ES213" s="208"/>
      <c r="ET213" s="208"/>
      <c r="EU213" s="208"/>
      <c r="EV213" s="208"/>
      <c r="EW213" s="208"/>
      <c r="EX213" s="208"/>
      <c r="EY213" s="208"/>
      <c r="EZ213" s="208">
        <v>0</v>
      </c>
      <c r="FA213" s="208">
        <v>0</v>
      </c>
      <c r="FB213" s="208">
        <v>0</v>
      </c>
      <c r="FC213" s="208"/>
      <c r="FD213" s="82"/>
      <c r="FE213" s="30"/>
    </row>
    <row r="214" spans="1:161" ht="15" hidden="1">
      <c r="A214" s="25" t="s">
        <v>207</v>
      </c>
      <c r="B214" s="212" t="s">
        <v>129</v>
      </c>
      <c r="C214" s="138"/>
      <c r="D214" s="221"/>
      <c r="E214" s="239">
        <v>770</v>
      </c>
      <c r="F214" s="95"/>
      <c r="G214" s="95"/>
      <c r="H214" s="147" t="s">
        <v>656</v>
      </c>
      <c r="I214" s="147"/>
      <c r="J214" s="135"/>
      <c r="K214" s="135"/>
      <c r="L214" s="139"/>
      <c r="M214" s="134"/>
      <c r="N214" s="134"/>
      <c r="O214" s="134"/>
      <c r="P214" s="134"/>
      <c r="Q214" s="134"/>
      <c r="R214" s="134"/>
      <c r="S214" s="139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3"/>
      <c r="BD214" s="83"/>
      <c r="BE214" s="83"/>
      <c r="BF214" s="83"/>
      <c r="BG214" s="82"/>
      <c r="BH214" s="81"/>
      <c r="BI214" s="80"/>
      <c r="BJ214" s="25"/>
      <c r="BK214" s="25"/>
      <c r="BL214" s="25"/>
      <c r="BM214" s="84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92"/>
      <c r="DG214" s="92"/>
      <c r="DH214" s="203"/>
      <c r="DI214" s="203"/>
      <c r="DJ214" s="203"/>
      <c r="DK214" s="203"/>
      <c r="DL214" s="203"/>
      <c r="DM214" s="203"/>
      <c r="DN214" s="203"/>
      <c r="DO214" s="203"/>
      <c r="DP214" s="208"/>
      <c r="DQ214" s="208"/>
      <c r="DR214" s="208"/>
      <c r="DS214" s="208"/>
      <c r="DT214" s="208"/>
      <c r="DU214" s="208"/>
      <c r="DV214" s="208"/>
      <c r="DW214" s="208"/>
      <c r="DX214" s="208"/>
      <c r="DY214" s="208"/>
      <c r="DZ214" s="208"/>
      <c r="EA214" s="208"/>
      <c r="EB214" s="208"/>
      <c r="EC214" s="208"/>
      <c r="ED214" s="208"/>
      <c r="EE214" s="208"/>
      <c r="EF214" s="208"/>
      <c r="EG214" s="208"/>
      <c r="EH214" s="208"/>
      <c r="EI214" s="208"/>
      <c r="EJ214" s="208"/>
      <c r="EK214" s="208"/>
      <c r="EL214" s="208"/>
      <c r="EM214" s="208"/>
      <c r="EN214" s="208"/>
      <c r="EO214" s="208"/>
      <c r="EP214" s="208"/>
      <c r="EQ214" s="208"/>
      <c r="ER214" s="208"/>
      <c r="ES214" s="208"/>
      <c r="ET214" s="208"/>
      <c r="EU214" s="208"/>
      <c r="EV214" s="208"/>
      <c r="EW214" s="208"/>
      <c r="EX214" s="208"/>
      <c r="EY214" s="208"/>
      <c r="EZ214" s="208">
        <v>0</v>
      </c>
      <c r="FA214" s="208">
        <v>0</v>
      </c>
      <c r="FB214" s="208">
        <v>0</v>
      </c>
      <c r="FC214" s="208"/>
      <c r="FD214" s="82"/>
      <c r="FE214" s="30"/>
    </row>
    <row r="215" spans="1:161" ht="15" hidden="1">
      <c r="A215" s="25" t="s">
        <v>208</v>
      </c>
      <c r="B215" s="212" t="s">
        <v>129</v>
      </c>
      <c r="C215" s="138"/>
      <c r="D215" s="221"/>
      <c r="E215" s="239">
        <v>770</v>
      </c>
      <c r="F215" s="95"/>
      <c r="G215" s="95"/>
      <c r="H215" s="147" t="s">
        <v>656</v>
      </c>
      <c r="I215" s="147"/>
      <c r="J215" s="135"/>
      <c r="K215" s="135"/>
      <c r="L215" s="139"/>
      <c r="M215" s="134"/>
      <c r="N215" s="134"/>
      <c r="O215" s="134"/>
      <c r="P215" s="134"/>
      <c r="Q215" s="134"/>
      <c r="R215" s="134"/>
      <c r="S215" s="139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3"/>
      <c r="BD215" s="83"/>
      <c r="BE215" s="83"/>
      <c r="BF215" s="83"/>
      <c r="BG215" s="82"/>
      <c r="BH215" s="81"/>
      <c r="BI215" s="80"/>
      <c r="BJ215" s="25"/>
      <c r="BK215" s="25"/>
      <c r="BL215" s="25"/>
      <c r="BM215" s="84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92"/>
      <c r="DG215" s="92"/>
      <c r="DH215" s="203"/>
      <c r="DI215" s="203"/>
      <c r="DJ215" s="203"/>
      <c r="DK215" s="203"/>
      <c r="DL215" s="203"/>
      <c r="DM215" s="203"/>
      <c r="DN215" s="203"/>
      <c r="DO215" s="203"/>
      <c r="DP215" s="208"/>
      <c r="DQ215" s="208"/>
      <c r="DR215" s="208"/>
      <c r="DS215" s="208"/>
      <c r="DT215" s="208"/>
      <c r="DU215" s="208"/>
      <c r="DV215" s="208"/>
      <c r="DW215" s="208"/>
      <c r="DX215" s="208"/>
      <c r="DY215" s="208"/>
      <c r="DZ215" s="208"/>
      <c r="EA215" s="208"/>
      <c r="EB215" s="208"/>
      <c r="EC215" s="208"/>
      <c r="ED215" s="208"/>
      <c r="EE215" s="208"/>
      <c r="EF215" s="208"/>
      <c r="EG215" s="208"/>
      <c r="EH215" s="208"/>
      <c r="EI215" s="208"/>
      <c r="EJ215" s="208"/>
      <c r="EK215" s="208"/>
      <c r="EL215" s="208"/>
      <c r="EM215" s="208"/>
      <c r="EN215" s="208"/>
      <c r="EO215" s="208"/>
      <c r="EP215" s="208"/>
      <c r="EQ215" s="208"/>
      <c r="ER215" s="208"/>
      <c r="ES215" s="208"/>
      <c r="ET215" s="208"/>
      <c r="EU215" s="208"/>
      <c r="EV215" s="208"/>
      <c r="EW215" s="208"/>
      <c r="EX215" s="208"/>
      <c r="EY215" s="208"/>
      <c r="EZ215" s="208">
        <v>0</v>
      </c>
      <c r="FA215" s="208">
        <v>0</v>
      </c>
      <c r="FB215" s="208">
        <v>0</v>
      </c>
      <c r="FC215" s="208"/>
      <c r="FD215" s="82"/>
      <c r="FE215" s="30"/>
    </row>
    <row r="216" spans="1:161" ht="15" hidden="1">
      <c r="A216" s="25" t="s">
        <v>209</v>
      </c>
      <c r="B216" s="212" t="s">
        <v>129</v>
      </c>
      <c r="C216" s="138"/>
      <c r="D216" s="221"/>
      <c r="E216" s="239">
        <v>770</v>
      </c>
      <c r="F216" s="95"/>
      <c r="G216" s="95"/>
      <c r="H216" s="147" t="s">
        <v>656</v>
      </c>
      <c r="I216" s="147"/>
      <c r="J216" s="135"/>
      <c r="K216" s="135"/>
      <c r="L216" s="139"/>
      <c r="M216" s="134"/>
      <c r="N216" s="134"/>
      <c r="O216" s="134"/>
      <c r="P216" s="134"/>
      <c r="Q216" s="134"/>
      <c r="R216" s="134"/>
      <c r="S216" s="139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3"/>
      <c r="BD216" s="83"/>
      <c r="BE216" s="83"/>
      <c r="BF216" s="83"/>
      <c r="BG216" s="82"/>
      <c r="BH216" s="81"/>
      <c r="BI216" s="80"/>
      <c r="BJ216" s="25"/>
      <c r="BK216" s="25"/>
      <c r="BL216" s="25"/>
      <c r="BM216" s="84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92"/>
      <c r="DG216" s="92"/>
      <c r="DH216" s="203"/>
      <c r="DI216" s="203"/>
      <c r="DJ216" s="203"/>
      <c r="DK216" s="203"/>
      <c r="DL216" s="203"/>
      <c r="DM216" s="203"/>
      <c r="DN216" s="203"/>
      <c r="DO216" s="203"/>
      <c r="DP216" s="208"/>
      <c r="DQ216" s="208"/>
      <c r="DR216" s="208"/>
      <c r="DS216" s="208"/>
      <c r="DT216" s="208"/>
      <c r="DU216" s="208"/>
      <c r="DV216" s="208"/>
      <c r="DW216" s="208"/>
      <c r="DX216" s="208"/>
      <c r="DY216" s="208"/>
      <c r="DZ216" s="208"/>
      <c r="EA216" s="208"/>
      <c r="EB216" s="208"/>
      <c r="EC216" s="208"/>
      <c r="ED216" s="208"/>
      <c r="EE216" s="208"/>
      <c r="EF216" s="208"/>
      <c r="EG216" s="208"/>
      <c r="EH216" s="208"/>
      <c r="EI216" s="208"/>
      <c r="EJ216" s="208"/>
      <c r="EK216" s="208"/>
      <c r="EL216" s="208"/>
      <c r="EM216" s="208"/>
      <c r="EN216" s="208"/>
      <c r="EO216" s="208"/>
      <c r="EP216" s="208"/>
      <c r="EQ216" s="208"/>
      <c r="ER216" s="208"/>
      <c r="ES216" s="208"/>
      <c r="ET216" s="208"/>
      <c r="EU216" s="208"/>
      <c r="EV216" s="208"/>
      <c r="EW216" s="208"/>
      <c r="EX216" s="208"/>
      <c r="EY216" s="208"/>
      <c r="EZ216" s="208">
        <v>0</v>
      </c>
      <c r="FA216" s="208">
        <v>0</v>
      </c>
      <c r="FB216" s="208">
        <v>0</v>
      </c>
      <c r="FC216" s="208"/>
      <c r="FD216" s="82"/>
      <c r="FE216" s="30"/>
    </row>
    <row r="217" spans="1:161" ht="15" hidden="1">
      <c r="A217" s="25" t="s">
        <v>212</v>
      </c>
      <c r="B217" s="212" t="s">
        <v>129</v>
      </c>
      <c r="C217" s="138"/>
      <c r="D217" s="221"/>
      <c r="E217" s="239">
        <v>770</v>
      </c>
      <c r="F217" s="95"/>
      <c r="G217" s="95"/>
      <c r="H217" s="147" t="s">
        <v>656</v>
      </c>
      <c r="I217" s="147"/>
      <c r="J217" s="135"/>
      <c r="K217" s="135"/>
      <c r="L217" s="139"/>
      <c r="M217" s="134"/>
      <c r="N217" s="134"/>
      <c r="O217" s="134"/>
      <c r="P217" s="134"/>
      <c r="Q217" s="134"/>
      <c r="R217" s="134"/>
      <c r="S217" s="139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3"/>
      <c r="BD217" s="83"/>
      <c r="BE217" s="83"/>
      <c r="BF217" s="83"/>
      <c r="BG217" s="82"/>
      <c r="BH217" s="81"/>
      <c r="BI217" s="80"/>
      <c r="BJ217" s="25"/>
      <c r="BK217" s="25"/>
      <c r="BL217" s="25"/>
      <c r="BM217" s="84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92"/>
      <c r="DG217" s="92"/>
      <c r="DH217" s="203"/>
      <c r="DI217" s="203"/>
      <c r="DJ217" s="203"/>
      <c r="DK217" s="203"/>
      <c r="DL217" s="203"/>
      <c r="DM217" s="203"/>
      <c r="DN217" s="203"/>
      <c r="DO217" s="203"/>
      <c r="DP217" s="208"/>
      <c r="DQ217" s="208"/>
      <c r="DR217" s="208"/>
      <c r="DS217" s="208"/>
      <c r="DT217" s="208"/>
      <c r="DU217" s="208"/>
      <c r="DV217" s="208"/>
      <c r="DW217" s="208"/>
      <c r="DX217" s="208"/>
      <c r="DY217" s="208"/>
      <c r="DZ217" s="208"/>
      <c r="EA217" s="208"/>
      <c r="EB217" s="208"/>
      <c r="EC217" s="208"/>
      <c r="ED217" s="208"/>
      <c r="EE217" s="208"/>
      <c r="EF217" s="208"/>
      <c r="EG217" s="208"/>
      <c r="EH217" s="208"/>
      <c r="EI217" s="208"/>
      <c r="EJ217" s="208"/>
      <c r="EK217" s="208"/>
      <c r="EL217" s="208"/>
      <c r="EM217" s="208"/>
      <c r="EN217" s="208"/>
      <c r="EO217" s="208"/>
      <c r="EP217" s="208"/>
      <c r="EQ217" s="208"/>
      <c r="ER217" s="208"/>
      <c r="ES217" s="208"/>
      <c r="ET217" s="208"/>
      <c r="EU217" s="208"/>
      <c r="EV217" s="208"/>
      <c r="EW217" s="208"/>
      <c r="EX217" s="208"/>
      <c r="EY217" s="208"/>
      <c r="EZ217" s="208">
        <v>0</v>
      </c>
      <c r="FA217" s="208">
        <v>0</v>
      </c>
      <c r="FB217" s="208">
        <v>0</v>
      </c>
      <c r="FC217" s="208"/>
      <c r="FD217" s="82"/>
      <c r="FE217" s="30"/>
    </row>
    <row r="218" spans="1:161" ht="15" hidden="1">
      <c r="A218" s="25" t="s">
        <v>213</v>
      </c>
      <c r="B218" s="212" t="s">
        <v>129</v>
      </c>
      <c r="C218" s="138"/>
      <c r="D218" s="221"/>
      <c r="E218" s="239">
        <v>770</v>
      </c>
      <c r="F218" s="95"/>
      <c r="G218" s="95"/>
      <c r="H218" s="147" t="s">
        <v>656</v>
      </c>
      <c r="I218" s="147"/>
      <c r="J218" s="135"/>
      <c r="K218" s="135"/>
      <c r="L218" s="139"/>
      <c r="M218" s="134"/>
      <c r="N218" s="134"/>
      <c r="O218" s="134"/>
      <c r="P218" s="134"/>
      <c r="Q218" s="134"/>
      <c r="R218" s="134"/>
      <c r="S218" s="139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3"/>
      <c r="BD218" s="83"/>
      <c r="BE218" s="83"/>
      <c r="BF218" s="83"/>
      <c r="BG218" s="82"/>
      <c r="BH218" s="81"/>
      <c r="BI218" s="80"/>
      <c r="BJ218" s="25"/>
      <c r="BK218" s="25"/>
      <c r="BL218" s="25"/>
      <c r="BM218" s="84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92"/>
      <c r="DG218" s="92"/>
      <c r="DH218" s="203"/>
      <c r="DI218" s="203"/>
      <c r="DJ218" s="203"/>
      <c r="DK218" s="203"/>
      <c r="DL218" s="203"/>
      <c r="DM218" s="203"/>
      <c r="DN218" s="203"/>
      <c r="DO218" s="203"/>
      <c r="DP218" s="208"/>
      <c r="DQ218" s="208"/>
      <c r="DR218" s="208"/>
      <c r="DS218" s="208"/>
      <c r="DT218" s="208"/>
      <c r="DU218" s="208"/>
      <c r="DV218" s="208"/>
      <c r="DW218" s="208"/>
      <c r="DX218" s="208"/>
      <c r="DY218" s="208"/>
      <c r="DZ218" s="208"/>
      <c r="EA218" s="208"/>
      <c r="EB218" s="208"/>
      <c r="EC218" s="208"/>
      <c r="ED218" s="208"/>
      <c r="EE218" s="208"/>
      <c r="EF218" s="208"/>
      <c r="EG218" s="208"/>
      <c r="EH218" s="208"/>
      <c r="EI218" s="208"/>
      <c r="EJ218" s="208"/>
      <c r="EK218" s="208"/>
      <c r="EL218" s="208"/>
      <c r="EM218" s="208"/>
      <c r="EN218" s="208"/>
      <c r="EO218" s="208"/>
      <c r="EP218" s="208"/>
      <c r="EQ218" s="208"/>
      <c r="ER218" s="208"/>
      <c r="ES218" s="208"/>
      <c r="ET218" s="208"/>
      <c r="EU218" s="208"/>
      <c r="EV218" s="208"/>
      <c r="EW218" s="208"/>
      <c r="EX218" s="208"/>
      <c r="EY218" s="208"/>
      <c r="EZ218" s="208">
        <v>0</v>
      </c>
      <c r="FA218" s="208">
        <v>0</v>
      </c>
      <c r="FB218" s="208">
        <v>0</v>
      </c>
      <c r="FC218" s="208"/>
      <c r="FD218" s="82"/>
      <c r="FE218" s="30"/>
    </row>
    <row r="219" spans="1:161" ht="15" hidden="1">
      <c r="A219" s="25" t="s">
        <v>899</v>
      </c>
      <c r="B219" s="212" t="s">
        <v>129</v>
      </c>
      <c r="C219" s="138"/>
      <c r="D219" s="221"/>
      <c r="E219" s="239">
        <v>770</v>
      </c>
      <c r="F219" s="95"/>
      <c r="G219" s="95"/>
      <c r="H219" s="147" t="s">
        <v>656</v>
      </c>
      <c r="I219" s="147"/>
      <c r="J219" s="135"/>
      <c r="K219" s="135"/>
      <c r="L219" s="139"/>
      <c r="M219" s="134"/>
      <c r="N219" s="134"/>
      <c r="O219" s="134"/>
      <c r="P219" s="134"/>
      <c r="Q219" s="134"/>
      <c r="R219" s="134"/>
      <c r="S219" s="139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3"/>
      <c r="BD219" s="83"/>
      <c r="BE219" s="83"/>
      <c r="BF219" s="83"/>
      <c r="BG219" s="82"/>
      <c r="BH219" s="81"/>
      <c r="BI219" s="80"/>
      <c r="BJ219" s="25"/>
      <c r="BK219" s="25"/>
      <c r="BL219" s="25"/>
      <c r="BM219" s="84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92"/>
      <c r="DG219" s="92"/>
      <c r="DH219" s="203"/>
      <c r="DI219" s="203"/>
      <c r="DJ219" s="203"/>
      <c r="DK219" s="203"/>
      <c r="DL219" s="203"/>
      <c r="DM219" s="203"/>
      <c r="DN219" s="203"/>
      <c r="DO219" s="203"/>
      <c r="DP219" s="208"/>
      <c r="DQ219" s="208"/>
      <c r="DR219" s="208"/>
      <c r="DS219" s="208"/>
      <c r="DT219" s="208"/>
      <c r="DU219" s="208"/>
      <c r="DV219" s="208"/>
      <c r="DW219" s="208"/>
      <c r="DX219" s="208"/>
      <c r="DY219" s="208"/>
      <c r="DZ219" s="208"/>
      <c r="EA219" s="208"/>
      <c r="EB219" s="208"/>
      <c r="EC219" s="208"/>
      <c r="ED219" s="208"/>
      <c r="EE219" s="208"/>
      <c r="EF219" s="208"/>
      <c r="EG219" s="208"/>
      <c r="EH219" s="208"/>
      <c r="EI219" s="208"/>
      <c r="EJ219" s="208"/>
      <c r="EK219" s="208"/>
      <c r="EL219" s="208"/>
      <c r="EM219" s="208"/>
      <c r="EN219" s="208"/>
      <c r="EO219" s="208"/>
      <c r="EP219" s="208"/>
      <c r="EQ219" s="208"/>
      <c r="ER219" s="208"/>
      <c r="ES219" s="208"/>
      <c r="ET219" s="208"/>
      <c r="EU219" s="208"/>
      <c r="EV219" s="208"/>
      <c r="EW219" s="208"/>
      <c r="EX219" s="208"/>
      <c r="EY219" s="208"/>
      <c r="EZ219" s="208">
        <v>0</v>
      </c>
      <c r="FA219" s="208">
        <v>0</v>
      </c>
      <c r="FB219" s="208">
        <v>0</v>
      </c>
      <c r="FC219" s="208"/>
      <c r="FD219" s="82"/>
      <c r="FE219" s="30"/>
    </row>
    <row r="220" spans="1:161" ht="15" hidden="1">
      <c r="A220" s="25" t="s">
        <v>900</v>
      </c>
      <c r="B220" s="212" t="s">
        <v>129</v>
      </c>
      <c r="C220" s="138"/>
      <c r="D220" s="221"/>
      <c r="E220" s="239">
        <v>770</v>
      </c>
      <c r="F220" s="95"/>
      <c r="G220" s="95"/>
      <c r="H220" s="147" t="s">
        <v>656</v>
      </c>
      <c r="I220" s="147"/>
      <c r="J220" s="135"/>
      <c r="K220" s="135"/>
      <c r="L220" s="139"/>
      <c r="M220" s="134"/>
      <c r="N220" s="134"/>
      <c r="O220" s="134"/>
      <c r="P220" s="134"/>
      <c r="Q220" s="134"/>
      <c r="R220" s="134"/>
      <c r="S220" s="139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3"/>
      <c r="BD220" s="83"/>
      <c r="BE220" s="83"/>
      <c r="BF220" s="83"/>
      <c r="BG220" s="82"/>
      <c r="BH220" s="81"/>
      <c r="BI220" s="80"/>
      <c r="BJ220" s="25"/>
      <c r="BK220" s="25"/>
      <c r="BL220" s="25"/>
      <c r="BM220" s="84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92"/>
      <c r="DG220" s="92"/>
      <c r="DH220" s="203"/>
      <c r="DI220" s="203"/>
      <c r="DJ220" s="203"/>
      <c r="DK220" s="203"/>
      <c r="DL220" s="203"/>
      <c r="DM220" s="203"/>
      <c r="DN220" s="203"/>
      <c r="DO220" s="203"/>
      <c r="DP220" s="208"/>
      <c r="DQ220" s="208"/>
      <c r="DR220" s="208"/>
      <c r="DS220" s="208"/>
      <c r="DT220" s="208"/>
      <c r="DU220" s="208"/>
      <c r="DV220" s="208"/>
      <c r="DW220" s="208"/>
      <c r="DX220" s="208"/>
      <c r="DY220" s="208"/>
      <c r="DZ220" s="208"/>
      <c r="EA220" s="208"/>
      <c r="EB220" s="208"/>
      <c r="EC220" s="208"/>
      <c r="ED220" s="208"/>
      <c r="EE220" s="208"/>
      <c r="EF220" s="208"/>
      <c r="EG220" s="208"/>
      <c r="EH220" s="208"/>
      <c r="EI220" s="208"/>
      <c r="EJ220" s="208"/>
      <c r="EK220" s="208"/>
      <c r="EL220" s="208"/>
      <c r="EM220" s="208"/>
      <c r="EN220" s="208"/>
      <c r="EO220" s="208"/>
      <c r="EP220" s="208"/>
      <c r="EQ220" s="208"/>
      <c r="ER220" s="208"/>
      <c r="ES220" s="208"/>
      <c r="ET220" s="208"/>
      <c r="EU220" s="208"/>
      <c r="EV220" s="208"/>
      <c r="EW220" s="208"/>
      <c r="EX220" s="208"/>
      <c r="EY220" s="208"/>
      <c r="EZ220" s="208">
        <v>0</v>
      </c>
      <c r="FA220" s="208">
        <v>0</v>
      </c>
      <c r="FB220" s="208">
        <v>0</v>
      </c>
      <c r="FC220" s="208"/>
      <c r="FD220" s="82"/>
      <c r="FE220" s="30"/>
    </row>
    <row r="221" spans="1:161" ht="15" hidden="1">
      <c r="A221" s="25" t="s">
        <v>901</v>
      </c>
      <c r="B221" s="212" t="s">
        <v>129</v>
      </c>
      <c r="C221" s="138"/>
      <c r="D221" s="221"/>
      <c r="E221" s="239">
        <v>770</v>
      </c>
      <c r="F221" s="95"/>
      <c r="G221" s="95"/>
      <c r="H221" s="147" t="s">
        <v>656</v>
      </c>
      <c r="I221" s="147"/>
      <c r="J221" s="135"/>
      <c r="K221" s="135"/>
      <c r="L221" s="139"/>
      <c r="M221" s="134"/>
      <c r="N221" s="134"/>
      <c r="O221" s="134"/>
      <c r="P221" s="134"/>
      <c r="Q221" s="134"/>
      <c r="R221" s="134"/>
      <c r="S221" s="139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3"/>
      <c r="BD221" s="83"/>
      <c r="BE221" s="83"/>
      <c r="BF221" s="83"/>
      <c r="BG221" s="82"/>
      <c r="BH221" s="81"/>
      <c r="BI221" s="80"/>
      <c r="BJ221" s="25"/>
      <c r="BK221" s="25"/>
      <c r="BL221" s="25"/>
      <c r="BM221" s="84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92"/>
      <c r="DG221" s="92"/>
      <c r="DH221" s="203"/>
      <c r="DI221" s="203"/>
      <c r="DJ221" s="203"/>
      <c r="DK221" s="203"/>
      <c r="DL221" s="203"/>
      <c r="DM221" s="203"/>
      <c r="DN221" s="203"/>
      <c r="DO221" s="203"/>
      <c r="DP221" s="208"/>
      <c r="DQ221" s="208"/>
      <c r="DR221" s="208"/>
      <c r="DS221" s="208"/>
      <c r="DT221" s="208"/>
      <c r="DU221" s="208"/>
      <c r="DV221" s="208"/>
      <c r="DW221" s="208"/>
      <c r="DX221" s="208"/>
      <c r="DY221" s="208"/>
      <c r="DZ221" s="208"/>
      <c r="EA221" s="208"/>
      <c r="EB221" s="208"/>
      <c r="EC221" s="208"/>
      <c r="ED221" s="208"/>
      <c r="EE221" s="208"/>
      <c r="EF221" s="208"/>
      <c r="EG221" s="208"/>
      <c r="EH221" s="208"/>
      <c r="EI221" s="208"/>
      <c r="EJ221" s="208"/>
      <c r="EK221" s="208"/>
      <c r="EL221" s="208"/>
      <c r="EM221" s="208"/>
      <c r="EN221" s="208"/>
      <c r="EO221" s="208"/>
      <c r="EP221" s="208"/>
      <c r="EQ221" s="208"/>
      <c r="ER221" s="208"/>
      <c r="ES221" s="208"/>
      <c r="ET221" s="208"/>
      <c r="EU221" s="208"/>
      <c r="EV221" s="208"/>
      <c r="EW221" s="208"/>
      <c r="EX221" s="208"/>
      <c r="EY221" s="208"/>
      <c r="EZ221" s="208">
        <v>0</v>
      </c>
      <c r="FA221" s="208">
        <v>0</v>
      </c>
      <c r="FB221" s="208">
        <v>0</v>
      </c>
      <c r="FC221" s="208"/>
      <c r="FD221" s="82"/>
      <c r="FE221" s="30"/>
    </row>
    <row r="222" spans="1:161" ht="15" hidden="1">
      <c r="A222" s="25" t="s">
        <v>916</v>
      </c>
      <c r="B222" s="248" t="s">
        <v>129</v>
      </c>
      <c r="C222" s="138"/>
      <c r="D222" s="221"/>
      <c r="E222" s="239">
        <v>770</v>
      </c>
      <c r="F222" s="95"/>
      <c r="G222" s="95"/>
      <c r="H222" s="249" t="s">
        <v>656</v>
      </c>
      <c r="I222" s="147"/>
      <c r="J222" s="135"/>
      <c r="K222" s="135"/>
      <c r="L222" s="139"/>
      <c r="M222" s="134"/>
      <c r="N222" s="134"/>
      <c r="O222" s="134"/>
      <c r="P222" s="134"/>
      <c r="Q222" s="134"/>
      <c r="R222" s="134"/>
      <c r="S222" s="139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3"/>
      <c r="BD222" s="83"/>
      <c r="BE222" s="83"/>
      <c r="BF222" s="83"/>
      <c r="BG222" s="82"/>
      <c r="BH222" s="81"/>
      <c r="BI222" s="80"/>
      <c r="BJ222" s="25"/>
      <c r="BK222" s="25"/>
      <c r="BL222" s="25"/>
      <c r="BM222" s="84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92"/>
      <c r="DG222" s="92"/>
      <c r="DH222" s="203"/>
      <c r="DI222" s="203"/>
      <c r="DJ222" s="203"/>
      <c r="DK222" s="203"/>
      <c r="DL222" s="203"/>
      <c r="DM222" s="203"/>
      <c r="DN222" s="203"/>
      <c r="DO222" s="203"/>
      <c r="DP222" s="208"/>
      <c r="DQ222" s="208"/>
      <c r="DR222" s="208"/>
      <c r="DS222" s="208"/>
      <c r="DT222" s="208"/>
      <c r="DU222" s="208"/>
      <c r="DV222" s="208"/>
      <c r="DW222" s="208"/>
      <c r="DX222" s="208"/>
      <c r="DY222" s="208"/>
      <c r="DZ222" s="208"/>
      <c r="EA222" s="208"/>
      <c r="EB222" s="208"/>
      <c r="EC222" s="208"/>
      <c r="ED222" s="208"/>
      <c r="EE222" s="208"/>
      <c r="EF222" s="208"/>
      <c r="EG222" s="208"/>
      <c r="EH222" s="208"/>
      <c r="EI222" s="208"/>
      <c r="EJ222" s="208"/>
      <c r="EK222" s="208"/>
      <c r="EL222" s="208"/>
      <c r="EM222" s="208"/>
      <c r="EN222" s="208"/>
      <c r="EO222" s="208"/>
      <c r="EP222" s="208"/>
      <c r="EQ222" s="208"/>
      <c r="ER222" s="208"/>
      <c r="ES222" s="208"/>
      <c r="ET222" s="208"/>
      <c r="EU222" s="208"/>
      <c r="EV222" s="208"/>
      <c r="EW222" s="208"/>
      <c r="EX222" s="208"/>
      <c r="EY222" s="208"/>
      <c r="EZ222" s="208">
        <v>0</v>
      </c>
      <c r="FA222" s="208">
        <v>0</v>
      </c>
      <c r="FB222" s="208">
        <v>0</v>
      </c>
      <c r="FC222" s="208"/>
      <c r="FD222" s="82"/>
      <c r="FE222" s="30"/>
    </row>
    <row r="223" spans="1:161" ht="15" hidden="1">
      <c r="A223" s="25" t="s">
        <v>902</v>
      </c>
      <c r="B223" s="212" t="s">
        <v>129</v>
      </c>
      <c r="C223" s="138"/>
      <c r="D223" s="221"/>
      <c r="E223" s="239">
        <v>770</v>
      </c>
      <c r="F223" s="95"/>
      <c r="G223" s="95"/>
      <c r="H223" s="147" t="s">
        <v>656</v>
      </c>
      <c r="I223" s="147"/>
      <c r="J223" s="135"/>
      <c r="K223" s="135"/>
      <c r="L223" s="139"/>
      <c r="M223" s="134"/>
      <c r="N223" s="134"/>
      <c r="O223" s="134"/>
      <c r="P223" s="134"/>
      <c r="Q223" s="134"/>
      <c r="R223" s="134"/>
      <c r="S223" s="139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3"/>
      <c r="BD223" s="83"/>
      <c r="BE223" s="83"/>
      <c r="BF223" s="83"/>
      <c r="BG223" s="82"/>
      <c r="BH223" s="81"/>
      <c r="BI223" s="80"/>
      <c r="BJ223" s="25"/>
      <c r="BK223" s="25"/>
      <c r="BL223" s="25"/>
      <c r="BM223" s="84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92"/>
      <c r="DG223" s="92"/>
      <c r="DH223" s="203"/>
      <c r="DI223" s="203"/>
      <c r="DJ223" s="203"/>
      <c r="DK223" s="203"/>
      <c r="DL223" s="203"/>
      <c r="DM223" s="203"/>
      <c r="DN223" s="203"/>
      <c r="DO223" s="203"/>
      <c r="DP223" s="208"/>
      <c r="DQ223" s="208"/>
      <c r="DR223" s="208"/>
      <c r="DS223" s="208"/>
      <c r="DT223" s="208"/>
      <c r="DU223" s="208"/>
      <c r="DV223" s="208"/>
      <c r="DW223" s="208"/>
      <c r="DX223" s="208"/>
      <c r="DY223" s="208"/>
      <c r="DZ223" s="208"/>
      <c r="EA223" s="208"/>
      <c r="EB223" s="208"/>
      <c r="EC223" s="208"/>
      <c r="ED223" s="208"/>
      <c r="EE223" s="208"/>
      <c r="EF223" s="208"/>
      <c r="EG223" s="208"/>
      <c r="EH223" s="208"/>
      <c r="EI223" s="208"/>
      <c r="EJ223" s="208"/>
      <c r="EK223" s="208"/>
      <c r="EL223" s="208"/>
      <c r="EM223" s="208"/>
      <c r="EN223" s="208"/>
      <c r="EO223" s="208"/>
      <c r="EP223" s="208"/>
      <c r="EQ223" s="208"/>
      <c r="ER223" s="208"/>
      <c r="ES223" s="208"/>
      <c r="ET223" s="208"/>
      <c r="EU223" s="208"/>
      <c r="EV223" s="208"/>
      <c r="EW223" s="208"/>
      <c r="EX223" s="208"/>
      <c r="EY223" s="208"/>
      <c r="EZ223" s="208">
        <v>0</v>
      </c>
      <c r="FA223" s="208">
        <v>0</v>
      </c>
      <c r="FB223" s="208">
        <v>0</v>
      </c>
      <c r="FC223" s="208"/>
      <c r="FD223" s="82"/>
      <c r="FE223" s="30"/>
    </row>
    <row r="224" spans="1:161" ht="15" hidden="1">
      <c r="A224" s="25" t="s">
        <v>232</v>
      </c>
      <c r="B224" s="212" t="s">
        <v>129</v>
      </c>
      <c r="C224" s="138"/>
      <c r="D224" s="221"/>
      <c r="E224" s="239">
        <v>970</v>
      </c>
      <c r="F224" s="95"/>
      <c r="G224" s="95"/>
      <c r="H224" s="147" t="s">
        <v>656</v>
      </c>
      <c r="I224" s="147"/>
      <c r="J224" s="135"/>
      <c r="K224" s="135"/>
      <c r="L224" s="139"/>
      <c r="M224" s="134"/>
      <c r="N224" s="134"/>
      <c r="O224" s="134"/>
      <c r="P224" s="134"/>
      <c r="Q224" s="134"/>
      <c r="R224" s="134"/>
      <c r="S224" s="139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3"/>
      <c r="BD224" s="83"/>
      <c r="BE224" s="83"/>
      <c r="BF224" s="83"/>
      <c r="BG224" s="82"/>
      <c r="BH224" s="81"/>
      <c r="BI224" s="80"/>
      <c r="BJ224" s="25"/>
      <c r="BK224" s="25"/>
      <c r="BL224" s="25"/>
      <c r="BM224" s="84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92"/>
      <c r="DG224" s="92"/>
      <c r="DH224" s="203"/>
      <c r="DI224" s="203"/>
      <c r="DJ224" s="203"/>
      <c r="DK224" s="203"/>
      <c r="DL224" s="203"/>
      <c r="DM224" s="203"/>
      <c r="DN224" s="203"/>
      <c r="DO224" s="203"/>
      <c r="DP224" s="208"/>
      <c r="DQ224" s="208"/>
      <c r="DR224" s="208"/>
      <c r="DS224" s="208"/>
      <c r="DT224" s="208"/>
      <c r="DU224" s="208"/>
      <c r="DV224" s="208"/>
      <c r="DW224" s="208"/>
      <c r="DX224" s="208"/>
      <c r="DY224" s="208"/>
      <c r="DZ224" s="208"/>
      <c r="EA224" s="208"/>
      <c r="EB224" s="208"/>
      <c r="EC224" s="208"/>
      <c r="ED224" s="208"/>
      <c r="EE224" s="208"/>
      <c r="EF224" s="208"/>
      <c r="EG224" s="208"/>
      <c r="EH224" s="208"/>
      <c r="EI224" s="208"/>
      <c r="EJ224" s="208"/>
      <c r="EK224" s="208"/>
      <c r="EL224" s="208"/>
      <c r="EM224" s="208"/>
      <c r="EN224" s="208"/>
      <c r="EO224" s="208"/>
      <c r="EP224" s="208"/>
      <c r="EQ224" s="208"/>
      <c r="ER224" s="208"/>
      <c r="ES224" s="208"/>
      <c r="ET224" s="208"/>
      <c r="EU224" s="208"/>
      <c r="EV224" s="208"/>
      <c r="EW224" s="208"/>
      <c r="EX224" s="208"/>
      <c r="EY224" s="208"/>
      <c r="EZ224" s="208">
        <v>0</v>
      </c>
      <c r="FA224" s="208">
        <v>0</v>
      </c>
      <c r="FB224" s="208">
        <v>0</v>
      </c>
      <c r="FC224" s="208"/>
      <c r="FD224" s="82"/>
      <c r="FE224" s="30"/>
    </row>
    <row r="225" spans="1:161" ht="15" hidden="1">
      <c r="A225" s="25" t="s">
        <v>214</v>
      </c>
      <c r="B225" s="212" t="s">
        <v>129</v>
      </c>
      <c r="C225" s="138"/>
      <c r="D225" s="221"/>
      <c r="E225" s="239">
        <v>770</v>
      </c>
      <c r="F225" s="95"/>
      <c r="G225" s="95"/>
      <c r="H225" s="147" t="s">
        <v>656</v>
      </c>
      <c r="I225" s="147"/>
      <c r="J225" s="135"/>
      <c r="K225" s="135"/>
      <c r="L225" s="139"/>
      <c r="M225" s="134"/>
      <c r="N225" s="134"/>
      <c r="O225" s="134"/>
      <c r="P225" s="134"/>
      <c r="Q225" s="134"/>
      <c r="R225" s="134"/>
      <c r="S225" s="139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3"/>
      <c r="BD225" s="83"/>
      <c r="BE225" s="83"/>
      <c r="BF225" s="83"/>
      <c r="BG225" s="82"/>
      <c r="BH225" s="81"/>
      <c r="BI225" s="80"/>
      <c r="BJ225" s="25"/>
      <c r="BK225" s="25"/>
      <c r="BL225" s="25"/>
      <c r="BM225" s="84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92"/>
      <c r="DG225" s="92"/>
      <c r="DH225" s="203"/>
      <c r="DI225" s="203"/>
      <c r="DJ225" s="203"/>
      <c r="DK225" s="203"/>
      <c r="DL225" s="203"/>
      <c r="DM225" s="203"/>
      <c r="DN225" s="203"/>
      <c r="DO225" s="203"/>
      <c r="DP225" s="208"/>
      <c r="DQ225" s="208"/>
      <c r="DR225" s="208"/>
      <c r="DS225" s="208"/>
      <c r="DT225" s="208"/>
      <c r="DU225" s="208"/>
      <c r="DV225" s="208"/>
      <c r="DW225" s="208"/>
      <c r="DX225" s="208"/>
      <c r="DY225" s="208"/>
      <c r="DZ225" s="208"/>
      <c r="EA225" s="208"/>
      <c r="EB225" s="208"/>
      <c r="EC225" s="208"/>
      <c r="ED225" s="208"/>
      <c r="EE225" s="208"/>
      <c r="EF225" s="208"/>
      <c r="EG225" s="208"/>
      <c r="EH225" s="208"/>
      <c r="EI225" s="208"/>
      <c r="EJ225" s="208"/>
      <c r="EK225" s="208"/>
      <c r="EL225" s="208"/>
      <c r="EM225" s="208"/>
      <c r="EN225" s="208"/>
      <c r="EO225" s="208"/>
      <c r="EP225" s="208"/>
      <c r="EQ225" s="208"/>
      <c r="ER225" s="208"/>
      <c r="ES225" s="208"/>
      <c r="ET225" s="208"/>
      <c r="EU225" s="208"/>
      <c r="EV225" s="208"/>
      <c r="EW225" s="208"/>
      <c r="EX225" s="208"/>
      <c r="EY225" s="208"/>
      <c r="EZ225" s="208">
        <v>0</v>
      </c>
      <c r="FA225" s="208">
        <v>0</v>
      </c>
      <c r="FB225" s="208">
        <v>0</v>
      </c>
      <c r="FC225" s="208"/>
      <c r="FD225" s="82"/>
      <c r="FE225" s="30"/>
    </row>
    <row r="226" spans="1:161" ht="15" hidden="1">
      <c r="A226" s="25" t="s">
        <v>216</v>
      </c>
      <c r="B226" s="212" t="s">
        <v>129</v>
      </c>
      <c r="C226" s="138"/>
      <c r="D226" s="221"/>
      <c r="E226" s="239">
        <v>770</v>
      </c>
      <c r="F226" s="95"/>
      <c r="G226" s="95"/>
      <c r="H226" s="147" t="s">
        <v>656</v>
      </c>
      <c r="I226" s="147"/>
      <c r="J226" s="135"/>
      <c r="K226" s="135"/>
      <c r="L226" s="139"/>
      <c r="M226" s="134"/>
      <c r="N226" s="134"/>
      <c r="O226" s="134"/>
      <c r="P226" s="134"/>
      <c r="Q226" s="134"/>
      <c r="R226" s="134"/>
      <c r="S226" s="139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3"/>
      <c r="BD226" s="83"/>
      <c r="BE226" s="83"/>
      <c r="BF226" s="83"/>
      <c r="BG226" s="82"/>
      <c r="BH226" s="81"/>
      <c r="BI226" s="80"/>
      <c r="BJ226" s="25"/>
      <c r="BK226" s="25"/>
      <c r="BL226" s="25"/>
      <c r="BM226" s="84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92"/>
      <c r="DG226" s="92"/>
      <c r="DH226" s="203"/>
      <c r="DI226" s="203"/>
      <c r="DJ226" s="203"/>
      <c r="DK226" s="203"/>
      <c r="DL226" s="203"/>
      <c r="DM226" s="203"/>
      <c r="DN226" s="203"/>
      <c r="DO226" s="203"/>
      <c r="DP226" s="208"/>
      <c r="DQ226" s="208"/>
      <c r="DR226" s="208"/>
      <c r="DS226" s="208"/>
      <c r="DT226" s="208"/>
      <c r="DU226" s="208"/>
      <c r="DV226" s="208"/>
      <c r="DW226" s="208"/>
      <c r="DX226" s="208"/>
      <c r="DY226" s="208"/>
      <c r="DZ226" s="208"/>
      <c r="EA226" s="208"/>
      <c r="EB226" s="208"/>
      <c r="EC226" s="208"/>
      <c r="ED226" s="208"/>
      <c r="EE226" s="208"/>
      <c r="EF226" s="208"/>
      <c r="EG226" s="208"/>
      <c r="EH226" s="208"/>
      <c r="EI226" s="208"/>
      <c r="EJ226" s="208"/>
      <c r="EK226" s="208"/>
      <c r="EL226" s="208"/>
      <c r="EM226" s="208"/>
      <c r="EN226" s="208"/>
      <c r="EO226" s="208"/>
      <c r="EP226" s="208"/>
      <c r="EQ226" s="208"/>
      <c r="ER226" s="208"/>
      <c r="ES226" s="208"/>
      <c r="ET226" s="208"/>
      <c r="EU226" s="208"/>
      <c r="EV226" s="208"/>
      <c r="EW226" s="208"/>
      <c r="EX226" s="208"/>
      <c r="EY226" s="208"/>
      <c r="EZ226" s="208">
        <v>0</v>
      </c>
      <c r="FA226" s="208">
        <v>0</v>
      </c>
      <c r="FB226" s="208">
        <v>0</v>
      </c>
      <c r="FC226" s="208"/>
      <c r="FD226" s="82"/>
      <c r="FE226" s="30"/>
    </row>
    <row r="227" spans="1:161" ht="15" hidden="1">
      <c r="A227" s="25" t="s">
        <v>217</v>
      </c>
      <c r="B227" s="212" t="s">
        <v>129</v>
      </c>
      <c r="C227" s="138"/>
      <c r="D227" s="221"/>
      <c r="E227" s="239">
        <v>770</v>
      </c>
      <c r="F227" s="95"/>
      <c r="G227" s="95"/>
      <c r="H227" s="147" t="s">
        <v>656</v>
      </c>
      <c r="I227" s="147"/>
      <c r="J227" s="135"/>
      <c r="K227" s="135"/>
      <c r="L227" s="139"/>
      <c r="M227" s="134"/>
      <c r="N227" s="134"/>
      <c r="O227" s="134"/>
      <c r="P227" s="134"/>
      <c r="Q227" s="134"/>
      <c r="R227" s="134"/>
      <c r="S227" s="139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3"/>
      <c r="BD227" s="83"/>
      <c r="BE227" s="83"/>
      <c r="BF227" s="83"/>
      <c r="BG227" s="82"/>
      <c r="BH227" s="81"/>
      <c r="BI227" s="80"/>
      <c r="BJ227" s="25"/>
      <c r="BK227" s="25"/>
      <c r="BL227" s="25"/>
      <c r="BM227" s="84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92"/>
      <c r="DG227" s="92"/>
      <c r="DH227" s="203"/>
      <c r="DI227" s="203"/>
      <c r="DJ227" s="203"/>
      <c r="DK227" s="203"/>
      <c r="DL227" s="203"/>
      <c r="DM227" s="203"/>
      <c r="DN227" s="203"/>
      <c r="DO227" s="203"/>
      <c r="DP227" s="208"/>
      <c r="DQ227" s="208"/>
      <c r="DR227" s="208"/>
      <c r="DS227" s="208"/>
      <c r="DT227" s="208"/>
      <c r="DU227" s="208"/>
      <c r="DV227" s="208"/>
      <c r="DW227" s="208"/>
      <c r="DX227" s="208"/>
      <c r="DY227" s="208"/>
      <c r="DZ227" s="208"/>
      <c r="EA227" s="208"/>
      <c r="EB227" s="208"/>
      <c r="EC227" s="208"/>
      <c r="ED227" s="208"/>
      <c r="EE227" s="208"/>
      <c r="EF227" s="208"/>
      <c r="EG227" s="208"/>
      <c r="EH227" s="208"/>
      <c r="EI227" s="208"/>
      <c r="EJ227" s="208"/>
      <c r="EK227" s="208"/>
      <c r="EL227" s="208"/>
      <c r="EM227" s="208"/>
      <c r="EN227" s="208"/>
      <c r="EO227" s="208"/>
      <c r="EP227" s="208"/>
      <c r="EQ227" s="208"/>
      <c r="ER227" s="208"/>
      <c r="ES227" s="208"/>
      <c r="ET227" s="208"/>
      <c r="EU227" s="208"/>
      <c r="EV227" s="208"/>
      <c r="EW227" s="208"/>
      <c r="EX227" s="208"/>
      <c r="EY227" s="208"/>
      <c r="EZ227" s="208">
        <v>0</v>
      </c>
      <c r="FA227" s="208">
        <v>0</v>
      </c>
      <c r="FB227" s="208">
        <v>0</v>
      </c>
      <c r="FC227" s="208"/>
      <c r="FD227" s="82"/>
      <c r="FE227" s="30"/>
    </row>
    <row r="228" spans="1:161" ht="15" hidden="1">
      <c r="A228" s="25" t="s">
        <v>218</v>
      </c>
      <c r="B228" s="212" t="s">
        <v>129</v>
      </c>
      <c r="C228" s="138"/>
      <c r="D228" s="221"/>
      <c r="E228" s="239">
        <v>770</v>
      </c>
      <c r="F228" s="95"/>
      <c r="G228" s="95"/>
      <c r="H228" s="147" t="s">
        <v>656</v>
      </c>
      <c r="I228" s="147"/>
      <c r="J228" s="135"/>
      <c r="K228" s="135"/>
      <c r="L228" s="139"/>
      <c r="M228" s="134"/>
      <c r="N228" s="134"/>
      <c r="O228" s="134"/>
      <c r="P228" s="134"/>
      <c r="Q228" s="134"/>
      <c r="R228" s="134"/>
      <c r="S228" s="139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3"/>
      <c r="BD228" s="83"/>
      <c r="BE228" s="83"/>
      <c r="BF228" s="83"/>
      <c r="BG228" s="82"/>
      <c r="BH228" s="81"/>
      <c r="BI228" s="80"/>
      <c r="BJ228" s="25"/>
      <c r="BK228" s="25"/>
      <c r="BL228" s="25"/>
      <c r="BM228" s="84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92"/>
      <c r="DG228" s="92"/>
      <c r="DH228" s="203"/>
      <c r="DI228" s="203"/>
      <c r="DJ228" s="203"/>
      <c r="DK228" s="203"/>
      <c r="DL228" s="203"/>
      <c r="DM228" s="203"/>
      <c r="DN228" s="203"/>
      <c r="DO228" s="203"/>
      <c r="DP228" s="208"/>
      <c r="DQ228" s="208"/>
      <c r="DR228" s="208"/>
      <c r="DS228" s="208"/>
      <c r="DT228" s="208"/>
      <c r="DU228" s="208"/>
      <c r="DV228" s="208"/>
      <c r="DW228" s="208"/>
      <c r="DX228" s="208"/>
      <c r="DY228" s="208"/>
      <c r="DZ228" s="208"/>
      <c r="EA228" s="208"/>
      <c r="EB228" s="208"/>
      <c r="EC228" s="208"/>
      <c r="ED228" s="208"/>
      <c r="EE228" s="208"/>
      <c r="EF228" s="208"/>
      <c r="EG228" s="208"/>
      <c r="EH228" s="208"/>
      <c r="EI228" s="208"/>
      <c r="EJ228" s="208"/>
      <c r="EK228" s="208"/>
      <c r="EL228" s="208"/>
      <c r="EM228" s="208"/>
      <c r="EN228" s="208"/>
      <c r="EO228" s="208"/>
      <c r="EP228" s="208"/>
      <c r="EQ228" s="208"/>
      <c r="ER228" s="208"/>
      <c r="ES228" s="208"/>
      <c r="ET228" s="208"/>
      <c r="EU228" s="208"/>
      <c r="EV228" s="208"/>
      <c r="EW228" s="208"/>
      <c r="EX228" s="208"/>
      <c r="EY228" s="208"/>
      <c r="EZ228" s="208">
        <v>0</v>
      </c>
      <c r="FA228" s="208">
        <v>0</v>
      </c>
      <c r="FB228" s="208">
        <v>0</v>
      </c>
      <c r="FC228" s="208"/>
      <c r="FD228" s="82"/>
      <c r="FE228" s="30"/>
    </row>
    <row r="229" spans="1:161" ht="15" hidden="1">
      <c r="A229" s="25" t="s">
        <v>229</v>
      </c>
      <c r="B229" s="212" t="s">
        <v>129</v>
      </c>
      <c r="C229" s="138"/>
      <c r="D229" s="221"/>
      <c r="E229" s="239">
        <v>770</v>
      </c>
      <c r="F229" s="95"/>
      <c r="G229" s="95"/>
      <c r="H229" s="225" t="s">
        <v>656</v>
      </c>
      <c r="I229" s="147"/>
      <c r="J229" s="135"/>
      <c r="K229" s="135"/>
      <c r="L229" s="139"/>
      <c r="M229" s="134"/>
      <c r="N229" s="134"/>
      <c r="O229" s="134"/>
      <c r="P229" s="134"/>
      <c r="Q229" s="134"/>
      <c r="R229" s="134"/>
      <c r="S229" s="139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3"/>
      <c r="BD229" s="83"/>
      <c r="BE229" s="83"/>
      <c r="BF229" s="83"/>
      <c r="BG229" s="82"/>
      <c r="BH229" s="81"/>
      <c r="BI229" s="80"/>
      <c r="BJ229" s="25"/>
      <c r="BK229" s="25"/>
      <c r="BL229" s="25"/>
      <c r="BM229" s="84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92"/>
      <c r="DG229" s="92"/>
      <c r="DH229" s="203"/>
      <c r="DI229" s="203"/>
      <c r="DJ229" s="203"/>
      <c r="DK229" s="203"/>
      <c r="DL229" s="203"/>
      <c r="DM229" s="203"/>
      <c r="DN229" s="203"/>
      <c r="DO229" s="203"/>
      <c r="DP229" s="208"/>
      <c r="DQ229" s="208"/>
      <c r="DR229" s="208"/>
      <c r="DS229" s="208"/>
      <c r="DT229" s="208"/>
      <c r="DU229" s="208"/>
      <c r="DV229" s="208"/>
      <c r="DW229" s="208"/>
      <c r="DX229" s="208"/>
      <c r="DY229" s="208"/>
      <c r="DZ229" s="208"/>
      <c r="EA229" s="208"/>
      <c r="EB229" s="208"/>
      <c r="EC229" s="208"/>
      <c r="ED229" s="208"/>
      <c r="EE229" s="208"/>
      <c r="EF229" s="208"/>
      <c r="EG229" s="208"/>
      <c r="EH229" s="208"/>
      <c r="EI229" s="208"/>
      <c r="EJ229" s="208"/>
      <c r="EK229" s="208"/>
      <c r="EL229" s="208"/>
      <c r="EM229" s="208"/>
      <c r="EN229" s="208"/>
      <c r="EO229" s="208"/>
      <c r="EP229" s="208"/>
      <c r="EQ229" s="208"/>
      <c r="ER229" s="208"/>
      <c r="ES229" s="208"/>
      <c r="ET229" s="208"/>
      <c r="EU229" s="208"/>
      <c r="EV229" s="208"/>
      <c r="EW229" s="208"/>
      <c r="EX229" s="208"/>
      <c r="EY229" s="208"/>
      <c r="EZ229" s="208">
        <v>0</v>
      </c>
      <c r="FA229" s="208">
        <v>0</v>
      </c>
      <c r="FB229" s="208">
        <v>0</v>
      </c>
      <c r="FC229" s="208"/>
      <c r="FD229" s="82"/>
      <c r="FE229" s="30"/>
    </row>
    <row r="230" spans="1:161" ht="15" hidden="1">
      <c r="A230" s="25" t="s">
        <v>230</v>
      </c>
      <c r="B230" s="212" t="s">
        <v>129</v>
      </c>
      <c r="C230" s="138"/>
      <c r="D230" s="221"/>
      <c r="E230" s="239">
        <v>770</v>
      </c>
      <c r="F230" s="95"/>
      <c r="G230" s="95"/>
      <c r="H230" s="225" t="s">
        <v>656</v>
      </c>
      <c r="I230" s="147"/>
      <c r="J230" s="135"/>
      <c r="K230" s="135"/>
      <c r="L230" s="139"/>
      <c r="M230" s="134"/>
      <c r="N230" s="134"/>
      <c r="O230" s="134"/>
      <c r="P230" s="134"/>
      <c r="Q230" s="134"/>
      <c r="R230" s="134"/>
      <c r="S230" s="139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3"/>
      <c r="BD230" s="83"/>
      <c r="BE230" s="83"/>
      <c r="BF230" s="83"/>
      <c r="BG230" s="82"/>
      <c r="BH230" s="81"/>
      <c r="BI230" s="80"/>
      <c r="BJ230" s="25"/>
      <c r="BK230" s="25"/>
      <c r="BL230" s="25"/>
      <c r="BM230" s="84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92"/>
      <c r="DG230" s="92"/>
      <c r="DH230" s="203"/>
      <c r="DI230" s="203"/>
      <c r="DJ230" s="203"/>
      <c r="DK230" s="203"/>
      <c r="DL230" s="203"/>
      <c r="DM230" s="203"/>
      <c r="DN230" s="203"/>
      <c r="DO230" s="203"/>
      <c r="DP230" s="208"/>
      <c r="DQ230" s="208"/>
      <c r="DR230" s="208"/>
      <c r="DS230" s="208"/>
      <c r="DT230" s="208"/>
      <c r="DU230" s="208"/>
      <c r="DV230" s="208"/>
      <c r="DW230" s="208"/>
      <c r="DX230" s="208"/>
      <c r="DY230" s="208"/>
      <c r="DZ230" s="208"/>
      <c r="EA230" s="208"/>
      <c r="EB230" s="208"/>
      <c r="EC230" s="208"/>
      <c r="ED230" s="208"/>
      <c r="EE230" s="208"/>
      <c r="EF230" s="208"/>
      <c r="EG230" s="208"/>
      <c r="EH230" s="208"/>
      <c r="EI230" s="208"/>
      <c r="EJ230" s="208"/>
      <c r="EK230" s="208"/>
      <c r="EL230" s="208"/>
      <c r="EM230" s="208"/>
      <c r="EN230" s="208"/>
      <c r="EO230" s="208"/>
      <c r="EP230" s="208"/>
      <c r="EQ230" s="208"/>
      <c r="ER230" s="208"/>
      <c r="ES230" s="208"/>
      <c r="ET230" s="208"/>
      <c r="EU230" s="208"/>
      <c r="EV230" s="208"/>
      <c r="EW230" s="208"/>
      <c r="EX230" s="208"/>
      <c r="EY230" s="208"/>
      <c r="EZ230" s="208">
        <v>0</v>
      </c>
      <c r="FA230" s="208">
        <v>0</v>
      </c>
      <c r="FB230" s="208">
        <v>0</v>
      </c>
      <c r="FC230" s="208"/>
      <c r="FD230" s="82"/>
      <c r="FE230" s="30"/>
    </row>
    <row r="231" spans="1:161" ht="15" hidden="1">
      <c r="A231" s="25" t="s">
        <v>131</v>
      </c>
      <c r="B231" s="212" t="s">
        <v>129</v>
      </c>
      <c r="C231" s="138"/>
      <c r="D231" s="221"/>
      <c r="E231" s="239">
        <v>770</v>
      </c>
      <c r="F231" s="95"/>
      <c r="G231" s="95"/>
      <c r="H231" s="225" t="s">
        <v>656</v>
      </c>
      <c r="I231" s="147"/>
      <c r="J231" s="135"/>
      <c r="K231" s="135"/>
      <c r="L231" s="139"/>
      <c r="M231" s="134"/>
      <c r="N231" s="134"/>
      <c r="O231" s="134"/>
      <c r="P231" s="134"/>
      <c r="Q231" s="134"/>
      <c r="R231" s="134"/>
      <c r="S231" s="139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3"/>
      <c r="BD231" s="83"/>
      <c r="BE231" s="83"/>
      <c r="BF231" s="83"/>
      <c r="BG231" s="82"/>
      <c r="BH231" s="81"/>
      <c r="BI231" s="80"/>
      <c r="BJ231" s="25"/>
      <c r="BK231" s="25"/>
      <c r="BL231" s="25"/>
      <c r="BM231" s="84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92"/>
      <c r="DG231" s="92"/>
      <c r="DH231" s="203"/>
      <c r="DI231" s="203"/>
      <c r="DJ231" s="203"/>
      <c r="DK231" s="203"/>
      <c r="DL231" s="203"/>
      <c r="DM231" s="203"/>
      <c r="DN231" s="203"/>
      <c r="DO231" s="203"/>
      <c r="DP231" s="208"/>
      <c r="DQ231" s="208"/>
      <c r="DR231" s="208"/>
      <c r="DS231" s="208"/>
      <c r="DT231" s="208"/>
      <c r="DU231" s="208"/>
      <c r="DV231" s="208"/>
      <c r="DW231" s="208"/>
      <c r="DX231" s="208"/>
      <c r="DY231" s="208"/>
      <c r="DZ231" s="208"/>
      <c r="EA231" s="208"/>
      <c r="EB231" s="208"/>
      <c r="EC231" s="208"/>
      <c r="ED231" s="208"/>
      <c r="EE231" s="208"/>
      <c r="EF231" s="208"/>
      <c r="EG231" s="208"/>
      <c r="EH231" s="208"/>
      <c r="EI231" s="208"/>
      <c r="EJ231" s="208"/>
      <c r="EK231" s="208"/>
      <c r="EL231" s="208"/>
      <c r="EM231" s="208"/>
      <c r="EN231" s="208"/>
      <c r="EO231" s="208"/>
      <c r="EP231" s="208"/>
      <c r="EQ231" s="208"/>
      <c r="ER231" s="208"/>
      <c r="ES231" s="208"/>
      <c r="ET231" s="208"/>
      <c r="EU231" s="208"/>
      <c r="EV231" s="208"/>
      <c r="EW231" s="208"/>
      <c r="EX231" s="208"/>
      <c r="EY231" s="208"/>
      <c r="EZ231" s="208">
        <v>0</v>
      </c>
      <c r="FA231" s="208">
        <v>0</v>
      </c>
      <c r="FB231" s="208">
        <v>0</v>
      </c>
      <c r="FC231" s="208"/>
      <c r="FD231" s="82"/>
      <c r="FE231" s="30"/>
    </row>
    <row r="232" spans="1:161" ht="15" hidden="1">
      <c r="A232" s="25" t="s">
        <v>227</v>
      </c>
      <c r="B232" s="212" t="s">
        <v>129</v>
      </c>
      <c r="C232" s="138"/>
      <c r="D232" s="221"/>
      <c r="E232" s="239">
        <v>770</v>
      </c>
      <c r="F232" s="95"/>
      <c r="G232" s="95"/>
      <c r="H232" s="225" t="s">
        <v>656</v>
      </c>
      <c r="I232" s="147"/>
      <c r="J232" s="135"/>
      <c r="K232" s="135"/>
      <c r="L232" s="139"/>
      <c r="M232" s="134"/>
      <c r="N232" s="134"/>
      <c r="O232" s="134"/>
      <c r="P232" s="134"/>
      <c r="Q232" s="134"/>
      <c r="R232" s="134"/>
      <c r="S232" s="139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3"/>
      <c r="BD232" s="83"/>
      <c r="BE232" s="83"/>
      <c r="BF232" s="83"/>
      <c r="BG232" s="82"/>
      <c r="BH232" s="81"/>
      <c r="BI232" s="80"/>
      <c r="BJ232" s="25"/>
      <c r="BK232" s="25"/>
      <c r="BL232" s="25"/>
      <c r="BM232" s="84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92"/>
      <c r="DG232" s="92"/>
      <c r="DH232" s="203"/>
      <c r="DI232" s="203"/>
      <c r="DJ232" s="203"/>
      <c r="DK232" s="203"/>
      <c r="DL232" s="203"/>
      <c r="DM232" s="203"/>
      <c r="DN232" s="203"/>
      <c r="DO232" s="203"/>
      <c r="DP232" s="208"/>
      <c r="DQ232" s="208"/>
      <c r="DR232" s="208"/>
      <c r="DS232" s="208"/>
      <c r="DT232" s="208"/>
      <c r="DU232" s="208"/>
      <c r="DV232" s="208"/>
      <c r="DW232" s="208"/>
      <c r="DX232" s="208"/>
      <c r="DY232" s="208"/>
      <c r="DZ232" s="208"/>
      <c r="EA232" s="208"/>
      <c r="EB232" s="208"/>
      <c r="EC232" s="208"/>
      <c r="ED232" s="208"/>
      <c r="EE232" s="208"/>
      <c r="EF232" s="208"/>
      <c r="EG232" s="208"/>
      <c r="EH232" s="208"/>
      <c r="EI232" s="208"/>
      <c r="EJ232" s="208"/>
      <c r="EK232" s="208"/>
      <c r="EL232" s="208"/>
      <c r="EM232" s="208"/>
      <c r="EN232" s="208"/>
      <c r="EO232" s="208"/>
      <c r="EP232" s="208"/>
      <c r="EQ232" s="208"/>
      <c r="ER232" s="208"/>
      <c r="ES232" s="208"/>
      <c r="ET232" s="208"/>
      <c r="EU232" s="208"/>
      <c r="EV232" s="208"/>
      <c r="EW232" s="208"/>
      <c r="EX232" s="208"/>
      <c r="EY232" s="208"/>
      <c r="EZ232" s="208">
        <v>0</v>
      </c>
      <c r="FA232" s="208">
        <v>0</v>
      </c>
      <c r="FB232" s="208">
        <v>0</v>
      </c>
      <c r="FC232" s="208"/>
      <c r="FD232" s="82"/>
      <c r="FE232" s="30"/>
    </row>
    <row r="233" spans="1:161" ht="15" hidden="1">
      <c r="A233" s="25" t="s">
        <v>132</v>
      </c>
      <c r="B233" s="212" t="s">
        <v>129</v>
      </c>
      <c r="C233" s="138"/>
      <c r="D233" s="221"/>
      <c r="E233" s="239">
        <v>770</v>
      </c>
      <c r="F233" s="95"/>
      <c r="G233" s="95"/>
      <c r="H233" s="225" t="s">
        <v>656</v>
      </c>
      <c r="I233" s="147"/>
      <c r="J233" s="135"/>
      <c r="K233" s="135"/>
      <c r="L233" s="139"/>
      <c r="M233" s="134"/>
      <c r="N233" s="134"/>
      <c r="O233" s="134"/>
      <c r="P233" s="134"/>
      <c r="Q233" s="134"/>
      <c r="R233" s="134"/>
      <c r="S233" s="139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3"/>
      <c r="BD233" s="83"/>
      <c r="BE233" s="83"/>
      <c r="BF233" s="83"/>
      <c r="BG233" s="82"/>
      <c r="BH233" s="81"/>
      <c r="BI233" s="80"/>
      <c r="BJ233" s="25"/>
      <c r="BK233" s="25"/>
      <c r="BL233" s="25"/>
      <c r="BM233" s="84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92"/>
      <c r="DG233" s="92"/>
      <c r="DH233" s="203"/>
      <c r="DI233" s="203"/>
      <c r="DJ233" s="203"/>
      <c r="DK233" s="203"/>
      <c r="DL233" s="203"/>
      <c r="DM233" s="203"/>
      <c r="DN233" s="203"/>
      <c r="DO233" s="203"/>
      <c r="DP233" s="208"/>
      <c r="DQ233" s="208"/>
      <c r="DR233" s="208"/>
      <c r="DS233" s="208"/>
      <c r="DT233" s="208"/>
      <c r="DU233" s="208"/>
      <c r="DV233" s="208"/>
      <c r="DW233" s="208"/>
      <c r="DX233" s="208"/>
      <c r="DY233" s="208"/>
      <c r="DZ233" s="208"/>
      <c r="EA233" s="208"/>
      <c r="EB233" s="208"/>
      <c r="EC233" s="208"/>
      <c r="ED233" s="208"/>
      <c r="EE233" s="208"/>
      <c r="EF233" s="208"/>
      <c r="EG233" s="208"/>
      <c r="EH233" s="208"/>
      <c r="EI233" s="208"/>
      <c r="EJ233" s="208"/>
      <c r="EK233" s="208"/>
      <c r="EL233" s="208"/>
      <c r="EM233" s="208"/>
      <c r="EN233" s="208"/>
      <c r="EO233" s="208"/>
      <c r="EP233" s="208"/>
      <c r="EQ233" s="208"/>
      <c r="ER233" s="208"/>
      <c r="ES233" s="208"/>
      <c r="ET233" s="208"/>
      <c r="EU233" s="208"/>
      <c r="EV233" s="208"/>
      <c r="EW233" s="208"/>
      <c r="EX233" s="208"/>
      <c r="EY233" s="208"/>
      <c r="EZ233" s="208">
        <v>0</v>
      </c>
      <c r="FA233" s="208">
        <v>0</v>
      </c>
      <c r="FB233" s="208">
        <v>0</v>
      </c>
      <c r="FC233" s="208"/>
      <c r="FD233" s="82"/>
      <c r="FE233" s="30"/>
    </row>
    <row r="234" spans="1:161" ht="15" hidden="1">
      <c r="A234" s="25" t="s">
        <v>219</v>
      </c>
      <c r="B234" s="212" t="s">
        <v>129</v>
      </c>
      <c r="C234" s="138"/>
      <c r="D234" s="221"/>
      <c r="E234" s="239">
        <v>770</v>
      </c>
      <c r="F234" s="95"/>
      <c r="G234" s="95"/>
      <c r="H234" s="147" t="s">
        <v>656</v>
      </c>
      <c r="I234" s="147"/>
      <c r="J234" s="135"/>
      <c r="K234" s="135"/>
      <c r="L234" s="139"/>
      <c r="M234" s="134"/>
      <c r="N234" s="134"/>
      <c r="O234" s="134"/>
      <c r="P234" s="134"/>
      <c r="Q234" s="134"/>
      <c r="R234" s="134"/>
      <c r="S234" s="139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3"/>
      <c r="BD234" s="83"/>
      <c r="BE234" s="83"/>
      <c r="BF234" s="83"/>
      <c r="BG234" s="82"/>
      <c r="BH234" s="81"/>
      <c r="BI234" s="80"/>
      <c r="BJ234" s="25"/>
      <c r="BK234" s="25"/>
      <c r="BL234" s="25"/>
      <c r="BM234" s="84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92"/>
      <c r="DG234" s="92"/>
      <c r="DH234" s="203"/>
      <c r="DI234" s="203"/>
      <c r="DJ234" s="203"/>
      <c r="DK234" s="203"/>
      <c r="DL234" s="203"/>
      <c r="DM234" s="203"/>
      <c r="DN234" s="203"/>
      <c r="DO234" s="203"/>
      <c r="DP234" s="208"/>
      <c r="DQ234" s="208"/>
      <c r="DR234" s="208"/>
      <c r="DS234" s="208"/>
      <c r="DT234" s="208"/>
      <c r="DU234" s="208"/>
      <c r="DV234" s="208"/>
      <c r="DW234" s="208"/>
      <c r="DX234" s="208"/>
      <c r="DY234" s="208"/>
      <c r="DZ234" s="208"/>
      <c r="EA234" s="208"/>
      <c r="EB234" s="208"/>
      <c r="EC234" s="208"/>
      <c r="ED234" s="208"/>
      <c r="EE234" s="208"/>
      <c r="EF234" s="208"/>
      <c r="EG234" s="208"/>
      <c r="EH234" s="208"/>
      <c r="EI234" s="208"/>
      <c r="EJ234" s="208"/>
      <c r="EK234" s="208"/>
      <c r="EL234" s="208"/>
      <c r="EM234" s="208"/>
      <c r="EN234" s="208"/>
      <c r="EO234" s="208"/>
      <c r="EP234" s="208"/>
      <c r="EQ234" s="208"/>
      <c r="ER234" s="208"/>
      <c r="ES234" s="208"/>
      <c r="ET234" s="208"/>
      <c r="EU234" s="208"/>
      <c r="EV234" s="208"/>
      <c r="EW234" s="208"/>
      <c r="EX234" s="208"/>
      <c r="EY234" s="208"/>
      <c r="EZ234" s="208">
        <v>0</v>
      </c>
      <c r="FA234" s="208">
        <v>0</v>
      </c>
      <c r="FB234" s="208">
        <v>0</v>
      </c>
      <c r="FC234" s="208"/>
      <c r="FD234" s="82"/>
      <c r="FE234" s="30"/>
    </row>
    <row r="235" spans="1:161" ht="15" hidden="1">
      <c r="A235" s="25" t="s">
        <v>220</v>
      </c>
      <c r="B235" s="212" t="s">
        <v>129</v>
      </c>
      <c r="C235" s="138"/>
      <c r="D235" s="221"/>
      <c r="E235" s="239">
        <v>770</v>
      </c>
      <c r="F235" s="95"/>
      <c r="G235" s="95"/>
      <c r="H235" s="147" t="s">
        <v>656</v>
      </c>
      <c r="I235" s="147"/>
      <c r="J235" s="135"/>
      <c r="K235" s="135"/>
      <c r="L235" s="139"/>
      <c r="M235" s="134"/>
      <c r="N235" s="134"/>
      <c r="O235" s="134"/>
      <c r="P235" s="134"/>
      <c r="Q235" s="134"/>
      <c r="R235" s="134"/>
      <c r="S235" s="139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3"/>
      <c r="BD235" s="83"/>
      <c r="BE235" s="83"/>
      <c r="BF235" s="83"/>
      <c r="BG235" s="82"/>
      <c r="BH235" s="81"/>
      <c r="BI235" s="80"/>
      <c r="BJ235" s="25"/>
      <c r="BK235" s="25"/>
      <c r="BL235" s="25"/>
      <c r="BM235" s="84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92"/>
      <c r="DG235" s="92"/>
      <c r="DH235" s="203"/>
      <c r="DI235" s="203"/>
      <c r="DJ235" s="203"/>
      <c r="DK235" s="203"/>
      <c r="DL235" s="203"/>
      <c r="DM235" s="203"/>
      <c r="DN235" s="203"/>
      <c r="DO235" s="203"/>
      <c r="DP235" s="208"/>
      <c r="DQ235" s="208"/>
      <c r="DR235" s="208"/>
      <c r="DS235" s="208"/>
      <c r="DT235" s="208"/>
      <c r="DU235" s="208"/>
      <c r="DV235" s="208"/>
      <c r="DW235" s="208"/>
      <c r="DX235" s="208"/>
      <c r="DY235" s="208"/>
      <c r="DZ235" s="208"/>
      <c r="EA235" s="208"/>
      <c r="EB235" s="208"/>
      <c r="EC235" s="208"/>
      <c r="ED235" s="208"/>
      <c r="EE235" s="208"/>
      <c r="EF235" s="208"/>
      <c r="EG235" s="208"/>
      <c r="EH235" s="208"/>
      <c r="EI235" s="208"/>
      <c r="EJ235" s="208"/>
      <c r="EK235" s="208"/>
      <c r="EL235" s="208"/>
      <c r="EM235" s="208"/>
      <c r="EN235" s="208"/>
      <c r="EO235" s="208"/>
      <c r="EP235" s="208"/>
      <c r="EQ235" s="208"/>
      <c r="ER235" s="208"/>
      <c r="ES235" s="208"/>
      <c r="ET235" s="208"/>
      <c r="EU235" s="208"/>
      <c r="EV235" s="208"/>
      <c r="EW235" s="208"/>
      <c r="EX235" s="208"/>
      <c r="EY235" s="208"/>
      <c r="EZ235" s="208">
        <v>0</v>
      </c>
      <c r="FA235" s="208">
        <v>0</v>
      </c>
      <c r="FB235" s="208">
        <v>0</v>
      </c>
      <c r="FC235" s="208"/>
      <c r="FD235" s="82"/>
      <c r="FE235" s="30"/>
    </row>
    <row r="236" spans="1:161" ht="15" hidden="1">
      <c r="A236" s="25" t="s">
        <v>221</v>
      </c>
      <c r="B236" s="212" t="s">
        <v>129</v>
      </c>
      <c r="C236" s="138"/>
      <c r="D236" s="221"/>
      <c r="E236" s="239">
        <v>770</v>
      </c>
      <c r="F236" s="95"/>
      <c r="G236" s="95"/>
      <c r="H236" s="147" t="s">
        <v>656</v>
      </c>
      <c r="I236" s="147"/>
      <c r="J236" s="135"/>
      <c r="K236" s="135"/>
      <c r="L236" s="139"/>
      <c r="M236" s="134"/>
      <c r="N236" s="134"/>
      <c r="O236" s="134"/>
      <c r="P236" s="134"/>
      <c r="Q236" s="134"/>
      <c r="R236" s="134"/>
      <c r="S236" s="139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3"/>
      <c r="BD236" s="83"/>
      <c r="BE236" s="83"/>
      <c r="BF236" s="83"/>
      <c r="BG236" s="82"/>
      <c r="BH236" s="81"/>
      <c r="BI236" s="80"/>
      <c r="BJ236" s="25"/>
      <c r="BK236" s="25"/>
      <c r="BL236" s="25"/>
      <c r="BM236" s="84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92"/>
      <c r="DG236" s="92"/>
      <c r="DH236" s="203"/>
      <c r="DI236" s="203"/>
      <c r="DJ236" s="203"/>
      <c r="DK236" s="203"/>
      <c r="DL236" s="203"/>
      <c r="DM236" s="203"/>
      <c r="DN236" s="203"/>
      <c r="DO236" s="203"/>
      <c r="DP236" s="208"/>
      <c r="DQ236" s="208"/>
      <c r="DR236" s="208"/>
      <c r="DS236" s="208"/>
      <c r="DT236" s="208"/>
      <c r="DU236" s="208"/>
      <c r="DV236" s="208"/>
      <c r="DW236" s="208"/>
      <c r="DX236" s="208"/>
      <c r="DY236" s="208"/>
      <c r="DZ236" s="208"/>
      <c r="EA236" s="208"/>
      <c r="EB236" s="208"/>
      <c r="EC236" s="208"/>
      <c r="ED236" s="208"/>
      <c r="EE236" s="208"/>
      <c r="EF236" s="208"/>
      <c r="EG236" s="208"/>
      <c r="EH236" s="208"/>
      <c r="EI236" s="208"/>
      <c r="EJ236" s="208"/>
      <c r="EK236" s="208"/>
      <c r="EL236" s="208"/>
      <c r="EM236" s="208"/>
      <c r="EN236" s="208"/>
      <c r="EO236" s="208"/>
      <c r="EP236" s="208"/>
      <c r="EQ236" s="208"/>
      <c r="ER236" s="208"/>
      <c r="ES236" s="208"/>
      <c r="ET236" s="208"/>
      <c r="EU236" s="208"/>
      <c r="EV236" s="208"/>
      <c r="EW236" s="208"/>
      <c r="EX236" s="208"/>
      <c r="EY236" s="208"/>
      <c r="EZ236" s="208">
        <v>0</v>
      </c>
      <c r="FA236" s="208">
        <v>0</v>
      </c>
      <c r="FB236" s="208">
        <v>0</v>
      </c>
      <c r="FC236" s="208"/>
      <c r="FD236" s="82"/>
      <c r="FE236" s="30"/>
    </row>
    <row r="237" spans="1:161" ht="15" hidden="1">
      <c r="A237" s="25" t="s">
        <v>222</v>
      </c>
      <c r="B237" s="212" t="s">
        <v>129</v>
      </c>
      <c r="C237" s="138"/>
      <c r="D237" s="221"/>
      <c r="E237" s="239">
        <v>770</v>
      </c>
      <c r="F237" s="95"/>
      <c r="G237" s="95"/>
      <c r="H237" s="147" t="s">
        <v>656</v>
      </c>
      <c r="I237" s="147"/>
      <c r="J237" s="135"/>
      <c r="K237" s="135"/>
      <c r="L237" s="139"/>
      <c r="M237" s="134"/>
      <c r="N237" s="134"/>
      <c r="O237" s="134"/>
      <c r="P237" s="134"/>
      <c r="Q237" s="134"/>
      <c r="R237" s="134"/>
      <c r="S237" s="139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3"/>
      <c r="BD237" s="83"/>
      <c r="BE237" s="83"/>
      <c r="BF237" s="83"/>
      <c r="BG237" s="82"/>
      <c r="BH237" s="81"/>
      <c r="BI237" s="80"/>
      <c r="BJ237" s="25"/>
      <c r="BK237" s="25"/>
      <c r="BL237" s="25"/>
      <c r="BM237" s="84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92"/>
      <c r="DG237" s="92"/>
      <c r="DH237" s="203"/>
      <c r="DI237" s="203"/>
      <c r="DJ237" s="203"/>
      <c r="DK237" s="203"/>
      <c r="DL237" s="203"/>
      <c r="DM237" s="203"/>
      <c r="DN237" s="203"/>
      <c r="DO237" s="203"/>
      <c r="DP237" s="208"/>
      <c r="DQ237" s="208"/>
      <c r="DR237" s="208"/>
      <c r="DS237" s="208"/>
      <c r="DT237" s="208"/>
      <c r="DU237" s="208"/>
      <c r="DV237" s="208"/>
      <c r="DW237" s="208"/>
      <c r="DX237" s="208"/>
      <c r="DY237" s="208"/>
      <c r="DZ237" s="208"/>
      <c r="EA237" s="208"/>
      <c r="EB237" s="208"/>
      <c r="EC237" s="208"/>
      <c r="ED237" s="208"/>
      <c r="EE237" s="208"/>
      <c r="EF237" s="208"/>
      <c r="EG237" s="208"/>
      <c r="EH237" s="208"/>
      <c r="EI237" s="208"/>
      <c r="EJ237" s="208"/>
      <c r="EK237" s="208"/>
      <c r="EL237" s="208"/>
      <c r="EM237" s="208"/>
      <c r="EN237" s="208"/>
      <c r="EO237" s="208"/>
      <c r="EP237" s="208"/>
      <c r="EQ237" s="208"/>
      <c r="ER237" s="208"/>
      <c r="ES237" s="208"/>
      <c r="ET237" s="208"/>
      <c r="EU237" s="208"/>
      <c r="EV237" s="208"/>
      <c r="EW237" s="208"/>
      <c r="EX237" s="208"/>
      <c r="EY237" s="208"/>
      <c r="EZ237" s="208">
        <v>0</v>
      </c>
      <c r="FA237" s="208">
        <v>0</v>
      </c>
      <c r="FB237" s="208">
        <v>0</v>
      </c>
      <c r="FC237" s="208"/>
      <c r="FD237" s="82"/>
      <c r="FE237" s="30"/>
    </row>
    <row r="238" spans="1:161" ht="15" hidden="1">
      <c r="A238" s="25" t="s">
        <v>223</v>
      </c>
      <c r="B238" s="212" t="s">
        <v>129</v>
      </c>
      <c r="C238" s="138"/>
      <c r="D238" s="221"/>
      <c r="E238" s="239">
        <v>770</v>
      </c>
      <c r="F238" s="95"/>
      <c r="G238" s="95"/>
      <c r="H238" s="147" t="s">
        <v>656</v>
      </c>
      <c r="I238" s="147"/>
      <c r="J238" s="135"/>
      <c r="K238" s="135"/>
      <c r="L238" s="139"/>
      <c r="M238" s="134"/>
      <c r="N238" s="134"/>
      <c r="O238" s="134"/>
      <c r="P238" s="134"/>
      <c r="Q238" s="134"/>
      <c r="R238" s="134"/>
      <c r="S238" s="139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3"/>
      <c r="BD238" s="83"/>
      <c r="BE238" s="83"/>
      <c r="BF238" s="83"/>
      <c r="BG238" s="82"/>
      <c r="BH238" s="81"/>
      <c r="BI238" s="80"/>
      <c r="BJ238" s="25"/>
      <c r="BK238" s="25"/>
      <c r="BL238" s="25"/>
      <c r="BM238" s="84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92"/>
      <c r="DG238" s="92"/>
      <c r="DH238" s="203"/>
      <c r="DI238" s="203"/>
      <c r="DJ238" s="203"/>
      <c r="DK238" s="203"/>
      <c r="DL238" s="203"/>
      <c r="DM238" s="203"/>
      <c r="DN238" s="203"/>
      <c r="DO238" s="203"/>
      <c r="DP238" s="208"/>
      <c r="DQ238" s="208"/>
      <c r="DR238" s="208"/>
      <c r="DS238" s="208"/>
      <c r="DT238" s="208"/>
      <c r="DU238" s="208"/>
      <c r="DV238" s="208"/>
      <c r="DW238" s="208"/>
      <c r="DX238" s="208"/>
      <c r="DY238" s="208"/>
      <c r="DZ238" s="208"/>
      <c r="EA238" s="208"/>
      <c r="EB238" s="208"/>
      <c r="EC238" s="208"/>
      <c r="ED238" s="208"/>
      <c r="EE238" s="208"/>
      <c r="EF238" s="208"/>
      <c r="EG238" s="208"/>
      <c r="EH238" s="208"/>
      <c r="EI238" s="208"/>
      <c r="EJ238" s="208"/>
      <c r="EK238" s="208"/>
      <c r="EL238" s="208"/>
      <c r="EM238" s="208"/>
      <c r="EN238" s="208"/>
      <c r="EO238" s="208"/>
      <c r="EP238" s="208"/>
      <c r="EQ238" s="208"/>
      <c r="ER238" s="208"/>
      <c r="ES238" s="208"/>
      <c r="ET238" s="208"/>
      <c r="EU238" s="208"/>
      <c r="EV238" s="208"/>
      <c r="EW238" s="208"/>
      <c r="EX238" s="208"/>
      <c r="EY238" s="208"/>
      <c r="EZ238" s="208">
        <v>0</v>
      </c>
      <c r="FA238" s="208">
        <v>0</v>
      </c>
      <c r="FB238" s="208">
        <v>0</v>
      </c>
      <c r="FC238" s="208"/>
      <c r="FD238" s="82"/>
      <c r="FE238" s="30"/>
    </row>
    <row r="239" spans="1:161" ht="15" hidden="1">
      <c r="A239" s="25" t="s">
        <v>203</v>
      </c>
      <c r="B239" s="227" t="s">
        <v>125</v>
      </c>
      <c r="C239" s="138"/>
      <c r="D239" s="221"/>
      <c r="E239" s="239">
        <v>770</v>
      </c>
      <c r="F239" s="95"/>
      <c r="G239" s="95"/>
      <c r="H239" s="147" t="s">
        <v>656</v>
      </c>
      <c r="I239" s="147"/>
      <c r="J239" s="135"/>
      <c r="K239" s="135"/>
      <c r="L239" s="139"/>
      <c r="M239" s="134"/>
      <c r="N239" s="134"/>
      <c r="O239" s="134"/>
      <c r="P239" s="134"/>
      <c r="Q239" s="134"/>
      <c r="R239" s="134"/>
      <c r="S239" s="139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3"/>
      <c r="BD239" s="83"/>
      <c r="BE239" s="83"/>
      <c r="BF239" s="83"/>
      <c r="BG239" s="82"/>
      <c r="BH239" s="81"/>
      <c r="BI239" s="80"/>
      <c r="BJ239" s="25"/>
      <c r="BK239" s="25"/>
      <c r="BL239" s="25"/>
      <c r="BM239" s="84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92"/>
      <c r="DG239" s="92"/>
      <c r="DH239" s="203"/>
      <c r="DI239" s="203"/>
      <c r="DJ239" s="203"/>
      <c r="DK239" s="203"/>
      <c r="DL239" s="203"/>
      <c r="DM239" s="203"/>
      <c r="DN239" s="203"/>
      <c r="DO239" s="203"/>
      <c r="DP239" s="208"/>
      <c r="DQ239" s="208"/>
      <c r="DR239" s="208"/>
      <c r="DS239" s="208"/>
      <c r="DT239" s="208"/>
      <c r="DU239" s="208"/>
      <c r="DV239" s="208"/>
      <c r="DW239" s="208"/>
      <c r="DX239" s="208"/>
      <c r="DY239" s="208"/>
      <c r="DZ239" s="208"/>
      <c r="EA239" s="208"/>
      <c r="EB239" s="208"/>
      <c r="EC239" s="208"/>
      <c r="ED239" s="208"/>
      <c r="EE239" s="208"/>
      <c r="EF239" s="208"/>
      <c r="EG239" s="208"/>
      <c r="EH239" s="208"/>
      <c r="EI239" s="208"/>
      <c r="EJ239" s="208"/>
      <c r="EK239" s="208"/>
      <c r="EL239" s="208"/>
      <c r="EM239" s="208"/>
      <c r="EN239" s="208"/>
      <c r="EO239" s="208"/>
      <c r="EP239" s="208"/>
      <c r="EQ239" s="208"/>
      <c r="ER239" s="208"/>
      <c r="ES239" s="208"/>
      <c r="ET239" s="208"/>
      <c r="EU239" s="208"/>
      <c r="EV239" s="208"/>
      <c r="EW239" s="208"/>
      <c r="EX239" s="208"/>
      <c r="EY239" s="208"/>
      <c r="EZ239" s="208">
        <v>0</v>
      </c>
      <c r="FA239" s="208">
        <v>0</v>
      </c>
      <c r="FB239" s="208">
        <v>0</v>
      </c>
      <c r="FC239" s="208"/>
      <c r="FD239" s="82"/>
      <c r="FE239" s="30"/>
    </row>
    <row r="240" spans="1:161" ht="15" hidden="1">
      <c r="A240" s="25" t="s">
        <v>204</v>
      </c>
      <c r="B240" s="227" t="s">
        <v>125</v>
      </c>
      <c r="C240" s="138"/>
      <c r="D240" s="221"/>
      <c r="E240" s="239">
        <v>970</v>
      </c>
      <c r="F240" s="95"/>
      <c r="G240" s="95"/>
      <c r="H240" s="147" t="s">
        <v>656</v>
      </c>
      <c r="I240" s="147"/>
      <c r="J240" s="135"/>
      <c r="K240" s="135"/>
      <c r="L240" s="139"/>
      <c r="M240" s="134"/>
      <c r="N240" s="134"/>
      <c r="O240" s="134"/>
      <c r="P240" s="134"/>
      <c r="Q240" s="134"/>
      <c r="R240" s="134"/>
      <c r="S240" s="139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3"/>
      <c r="BD240" s="83"/>
      <c r="BE240" s="83"/>
      <c r="BF240" s="83"/>
      <c r="BG240" s="82"/>
      <c r="BH240" s="81"/>
      <c r="BI240" s="80"/>
      <c r="BJ240" s="25"/>
      <c r="BK240" s="25"/>
      <c r="BL240" s="25"/>
      <c r="BM240" s="84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92"/>
      <c r="DG240" s="92"/>
      <c r="DH240" s="203"/>
      <c r="DI240" s="203"/>
      <c r="DJ240" s="203"/>
      <c r="DK240" s="203"/>
      <c r="DL240" s="203"/>
      <c r="DM240" s="203"/>
      <c r="DN240" s="203"/>
      <c r="DO240" s="203"/>
      <c r="DP240" s="208"/>
      <c r="DQ240" s="208"/>
      <c r="DR240" s="208"/>
      <c r="DS240" s="208"/>
      <c r="DT240" s="208"/>
      <c r="DU240" s="208"/>
      <c r="DV240" s="208"/>
      <c r="DW240" s="208"/>
      <c r="DX240" s="208"/>
      <c r="DY240" s="208"/>
      <c r="DZ240" s="208"/>
      <c r="EA240" s="208"/>
      <c r="EB240" s="208"/>
      <c r="EC240" s="208"/>
      <c r="ED240" s="208"/>
      <c r="EE240" s="208"/>
      <c r="EF240" s="208"/>
      <c r="EG240" s="208"/>
      <c r="EH240" s="208"/>
      <c r="EI240" s="208"/>
      <c r="EJ240" s="208"/>
      <c r="EK240" s="208"/>
      <c r="EL240" s="208"/>
      <c r="EM240" s="208"/>
      <c r="EN240" s="208"/>
      <c r="EO240" s="208"/>
      <c r="EP240" s="208"/>
      <c r="EQ240" s="208"/>
      <c r="ER240" s="208"/>
      <c r="ES240" s="208"/>
      <c r="ET240" s="208"/>
      <c r="EU240" s="208"/>
      <c r="EV240" s="208"/>
      <c r="EW240" s="208"/>
      <c r="EX240" s="208"/>
      <c r="EY240" s="208"/>
      <c r="EZ240" s="208">
        <v>0</v>
      </c>
      <c r="FA240" s="208">
        <v>0</v>
      </c>
      <c r="FB240" s="208">
        <v>0</v>
      </c>
      <c r="FC240" s="208"/>
      <c r="FD240" s="82"/>
      <c r="FE240" s="30"/>
    </row>
    <row r="241" spans="1:161" ht="15" hidden="1">
      <c r="A241" s="25" t="s">
        <v>202</v>
      </c>
      <c r="B241" s="227" t="s">
        <v>125</v>
      </c>
      <c r="C241" s="138"/>
      <c r="D241" s="221"/>
      <c r="E241" s="239">
        <v>770</v>
      </c>
      <c r="F241" s="95"/>
      <c r="G241" s="95"/>
      <c r="H241" s="147" t="s">
        <v>656</v>
      </c>
      <c r="I241" s="147"/>
      <c r="J241" s="135"/>
      <c r="K241" s="135"/>
      <c r="L241" s="139"/>
      <c r="M241" s="134"/>
      <c r="N241" s="134"/>
      <c r="O241" s="134"/>
      <c r="P241" s="134"/>
      <c r="Q241" s="134"/>
      <c r="R241" s="134"/>
      <c r="S241" s="139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3"/>
      <c r="BD241" s="83"/>
      <c r="BE241" s="83"/>
      <c r="BF241" s="83"/>
      <c r="BG241" s="82"/>
      <c r="BH241" s="81"/>
      <c r="BI241" s="80"/>
      <c r="BJ241" s="25"/>
      <c r="BK241" s="25"/>
      <c r="BL241" s="25"/>
      <c r="BM241" s="84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92"/>
      <c r="DG241" s="92"/>
      <c r="DH241" s="203"/>
      <c r="DI241" s="203"/>
      <c r="DJ241" s="203"/>
      <c r="DK241" s="203"/>
      <c r="DL241" s="203"/>
      <c r="DM241" s="203"/>
      <c r="DN241" s="203"/>
      <c r="DO241" s="203"/>
      <c r="DP241" s="208"/>
      <c r="DQ241" s="208"/>
      <c r="DR241" s="208"/>
      <c r="DS241" s="208"/>
      <c r="DT241" s="208"/>
      <c r="DU241" s="208"/>
      <c r="DV241" s="208"/>
      <c r="DW241" s="208"/>
      <c r="DX241" s="208"/>
      <c r="DY241" s="208"/>
      <c r="DZ241" s="208"/>
      <c r="EA241" s="208"/>
      <c r="EB241" s="208"/>
      <c r="EC241" s="208"/>
      <c r="ED241" s="208"/>
      <c r="EE241" s="208"/>
      <c r="EF241" s="208"/>
      <c r="EG241" s="208"/>
      <c r="EH241" s="208"/>
      <c r="EI241" s="208"/>
      <c r="EJ241" s="208"/>
      <c r="EK241" s="208"/>
      <c r="EL241" s="208"/>
      <c r="EM241" s="208"/>
      <c r="EN241" s="208"/>
      <c r="EO241" s="208"/>
      <c r="EP241" s="208"/>
      <c r="EQ241" s="208"/>
      <c r="ER241" s="208"/>
      <c r="ES241" s="208"/>
      <c r="ET241" s="208"/>
      <c r="EU241" s="208"/>
      <c r="EV241" s="208"/>
      <c r="EW241" s="208"/>
      <c r="EX241" s="208"/>
      <c r="EY241" s="208"/>
      <c r="EZ241" s="208">
        <v>0</v>
      </c>
      <c r="FA241" s="208">
        <v>0</v>
      </c>
      <c r="FB241" s="208">
        <v>0</v>
      </c>
      <c r="FC241" s="208"/>
      <c r="FD241" s="82"/>
      <c r="FE241" s="30"/>
    </row>
    <row r="242" spans="1:161" ht="15" hidden="1">
      <c r="A242" s="25" t="s">
        <v>226</v>
      </c>
      <c r="B242" s="212" t="s">
        <v>129</v>
      </c>
      <c r="C242" s="138"/>
      <c r="D242" s="221"/>
      <c r="E242" s="239">
        <v>770</v>
      </c>
      <c r="F242" s="95"/>
      <c r="G242" s="95"/>
      <c r="H242" s="147" t="s">
        <v>656</v>
      </c>
      <c r="I242" s="147"/>
      <c r="J242" s="135"/>
      <c r="K242" s="135"/>
      <c r="L242" s="139"/>
      <c r="M242" s="134"/>
      <c r="N242" s="134"/>
      <c r="O242" s="134"/>
      <c r="P242" s="134"/>
      <c r="Q242" s="134"/>
      <c r="R242" s="134"/>
      <c r="S242" s="139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3"/>
      <c r="BD242" s="83"/>
      <c r="BE242" s="83"/>
      <c r="BF242" s="83"/>
      <c r="BG242" s="82"/>
      <c r="BH242" s="81"/>
      <c r="BI242" s="80"/>
      <c r="BJ242" s="25"/>
      <c r="BK242" s="25"/>
      <c r="BL242" s="25"/>
      <c r="BM242" s="84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92"/>
      <c r="DG242" s="92"/>
      <c r="DH242" s="203"/>
      <c r="DI242" s="203"/>
      <c r="DJ242" s="203"/>
      <c r="DK242" s="203"/>
      <c r="DL242" s="203"/>
      <c r="DM242" s="203"/>
      <c r="DN242" s="203"/>
      <c r="DO242" s="203"/>
      <c r="DP242" s="208"/>
      <c r="DQ242" s="208"/>
      <c r="DR242" s="208"/>
      <c r="DS242" s="208"/>
      <c r="DT242" s="208"/>
      <c r="DU242" s="208"/>
      <c r="DV242" s="208"/>
      <c r="DW242" s="208"/>
      <c r="DX242" s="208"/>
      <c r="DY242" s="208"/>
      <c r="DZ242" s="208"/>
      <c r="EA242" s="208"/>
      <c r="EB242" s="208"/>
      <c r="EC242" s="208"/>
      <c r="ED242" s="208"/>
      <c r="EE242" s="208"/>
      <c r="EF242" s="208"/>
      <c r="EG242" s="208"/>
      <c r="EH242" s="208"/>
      <c r="EI242" s="208"/>
      <c r="EJ242" s="208"/>
      <c r="EK242" s="208"/>
      <c r="EL242" s="208"/>
      <c r="EM242" s="208"/>
      <c r="EN242" s="208"/>
      <c r="EO242" s="208"/>
      <c r="EP242" s="208"/>
      <c r="EQ242" s="208"/>
      <c r="ER242" s="208"/>
      <c r="ES242" s="208"/>
      <c r="ET242" s="208"/>
      <c r="EU242" s="208"/>
      <c r="EV242" s="208"/>
      <c r="EW242" s="208"/>
      <c r="EX242" s="208"/>
      <c r="EY242" s="208"/>
      <c r="EZ242" s="208">
        <v>0</v>
      </c>
      <c r="FA242" s="208">
        <v>0</v>
      </c>
      <c r="FB242" s="208">
        <v>0</v>
      </c>
      <c r="FC242" s="208"/>
      <c r="FD242" s="82"/>
      <c r="FE242" s="30"/>
    </row>
    <row r="243" spans="1:161" ht="15" hidden="1">
      <c r="A243" s="25" t="s">
        <v>228</v>
      </c>
      <c r="B243" s="212" t="s">
        <v>129</v>
      </c>
      <c r="C243" s="138"/>
      <c r="D243" s="221"/>
      <c r="E243" s="239">
        <v>770</v>
      </c>
      <c r="F243" s="95"/>
      <c r="G243" s="95"/>
      <c r="H243" s="147" t="s">
        <v>656</v>
      </c>
      <c r="I243" s="147"/>
      <c r="J243" s="135"/>
      <c r="K243" s="135"/>
      <c r="L243" s="139"/>
      <c r="M243" s="134"/>
      <c r="N243" s="134"/>
      <c r="O243" s="134"/>
      <c r="P243" s="134"/>
      <c r="Q243" s="134"/>
      <c r="R243" s="134"/>
      <c r="S243" s="139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3"/>
      <c r="BE243" s="83"/>
      <c r="BF243" s="83"/>
      <c r="BG243" s="82"/>
      <c r="BH243" s="81"/>
      <c r="BI243" s="80"/>
      <c r="BJ243" s="25"/>
      <c r="BK243" s="25"/>
      <c r="BL243" s="25"/>
      <c r="BM243" s="84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92"/>
      <c r="DG243" s="92"/>
      <c r="DH243" s="203"/>
      <c r="DI243" s="203"/>
      <c r="DJ243" s="203"/>
      <c r="DK243" s="203"/>
      <c r="DL243" s="203"/>
      <c r="DM243" s="203"/>
      <c r="DN243" s="203"/>
      <c r="DO243" s="203"/>
      <c r="DP243" s="208"/>
      <c r="DQ243" s="208"/>
      <c r="DR243" s="208"/>
      <c r="DS243" s="208"/>
      <c r="DT243" s="208"/>
      <c r="DU243" s="208"/>
      <c r="DV243" s="208"/>
      <c r="DW243" s="208"/>
      <c r="DX243" s="208"/>
      <c r="DY243" s="208"/>
      <c r="DZ243" s="208"/>
      <c r="EA243" s="208"/>
      <c r="EB243" s="208"/>
      <c r="EC243" s="208"/>
      <c r="ED243" s="208"/>
      <c r="EE243" s="208"/>
      <c r="EF243" s="208"/>
      <c r="EG243" s="208"/>
      <c r="EH243" s="208"/>
      <c r="EI243" s="208"/>
      <c r="EJ243" s="208"/>
      <c r="EK243" s="208"/>
      <c r="EL243" s="208"/>
      <c r="EM243" s="208"/>
      <c r="EN243" s="208"/>
      <c r="EO243" s="208"/>
      <c r="EP243" s="208"/>
      <c r="EQ243" s="208"/>
      <c r="ER243" s="208"/>
      <c r="ES243" s="208"/>
      <c r="ET243" s="208"/>
      <c r="EU243" s="208"/>
      <c r="EV243" s="208"/>
      <c r="EW243" s="208"/>
      <c r="EX243" s="208"/>
      <c r="EY243" s="208"/>
      <c r="EZ243" s="208">
        <v>0</v>
      </c>
      <c r="FA243" s="208">
        <v>0</v>
      </c>
      <c r="FB243" s="208">
        <v>0</v>
      </c>
      <c r="FC243" s="208"/>
      <c r="FD243" s="82"/>
      <c r="FE243" s="30"/>
    </row>
    <row r="244" spans="1:161" ht="15" hidden="1">
      <c r="A244" s="25" t="s">
        <v>231</v>
      </c>
      <c r="B244" s="212" t="s">
        <v>129</v>
      </c>
      <c r="C244" s="138"/>
      <c r="D244" s="221"/>
      <c r="E244" s="239">
        <v>770</v>
      </c>
      <c r="F244" s="95"/>
      <c r="G244" s="95"/>
      <c r="H244" s="147" t="s">
        <v>656</v>
      </c>
      <c r="I244" s="147"/>
      <c r="J244" s="135"/>
      <c r="K244" s="135"/>
      <c r="L244" s="139"/>
      <c r="M244" s="134"/>
      <c r="N244" s="134"/>
      <c r="O244" s="134"/>
      <c r="P244" s="134"/>
      <c r="Q244" s="134"/>
      <c r="R244" s="134"/>
      <c r="S244" s="139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3"/>
      <c r="BE244" s="83"/>
      <c r="BF244" s="83"/>
      <c r="BG244" s="82"/>
      <c r="BH244" s="81"/>
      <c r="BI244" s="80"/>
      <c r="BJ244" s="25"/>
      <c r="BK244" s="25"/>
      <c r="BL244" s="25"/>
      <c r="BM244" s="84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92"/>
      <c r="DG244" s="92"/>
      <c r="DH244" s="203"/>
      <c r="DI244" s="203"/>
      <c r="DJ244" s="203"/>
      <c r="DK244" s="203"/>
      <c r="DL244" s="203"/>
      <c r="DM244" s="203"/>
      <c r="DN244" s="203"/>
      <c r="DO244" s="203"/>
      <c r="DP244" s="208"/>
      <c r="DQ244" s="208"/>
      <c r="DR244" s="208"/>
      <c r="DS244" s="208"/>
      <c r="DT244" s="208"/>
      <c r="DU244" s="208"/>
      <c r="DV244" s="208"/>
      <c r="DW244" s="208"/>
      <c r="DX244" s="208"/>
      <c r="DY244" s="208"/>
      <c r="DZ244" s="208"/>
      <c r="EA244" s="208"/>
      <c r="EB244" s="208"/>
      <c r="EC244" s="208"/>
      <c r="ED244" s="208"/>
      <c r="EE244" s="208"/>
      <c r="EF244" s="208"/>
      <c r="EG244" s="208"/>
      <c r="EH244" s="208"/>
      <c r="EI244" s="208"/>
      <c r="EJ244" s="208"/>
      <c r="EK244" s="208"/>
      <c r="EL244" s="208"/>
      <c r="EM244" s="208"/>
      <c r="EN244" s="208"/>
      <c r="EO244" s="208"/>
      <c r="EP244" s="208"/>
      <c r="EQ244" s="208"/>
      <c r="ER244" s="208"/>
      <c r="ES244" s="208"/>
      <c r="ET244" s="208"/>
      <c r="EU244" s="208"/>
      <c r="EV244" s="208"/>
      <c r="EW244" s="208"/>
      <c r="EX244" s="208"/>
      <c r="EY244" s="208"/>
      <c r="EZ244" s="208">
        <v>0</v>
      </c>
      <c r="FA244" s="208">
        <v>0</v>
      </c>
      <c r="FB244" s="208">
        <v>0</v>
      </c>
      <c r="FC244" s="208"/>
      <c r="FD244" s="82"/>
      <c r="FE244" s="30"/>
    </row>
    <row r="245" spans="1:161" ht="15" hidden="1">
      <c r="A245" s="25" t="s">
        <v>673</v>
      </c>
      <c r="B245" s="228" t="s">
        <v>133</v>
      </c>
      <c r="C245" s="138"/>
      <c r="D245" s="221"/>
      <c r="E245" s="239">
        <v>770</v>
      </c>
      <c r="F245" s="95"/>
      <c r="G245" s="95"/>
      <c r="H245" s="229" t="s">
        <v>656</v>
      </c>
      <c r="I245" s="147"/>
      <c r="J245" s="135"/>
      <c r="K245" s="135"/>
      <c r="L245" s="139"/>
      <c r="M245" s="134"/>
      <c r="N245" s="134"/>
      <c r="O245" s="134"/>
      <c r="P245" s="134"/>
      <c r="Q245" s="134"/>
      <c r="R245" s="134"/>
      <c r="S245" s="139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3"/>
      <c r="BE245" s="83"/>
      <c r="BF245" s="83"/>
      <c r="BG245" s="82"/>
      <c r="BH245" s="81"/>
      <c r="BI245" s="80"/>
      <c r="BJ245" s="25"/>
      <c r="BK245" s="25"/>
      <c r="BL245" s="25"/>
      <c r="BM245" s="84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92"/>
      <c r="DG245" s="92"/>
      <c r="DH245" s="203"/>
      <c r="DI245" s="203"/>
      <c r="DJ245" s="203"/>
      <c r="DK245" s="203"/>
      <c r="DL245" s="203"/>
      <c r="DM245" s="203"/>
      <c r="DN245" s="203"/>
      <c r="DO245" s="203"/>
      <c r="DP245" s="208"/>
      <c r="DQ245" s="208"/>
      <c r="DR245" s="208"/>
      <c r="DS245" s="208"/>
      <c r="DT245" s="208"/>
      <c r="DU245" s="208"/>
      <c r="DV245" s="208"/>
      <c r="DW245" s="208"/>
      <c r="DX245" s="208"/>
      <c r="DY245" s="208"/>
      <c r="DZ245" s="208"/>
      <c r="EA245" s="208"/>
      <c r="EB245" s="208"/>
      <c r="EC245" s="208"/>
      <c r="ED245" s="208"/>
      <c r="EE245" s="208"/>
      <c r="EF245" s="208"/>
      <c r="EG245" s="208"/>
      <c r="EH245" s="208"/>
      <c r="EI245" s="208"/>
      <c r="EJ245" s="208"/>
      <c r="EK245" s="208"/>
      <c r="EL245" s="208"/>
      <c r="EM245" s="208"/>
      <c r="EN245" s="208"/>
      <c r="EO245" s="208"/>
      <c r="EP245" s="208"/>
      <c r="EQ245" s="208"/>
      <c r="ER245" s="208"/>
      <c r="ES245" s="208"/>
      <c r="ET245" s="208"/>
      <c r="EU245" s="208"/>
      <c r="EV245" s="208"/>
      <c r="EW245" s="208"/>
      <c r="EX245" s="208"/>
      <c r="EY245" s="208"/>
      <c r="EZ245" s="208">
        <v>0</v>
      </c>
      <c r="FA245" s="208">
        <v>0</v>
      </c>
      <c r="FB245" s="208">
        <v>0</v>
      </c>
      <c r="FC245" s="208"/>
      <c r="FD245" s="82"/>
      <c r="FE245" s="30"/>
    </row>
    <row r="246" spans="1:161" ht="15" hidden="1">
      <c r="A246" s="25" t="s">
        <v>233</v>
      </c>
      <c r="B246" s="212" t="s">
        <v>133</v>
      </c>
      <c r="C246" s="138"/>
      <c r="D246" s="221"/>
      <c r="E246" s="239">
        <v>770</v>
      </c>
      <c r="F246" s="95"/>
      <c r="G246" s="95"/>
      <c r="H246" s="147" t="s">
        <v>656</v>
      </c>
      <c r="I246" s="147"/>
      <c r="J246" s="135"/>
      <c r="K246" s="135"/>
      <c r="L246" s="139"/>
      <c r="M246" s="134"/>
      <c r="N246" s="134"/>
      <c r="O246" s="134"/>
      <c r="P246" s="134"/>
      <c r="Q246" s="134"/>
      <c r="R246" s="134"/>
      <c r="S246" s="139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3"/>
      <c r="BE246" s="83"/>
      <c r="BF246" s="83"/>
      <c r="BG246" s="82"/>
      <c r="BH246" s="81"/>
      <c r="BI246" s="80"/>
      <c r="BJ246" s="25"/>
      <c r="BK246" s="25"/>
      <c r="BL246" s="25"/>
      <c r="BM246" s="84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92"/>
      <c r="DG246" s="92"/>
      <c r="DH246" s="203"/>
      <c r="DI246" s="203"/>
      <c r="DJ246" s="203"/>
      <c r="DK246" s="203"/>
      <c r="DL246" s="203"/>
      <c r="DM246" s="203"/>
      <c r="DN246" s="203"/>
      <c r="DO246" s="203"/>
      <c r="DP246" s="208"/>
      <c r="DQ246" s="208"/>
      <c r="DR246" s="208"/>
      <c r="DS246" s="208"/>
      <c r="DT246" s="208"/>
      <c r="DU246" s="208"/>
      <c r="DV246" s="208"/>
      <c r="DW246" s="208"/>
      <c r="DX246" s="208"/>
      <c r="DY246" s="208"/>
      <c r="DZ246" s="208"/>
      <c r="EA246" s="208"/>
      <c r="EB246" s="208"/>
      <c r="EC246" s="208"/>
      <c r="ED246" s="208"/>
      <c r="EE246" s="208"/>
      <c r="EF246" s="208"/>
      <c r="EG246" s="208"/>
      <c r="EH246" s="208"/>
      <c r="EI246" s="208"/>
      <c r="EJ246" s="208"/>
      <c r="EK246" s="208"/>
      <c r="EL246" s="208"/>
      <c r="EM246" s="208"/>
      <c r="EN246" s="208"/>
      <c r="EO246" s="208"/>
      <c r="EP246" s="208"/>
      <c r="EQ246" s="208"/>
      <c r="ER246" s="208"/>
      <c r="ES246" s="208"/>
      <c r="ET246" s="208"/>
      <c r="EU246" s="208"/>
      <c r="EV246" s="208"/>
      <c r="EW246" s="208"/>
      <c r="EX246" s="208"/>
      <c r="EY246" s="208"/>
      <c r="EZ246" s="208">
        <v>0</v>
      </c>
      <c r="FA246" s="208">
        <v>0</v>
      </c>
      <c r="FB246" s="208">
        <v>0</v>
      </c>
      <c r="FC246" s="208"/>
      <c r="FD246" s="82"/>
      <c r="FE246" s="30"/>
    </row>
    <row r="247" spans="1:161" ht="15" hidden="1">
      <c r="A247" s="25" t="s">
        <v>137</v>
      </c>
      <c r="B247" s="212" t="s">
        <v>133</v>
      </c>
      <c r="C247" s="138"/>
      <c r="D247" s="221"/>
      <c r="E247" s="239">
        <v>770</v>
      </c>
      <c r="F247" s="95"/>
      <c r="G247" s="95"/>
      <c r="H247" s="147" t="s">
        <v>656</v>
      </c>
      <c r="I247" s="147"/>
      <c r="J247" s="135"/>
      <c r="K247" s="135"/>
      <c r="L247" s="139"/>
      <c r="M247" s="134"/>
      <c r="N247" s="134"/>
      <c r="O247" s="134"/>
      <c r="P247" s="134"/>
      <c r="Q247" s="134"/>
      <c r="R247" s="134"/>
      <c r="S247" s="139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3"/>
      <c r="BE247" s="83"/>
      <c r="BF247" s="83"/>
      <c r="BG247" s="82"/>
      <c r="BH247" s="81"/>
      <c r="BI247" s="80"/>
      <c r="BJ247" s="25"/>
      <c r="BK247" s="25"/>
      <c r="BL247" s="25"/>
      <c r="BM247" s="84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92"/>
      <c r="DG247" s="92"/>
      <c r="DH247" s="203"/>
      <c r="DI247" s="203"/>
      <c r="DJ247" s="203"/>
      <c r="DK247" s="203"/>
      <c r="DL247" s="203"/>
      <c r="DM247" s="203"/>
      <c r="DN247" s="203"/>
      <c r="DO247" s="203"/>
      <c r="DP247" s="208"/>
      <c r="DQ247" s="208"/>
      <c r="DR247" s="208"/>
      <c r="DS247" s="208"/>
      <c r="DT247" s="208"/>
      <c r="DU247" s="208"/>
      <c r="DV247" s="208"/>
      <c r="DW247" s="208"/>
      <c r="DX247" s="208"/>
      <c r="DY247" s="208"/>
      <c r="DZ247" s="208"/>
      <c r="EA247" s="208"/>
      <c r="EB247" s="208"/>
      <c r="EC247" s="208"/>
      <c r="ED247" s="208"/>
      <c r="EE247" s="208"/>
      <c r="EF247" s="208"/>
      <c r="EG247" s="208"/>
      <c r="EH247" s="208"/>
      <c r="EI247" s="208"/>
      <c r="EJ247" s="208"/>
      <c r="EK247" s="208"/>
      <c r="EL247" s="208"/>
      <c r="EM247" s="208"/>
      <c r="EN247" s="208"/>
      <c r="EO247" s="208"/>
      <c r="EP247" s="208"/>
      <c r="EQ247" s="208"/>
      <c r="ER247" s="208"/>
      <c r="ES247" s="208"/>
      <c r="ET247" s="208"/>
      <c r="EU247" s="208"/>
      <c r="EV247" s="208"/>
      <c r="EW247" s="208"/>
      <c r="EX247" s="208"/>
      <c r="EY247" s="208"/>
      <c r="EZ247" s="208">
        <v>0</v>
      </c>
      <c r="FA247" s="208">
        <v>0</v>
      </c>
      <c r="FB247" s="208">
        <v>0</v>
      </c>
      <c r="FC247" s="208"/>
      <c r="FD247" s="82"/>
      <c r="FE247" s="30"/>
    </row>
    <row r="248" spans="1:161" ht="15" hidden="1">
      <c r="A248" s="25" t="s">
        <v>432</v>
      </c>
      <c r="B248" s="222" t="s">
        <v>657</v>
      </c>
      <c r="C248" s="138"/>
      <c r="D248" s="221"/>
      <c r="E248" s="239">
        <v>970</v>
      </c>
      <c r="F248" s="95"/>
      <c r="G248" s="95"/>
      <c r="H248" s="223" t="s">
        <v>656</v>
      </c>
      <c r="I248" s="147"/>
      <c r="J248" s="135"/>
      <c r="K248" s="135"/>
      <c r="L248" s="139"/>
      <c r="M248" s="134"/>
      <c r="N248" s="134"/>
      <c r="O248" s="134"/>
      <c r="P248" s="134"/>
      <c r="Q248" s="134"/>
      <c r="R248" s="134"/>
      <c r="S248" s="139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3"/>
      <c r="BE248" s="83"/>
      <c r="BF248" s="83"/>
      <c r="BG248" s="82"/>
      <c r="BH248" s="81"/>
      <c r="BI248" s="80"/>
      <c r="BJ248" s="25"/>
      <c r="BK248" s="25"/>
      <c r="BL248" s="25"/>
      <c r="BM248" s="84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92"/>
      <c r="DG248" s="92"/>
      <c r="DH248" s="203"/>
      <c r="DI248" s="203"/>
      <c r="DJ248" s="203"/>
      <c r="DK248" s="203"/>
      <c r="DL248" s="203"/>
      <c r="DM248" s="203"/>
      <c r="DN248" s="203"/>
      <c r="DO248" s="203"/>
      <c r="DP248" s="208"/>
      <c r="DQ248" s="208"/>
      <c r="DR248" s="208"/>
      <c r="DS248" s="208"/>
      <c r="DT248" s="208"/>
      <c r="DU248" s="208"/>
      <c r="DV248" s="208"/>
      <c r="DW248" s="208"/>
      <c r="DX248" s="208"/>
      <c r="DY248" s="208"/>
      <c r="DZ248" s="208"/>
      <c r="EA248" s="208"/>
      <c r="EB248" s="208"/>
      <c r="EC248" s="208"/>
      <c r="ED248" s="208"/>
      <c r="EE248" s="208"/>
      <c r="EF248" s="208"/>
      <c r="EG248" s="208"/>
      <c r="EH248" s="208"/>
      <c r="EI248" s="208"/>
      <c r="EJ248" s="208"/>
      <c r="EK248" s="208"/>
      <c r="EL248" s="208"/>
      <c r="EM248" s="208"/>
      <c r="EN248" s="208"/>
      <c r="EO248" s="208"/>
      <c r="EP248" s="208"/>
      <c r="EQ248" s="208"/>
      <c r="ER248" s="208"/>
      <c r="ES248" s="208"/>
      <c r="ET248" s="208"/>
      <c r="EU248" s="208"/>
      <c r="EV248" s="208"/>
      <c r="EW248" s="208"/>
      <c r="EX248" s="208"/>
      <c r="EY248" s="208"/>
      <c r="EZ248" s="208">
        <v>0</v>
      </c>
      <c r="FA248" s="208">
        <v>0</v>
      </c>
      <c r="FB248" s="208">
        <v>0</v>
      </c>
      <c r="FC248" s="208"/>
      <c r="FD248" s="82"/>
      <c r="FE248" s="30"/>
    </row>
    <row r="249" spans="1:161" ht="15" hidden="1">
      <c r="A249" s="25" t="s">
        <v>215</v>
      </c>
      <c r="B249" s="222" t="s">
        <v>129</v>
      </c>
      <c r="C249" s="138"/>
      <c r="D249" s="221"/>
      <c r="E249" s="239">
        <v>770</v>
      </c>
      <c r="F249" s="95"/>
      <c r="G249" s="95"/>
      <c r="H249" s="223" t="s">
        <v>656</v>
      </c>
      <c r="I249" s="147"/>
      <c r="J249" s="135"/>
      <c r="K249" s="135"/>
      <c r="L249" s="139"/>
      <c r="M249" s="134"/>
      <c r="N249" s="134"/>
      <c r="O249" s="134"/>
      <c r="P249" s="134"/>
      <c r="Q249" s="134"/>
      <c r="R249" s="134"/>
      <c r="S249" s="139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3"/>
      <c r="BE249" s="83"/>
      <c r="BF249" s="83"/>
      <c r="BG249" s="82"/>
      <c r="BH249" s="81"/>
      <c r="BI249" s="80"/>
      <c r="BJ249" s="25"/>
      <c r="BK249" s="25"/>
      <c r="BL249" s="25"/>
      <c r="BM249" s="84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92"/>
      <c r="DG249" s="92"/>
      <c r="DH249" s="203"/>
      <c r="DI249" s="203"/>
      <c r="DJ249" s="203"/>
      <c r="DK249" s="203"/>
      <c r="DL249" s="203"/>
      <c r="DM249" s="203"/>
      <c r="DN249" s="203"/>
      <c r="DO249" s="203"/>
      <c r="DP249" s="208"/>
      <c r="DQ249" s="208"/>
      <c r="DR249" s="208"/>
      <c r="DS249" s="208"/>
      <c r="DT249" s="208"/>
      <c r="DU249" s="208"/>
      <c r="DV249" s="208"/>
      <c r="DW249" s="208"/>
      <c r="DX249" s="208"/>
      <c r="DY249" s="208"/>
      <c r="DZ249" s="208"/>
      <c r="EA249" s="208"/>
      <c r="EB249" s="208"/>
      <c r="EC249" s="208"/>
      <c r="ED249" s="208"/>
      <c r="EE249" s="208"/>
      <c r="EF249" s="208"/>
      <c r="EG249" s="208"/>
      <c r="EH249" s="208"/>
      <c r="EI249" s="208"/>
      <c r="EJ249" s="208"/>
      <c r="EK249" s="208"/>
      <c r="EL249" s="208"/>
      <c r="EM249" s="208"/>
      <c r="EN249" s="208"/>
      <c r="EO249" s="208"/>
      <c r="EP249" s="208"/>
      <c r="EQ249" s="208"/>
      <c r="ER249" s="208"/>
      <c r="ES249" s="208"/>
      <c r="ET249" s="208"/>
      <c r="EU249" s="208"/>
      <c r="EV249" s="208"/>
      <c r="EW249" s="208"/>
      <c r="EX249" s="208"/>
      <c r="EY249" s="208"/>
      <c r="EZ249" s="208">
        <v>0</v>
      </c>
      <c r="FA249" s="208">
        <v>0</v>
      </c>
      <c r="FB249" s="208">
        <v>0</v>
      </c>
      <c r="FC249" s="208"/>
      <c r="FD249" s="82"/>
      <c r="FE249" s="30"/>
    </row>
    <row r="250" spans="1:161" ht="15" hidden="1">
      <c r="A250" s="25" t="s">
        <v>234</v>
      </c>
      <c r="B250" s="212" t="s">
        <v>133</v>
      </c>
      <c r="C250" s="138"/>
      <c r="D250" s="221"/>
      <c r="E250" s="239">
        <v>770</v>
      </c>
      <c r="F250" s="95"/>
      <c r="G250" s="95"/>
      <c r="H250" s="147" t="s">
        <v>656</v>
      </c>
      <c r="I250" s="147"/>
      <c r="J250" s="135"/>
      <c r="K250" s="135"/>
      <c r="L250" s="139"/>
      <c r="M250" s="134"/>
      <c r="N250" s="134"/>
      <c r="O250" s="134"/>
      <c r="P250" s="134"/>
      <c r="Q250" s="134"/>
      <c r="R250" s="134"/>
      <c r="S250" s="139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3"/>
      <c r="BE250" s="83"/>
      <c r="BF250" s="83"/>
      <c r="BG250" s="82"/>
      <c r="BH250" s="81"/>
      <c r="BI250" s="80"/>
      <c r="BJ250" s="25"/>
      <c r="BK250" s="25"/>
      <c r="BL250" s="25"/>
      <c r="BM250" s="84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92"/>
      <c r="DG250" s="92"/>
      <c r="DH250" s="203"/>
      <c r="DI250" s="203"/>
      <c r="DJ250" s="203"/>
      <c r="DK250" s="203"/>
      <c r="DL250" s="203"/>
      <c r="DM250" s="203"/>
      <c r="DN250" s="203"/>
      <c r="DO250" s="203"/>
      <c r="DP250" s="208"/>
      <c r="DQ250" s="208"/>
      <c r="DR250" s="208"/>
      <c r="DS250" s="208"/>
      <c r="DT250" s="208"/>
      <c r="DU250" s="208"/>
      <c r="DV250" s="208"/>
      <c r="DW250" s="208"/>
      <c r="DX250" s="208"/>
      <c r="DY250" s="208"/>
      <c r="DZ250" s="208"/>
      <c r="EA250" s="208"/>
      <c r="EB250" s="208"/>
      <c r="EC250" s="208"/>
      <c r="ED250" s="208"/>
      <c r="EE250" s="208"/>
      <c r="EF250" s="208"/>
      <c r="EG250" s="208"/>
      <c r="EH250" s="208"/>
      <c r="EI250" s="208"/>
      <c r="EJ250" s="208"/>
      <c r="EK250" s="208"/>
      <c r="EL250" s="208"/>
      <c r="EM250" s="208"/>
      <c r="EN250" s="208"/>
      <c r="EO250" s="208"/>
      <c r="EP250" s="208"/>
      <c r="EQ250" s="208"/>
      <c r="ER250" s="208"/>
      <c r="ES250" s="208"/>
      <c r="ET250" s="208"/>
      <c r="EU250" s="208"/>
      <c r="EV250" s="208"/>
      <c r="EW250" s="208"/>
      <c r="EX250" s="208"/>
      <c r="EY250" s="208"/>
      <c r="EZ250" s="208">
        <v>0</v>
      </c>
      <c r="FA250" s="208">
        <v>0</v>
      </c>
      <c r="FB250" s="208">
        <v>0</v>
      </c>
      <c r="FC250" s="208"/>
      <c r="FD250" s="82"/>
      <c r="FE250" s="30"/>
    </row>
    <row r="251" spans="1:161" ht="15" hidden="1">
      <c r="A251" s="25" t="s">
        <v>235</v>
      </c>
      <c r="B251" s="212" t="s">
        <v>133</v>
      </c>
      <c r="C251" s="138"/>
      <c r="D251" s="221"/>
      <c r="E251" s="239">
        <v>770</v>
      </c>
      <c r="F251" s="95"/>
      <c r="G251" s="95"/>
      <c r="H251" s="147" t="s">
        <v>656</v>
      </c>
      <c r="I251" s="147"/>
      <c r="J251" s="135"/>
      <c r="K251" s="135"/>
      <c r="L251" s="139"/>
      <c r="M251" s="134"/>
      <c r="N251" s="134"/>
      <c r="O251" s="134"/>
      <c r="P251" s="134"/>
      <c r="Q251" s="134"/>
      <c r="R251" s="134"/>
      <c r="S251" s="139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3"/>
      <c r="BE251" s="83"/>
      <c r="BF251" s="83"/>
      <c r="BG251" s="82"/>
      <c r="BH251" s="81"/>
      <c r="BI251" s="80"/>
      <c r="BJ251" s="25"/>
      <c r="BK251" s="25"/>
      <c r="BL251" s="25"/>
      <c r="BM251" s="84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92"/>
      <c r="DG251" s="92"/>
      <c r="DH251" s="203"/>
      <c r="DI251" s="203"/>
      <c r="DJ251" s="203"/>
      <c r="DK251" s="203"/>
      <c r="DL251" s="203"/>
      <c r="DM251" s="203"/>
      <c r="DN251" s="203"/>
      <c r="DO251" s="203"/>
      <c r="DP251" s="208"/>
      <c r="DQ251" s="208"/>
      <c r="DR251" s="208"/>
      <c r="DS251" s="208"/>
      <c r="DT251" s="208"/>
      <c r="DU251" s="208"/>
      <c r="DV251" s="208"/>
      <c r="DW251" s="208"/>
      <c r="DX251" s="208"/>
      <c r="DY251" s="208"/>
      <c r="DZ251" s="208"/>
      <c r="EA251" s="208"/>
      <c r="EB251" s="208"/>
      <c r="EC251" s="208"/>
      <c r="ED251" s="208"/>
      <c r="EE251" s="208"/>
      <c r="EF251" s="208"/>
      <c r="EG251" s="208"/>
      <c r="EH251" s="208"/>
      <c r="EI251" s="208"/>
      <c r="EJ251" s="208"/>
      <c r="EK251" s="208"/>
      <c r="EL251" s="208"/>
      <c r="EM251" s="208"/>
      <c r="EN251" s="208"/>
      <c r="EO251" s="208"/>
      <c r="EP251" s="208"/>
      <c r="EQ251" s="208"/>
      <c r="ER251" s="208"/>
      <c r="ES251" s="208"/>
      <c r="ET251" s="208"/>
      <c r="EU251" s="208"/>
      <c r="EV251" s="208"/>
      <c r="EW251" s="208"/>
      <c r="EX251" s="208"/>
      <c r="EY251" s="208"/>
      <c r="EZ251" s="208">
        <v>0</v>
      </c>
      <c r="FA251" s="208">
        <v>0</v>
      </c>
      <c r="FB251" s="208">
        <v>0</v>
      </c>
      <c r="FC251" s="208"/>
      <c r="FD251" s="82"/>
      <c r="FE251" s="30"/>
    </row>
    <row r="252" spans="1:161" ht="15" hidden="1">
      <c r="A252" s="25" t="s">
        <v>236</v>
      </c>
      <c r="B252" s="212" t="s">
        <v>133</v>
      </c>
      <c r="C252" s="138"/>
      <c r="D252" s="221"/>
      <c r="E252" s="239">
        <v>770</v>
      </c>
      <c r="F252" s="95"/>
      <c r="G252" s="95"/>
      <c r="H252" s="147" t="s">
        <v>656</v>
      </c>
      <c r="I252" s="147"/>
      <c r="J252" s="135"/>
      <c r="K252" s="135"/>
      <c r="L252" s="139"/>
      <c r="M252" s="134"/>
      <c r="N252" s="134"/>
      <c r="O252" s="134"/>
      <c r="P252" s="134"/>
      <c r="Q252" s="134"/>
      <c r="R252" s="134"/>
      <c r="S252" s="139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3"/>
      <c r="BE252" s="83"/>
      <c r="BF252" s="83"/>
      <c r="BG252" s="82"/>
      <c r="BH252" s="81"/>
      <c r="BI252" s="80"/>
      <c r="BJ252" s="25"/>
      <c r="BK252" s="25"/>
      <c r="BL252" s="25"/>
      <c r="BM252" s="84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92"/>
      <c r="DG252" s="92"/>
      <c r="DH252" s="203"/>
      <c r="DI252" s="203"/>
      <c r="DJ252" s="203"/>
      <c r="DK252" s="203"/>
      <c r="DL252" s="203"/>
      <c r="DM252" s="203"/>
      <c r="DN252" s="203"/>
      <c r="DO252" s="203"/>
      <c r="DP252" s="208"/>
      <c r="DQ252" s="208"/>
      <c r="DR252" s="208"/>
      <c r="DS252" s="208"/>
      <c r="DT252" s="208"/>
      <c r="DU252" s="208"/>
      <c r="DV252" s="208"/>
      <c r="DW252" s="208"/>
      <c r="DX252" s="208"/>
      <c r="DY252" s="208"/>
      <c r="DZ252" s="208"/>
      <c r="EA252" s="208"/>
      <c r="EB252" s="208"/>
      <c r="EC252" s="208"/>
      <c r="ED252" s="208"/>
      <c r="EE252" s="208"/>
      <c r="EF252" s="208"/>
      <c r="EG252" s="208"/>
      <c r="EH252" s="208"/>
      <c r="EI252" s="208"/>
      <c r="EJ252" s="208"/>
      <c r="EK252" s="208"/>
      <c r="EL252" s="208"/>
      <c r="EM252" s="208"/>
      <c r="EN252" s="208"/>
      <c r="EO252" s="208"/>
      <c r="EP252" s="208"/>
      <c r="EQ252" s="208"/>
      <c r="ER252" s="208"/>
      <c r="ES252" s="208"/>
      <c r="ET252" s="208"/>
      <c r="EU252" s="208"/>
      <c r="EV252" s="208"/>
      <c r="EW252" s="208"/>
      <c r="EX252" s="208"/>
      <c r="EY252" s="208"/>
      <c r="EZ252" s="208">
        <v>0</v>
      </c>
      <c r="FA252" s="208">
        <v>0</v>
      </c>
      <c r="FB252" s="208">
        <v>0</v>
      </c>
      <c r="FC252" s="208"/>
      <c r="FD252" s="82"/>
      <c r="FE252" s="30"/>
    </row>
    <row r="253" spans="1:161" ht="15" hidden="1">
      <c r="A253" s="25" t="s">
        <v>237</v>
      </c>
      <c r="B253" s="212" t="s">
        <v>133</v>
      </c>
      <c r="C253" s="138"/>
      <c r="D253" s="221"/>
      <c r="E253" s="239">
        <v>770</v>
      </c>
      <c r="F253" s="95"/>
      <c r="G253" s="95"/>
      <c r="H253" s="147" t="s">
        <v>656</v>
      </c>
      <c r="I253" s="147"/>
      <c r="J253" s="135"/>
      <c r="K253" s="135"/>
      <c r="L253" s="139"/>
      <c r="M253" s="134"/>
      <c r="N253" s="134"/>
      <c r="O253" s="134"/>
      <c r="P253" s="134"/>
      <c r="Q253" s="134"/>
      <c r="R253" s="134"/>
      <c r="S253" s="139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3"/>
      <c r="BE253" s="83"/>
      <c r="BF253" s="83"/>
      <c r="BG253" s="82"/>
      <c r="BH253" s="81"/>
      <c r="BI253" s="80"/>
      <c r="BJ253" s="25"/>
      <c r="BK253" s="25"/>
      <c r="BL253" s="25"/>
      <c r="BM253" s="84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92"/>
      <c r="DG253" s="92"/>
      <c r="DH253" s="203"/>
      <c r="DI253" s="203"/>
      <c r="DJ253" s="203"/>
      <c r="DK253" s="203"/>
      <c r="DL253" s="203"/>
      <c r="DM253" s="203"/>
      <c r="DN253" s="203"/>
      <c r="DO253" s="203"/>
      <c r="DP253" s="208"/>
      <c r="DQ253" s="208"/>
      <c r="DR253" s="208"/>
      <c r="DS253" s="208"/>
      <c r="DT253" s="208"/>
      <c r="DU253" s="208"/>
      <c r="DV253" s="208"/>
      <c r="DW253" s="208"/>
      <c r="DX253" s="208"/>
      <c r="DY253" s="208"/>
      <c r="DZ253" s="208"/>
      <c r="EA253" s="208"/>
      <c r="EB253" s="208"/>
      <c r="EC253" s="208"/>
      <c r="ED253" s="208"/>
      <c r="EE253" s="208"/>
      <c r="EF253" s="208"/>
      <c r="EG253" s="208"/>
      <c r="EH253" s="208"/>
      <c r="EI253" s="208"/>
      <c r="EJ253" s="208"/>
      <c r="EK253" s="208"/>
      <c r="EL253" s="208"/>
      <c r="EM253" s="208"/>
      <c r="EN253" s="208"/>
      <c r="EO253" s="208"/>
      <c r="EP253" s="208"/>
      <c r="EQ253" s="208"/>
      <c r="ER253" s="208"/>
      <c r="ES253" s="208"/>
      <c r="ET253" s="208"/>
      <c r="EU253" s="208"/>
      <c r="EV253" s="208"/>
      <c r="EW253" s="208"/>
      <c r="EX253" s="208"/>
      <c r="EY253" s="208"/>
      <c r="EZ253" s="208">
        <v>0</v>
      </c>
      <c r="FA253" s="208">
        <v>0</v>
      </c>
      <c r="FB253" s="208">
        <v>0</v>
      </c>
      <c r="FC253" s="208"/>
      <c r="FD253" s="82"/>
      <c r="FE253" s="30"/>
    </row>
    <row r="254" spans="1:161" ht="15" hidden="1">
      <c r="A254" s="25" t="s">
        <v>238</v>
      </c>
      <c r="B254" s="212" t="s">
        <v>133</v>
      </c>
      <c r="C254" s="138"/>
      <c r="D254" s="221"/>
      <c r="E254" s="239">
        <v>770</v>
      </c>
      <c r="F254" s="95"/>
      <c r="G254" s="95"/>
      <c r="H254" s="147" t="s">
        <v>656</v>
      </c>
      <c r="I254" s="147"/>
      <c r="J254" s="135"/>
      <c r="K254" s="135"/>
      <c r="L254" s="139"/>
      <c r="M254" s="134"/>
      <c r="N254" s="134"/>
      <c r="O254" s="134"/>
      <c r="P254" s="134"/>
      <c r="Q254" s="134"/>
      <c r="R254" s="134"/>
      <c r="S254" s="139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3"/>
      <c r="BE254" s="83"/>
      <c r="BF254" s="83"/>
      <c r="BG254" s="82"/>
      <c r="BH254" s="81"/>
      <c r="BI254" s="80"/>
      <c r="BJ254" s="25"/>
      <c r="BK254" s="25"/>
      <c r="BL254" s="25"/>
      <c r="BM254" s="84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92"/>
      <c r="DG254" s="92"/>
      <c r="DH254" s="203"/>
      <c r="DI254" s="203"/>
      <c r="DJ254" s="203"/>
      <c r="DK254" s="203"/>
      <c r="DL254" s="203"/>
      <c r="DM254" s="203"/>
      <c r="DN254" s="203"/>
      <c r="DO254" s="203"/>
      <c r="DP254" s="208"/>
      <c r="DQ254" s="208"/>
      <c r="DR254" s="208"/>
      <c r="DS254" s="208"/>
      <c r="DT254" s="208"/>
      <c r="DU254" s="208"/>
      <c r="DV254" s="208"/>
      <c r="DW254" s="208"/>
      <c r="DX254" s="208"/>
      <c r="DY254" s="208"/>
      <c r="DZ254" s="208"/>
      <c r="EA254" s="208"/>
      <c r="EB254" s="208"/>
      <c r="EC254" s="208"/>
      <c r="ED254" s="208"/>
      <c r="EE254" s="208"/>
      <c r="EF254" s="208"/>
      <c r="EG254" s="208"/>
      <c r="EH254" s="208"/>
      <c r="EI254" s="208"/>
      <c r="EJ254" s="208"/>
      <c r="EK254" s="208"/>
      <c r="EL254" s="208"/>
      <c r="EM254" s="208"/>
      <c r="EN254" s="208"/>
      <c r="EO254" s="208"/>
      <c r="EP254" s="208"/>
      <c r="EQ254" s="208"/>
      <c r="ER254" s="208"/>
      <c r="ES254" s="208"/>
      <c r="ET254" s="208"/>
      <c r="EU254" s="208"/>
      <c r="EV254" s="208"/>
      <c r="EW254" s="208"/>
      <c r="EX254" s="208"/>
      <c r="EY254" s="208"/>
      <c r="EZ254" s="208">
        <v>0</v>
      </c>
      <c r="FA254" s="208">
        <v>0</v>
      </c>
      <c r="FB254" s="208">
        <v>0</v>
      </c>
      <c r="FC254" s="208"/>
      <c r="FD254" s="82"/>
      <c r="FE254" s="30"/>
    </row>
    <row r="255" spans="1:161" ht="15" hidden="1">
      <c r="A255" s="25" t="s">
        <v>239</v>
      </c>
      <c r="B255" s="212" t="s">
        <v>133</v>
      </c>
      <c r="C255" s="138"/>
      <c r="D255" s="221"/>
      <c r="E255" s="239">
        <v>770</v>
      </c>
      <c r="F255" s="95"/>
      <c r="G255" s="95"/>
      <c r="H255" s="147" t="s">
        <v>656</v>
      </c>
      <c r="I255" s="147"/>
      <c r="J255" s="135"/>
      <c r="K255" s="135"/>
      <c r="L255" s="139"/>
      <c r="M255" s="134"/>
      <c r="N255" s="134"/>
      <c r="O255" s="134"/>
      <c r="P255" s="134"/>
      <c r="Q255" s="134"/>
      <c r="R255" s="134"/>
      <c r="S255" s="139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3"/>
      <c r="BE255" s="83"/>
      <c r="BF255" s="83"/>
      <c r="BG255" s="82"/>
      <c r="BH255" s="81"/>
      <c r="BI255" s="80"/>
      <c r="BJ255" s="25"/>
      <c r="BK255" s="25"/>
      <c r="BL255" s="25"/>
      <c r="BM255" s="84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92"/>
      <c r="DG255" s="92"/>
      <c r="DH255" s="203"/>
      <c r="DI255" s="203"/>
      <c r="DJ255" s="203"/>
      <c r="DK255" s="203"/>
      <c r="DL255" s="203"/>
      <c r="DM255" s="203"/>
      <c r="DN255" s="203"/>
      <c r="DO255" s="203"/>
      <c r="DP255" s="208"/>
      <c r="DQ255" s="208"/>
      <c r="DR255" s="208"/>
      <c r="DS255" s="208"/>
      <c r="DT255" s="208"/>
      <c r="DU255" s="208"/>
      <c r="DV255" s="208"/>
      <c r="DW255" s="208"/>
      <c r="DX255" s="208"/>
      <c r="DY255" s="208"/>
      <c r="DZ255" s="208"/>
      <c r="EA255" s="208"/>
      <c r="EB255" s="208"/>
      <c r="EC255" s="208"/>
      <c r="ED255" s="208"/>
      <c r="EE255" s="208"/>
      <c r="EF255" s="208"/>
      <c r="EG255" s="208"/>
      <c r="EH255" s="208"/>
      <c r="EI255" s="208"/>
      <c r="EJ255" s="208"/>
      <c r="EK255" s="208"/>
      <c r="EL255" s="208"/>
      <c r="EM255" s="208"/>
      <c r="EN255" s="208"/>
      <c r="EO255" s="208"/>
      <c r="EP255" s="208"/>
      <c r="EQ255" s="208"/>
      <c r="ER255" s="208"/>
      <c r="ES255" s="208"/>
      <c r="ET255" s="208"/>
      <c r="EU255" s="208"/>
      <c r="EV255" s="208"/>
      <c r="EW255" s="208"/>
      <c r="EX255" s="208"/>
      <c r="EY255" s="208"/>
      <c r="EZ255" s="208">
        <v>0</v>
      </c>
      <c r="FA255" s="208">
        <v>0</v>
      </c>
      <c r="FB255" s="208">
        <v>0</v>
      </c>
      <c r="FC255" s="208"/>
      <c r="FD255" s="82"/>
      <c r="FE255" s="30"/>
    </row>
    <row r="256" spans="1:161" ht="15" hidden="1">
      <c r="A256" s="25" t="s">
        <v>240</v>
      </c>
      <c r="B256" s="212" t="s">
        <v>133</v>
      </c>
      <c r="C256" s="138"/>
      <c r="D256" s="221"/>
      <c r="E256" s="239">
        <v>770</v>
      </c>
      <c r="F256" s="95"/>
      <c r="G256" s="95"/>
      <c r="H256" s="147" t="s">
        <v>656</v>
      </c>
      <c r="I256" s="147"/>
      <c r="J256" s="135"/>
      <c r="K256" s="135"/>
      <c r="L256" s="139"/>
      <c r="M256" s="134"/>
      <c r="N256" s="134"/>
      <c r="O256" s="134"/>
      <c r="P256" s="134"/>
      <c r="Q256" s="134"/>
      <c r="R256" s="134"/>
      <c r="S256" s="139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3"/>
      <c r="BE256" s="83"/>
      <c r="BF256" s="83"/>
      <c r="BG256" s="82"/>
      <c r="BH256" s="81"/>
      <c r="BI256" s="80"/>
      <c r="BJ256" s="25"/>
      <c r="BK256" s="25"/>
      <c r="BL256" s="25"/>
      <c r="BM256" s="84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92"/>
      <c r="DG256" s="92"/>
      <c r="DH256" s="203"/>
      <c r="DI256" s="203"/>
      <c r="DJ256" s="203"/>
      <c r="DK256" s="203"/>
      <c r="DL256" s="203"/>
      <c r="DM256" s="203"/>
      <c r="DN256" s="203"/>
      <c r="DO256" s="203"/>
      <c r="DP256" s="208"/>
      <c r="DQ256" s="208"/>
      <c r="DR256" s="208"/>
      <c r="DS256" s="208"/>
      <c r="DT256" s="208"/>
      <c r="DU256" s="208"/>
      <c r="DV256" s="208"/>
      <c r="DW256" s="208"/>
      <c r="DX256" s="208"/>
      <c r="DY256" s="208"/>
      <c r="DZ256" s="208"/>
      <c r="EA256" s="208"/>
      <c r="EB256" s="208"/>
      <c r="EC256" s="208"/>
      <c r="ED256" s="208"/>
      <c r="EE256" s="208"/>
      <c r="EF256" s="208"/>
      <c r="EG256" s="208"/>
      <c r="EH256" s="208"/>
      <c r="EI256" s="208"/>
      <c r="EJ256" s="208"/>
      <c r="EK256" s="208"/>
      <c r="EL256" s="208"/>
      <c r="EM256" s="208"/>
      <c r="EN256" s="208"/>
      <c r="EO256" s="208"/>
      <c r="EP256" s="208"/>
      <c r="EQ256" s="208"/>
      <c r="ER256" s="208"/>
      <c r="ES256" s="208"/>
      <c r="ET256" s="208"/>
      <c r="EU256" s="208"/>
      <c r="EV256" s="208"/>
      <c r="EW256" s="208"/>
      <c r="EX256" s="208"/>
      <c r="EY256" s="208"/>
      <c r="EZ256" s="208">
        <v>0</v>
      </c>
      <c r="FA256" s="208">
        <v>0</v>
      </c>
      <c r="FB256" s="208">
        <v>0</v>
      </c>
      <c r="FC256" s="208"/>
      <c r="FD256" s="82"/>
      <c r="FE256" s="30"/>
    </row>
    <row r="257" spans="1:161" ht="15" hidden="1">
      <c r="A257" s="25" t="s">
        <v>241</v>
      </c>
      <c r="B257" s="212" t="s">
        <v>133</v>
      </c>
      <c r="C257" s="138"/>
      <c r="D257" s="221"/>
      <c r="E257" s="239">
        <v>770</v>
      </c>
      <c r="F257" s="95"/>
      <c r="G257" s="95"/>
      <c r="H257" s="147" t="s">
        <v>656</v>
      </c>
      <c r="I257" s="147"/>
      <c r="J257" s="135"/>
      <c r="K257" s="135"/>
      <c r="L257" s="139"/>
      <c r="M257" s="134"/>
      <c r="N257" s="134"/>
      <c r="O257" s="134"/>
      <c r="P257" s="134"/>
      <c r="Q257" s="134"/>
      <c r="R257" s="134"/>
      <c r="S257" s="139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3"/>
      <c r="BE257" s="83"/>
      <c r="BF257" s="83"/>
      <c r="BG257" s="82"/>
      <c r="BH257" s="81"/>
      <c r="BI257" s="80"/>
      <c r="BJ257" s="25"/>
      <c r="BK257" s="25"/>
      <c r="BL257" s="25"/>
      <c r="BM257" s="84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92"/>
      <c r="DG257" s="92"/>
      <c r="DH257" s="203"/>
      <c r="DI257" s="203"/>
      <c r="DJ257" s="203"/>
      <c r="DK257" s="203"/>
      <c r="DL257" s="203"/>
      <c r="DM257" s="203"/>
      <c r="DN257" s="203"/>
      <c r="DO257" s="203"/>
      <c r="DP257" s="208"/>
      <c r="DQ257" s="208"/>
      <c r="DR257" s="208"/>
      <c r="DS257" s="208"/>
      <c r="DT257" s="208"/>
      <c r="DU257" s="208"/>
      <c r="DV257" s="208"/>
      <c r="DW257" s="208"/>
      <c r="DX257" s="208"/>
      <c r="DY257" s="208"/>
      <c r="DZ257" s="208"/>
      <c r="EA257" s="208"/>
      <c r="EB257" s="208"/>
      <c r="EC257" s="208"/>
      <c r="ED257" s="208"/>
      <c r="EE257" s="208"/>
      <c r="EF257" s="208"/>
      <c r="EG257" s="208"/>
      <c r="EH257" s="208"/>
      <c r="EI257" s="208"/>
      <c r="EJ257" s="208"/>
      <c r="EK257" s="208"/>
      <c r="EL257" s="208"/>
      <c r="EM257" s="208"/>
      <c r="EN257" s="208"/>
      <c r="EO257" s="208"/>
      <c r="EP257" s="208"/>
      <c r="EQ257" s="208"/>
      <c r="ER257" s="208"/>
      <c r="ES257" s="208"/>
      <c r="ET257" s="208"/>
      <c r="EU257" s="208"/>
      <c r="EV257" s="208"/>
      <c r="EW257" s="208"/>
      <c r="EX257" s="208"/>
      <c r="EY257" s="208"/>
      <c r="EZ257" s="208">
        <v>0</v>
      </c>
      <c r="FA257" s="208">
        <v>0</v>
      </c>
      <c r="FB257" s="208">
        <v>0</v>
      </c>
      <c r="FC257" s="208"/>
      <c r="FD257" s="82"/>
      <c r="FE257" s="30"/>
    </row>
    <row r="258" spans="1:161" ht="15" hidden="1">
      <c r="A258" s="25" t="s">
        <v>242</v>
      </c>
      <c r="B258" s="212" t="s">
        <v>133</v>
      </c>
      <c r="C258" s="138"/>
      <c r="D258" s="221"/>
      <c r="E258" s="239">
        <v>770</v>
      </c>
      <c r="F258" s="95"/>
      <c r="G258" s="95"/>
      <c r="H258" s="147" t="s">
        <v>656</v>
      </c>
      <c r="I258" s="147"/>
      <c r="J258" s="135"/>
      <c r="K258" s="135"/>
      <c r="L258" s="139"/>
      <c r="M258" s="134"/>
      <c r="N258" s="134"/>
      <c r="O258" s="134"/>
      <c r="P258" s="134"/>
      <c r="Q258" s="134"/>
      <c r="R258" s="134"/>
      <c r="S258" s="139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3"/>
      <c r="BE258" s="83"/>
      <c r="BF258" s="83"/>
      <c r="BG258" s="82"/>
      <c r="BH258" s="81"/>
      <c r="BI258" s="80"/>
      <c r="BJ258" s="25"/>
      <c r="BK258" s="25"/>
      <c r="BL258" s="25"/>
      <c r="BM258" s="84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92"/>
      <c r="DG258" s="92"/>
      <c r="DH258" s="203"/>
      <c r="DI258" s="203"/>
      <c r="DJ258" s="203"/>
      <c r="DK258" s="203"/>
      <c r="DL258" s="203"/>
      <c r="DM258" s="203"/>
      <c r="DN258" s="203"/>
      <c r="DO258" s="203"/>
      <c r="DP258" s="208"/>
      <c r="DQ258" s="208"/>
      <c r="DR258" s="208"/>
      <c r="DS258" s="208"/>
      <c r="DT258" s="208"/>
      <c r="DU258" s="208"/>
      <c r="DV258" s="208"/>
      <c r="DW258" s="208"/>
      <c r="DX258" s="208"/>
      <c r="DY258" s="208"/>
      <c r="DZ258" s="208"/>
      <c r="EA258" s="208"/>
      <c r="EB258" s="208"/>
      <c r="EC258" s="208"/>
      <c r="ED258" s="208"/>
      <c r="EE258" s="208"/>
      <c r="EF258" s="208"/>
      <c r="EG258" s="208"/>
      <c r="EH258" s="208"/>
      <c r="EI258" s="208"/>
      <c r="EJ258" s="208"/>
      <c r="EK258" s="208"/>
      <c r="EL258" s="208"/>
      <c r="EM258" s="208"/>
      <c r="EN258" s="208"/>
      <c r="EO258" s="208"/>
      <c r="EP258" s="208"/>
      <c r="EQ258" s="208"/>
      <c r="ER258" s="208"/>
      <c r="ES258" s="208"/>
      <c r="ET258" s="208"/>
      <c r="EU258" s="208"/>
      <c r="EV258" s="208"/>
      <c r="EW258" s="208"/>
      <c r="EX258" s="208"/>
      <c r="EY258" s="208"/>
      <c r="EZ258" s="208">
        <v>0</v>
      </c>
      <c r="FA258" s="208">
        <v>0</v>
      </c>
      <c r="FB258" s="208">
        <v>0</v>
      </c>
      <c r="FC258" s="208"/>
      <c r="FD258" s="82"/>
      <c r="FE258" s="30"/>
    </row>
    <row r="259" spans="1:161" ht="15" hidden="1">
      <c r="A259" s="25" t="s">
        <v>243</v>
      </c>
      <c r="B259" s="212" t="s">
        <v>133</v>
      </c>
      <c r="C259" s="138"/>
      <c r="D259" s="221"/>
      <c r="E259" s="239">
        <v>770</v>
      </c>
      <c r="F259" s="95"/>
      <c r="G259" s="95"/>
      <c r="H259" s="147" t="s">
        <v>656</v>
      </c>
      <c r="I259" s="147"/>
      <c r="J259" s="135"/>
      <c r="K259" s="135"/>
      <c r="L259" s="139"/>
      <c r="M259" s="134"/>
      <c r="N259" s="134"/>
      <c r="O259" s="134"/>
      <c r="P259" s="134"/>
      <c r="Q259" s="134"/>
      <c r="R259" s="134"/>
      <c r="S259" s="139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3"/>
      <c r="BE259" s="83"/>
      <c r="BF259" s="83"/>
      <c r="BG259" s="82"/>
      <c r="BH259" s="81"/>
      <c r="BI259" s="80"/>
      <c r="BJ259" s="25"/>
      <c r="BK259" s="25"/>
      <c r="BL259" s="25"/>
      <c r="BM259" s="84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92"/>
      <c r="DG259" s="92"/>
      <c r="DH259" s="203"/>
      <c r="DI259" s="203"/>
      <c r="DJ259" s="203"/>
      <c r="DK259" s="203"/>
      <c r="DL259" s="203"/>
      <c r="DM259" s="203"/>
      <c r="DN259" s="203"/>
      <c r="DO259" s="203"/>
      <c r="DP259" s="208"/>
      <c r="DQ259" s="208"/>
      <c r="DR259" s="208"/>
      <c r="DS259" s="208"/>
      <c r="DT259" s="208"/>
      <c r="DU259" s="208"/>
      <c r="DV259" s="208"/>
      <c r="DW259" s="208"/>
      <c r="DX259" s="208"/>
      <c r="DY259" s="208"/>
      <c r="DZ259" s="208"/>
      <c r="EA259" s="208"/>
      <c r="EB259" s="208"/>
      <c r="EC259" s="208"/>
      <c r="ED259" s="208"/>
      <c r="EE259" s="208"/>
      <c r="EF259" s="208"/>
      <c r="EG259" s="208"/>
      <c r="EH259" s="208"/>
      <c r="EI259" s="208"/>
      <c r="EJ259" s="208"/>
      <c r="EK259" s="208"/>
      <c r="EL259" s="208"/>
      <c r="EM259" s="208"/>
      <c r="EN259" s="208"/>
      <c r="EO259" s="208"/>
      <c r="EP259" s="208"/>
      <c r="EQ259" s="208"/>
      <c r="ER259" s="208"/>
      <c r="ES259" s="208"/>
      <c r="ET259" s="208"/>
      <c r="EU259" s="208"/>
      <c r="EV259" s="208"/>
      <c r="EW259" s="208"/>
      <c r="EX259" s="208"/>
      <c r="EY259" s="208"/>
      <c r="EZ259" s="208">
        <v>0</v>
      </c>
      <c r="FA259" s="208">
        <v>0</v>
      </c>
      <c r="FB259" s="208">
        <v>0</v>
      </c>
      <c r="FC259" s="208"/>
      <c r="FD259" s="82"/>
      <c r="FE259" s="30"/>
    </row>
    <row r="260" spans="1:161" ht="15" hidden="1">
      <c r="A260" s="25" t="s">
        <v>134</v>
      </c>
      <c r="B260" s="212" t="s">
        <v>133</v>
      </c>
      <c r="C260" s="138"/>
      <c r="D260" s="221"/>
      <c r="E260" s="239">
        <v>770</v>
      </c>
      <c r="F260" s="95"/>
      <c r="G260" s="95"/>
      <c r="H260" s="147" t="s">
        <v>656</v>
      </c>
      <c r="I260" s="147"/>
      <c r="J260" s="135"/>
      <c r="K260" s="135"/>
      <c r="L260" s="139"/>
      <c r="M260" s="134"/>
      <c r="N260" s="134"/>
      <c r="O260" s="134"/>
      <c r="P260" s="134"/>
      <c r="Q260" s="134"/>
      <c r="R260" s="134"/>
      <c r="S260" s="139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3"/>
      <c r="BE260" s="83"/>
      <c r="BF260" s="83"/>
      <c r="BG260" s="82"/>
      <c r="BH260" s="81"/>
      <c r="BI260" s="80"/>
      <c r="BJ260" s="25"/>
      <c r="BK260" s="25"/>
      <c r="BL260" s="25"/>
      <c r="BM260" s="84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92"/>
      <c r="DG260" s="92"/>
      <c r="DH260" s="203"/>
      <c r="DI260" s="203"/>
      <c r="DJ260" s="203"/>
      <c r="DK260" s="203"/>
      <c r="DL260" s="203"/>
      <c r="DM260" s="203"/>
      <c r="DN260" s="203"/>
      <c r="DO260" s="203"/>
      <c r="DP260" s="208"/>
      <c r="DQ260" s="208"/>
      <c r="DR260" s="208"/>
      <c r="DS260" s="208"/>
      <c r="DT260" s="208"/>
      <c r="DU260" s="208"/>
      <c r="DV260" s="208"/>
      <c r="DW260" s="208"/>
      <c r="DX260" s="208"/>
      <c r="DY260" s="208"/>
      <c r="DZ260" s="208"/>
      <c r="EA260" s="208"/>
      <c r="EB260" s="208"/>
      <c r="EC260" s="208"/>
      <c r="ED260" s="208"/>
      <c r="EE260" s="208"/>
      <c r="EF260" s="208"/>
      <c r="EG260" s="208"/>
      <c r="EH260" s="208"/>
      <c r="EI260" s="208"/>
      <c r="EJ260" s="208"/>
      <c r="EK260" s="208"/>
      <c r="EL260" s="208"/>
      <c r="EM260" s="208"/>
      <c r="EN260" s="208"/>
      <c r="EO260" s="208"/>
      <c r="EP260" s="208"/>
      <c r="EQ260" s="208"/>
      <c r="ER260" s="208"/>
      <c r="ES260" s="208"/>
      <c r="ET260" s="208"/>
      <c r="EU260" s="208"/>
      <c r="EV260" s="208"/>
      <c r="EW260" s="208"/>
      <c r="EX260" s="208"/>
      <c r="EY260" s="208"/>
      <c r="EZ260" s="208">
        <v>0</v>
      </c>
      <c r="FA260" s="208">
        <v>0</v>
      </c>
      <c r="FB260" s="208">
        <v>0</v>
      </c>
      <c r="FC260" s="208"/>
      <c r="FD260" s="82"/>
      <c r="FE260" s="30"/>
    </row>
    <row r="261" spans="1:161" ht="15" hidden="1">
      <c r="A261" s="25" t="s">
        <v>256</v>
      </c>
      <c r="B261" s="212" t="s">
        <v>133</v>
      </c>
      <c r="C261" s="138"/>
      <c r="D261" s="221"/>
      <c r="E261" s="239">
        <v>770</v>
      </c>
      <c r="F261" s="95"/>
      <c r="G261" s="95"/>
      <c r="H261" s="147" t="s">
        <v>656</v>
      </c>
      <c r="I261" s="147"/>
      <c r="J261" s="135"/>
      <c r="K261" s="135"/>
      <c r="L261" s="139"/>
      <c r="M261" s="134"/>
      <c r="N261" s="134"/>
      <c r="O261" s="134"/>
      <c r="P261" s="134"/>
      <c r="Q261" s="134"/>
      <c r="R261" s="134"/>
      <c r="S261" s="139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3"/>
      <c r="BE261" s="83"/>
      <c r="BF261" s="83"/>
      <c r="BG261" s="82"/>
      <c r="BH261" s="81"/>
      <c r="BI261" s="80"/>
      <c r="BJ261" s="25"/>
      <c r="BK261" s="25"/>
      <c r="BL261" s="25"/>
      <c r="BM261" s="84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92"/>
      <c r="DG261" s="92"/>
      <c r="DH261" s="203"/>
      <c r="DI261" s="203"/>
      <c r="DJ261" s="203"/>
      <c r="DK261" s="203"/>
      <c r="DL261" s="203"/>
      <c r="DM261" s="203"/>
      <c r="DN261" s="203"/>
      <c r="DO261" s="203"/>
      <c r="DP261" s="208"/>
      <c r="DQ261" s="208"/>
      <c r="DR261" s="208"/>
      <c r="DS261" s="208"/>
      <c r="DT261" s="208"/>
      <c r="DU261" s="208"/>
      <c r="DV261" s="208"/>
      <c r="DW261" s="208"/>
      <c r="DX261" s="208"/>
      <c r="DY261" s="208"/>
      <c r="DZ261" s="208"/>
      <c r="EA261" s="208"/>
      <c r="EB261" s="208"/>
      <c r="EC261" s="208"/>
      <c r="ED261" s="208"/>
      <c r="EE261" s="208"/>
      <c r="EF261" s="208"/>
      <c r="EG261" s="208"/>
      <c r="EH261" s="208"/>
      <c r="EI261" s="208"/>
      <c r="EJ261" s="208"/>
      <c r="EK261" s="208"/>
      <c r="EL261" s="208"/>
      <c r="EM261" s="208"/>
      <c r="EN261" s="208"/>
      <c r="EO261" s="208"/>
      <c r="EP261" s="208"/>
      <c r="EQ261" s="208"/>
      <c r="ER261" s="208"/>
      <c r="ES261" s="208"/>
      <c r="ET261" s="208"/>
      <c r="EU261" s="208"/>
      <c r="EV261" s="208"/>
      <c r="EW261" s="208"/>
      <c r="EX261" s="208"/>
      <c r="EY261" s="208"/>
      <c r="EZ261" s="208">
        <v>0</v>
      </c>
      <c r="FA261" s="208">
        <v>0</v>
      </c>
      <c r="FB261" s="208">
        <v>0</v>
      </c>
      <c r="FC261" s="208"/>
      <c r="FD261" s="82"/>
      <c r="FE261" s="30"/>
    </row>
    <row r="262" spans="1:161" ht="15" hidden="1">
      <c r="A262" s="25" t="s">
        <v>269</v>
      </c>
      <c r="B262" s="212" t="s">
        <v>133</v>
      </c>
      <c r="C262" s="138"/>
      <c r="D262" s="221"/>
      <c r="E262" s="239">
        <v>770</v>
      </c>
      <c r="F262" s="95"/>
      <c r="G262" s="95"/>
      <c r="H262" s="147" t="s">
        <v>656</v>
      </c>
      <c r="I262" s="147"/>
      <c r="J262" s="135"/>
      <c r="K262" s="135"/>
      <c r="L262" s="139"/>
      <c r="M262" s="134"/>
      <c r="N262" s="134"/>
      <c r="O262" s="134"/>
      <c r="P262" s="134"/>
      <c r="Q262" s="134"/>
      <c r="R262" s="134"/>
      <c r="S262" s="139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3"/>
      <c r="BE262" s="83"/>
      <c r="BF262" s="83"/>
      <c r="BG262" s="82"/>
      <c r="BH262" s="81"/>
      <c r="BI262" s="80"/>
      <c r="BJ262" s="25"/>
      <c r="BK262" s="25"/>
      <c r="BL262" s="25"/>
      <c r="BM262" s="84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92"/>
      <c r="DG262" s="92"/>
      <c r="DH262" s="203"/>
      <c r="DI262" s="203"/>
      <c r="DJ262" s="203"/>
      <c r="DK262" s="203"/>
      <c r="DL262" s="203"/>
      <c r="DM262" s="203"/>
      <c r="DN262" s="203"/>
      <c r="DO262" s="203"/>
      <c r="DP262" s="208"/>
      <c r="DQ262" s="208"/>
      <c r="DR262" s="208"/>
      <c r="DS262" s="208"/>
      <c r="DT262" s="208"/>
      <c r="DU262" s="208"/>
      <c r="DV262" s="208"/>
      <c r="DW262" s="208"/>
      <c r="DX262" s="208"/>
      <c r="DY262" s="208"/>
      <c r="DZ262" s="208"/>
      <c r="EA262" s="208"/>
      <c r="EB262" s="208"/>
      <c r="EC262" s="208"/>
      <c r="ED262" s="208"/>
      <c r="EE262" s="208"/>
      <c r="EF262" s="208"/>
      <c r="EG262" s="208"/>
      <c r="EH262" s="208"/>
      <c r="EI262" s="208"/>
      <c r="EJ262" s="208"/>
      <c r="EK262" s="208"/>
      <c r="EL262" s="208"/>
      <c r="EM262" s="208"/>
      <c r="EN262" s="208"/>
      <c r="EO262" s="208"/>
      <c r="EP262" s="208"/>
      <c r="EQ262" s="208"/>
      <c r="ER262" s="208"/>
      <c r="ES262" s="208"/>
      <c r="ET262" s="208"/>
      <c r="EU262" s="208"/>
      <c r="EV262" s="208"/>
      <c r="EW262" s="208"/>
      <c r="EX262" s="208"/>
      <c r="EY262" s="208"/>
      <c r="EZ262" s="208">
        <v>0</v>
      </c>
      <c r="FA262" s="208">
        <v>0</v>
      </c>
      <c r="FB262" s="208">
        <v>0</v>
      </c>
      <c r="FC262" s="208"/>
      <c r="FD262" s="82"/>
      <c r="FE262" s="30"/>
    </row>
    <row r="263" spans="1:161" ht="15" hidden="1">
      <c r="A263" s="25" t="s">
        <v>248</v>
      </c>
      <c r="B263" s="212" t="s">
        <v>133</v>
      </c>
      <c r="C263" s="138"/>
      <c r="D263" s="221"/>
      <c r="E263" s="239">
        <v>770</v>
      </c>
      <c r="F263" s="95"/>
      <c r="G263" s="95"/>
      <c r="H263" s="147" t="s">
        <v>656</v>
      </c>
      <c r="I263" s="147"/>
      <c r="J263" s="135"/>
      <c r="K263" s="135"/>
      <c r="L263" s="139"/>
      <c r="M263" s="134"/>
      <c r="N263" s="134"/>
      <c r="O263" s="134"/>
      <c r="P263" s="134"/>
      <c r="Q263" s="134"/>
      <c r="R263" s="134"/>
      <c r="S263" s="139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3"/>
      <c r="BE263" s="83"/>
      <c r="BF263" s="83"/>
      <c r="BG263" s="82"/>
      <c r="BH263" s="81"/>
      <c r="BI263" s="80"/>
      <c r="BJ263" s="25"/>
      <c r="BK263" s="25"/>
      <c r="BL263" s="25"/>
      <c r="BM263" s="84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92"/>
      <c r="DG263" s="92"/>
      <c r="DH263" s="203"/>
      <c r="DI263" s="203"/>
      <c r="DJ263" s="203"/>
      <c r="DK263" s="203"/>
      <c r="DL263" s="203"/>
      <c r="DM263" s="203"/>
      <c r="DN263" s="203"/>
      <c r="DO263" s="203"/>
      <c r="DP263" s="208"/>
      <c r="DQ263" s="208"/>
      <c r="DR263" s="208"/>
      <c r="DS263" s="208"/>
      <c r="DT263" s="208"/>
      <c r="DU263" s="208"/>
      <c r="DV263" s="208"/>
      <c r="DW263" s="208"/>
      <c r="DX263" s="208"/>
      <c r="DY263" s="208"/>
      <c r="DZ263" s="208"/>
      <c r="EA263" s="208"/>
      <c r="EB263" s="208"/>
      <c r="EC263" s="208"/>
      <c r="ED263" s="208"/>
      <c r="EE263" s="208"/>
      <c r="EF263" s="208"/>
      <c r="EG263" s="208"/>
      <c r="EH263" s="208"/>
      <c r="EI263" s="208"/>
      <c r="EJ263" s="208"/>
      <c r="EK263" s="208"/>
      <c r="EL263" s="208"/>
      <c r="EM263" s="208"/>
      <c r="EN263" s="208"/>
      <c r="EO263" s="208"/>
      <c r="EP263" s="208"/>
      <c r="EQ263" s="208"/>
      <c r="ER263" s="208"/>
      <c r="ES263" s="208"/>
      <c r="ET263" s="208"/>
      <c r="EU263" s="208"/>
      <c r="EV263" s="208"/>
      <c r="EW263" s="208"/>
      <c r="EX263" s="208"/>
      <c r="EY263" s="208"/>
      <c r="EZ263" s="208">
        <v>0</v>
      </c>
      <c r="FA263" s="208">
        <v>0</v>
      </c>
      <c r="FB263" s="208">
        <v>0</v>
      </c>
      <c r="FC263" s="208"/>
      <c r="FD263" s="82"/>
      <c r="FE263" s="30"/>
    </row>
    <row r="264" spans="1:161" ht="15" hidden="1">
      <c r="A264" s="25" t="s">
        <v>247</v>
      </c>
      <c r="B264" s="212" t="s">
        <v>133</v>
      </c>
      <c r="C264" s="138"/>
      <c r="D264" s="221"/>
      <c r="E264" s="239">
        <v>770</v>
      </c>
      <c r="F264" s="95"/>
      <c r="G264" s="95"/>
      <c r="H264" s="147" t="s">
        <v>656</v>
      </c>
      <c r="I264" s="147"/>
      <c r="J264" s="135"/>
      <c r="K264" s="135"/>
      <c r="L264" s="139"/>
      <c r="M264" s="134"/>
      <c r="N264" s="134"/>
      <c r="O264" s="134"/>
      <c r="P264" s="134"/>
      <c r="Q264" s="134"/>
      <c r="R264" s="134"/>
      <c r="S264" s="139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3"/>
      <c r="BE264" s="83"/>
      <c r="BF264" s="83"/>
      <c r="BG264" s="82"/>
      <c r="BH264" s="81"/>
      <c r="BI264" s="80"/>
      <c r="BJ264" s="25"/>
      <c r="BK264" s="25"/>
      <c r="BL264" s="25"/>
      <c r="BM264" s="84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92"/>
      <c r="DG264" s="92"/>
      <c r="DH264" s="203"/>
      <c r="DI264" s="203"/>
      <c r="DJ264" s="203"/>
      <c r="DK264" s="203"/>
      <c r="DL264" s="203"/>
      <c r="DM264" s="203"/>
      <c r="DN264" s="203"/>
      <c r="DO264" s="203"/>
      <c r="DP264" s="208"/>
      <c r="DQ264" s="208"/>
      <c r="DR264" s="208"/>
      <c r="DS264" s="208"/>
      <c r="DT264" s="208"/>
      <c r="DU264" s="208"/>
      <c r="DV264" s="208"/>
      <c r="DW264" s="208"/>
      <c r="DX264" s="208"/>
      <c r="DY264" s="208"/>
      <c r="DZ264" s="208"/>
      <c r="EA264" s="208"/>
      <c r="EB264" s="208"/>
      <c r="EC264" s="208"/>
      <c r="ED264" s="208"/>
      <c r="EE264" s="208"/>
      <c r="EF264" s="208"/>
      <c r="EG264" s="208"/>
      <c r="EH264" s="208"/>
      <c r="EI264" s="208"/>
      <c r="EJ264" s="208"/>
      <c r="EK264" s="208"/>
      <c r="EL264" s="208"/>
      <c r="EM264" s="208"/>
      <c r="EN264" s="208"/>
      <c r="EO264" s="208"/>
      <c r="EP264" s="208"/>
      <c r="EQ264" s="208"/>
      <c r="ER264" s="208"/>
      <c r="ES264" s="208"/>
      <c r="ET264" s="208"/>
      <c r="EU264" s="208"/>
      <c r="EV264" s="208"/>
      <c r="EW264" s="208"/>
      <c r="EX264" s="208"/>
      <c r="EY264" s="208"/>
      <c r="EZ264" s="208">
        <v>0</v>
      </c>
      <c r="FA264" s="208">
        <v>0</v>
      </c>
      <c r="FB264" s="208">
        <v>0</v>
      </c>
      <c r="FC264" s="208"/>
      <c r="FD264" s="82"/>
      <c r="FE264" s="30"/>
    </row>
    <row r="265" spans="1:161" ht="15" hidden="1">
      <c r="A265" s="25" t="s">
        <v>136</v>
      </c>
      <c r="B265" s="212" t="s">
        <v>133</v>
      </c>
      <c r="C265" s="138"/>
      <c r="D265" s="221"/>
      <c r="E265" s="239">
        <v>770</v>
      </c>
      <c r="F265" s="95"/>
      <c r="G265" s="95"/>
      <c r="H265" s="147" t="s">
        <v>656</v>
      </c>
      <c r="I265" s="147"/>
      <c r="J265" s="135"/>
      <c r="K265" s="135"/>
      <c r="L265" s="139"/>
      <c r="M265" s="134"/>
      <c r="N265" s="134"/>
      <c r="O265" s="134"/>
      <c r="P265" s="134"/>
      <c r="Q265" s="134"/>
      <c r="R265" s="134"/>
      <c r="S265" s="139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3"/>
      <c r="BE265" s="83"/>
      <c r="BF265" s="83"/>
      <c r="BG265" s="82"/>
      <c r="BH265" s="81"/>
      <c r="BI265" s="80"/>
      <c r="BJ265" s="25"/>
      <c r="BK265" s="25"/>
      <c r="BL265" s="25"/>
      <c r="BM265" s="84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92"/>
      <c r="DG265" s="92"/>
      <c r="DH265" s="203"/>
      <c r="DI265" s="203"/>
      <c r="DJ265" s="203"/>
      <c r="DK265" s="203"/>
      <c r="DL265" s="203"/>
      <c r="DM265" s="203"/>
      <c r="DN265" s="203"/>
      <c r="DO265" s="203"/>
      <c r="DP265" s="208"/>
      <c r="DQ265" s="208"/>
      <c r="DR265" s="208"/>
      <c r="DS265" s="208"/>
      <c r="DT265" s="208"/>
      <c r="DU265" s="208"/>
      <c r="DV265" s="208"/>
      <c r="DW265" s="208"/>
      <c r="DX265" s="208"/>
      <c r="DY265" s="208"/>
      <c r="DZ265" s="208"/>
      <c r="EA265" s="208"/>
      <c r="EB265" s="208"/>
      <c r="EC265" s="208"/>
      <c r="ED265" s="208"/>
      <c r="EE265" s="208"/>
      <c r="EF265" s="208"/>
      <c r="EG265" s="208"/>
      <c r="EH265" s="208"/>
      <c r="EI265" s="208"/>
      <c r="EJ265" s="208"/>
      <c r="EK265" s="208"/>
      <c r="EL265" s="208"/>
      <c r="EM265" s="208"/>
      <c r="EN265" s="208"/>
      <c r="EO265" s="208"/>
      <c r="EP265" s="208"/>
      <c r="EQ265" s="208"/>
      <c r="ER265" s="208"/>
      <c r="ES265" s="208"/>
      <c r="ET265" s="208"/>
      <c r="EU265" s="208"/>
      <c r="EV265" s="208"/>
      <c r="EW265" s="208"/>
      <c r="EX265" s="208"/>
      <c r="EY265" s="208"/>
      <c r="EZ265" s="208">
        <v>0</v>
      </c>
      <c r="FA265" s="208">
        <v>0</v>
      </c>
      <c r="FB265" s="208">
        <v>0</v>
      </c>
      <c r="FC265" s="208"/>
      <c r="FD265" s="82"/>
      <c r="FE265" s="30"/>
    </row>
    <row r="266" spans="1:161" ht="15" hidden="1">
      <c r="A266" s="25" t="s">
        <v>244</v>
      </c>
      <c r="B266" s="212" t="s">
        <v>133</v>
      </c>
      <c r="C266" s="138"/>
      <c r="D266" s="221"/>
      <c r="E266" s="239">
        <v>770</v>
      </c>
      <c r="F266" s="95"/>
      <c r="G266" s="95"/>
      <c r="H266" s="147" t="s">
        <v>656</v>
      </c>
      <c r="I266" s="147"/>
      <c r="J266" s="135"/>
      <c r="K266" s="135"/>
      <c r="L266" s="139"/>
      <c r="M266" s="134"/>
      <c r="N266" s="134"/>
      <c r="O266" s="134"/>
      <c r="P266" s="134"/>
      <c r="Q266" s="134"/>
      <c r="R266" s="134"/>
      <c r="S266" s="139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3"/>
      <c r="BE266" s="83"/>
      <c r="BF266" s="83"/>
      <c r="BG266" s="82"/>
      <c r="BH266" s="81"/>
      <c r="BI266" s="80"/>
      <c r="BJ266" s="25"/>
      <c r="BK266" s="25"/>
      <c r="BL266" s="25"/>
      <c r="BM266" s="84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92"/>
      <c r="DG266" s="92"/>
      <c r="DH266" s="203"/>
      <c r="DI266" s="203"/>
      <c r="DJ266" s="203"/>
      <c r="DK266" s="203"/>
      <c r="DL266" s="203"/>
      <c r="DM266" s="203"/>
      <c r="DN266" s="203"/>
      <c r="DO266" s="203"/>
      <c r="DP266" s="208"/>
      <c r="DQ266" s="208"/>
      <c r="DR266" s="208"/>
      <c r="DS266" s="208"/>
      <c r="DT266" s="208"/>
      <c r="DU266" s="208"/>
      <c r="DV266" s="208"/>
      <c r="DW266" s="208"/>
      <c r="DX266" s="208"/>
      <c r="DY266" s="208"/>
      <c r="DZ266" s="208"/>
      <c r="EA266" s="208"/>
      <c r="EB266" s="208"/>
      <c r="EC266" s="208"/>
      <c r="ED266" s="208"/>
      <c r="EE266" s="208"/>
      <c r="EF266" s="208"/>
      <c r="EG266" s="208"/>
      <c r="EH266" s="208"/>
      <c r="EI266" s="208"/>
      <c r="EJ266" s="208"/>
      <c r="EK266" s="208"/>
      <c r="EL266" s="208"/>
      <c r="EM266" s="208"/>
      <c r="EN266" s="208"/>
      <c r="EO266" s="208"/>
      <c r="EP266" s="208"/>
      <c r="EQ266" s="208"/>
      <c r="ER266" s="208"/>
      <c r="ES266" s="208"/>
      <c r="ET266" s="208"/>
      <c r="EU266" s="208"/>
      <c r="EV266" s="208"/>
      <c r="EW266" s="208"/>
      <c r="EX266" s="208"/>
      <c r="EY266" s="208"/>
      <c r="EZ266" s="208">
        <v>0</v>
      </c>
      <c r="FA266" s="208">
        <v>0</v>
      </c>
      <c r="FB266" s="208">
        <v>0</v>
      </c>
      <c r="FC266" s="208"/>
      <c r="FD266" s="82"/>
      <c r="FE266" s="30"/>
    </row>
    <row r="267" spans="1:161" ht="15" hidden="1">
      <c r="A267" s="25" t="s">
        <v>245</v>
      </c>
      <c r="B267" s="212" t="s">
        <v>133</v>
      </c>
      <c r="C267" s="138"/>
      <c r="D267" s="221"/>
      <c r="E267" s="239">
        <v>770</v>
      </c>
      <c r="F267" s="95"/>
      <c r="G267" s="95"/>
      <c r="H267" s="147" t="s">
        <v>656</v>
      </c>
      <c r="I267" s="147"/>
      <c r="J267" s="135"/>
      <c r="K267" s="135"/>
      <c r="L267" s="139"/>
      <c r="M267" s="134"/>
      <c r="N267" s="134"/>
      <c r="O267" s="134"/>
      <c r="P267" s="134"/>
      <c r="Q267" s="134"/>
      <c r="R267" s="134"/>
      <c r="S267" s="139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3"/>
      <c r="BE267" s="83"/>
      <c r="BF267" s="83"/>
      <c r="BG267" s="82"/>
      <c r="BH267" s="81"/>
      <c r="BI267" s="80"/>
      <c r="BJ267" s="25"/>
      <c r="BK267" s="25"/>
      <c r="BL267" s="25"/>
      <c r="BM267" s="84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92"/>
      <c r="DG267" s="92"/>
      <c r="DH267" s="203"/>
      <c r="DI267" s="203"/>
      <c r="DJ267" s="203"/>
      <c r="DK267" s="203"/>
      <c r="DL267" s="203"/>
      <c r="DM267" s="203"/>
      <c r="DN267" s="203"/>
      <c r="DO267" s="203"/>
      <c r="DP267" s="208"/>
      <c r="DQ267" s="208"/>
      <c r="DR267" s="208"/>
      <c r="DS267" s="208"/>
      <c r="DT267" s="208"/>
      <c r="DU267" s="208"/>
      <c r="DV267" s="208"/>
      <c r="DW267" s="208"/>
      <c r="DX267" s="208"/>
      <c r="DY267" s="208"/>
      <c r="DZ267" s="208"/>
      <c r="EA267" s="208"/>
      <c r="EB267" s="208"/>
      <c r="EC267" s="208"/>
      <c r="ED267" s="208"/>
      <c r="EE267" s="208"/>
      <c r="EF267" s="208"/>
      <c r="EG267" s="208"/>
      <c r="EH267" s="208"/>
      <c r="EI267" s="208"/>
      <c r="EJ267" s="208"/>
      <c r="EK267" s="208"/>
      <c r="EL267" s="208"/>
      <c r="EM267" s="208"/>
      <c r="EN267" s="208"/>
      <c r="EO267" s="208"/>
      <c r="EP267" s="208"/>
      <c r="EQ267" s="208"/>
      <c r="ER267" s="208"/>
      <c r="ES267" s="208"/>
      <c r="ET267" s="208"/>
      <c r="EU267" s="208"/>
      <c r="EV267" s="208"/>
      <c r="EW267" s="208"/>
      <c r="EX267" s="208"/>
      <c r="EY267" s="208"/>
      <c r="EZ267" s="208">
        <v>0</v>
      </c>
      <c r="FA267" s="208">
        <v>0</v>
      </c>
      <c r="FB267" s="208">
        <v>0</v>
      </c>
      <c r="FC267" s="208"/>
      <c r="FD267" s="82"/>
      <c r="FE267" s="30"/>
    </row>
    <row r="268" spans="1:161" ht="15" hidden="1">
      <c r="A268" s="25" t="s">
        <v>246</v>
      </c>
      <c r="B268" s="212" t="s">
        <v>133</v>
      </c>
      <c r="C268" s="138"/>
      <c r="D268" s="221"/>
      <c r="E268" s="239">
        <v>770</v>
      </c>
      <c r="F268" s="95"/>
      <c r="G268" s="95"/>
      <c r="H268" s="147" t="s">
        <v>656</v>
      </c>
      <c r="I268" s="147"/>
      <c r="J268" s="135"/>
      <c r="K268" s="135"/>
      <c r="L268" s="139"/>
      <c r="M268" s="134"/>
      <c r="N268" s="134"/>
      <c r="O268" s="134"/>
      <c r="P268" s="134"/>
      <c r="Q268" s="134"/>
      <c r="R268" s="134"/>
      <c r="S268" s="139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3"/>
      <c r="BE268" s="83"/>
      <c r="BF268" s="83"/>
      <c r="BG268" s="82"/>
      <c r="BH268" s="81"/>
      <c r="BI268" s="80"/>
      <c r="BJ268" s="25"/>
      <c r="BK268" s="25"/>
      <c r="BL268" s="25"/>
      <c r="BM268" s="84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92"/>
      <c r="DG268" s="92"/>
      <c r="DH268" s="203"/>
      <c r="DI268" s="203"/>
      <c r="DJ268" s="203"/>
      <c r="DK268" s="203"/>
      <c r="DL268" s="203"/>
      <c r="DM268" s="203"/>
      <c r="DN268" s="203"/>
      <c r="DO268" s="203"/>
      <c r="DP268" s="208"/>
      <c r="DQ268" s="208"/>
      <c r="DR268" s="208"/>
      <c r="DS268" s="208"/>
      <c r="DT268" s="208"/>
      <c r="DU268" s="208"/>
      <c r="DV268" s="208"/>
      <c r="DW268" s="208"/>
      <c r="DX268" s="208"/>
      <c r="DY268" s="208"/>
      <c r="DZ268" s="208"/>
      <c r="EA268" s="208"/>
      <c r="EB268" s="208"/>
      <c r="EC268" s="208"/>
      <c r="ED268" s="208"/>
      <c r="EE268" s="208"/>
      <c r="EF268" s="208"/>
      <c r="EG268" s="208"/>
      <c r="EH268" s="208"/>
      <c r="EI268" s="208"/>
      <c r="EJ268" s="208"/>
      <c r="EK268" s="208"/>
      <c r="EL268" s="208"/>
      <c r="EM268" s="208"/>
      <c r="EN268" s="208"/>
      <c r="EO268" s="208"/>
      <c r="EP268" s="208"/>
      <c r="EQ268" s="208"/>
      <c r="ER268" s="208"/>
      <c r="ES268" s="208"/>
      <c r="ET268" s="208"/>
      <c r="EU268" s="208"/>
      <c r="EV268" s="208"/>
      <c r="EW268" s="208"/>
      <c r="EX268" s="208"/>
      <c r="EY268" s="208"/>
      <c r="EZ268" s="208">
        <v>0</v>
      </c>
      <c r="FA268" s="208">
        <v>0</v>
      </c>
      <c r="FB268" s="208">
        <v>0</v>
      </c>
      <c r="FC268" s="208"/>
      <c r="FD268" s="82"/>
      <c r="FE268" s="30"/>
    </row>
    <row r="269" spans="1:161" ht="15" hidden="1">
      <c r="A269" s="25" t="s">
        <v>128</v>
      </c>
      <c r="B269" s="212" t="s">
        <v>125</v>
      </c>
      <c r="C269" s="138"/>
      <c r="D269" s="221"/>
      <c r="E269" s="239">
        <v>770</v>
      </c>
      <c r="F269" s="95"/>
      <c r="G269" s="95"/>
      <c r="H269" s="147" t="s">
        <v>656</v>
      </c>
      <c r="I269" s="147"/>
      <c r="J269" s="135"/>
      <c r="K269" s="135"/>
      <c r="L269" s="139"/>
      <c r="M269" s="134"/>
      <c r="N269" s="134"/>
      <c r="O269" s="134"/>
      <c r="P269" s="134"/>
      <c r="Q269" s="134"/>
      <c r="R269" s="134"/>
      <c r="S269" s="139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3"/>
      <c r="BE269" s="83"/>
      <c r="BF269" s="83"/>
      <c r="BG269" s="82"/>
      <c r="BH269" s="81"/>
      <c r="BI269" s="80"/>
      <c r="BJ269" s="25"/>
      <c r="BK269" s="25"/>
      <c r="BL269" s="25"/>
      <c r="BM269" s="84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92"/>
      <c r="DG269" s="92"/>
      <c r="DH269" s="203"/>
      <c r="DI269" s="203"/>
      <c r="DJ269" s="203"/>
      <c r="DK269" s="203"/>
      <c r="DL269" s="203"/>
      <c r="DM269" s="203"/>
      <c r="DN269" s="203"/>
      <c r="DO269" s="203"/>
      <c r="DP269" s="208"/>
      <c r="DQ269" s="208"/>
      <c r="DR269" s="208"/>
      <c r="DS269" s="208"/>
      <c r="DT269" s="208"/>
      <c r="DU269" s="208"/>
      <c r="DV269" s="208"/>
      <c r="DW269" s="208"/>
      <c r="DX269" s="208"/>
      <c r="DY269" s="208"/>
      <c r="DZ269" s="208"/>
      <c r="EA269" s="208"/>
      <c r="EB269" s="208"/>
      <c r="EC269" s="208"/>
      <c r="ED269" s="208"/>
      <c r="EE269" s="208"/>
      <c r="EF269" s="208"/>
      <c r="EG269" s="208"/>
      <c r="EH269" s="208"/>
      <c r="EI269" s="208"/>
      <c r="EJ269" s="208"/>
      <c r="EK269" s="208"/>
      <c r="EL269" s="208"/>
      <c r="EM269" s="208"/>
      <c r="EN269" s="208"/>
      <c r="EO269" s="208"/>
      <c r="EP269" s="208"/>
      <c r="EQ269" s="208"/>
      <c r="ER269" s="208"/>
      <c r="ES269" s="208"/>
      <c r="ET269" s="208"/>
      <c r="EU269" s="208"/>
      <c r="EV269" s="208"/>
      <c r="EW269" s="208"/>
      <c r="EX269" s="208"/>
      <c r="EY269" s="208"/>
      <c r="EZ269" s="208">
        <v>0</v>
      </c>
      <c r="FA269" s="208">
        <v>0</v>
      </c>
      <c r="FB269" s="208">
        <v>0</v>
      </c>
      <c r="FC269" s="208"/>
      <c r="FD269" s="82"/>
      <c r="FE269" s="30"/>
    </row>
    <row r="270" spans="1:161" ht="15" hidden="1">
      <c r="A270" s="25" t="s">
        <v>249</v>
      </c>
      <c r="B270" s="212" t="s">
        <v>133</v>
      </c>
      <c r="C270" s="138"/>
      <c r="D270" s="221"/>
      <c r="E270" s="239">
        <v>770</v>
      </c>
      <c r="F270" s="95"/>
      <c r="G270" s="95"/>
      <c r="H270" s="147" t="s">
        <v>656</v>
      </c>
      <c r="I270" s="147"/>
      <c r="J270" s="135"/>
      <c r="K270" s="135"/>
      <c r="L270" s="139"/>
      <c r="M270" s="134"/>
      <c r="N270" s="134"/>
      <c r="O270" s="134"/>
      <c r="P270" s="134"/>
      <c r="Q270" s="134"/>
      <c r="R270" s="134"/>
      <c r="S270" s="139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3"/>
      <c r="BE270" s="83"/>
      <c r="BF270" s="83"/>
      <c r="BG270" s="82"/>
      <c r="BH270" s="81"/>
      <c r="BI270" s="80"/>
      <c r="BJ270" s="25"/>
      <c r="BK270" s="25"/>
      <c r="BL270" s="25"/>
      <c r="BM270" s="84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92"/>
      <c r="DG270" s="92"/>
      <c r="DH270" s="203"/>
      <c r="DI270" s="203"/>
      <c r="DJ270" s="203"/>
      <c r="DK270" s="203"/>
      <c r="DL270" s="203"/>
      <c r="DM270" s="203"/>
      <c r="DN270" s="203"/>
      <c r="DO270" s="203"/>
      <c r="DP270" s="208"/>
      <c r="DQ270" s="208"/>
      <c r="DR270" s="208"/>
      <c r="DS270" s="208"/>
      <c r="DT270" s="208"/>
      <c r="DU270" s="208"/>
      <c r="DV270" s="208"/>
      <c r="DW270" s="208"/>
      <c r="DX270" s="208"/>
      <c r="DY270" s="208"/>
      <c r="DZ270" s="208"/>
      <c r="EA270" s="208"/>
      <c r="EB270" s="208"/>
      <c r="EC270" s="208"/>
      <c r="ED270" s="208"/>
      <c r="EE270" s="208"/>
      <c r="EF270" s="208"/>
      <c r="EG270" s="208"/>
      <c r="EH270" s="208"/>
      <c r="EI270" s="208"/>
      <c r="EJ270" s="208"/>
      <c r="EK270" s="208"/>
      <c r="EL270" s="208"/>
      <c r="EM270" s="208"/>
      <c r="EN270" s="208"/>
      <c r="EO270" s="208"/>
      <c r="EP270" s="208"/>
      <c r="EQ270" s="208"/>
      <c r="ER270" s="208"/>
      <c r="ES270" s="208"/>
      <c r="ET270" s="208"/>
      <c r="EU270" s="208"/>
      <c r="EV270" s="208"/>
      <c r="EW270" s="208"/>
      <c r="EX270" s="208"/>
      <c r="EY270" s="208"/>
      <c r="EZ270" s="208">
        <v>0</v>
      </c>
      <c r="FA270" s="208">
        <v>0</v>
      </c>
      <c r="FB270" s="208">
        <v>0</v>
      </c>
      <c r="FC270" s="208"/>
      <c r="FD270" s="82"/>
      <c r="FE270" s="30"/>
    </row>
    <row r="271" spans="1:161" ht="15" hidden="1">
      <c r="A271" s="25" t="s">
        <v>250</v>
      </c>
      <c r="B271" s="212" t="s">
        <v>133</v>
      </c>
      <c r="C271" s="138"/>
      <c r="D271" s="221"/>
      <c r="E271" s="239">
        <v>770</v>
      </c>
      <c r="F271" s="95"/>
      <c r="G271" s="95"/>
      <c r="H271" s="147" t="s">
        <v>656</v>
      </c>
      <c r="I271" s="147"/>
      <c r="J271" s="135"/>
      <c r="K271" s="135"/>
      <c r="L271" s="139"/>
      <c r="M271" s="134"/>
      <c r="N271" s="134"/>
      <c r="O271" s="134"/>
      <c r="P271" s="134"/>
      <c r="Q271" s="134"/>
      <c r="R271" s="134"/>
      <c r="S271" s="139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3"/>
      <c r="BE271" s="83"/>
      <c r="BF271" s="83"/>
      <c r="BG271" s="82"/>
      <c r="BH271" s="81"/>
      <c r="BI271" s="80"/>
      <c r="BJ271" s="25"/>
      <c r="BK271" s="25"/>
      <c r="BL271" s="25"/>
      <c r="BM271" s="84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92"/>
      <c r="DG271" s="92"/>
      <c r="DH271" s="203"/>
      <c r="DI271" s="203"/>
      <c r="DJ271" s="203"/>
      <c r="DK271" s="203"/>
      <c r="DL271" s="203"/>
      <c r="DM271" s="203"/>
      <c r="DN271" s="203"/>
      <c r="DO271" s="203"/>
      <c r="DP271" s="208"/>
      <c r="DQ271" s="208"/>
      <c r="DR271" s="208"/>
      <c r="DS271" s="208"/>
      <c r="DT271" s="208"/>
      <c r="DU271" s="208"/>
      <c r="DV271" s="208"/>
      <c r="DW271" s="208"/>
      <c r="DX271" s="208"/>
      <c r="DY271" s="208"/>
      <c r="DZ271" s="208"/>
      <c r="EA271" s="208"/>
      <c r="EB271" s="208"/>
      <c r="EC271" s="208"/>
      <c r="ED271" s="208"/>
      <c r="EE271" s="208"/>
      <c r="EF271" s="208"/>
      <c r="EG271" s="208"/>
      <c r="EH271" s="208"/>
      <c r="EI271" s="208"/>
      <c r="EJ271" s="208"/>
      <c r="EK271" s="208"/>
      <c r="EL271" s="208"/>
      <c r="EM271" s="208"/>
      <c r="EN271" s="208"/>
      <c r="EO271" s="208"/>
      <c r="EP271" s="208"/>
      <c r="EQ271" s="208"/>
      <c r="ER271" s="208"/>
      <c r="ES271" s="208"/>
      <c r="ET271" s="208"/>
      <c r="EU271" s="208"/>
      <c r="EV271" s="208"/>
      <c r="EW271" s="208"/>
      <c r="EX271" s="208"/>
      <c r="EY271" s="208"/>
      <c r="EZ271" s="208">
        <v>0</v>
      </c>
      <c r="FA271" s="208">
        <v>0</v>
      </c>
      <c r="FB271" s="208">
        <v>0</v>
      </c>
      <c r="FC271" s="208"/>
      <c r="FD271" s="82"/>
      <c r="FE271" s="30"/>
    </row>
    <row r="272" spans="1:161" ht="15" hidden="1">
      <c r="A272" s="25" t="s">
        <v>251</v>
      </c>
      <c r="B272" s="212" t="s">
        <v>133</v>
      </c>
      <c r="C272" s="138"/>
      <c r="D272" s="221"/>
      <c r="E272" s="239">
        <v>770</v>
      </c>
      <c r="F272" s="95"/>
      <c r="G272" s="95"/>
      <c r="H272" s="147" t="s">
        <v>656</v>
      </c>
      <c r="I272" s="147"/>
      <c r="J272" s="135"/>
      <c r="K272" s="135"/>
      <c r="L272" s="139"/>
      <c r="M272" s="134"/>
      <c r="N272" s="134"/>
      <c r="O272" s="134"/>
      <c r="P272" s="134"/>
      <c r="Q272" s="134"/>
      <c r="R272" s="134"/>
      <c r="S272" s="139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3"/>
      <c r="BE272" s="83"/>
      <c r="BF272" s="83"/>
      <c r="BG272" s="82"/>
      <c r="BH272" s="81"/>
      <c r="BI272" s="80"/>
      <c r="BJ272" s="25"/>
      <c r="BK272" s="25"/>
      <c r="BL272" s="25"/>
      <c r="BM272" s="84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92"/>
      <c r="DG272" s="92"/>
      <c r="DH272" s="203"/>
      <c r="DI272" s="203"/>
      <c r="DJ272" s="203"/>
      <c r="DK272" s="203"/>
      <c r="DL272" s="203"/>
      <c r="DM272" s="203"/>
      <c r="DN272" s="203"/>
      <c r="DO272" s="203"/>
      <c r="DP272" s="208"/>
      <c r="DQ272" s="208"/>
      <c r="DR272" s="208"/>
      <c r="DS272" s="208"/>
      <c r="DT272" s="208"/>
      <c r="DU272" s="208"/>
      <c r="DV272" s="208"/>
      <c r="DW272" s="208"/>
      <c r="DX272" s="208"/>
      <c r="DY272" s="208"/>
      <c r="DZ272" s="208"/>
      <c r="EA272" s="208"/>
      <c r="EB272" s="208"/>
      <c r="EC272" s="208"/>
      <c r="ED272" s="208"/>
      <c r="EE272" s="208"/>
      <c r="EF272" s="208"/>
      <c r="EG272" s="208"/>
      <c r="EH272" s="208"/>
      <c r="EI272" s="208"/>
      <c r="EJ272" s="208"/>
      <c r="EK272" s="208"/>
      <c r="EL272" s="208"/>
      <c r="EM272" s="208"/>
      <c r="EN272" s="208"/>
      <c r="EO272" s="208"/>
      <c r="EP272" s="208"/>
      <c r="EQ272" s="208"/>
      <c r="ER272" s="208"/>
      <c r="ES272" s="208"/>
      <c r="ET272" s="208"/>
      <c r="EU272" s="208"/>
      <c r="EV272" s="208"/>
      <c r="EW272" s="208"/>
      <c r="EX272" s="208"/>
      <c r="EY272" s="208"/>
      <c r="EZ272" s="208">
        <v>0</v>
      </c>
      <c r="FA272" s="208">
        <v>0</v>
      </c>
      <c r="FB272" s="208">
        <v>0</v>
      </c>
      <c r="FC272" s="208"/>
      <c r="FD272" s="82"/>
      <c r="FE272" s="30"/>
    </row>
    <row r="273" spans="1:161" ht="15" hidden="1">
      <c r="A273" s="25" t="s">
        <v>252</v>
      </c>
      <c r="B273" s="212" t="s">
        <v>133</v>
      </c>
      <c r="C273" s="138"/>
      <c r="D273" s="221"/>
      <c r="E273" s="239">
        <v>770</v>
      </c>
      <c r="F273" s="95"/>
      <c r="G273" s="95"/>
      <c r="H273" s="147" t="s">
        <v>656</v>
      </c>
      <c r="I273" s="147"/>
      <c r="J273" s="135"/>
      <c r="K273" s="135"/>
      <c r="L273" s="139"/>
      <c r="M273" s="134"/>
      <c r="N273" s="134"/>
      <c r="O273" s="134"/>
      <c r="P273" s="134"/>
      <c r="Q273" s="134"/>
      <c r="R273" s="134"/>
      <c r="S273" s="139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3"/>
      <c r="BE273" s="83"/>
      <c r="BF273" s="83"/>
      <c r="BG273" s="82"/>
      <c r="BH273" s="81"/>
      <c r="BI273" s="80"/>
      <c r="BJ273" s="25"/>
      <c r="BK273" s="25"/>
      <c r="BL273" s="25"/>
      <c r="BM273" s="84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92"/>
      <c r="DG273" s="92"/>
      <c r="DH273" s="203"/>
      <c r="DI273" s="203"/>
      <c r="DJ273" s="203"/>
      <c r="DK273" s="203"/>
      <c r="DL273" s="203"/>
      <c r="DM273" s="203"/>
      <c r="DN273" s="203"/>
      <c r="DO273" s="203"/>
      <c r="DP273" s="208"/>
      <c r="DQ273" s="208"/>
      <c r="DR273" s="208"/>
      <c r="DS273" s="208"/>
      <c r="DT273" s="208"/>
      <c r="DU273" s="208"/>
      <c r="DV273" s="208"/>
      <c r="DW273" s="208"/>
      <c r="DX273" s="208"/>
      <c r="DY273" s="208"/>
      <c r="DZ273" s="208"/>
      <c r="EA273" s="208"/>
      <c r="EB273" s="208"/>
      <c r="EC273" s="208"/>
      <c r="ED273" s="208"/>
      <c r="EE273" s="208"/>
      <c r="EF273" s="208"/>
      <c r="EG273" s="208"/>
      <c r="EH273" s="208"/>
      <c r="EI273" s="208"/>
      <c r="EJ273" s="208"/>
      <c r="EK273" s="208"/>
      <c r="EL273" s="208"/>
      <c r="EM273" s="208"/>
      <c r="EN273" s="208"/>
      <c r="EO273" s="208"/>
      <c r="EP273" s="208"/>
      <c r="EQ273" s="208"/>
      <c r="ER273" s="208"/>
      <c r="ES273" s="208"/>
      <c r="ET273" s="208"/>
      <c r="EU273" s="208"/>
      <c r="EV273" s="208"/>
      <c r="EW273" s="208"/>
      <c r="EX273" s="208"/>
      <c r="EY273" s="208"/>
      <c r="EZ273" s="208">
        <v>0</v>
      </c>
      <c r="FA273" s="208">
        <v>0</v>
      </c>
      <c r="FB273" s="208">
        <v>0</v>
      </c>
      <c r="FC273" s="208"/>
      <c r="FD273" s="82"/>
      <c r="FE273" s="30"/>
    </row>
    <row r="274" spans="1:161" ht="15" hidden="1">
      <c r="A274" s="25" t="s">
        <v>253</v>
      </c>
      <c r="B274" s="212" t="s">
        <v>133</v>
      </c>
      <c r="C274" s="138"/>
      <c r="D274" s="221"/>
      <c r="E274" s="239">
        <v>770</v>
      </c>
      <c r="F274" s="95"/>
      <c r="G274" s="95"/>
      <c r="H274" s="147" t="s">
        <v>656</v>
      </c>
      <c r="I274" s="147"/>
      <c r="J274" s="135"/>
      <c r="K274" s="135"/>
      <c r="L274" s="139"/>
      <c r="M274" s="134"/>
      <c r="N274" s="134"/>
      <c r="O274" s="134"/>
      <c r="P274" s="134"/>
      <c r="Q274" s="134"/>
      <c r="R274" s="134"/>
      <c r="S274" s="139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3"/>
      <c r="BE274" s="83"/>
      <c r="BF274" s="83"/>
      <c r="BG274" s="82"/>
      <c r="BH274" s="81"/>
      <c r="BI274" s="80"/>
      <c r="BJ274" s="25"/>
      <c r="BK274" s="25"/>
      <c r="BL274" s="25"/>
      <c r="BM274" s="84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92"/>
      <c r="DG274" s="92"/>
      <c r="DH274" s="203"/>
      <c r="DI274" s="203"/>
      <c r="DJ274" s="203"/>
      <c r="DK274" s="203"/>
      <c r="DL274" s="203"/>
      <c r="DM274" s="203"/>
      <c r="DN274" s="203"/>
      <c r="DO274" s="203"/>
      <c r="DP274" s="208"/>
      <c r="DQ274" s="208"/>
      <c r="DR274" s="208"/>
      <c r="DS274" s="208"/>
      <c r="DT274" s="208"/>
      <c r="DU274" s="208"/>
      <c r="DV274" s="208"/>
      <c r="DW274" s="208"/>
      <c r="DX274" s="208"/>
      <c r="DY274" s="208"/>
      <c r="DZ274" s="208"/>
      <c r="EA274" s="208"/>
      <c r="EB274" s="208"/>
      <c r="EC274" s="208"/>
      <c r="ED274" s="208"/>
      <c r="EE274" s="208"/>
      <c r="EF274" s="208"/>
      <c r="EG274" s="208"/>
      <c r="EH274" s="208"/>
      <c r="EI274" s="208"/>
      <c r="EJ274" s="208"/>
      <c r="EK274" s="208"/>
      <c r="EL274" s="208"/>
      <c r="EM274" s="208"/>
      <c r="EN274" s="208"/>
      <c r="EO274" s="208"/>
      <c r="EP274" s="208"/>
      <c r="EQ274" s="208"/>
      <c r="ER274" s="208"/>
      <c r="ES274" s="208"/>
      <c r="ET274" s="208"/>
      <c r="EU274" s="208"/>
      <c r="EV274" s="208"/>
      <c r="EW274" s="208"/>
      <c r="EX274" s="208"/>
      <c r="EY274" s="208"/>
      <c r="EZ274" s="208">
        <v>0</v>
      </c>
      <c r="FA274" s="208">
        <v>0</v>
      </c>
      <c r="FB274" s="208">
        <v>0</v>
      </c>
      <c r="FC274" s="208"/>
      <c r="FD274" s="82"/>
      <c r="FE274" s="30"/>
    </row>
    <row r="275" spans="1:161" ht="15" hidden="1">
      <c r="A275" s="25" t="s">
        <v>255</v>
      </c>
      <c r="B275" s="212" t="s">
        <v>133</v>
      </c>
      <c r="C275" s="138"/>
      <c r="D275" s="221"/>
      <c r="E275" s="239">
        <v>770</v>
      </c>
      <c r="F275" s="95"/>
      <c r="G275" s="95"/>
      <c r="H275" s="147" t="s">
        <v>656</v>
      </c>
      <c r="I275" s="147"/>
      <c r="J275" s="135"/>
      <c r="K275" s="135"/>
      <c r="L275" s="139"/>
      <c r="M275" s="134"/>
      <c r="N275" s="134"/>
      <c r="O275" s="134"/>
      <c r="P275" s="134"/>
      <c r="Q275" s="134"/>
      <c r="R275" s="134"/>
      <c r="S275" s="139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3"/>
      <c r="BE275" s="83"/>
      <c r="BF275" s="83"/>
      <c r="BG275" s="82"/>
      <c r="BH275" s="81"/>
      <c r="BI275" s="80"/>
      <c r="BJ275" s="25"/>
      <c r="BK275" s="25"/>
      <c r="BL275" s="25"/>
      <c r="BM275" s="84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92"/>
      <c r="DG275" s="92"/>
      <c r="DH275" s="203"/>
      <c r="DI275" s="203"/>
      <c r="DJ275" s="203"/>
      <c r="DK275" s="203"/>
      <c r="DL275" s="203"/>
      <c r="DM275" s="203"/>
      <c r="DN275" s="203"/>
      <c r="DO275" s="203"/>
      <c r="DP275" s="208"/>
      <c r="DQ275" s="208"/>
      <c r="DR275" s="208"/>
      <c r="DS275" s="208"/>
      <c r="DT275" s="208"/>
      <c r="DU275" s="208"/>
      <c r="DV275" s="208"/>
      <c r="DW275" s="208"/>
      <c r="DX275" s="208"/>
      <c r="DY275" s="208"/>
      <c r="DZ275" s="208"/>
      <c r="EA275" s="208"/>
      <c r="EB275" s="208"/>
      <c r="EC275" s="208"/>
      <c r="ED275" s="208"/>
      <c r="EE275" s="208"/>
      <c r="EF275" s="208"/>
      <c r="EG275" s="208"/>
      <c r="EH275" s="208"/>
      <c r="EI275" s="208"/>
      <c r="EJ275" s="208"/>
      <c r="EK275" s="208"/>
      <c r="EL275" s="208"/>
      <c r="EM275" s="208"/>
      <c r="EN275" s="208"/>
      <c r="EO275" s="208"/>
      <c r="EP275" s="208"/>
      <c r="EQ275" s="208"/>
      <c r="ER275" s="208"/>
      <c r="ES275" s="208"/>
      <c r="ET275" s="208"/>
      <c r="EU275" s="208"/>
      <c r="EV275" s="208"/>
      <c r="EW275" s="208"/>
      <c r="EX275" s="208"/>
      <c r="EY275" s="208"/>
      <c r="EZ275" s="208">
        <v>0</v>
      </c>
      <c r="FA275" s="208">
        <v>0</v>
      </c>
      <c r="FB275" s="208">
        <v>0</v>
      </c>
      <c r="FC275" s="208"/>
      <c r="FD275" s="82"/>
      <c r="FE275" s="30"/>
    </row>
    <row r="276" spans="1:161" ht="15" hidden="1">
      <c r="A276" s="25" t="s">
        <v>257</v>
      </c>
      <c r="B276" s="212" t="s">
        <v>133</v>
      </c>
      <c r="C276" s="138"/>
      <c r="D276" s="221"/>
      <c r="E276" s="239">
        <v>770</v>
      </c>
      <c r="F276" s="95"/>
      <c r="G276" s="95"/>
      <c r="H276" s="147" t="s">
        <v>656</v>
      </c>
      <c r="I276" s="147"/>
      <c r="J276" s="135"/>
      <c r="K276" s="135"/>
      <c r="L276" s="139"/>
      <c r="M276" s="134"/>
      <c r="N276" s="134"/>
      <c r="O276" s="134"/>
      <c r="P276" s="134"/>
      <c r="Q276" s="134"/>
      <c r="R276" s="134"/>
      <c r="S276" s="139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3"/>
      <c r="BE276" s="83"/>
      <c r="BF276" s="83"/>
      <c r="BG276" s="82"/>
      <c r="BH276" s="81"/>
      <c r="BI276" s="80"/>
      <c r="BJ276" s="25"/>
      <c r="BK276" s="25"/>
      <c r="BL276" s="25"/>
      <c r="BM276" s="84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92"/>
      <c r="DG276" s="92"/>
      <c r="DH276" s="203"/>
      <c r="DI276" s="203"/>
      <c r="DJ276" s="203"/>
      <c r="DK276" s="203"/>
      <c r="DL276" s="203"/>
      <c r="DM276" s="203"/>
      <c r="DN276" s="203"/>
      <c r="DO276" s="203"/>
      <c r="DP276" s="208"/>
      <c r="DQ276" s="208"/>
      <c r="DR276" s="208"/>
      <c r="DS276" s="208"/>
      <c r="DT276" s="208"/>
      <c r="DU276" s="208"/>
      <c r="DV276" s="208"/>
      <c r="DW276" s="208"/>
      <c r="DX276" s="208"/>
      <c r="DY276" s="208"/>
      <c r="DZ276" s="208"/>
      <c r="EA276" s="208"/>
      <c r="EB276" s="208"/>
      <c r="EC276" s="208"/>
      <c r="ED276" s="208"/>
      <c r="EE276" s="208"/>
      <c r="EF276" s="208"/>
      <c r="EG276" s="208"/>
      <c r="EH276" s="208"/>
      <c r="EI276" s="208"/>
      <c r="EJ276" s="208"/>
      <c r="EK276" s="208"/>
      <c r="EL276" s="208"/>
      <c r="EM276" s="208"/>
      <c r="EN276" s="208"/>
      <c r="EO276" s="208"/>
      <c r="EP276" s="208"/>
      <c r="EQ276" s="208"/>
      <c r="ER276" s="208"/>
      <c r="ES276" s="208"/>
      <c r="ET276" s="208"/>
      <c r="EU276" s="208"/>
      <c r="EV276" s="208"/>
      <c r="EW276" s="208"/>
      <c r="EX276" s="208"/>
      <c r="EY276" s="208"/>
      <c r="EZ276" s="208">
        <v>0</v>
      </c>
      <c r="FA276" s="208">
        <v>0</v>
      </c>
      <c r="FB276" s="208">
        <v>0</v>
      </c>
      <c r="FC276" s="208"/>
      <c r="FD276" s="82"/>
      <c r="FE276" s="30"/>
    </row>
    <row r="277" spans="1:161" ht="15" hidden="1">
      <c r="A277" s="25" t="s">
        <v>270</v>
      </c>
      <c r="B277" s="212" t="s">
        <v>133</v>
      </c>
      <c r="C277" s="138"/>
      <c r="D277" s="221"/>
      <c r="E277" s="239">
        <v>970</v>
      </c>
      <c r="F277" s="95"/>
      <c r="G277" s="95"/>
      <c r="H277" s="147" t="s">
        <v>656</v>
      </c>
      <c r="I277" s="147"/>
      <c r="J277" s="135"/>
      <c r="K277" s="135"/>
      <c r="L277" s="139"/>
      <c r="M277" s="134"/>
      <c r="N277" s="134"/>
      <c r="O277" s="134"/>
      <c r="P277" s="134"/>
      <c r="Q277" s="134"/>
      <c r="R277" s="134"/>
      <c r="S277" s="139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3"/>
      <c r="BE277" s="83"/>
      <c r="BF277" s="83"/>
      <c r="BG277" s="82"/>
      <c r="BH277" s="81"/>
      <c r="BI277" s="80"/>
      <c r="BJ277" s="25"/>
      <c r="BK277" s="25"/>
      <c r="BL277" s="25"/>
      <c r="BM277" s="84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92"/>
      <c r="DG277" s="92"/>
      <c r="DH277" s="203"/>
      <c r="DI277" s="203"/>
      <c r="DJ277" s="203"/>
      <c r="DK277" s="203"/>
      <c r="DL277" s="203"/>
      <c r="DM277" s="203"/>
      <c r="DN277" s="203"/>
      <c r="DO277" s="203"/>
      <c r="DP277" s="208"/>
      <c r="DQ277" s="208"/>
      <c r="DR277" s="208"/>
      <c r="DS277" s="208"/>
      <c r="DT277" s="208"/>
      <c r="DU277" s="208"/>
      <c r="DV277" s="208"/>
      <c r="DW277" s="208"/>
      <c r="DX277" s="208"/>
      <c r="DY277" s="208"/>
      <c r="DZ277" s="208"/>
      <c r="EA277" s="208"/>
      <c r="EB277" s="208"/>
      <c r="EC277" s="208"/>
      <c r="ED277" s="208"/>
      <c r="EE277" s="208"/>
      <c r="EF277" s="208"/>
      <c r="EG277" s="208"/>
      <c r="EH277" s="208"/>
      <c r="EI277" s="208"/>
      <c r="EJ277" s="208"/>
      <c r="EK277" s="208"/>
      <c r="EL277" s="208"/>
      <c r="EM277" s="208"/>
      <c r="EN277" s="208"/>
      <c r="EO277" s="208"/>
      <c r="EP277" s="208"/>
      <c r="EQ277" s="208"/>
      <c r="ER277" s="208"/>
      <c r="ES277" s="208"/>
      <c r="ET277" s="208"/>
      <c r="EU277" s="208"/>
      <c r="EV277" s="208"/>
      <c r="EW277" s="208"/>
      <c r="EX277" s="208"/>
      <c r="EY277" s="208"/>
      <c r="EZ277" s="208">
        <v>0</v>
      </c>
      <c r="FA277" s="208">
        <v>0</v>
      </c>
      <c r="FB277" s="208">
        <v>0</v>
      </c>
      <c r="FC277" s="208"/>
      <c r="FD277" s="82"/>
      <c r="FE277" s="30"/>
    </row>
    <row r="278" spans="1:161" ht="15" hidden="1">
      <c r="A278" s="25" t="s">
        <v>271</v>
      </c>
      <c r="B278" s="212" t="s">
        <v>133</v>
      </c>
      <c r="C278" s="138"/>
      <c r="D278" s="221"/>
      <c r="E278" s="239">
        <v>970</v>
      </c>
      <c r="F278" s="95"/>
      <c r="G278" s="95"/>
      <c r="H278" s="147" t="s">
        <v>656</v>
      </c>
      <c r="I278" s="147"/>
      <c r="J278" s="135"/>
      <c r="K278" s="135"/>
      <c r="L278" s="139"/>
      <c r="M278" s="134"/>
      <c r="N278" s="134"/>
      <c r="O278" s="134"/>
      <c r="P278" s="134"/>
      <c r="Q278" s="134"/>
      <c r="R278" s="134"/>
      <c r="S278" s="139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3"/>
      <c r="BE278" s="83"/>
      <c r="BF278" s="83"/>
      <c r="BG278" s="82"/>
      <c r="BH278" s="81"/>
      <c r="BI278" s="80"/>
      <c r="BJ278" s="25"/>
      <c r="BK278" s="25"/>
      <c r="BL278" s="25"/>
      <c r="BM278" s="84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92"/>
      <c r="DG278" s="92"/>
      <c r="DH278" s="203"/>
      <c r="DI278" s="203"/>
      <c r="DJ278" s="203"/>
      <c r="DK278" s="203"/>
      <c r="DL278" s="203"/>
      <c r="DM278" s="203"/>
      <c r="DN278" s="203"/>
      <c r="DO278" s="203"/>
      <c r="DP278" s="208"/>
      <c r="DQ278" s="208"/>
      <c r="DR278" s="208"/>
      <c r="DS278" s="208"/>
      <c r="DT278" s="208"/>
      <c r="DU278" s="208"/>
      <c r="DV278" s="208"/>
      <c r="DW278" s="208"/>
      <c r="DX278" s="208"/>
      <c r="DY278" s="208"/>
      <c r="DZ278" s="208"/>
      <c r="EA278" s="208"/>
      <c r="EB278" s="208"/>
      <c r="EC278" s="208"/>
      <c r="ED278" s="208"/>
      <c r="EE278" s="208"/>
      <c r="EF278" s="208"/>
      <c r="EG278" s="208"/>
      <c r="EH278" s="208"/>
      <c r="EI278" s="208"/>
      <c r="EJ278" s="208"/>
      <c r="EK278" s="208"/>
      <c r="EL278" s="208"/>
      <c r="EM278" s="208"/>
      <c r="EN278" s="208"/>
      <c r="EO278" s="208"/>
      <c r="EP278" s="208"/>
      <c r="EQ278" s="208"/>
      <c r="ER278" s="208"/>
      <c r="ES278" s="208"/>
      <c r="ET278" s="208"/>
      <c r="EU278" s="208"/>
      <c r="EV278" s="208"/>
      <c r="EW278" s="208"/>
      <c r="EX278" s="208"/>
      <c r="EY278" s="208"/>
      <c r="EZ278" s="208">
        <v>0</v>
      </c>
      <c r="FA278" s="208">
        <v>0</v>
      </c>
      <c r="FB278" s="208">
        <v>0</v>
      </c>
      <c r="FC278" s="208"/>
      <c r="FD278" s="82"/>
      <c r="FE278" s="30"/>
    </row>
    <row r="279" spans="1:161" ht="15" hidden="1">
      <c r="A279" s="25" t="s">
        <v>259</v>
      </c>
      <c r="B279" s="212" t="s">
        <v>133</v>
      </c>
      <c r="C279" s="138"/>
      <c r="D279" s="221"/>
      <c r="E279" s="239">
        <v>770</v>
      </c>
      <c r="F279" s="95"/>
      <c r="G279" s="95"/>
      <c r="H279" s="147" t="s">
        <v>656</v>
      </c>
      <c r="I279" s="147"/>
      <c r="J279" s="135"/>
      <c r="K279" s="135"/>
      <c r="L279" s="139"/>
      <c r="M279" s="134"/>
      <c r="N279" s="134"/>
      <c r="O279" s="134"/>
      <c r="P279" s="134"/>
      <c r="Q279" s="134"/>
      <c r="R279" s="134"/>
      <c r="S279" s="139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3"/>
      <c r="BE279" s="83"/>
      <c r="BF279" s="83"/>
      <c r="BG279" s="82"/>
      <c r="BH279" s="81"/>
      <c r="BI279" s="80"/>
      <c r="BJ279" s="25"/>
      <c r="BK279" s="25"/>
      <c r="BL279" s="25"/>
      <c r="BM279" s="84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92"/>
      <c r="DG279" s="92"/>
      <c r="DH279" s="203"/>
      <c r="DI279" s="203"/>
      <c r="DJ279" s="203"/>
      <c r="DK279" s="203"/>
      <c r="DL279" s="203"/>
      <c r="DM279" s="203"/>
      <c r="DN279" s="203"/>
      <c r="DO279" s="203"/>
      <c r="DP279" s="208"/>
      <c r="DQ279" s="208"/>
      <c r="DR279" s="208"/>
      <c r="DS279" s="208"/>
      <c r="DT279" s="208"/>
      <c r="DU279" s="208"/>
      <c r="DV279" s="208"/>
      <c r="DW279" s="208"/>
      <c r="DX279" s="208"/>
      <c r="DY279" s="208"/>
      <c r="DZ279" s="208"/>
      <c r="EA279" s="208"/>
      <c r="EB279" s="208"/>
      <c r="EC279" s="208"/>
      <c r="ED279" s="208"/>
      <c r="EE279" s="208"/>
      <c r="EF279" s="208"/>
      <c r="EG279" s="208"/>
      <c r="EH279" s="208"/>
      <c r="EI279" s="208"/>
      <c r="EJ279" s="208"/>
      <c r="EK279" s="208"/>
      <c r="EL279" s="208"/>
      <c r="EM279" s="208"/>
      <c r="EN279" s="208"/>
      <c r="EO279" s="208"/>
      <c r="EP279" s="208"/>
      <c r="EQ279" s="208"/>
      <c r="ER279" s="208"/>
      <c r="ES279" s="208"/>
      <c r="ET279" s="208"/>
      <c r="EU279" s="208"/>
      <c r="EV279" s="208"/>
      <c r="EW279" s="208"/>
      <c r="EX279" s="208"/>
      <c r="EY279" s="208"/>
      <c r="EZ279" s="208">
        <v>0</v>
      </c>
      <c r="FA279" s="208">
        <v>0</v>
      </c>
      <c r="FB279" s="208">
        <v>0</v>
      </c>
      <c r="FC279" s="208"/>
      <c r="FD279" s="82"/>
      <c r="FE279" s="30"/>
    </row>
    <row r="280" spans="1:161" ht="15" hidden="1">
      <c r="A280" s="25" t="s">
        <v>260</v>
      </c>
      <c r="B280" s="212" t="s">
        <v>133</v>
      </c>
      <c r="C280" s="138"/>
      <c r="D280" s="221"/>
      <c r="E280" s="239">
        <v>770</v>
      </c>
      <c r="F280" s="95"/>
      <c r="G280" s="95"/>
      <c r="H280" s="147" t="s">
        <v>656</v>
      </c>
      <c r="I280" s="147"/>
      <c r="J280" s="135"/>
      <c r="K280" s="135"/>
      <c r="L280" s="139"/>
      <c r="M280" s="134"/>
      <c r="N280" s="134"/>
      <c r="O280" s="134"/>
      <c r="P280" s="134"/>
      <c r="Q280" s="134"/>
      <c r="R280" s="134"/>
      <c r="S280" s="139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3"/>
      <c r="BE280" s="83"/>
      <c r="BF280" s="83"/>
      <c r="BG280" s="82"/>
      <c r="BH280" s="81"/>
      <c r="BI280" s="80"/>
      <c r="BJ280" s="25"/>
      <c r="BK280" s="25"/>
      <c r="BL280" s="25"/>
      <c r="BM280" s="84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92"/>
      <c r="DG280" s="92"/>
      <c r="DH280" s="203"/>
      <c r="DI280" s="203"/>
      <c r="DJ280" s="203"/>
      <c r="DK280" s="203"/>
      <c r="DL280" s="203"/>
      <c r="DM280" s="203"/>
      <c r="DN280" s="203"/>
      <c r="DO280" s="203"/>
      <c r="DP280" s="208"/>
      <c r="DQ280" s="208"/>
      <c r="DR280" s="208"/>
      <c r="DS280" s="208"/>
      <c r="DT280" s="208"/>
      <c r="DU280" s="208"/>
      <c r="DV280" s="208"/>
      <c r="DW280" s="208"/>
      <c r="DX280" s="208"/>
      <c r="DY280" s="208"/>
      <c r="DZ280" s="208"/>
      <c r="EA280" s="208"/>
      <c r="EB280" s="208"/>
      <c r="EC280" s="208"/>
      <c r="ED280" s="208"/>
      <c r="EE280" s="208"/>
      <c r="EF280" s="208"/>
      <c r="EG280" s="208"/>
      <c r="EH280" s="208"/>
      <c r="EI280" s="208"/>
      <c r="EJ280" s="208"/>
      <c r="EK280" s="208"/>
      <c r="EL280" s="208"/>
      <c r="EM280" s="208"/>
      <c r="EN280" s="208"/>
      <c r="EO280" s="208"/>
      <c r="EP280" s="208"/>
      <c r="EQ280" s="208"/>
      <c r="ER280" s="208"/>
      <c r="ES280" s="208"/>
      <c r="ET280" s="208"/>
      <c r="EU280" s="208"/>
      <c r="EV280" s="208"/>
      <c r="EW280" s="208"/>
      <c r="EX280" s="208"/>
      <c r="EY280" s="208"/>
      <c r="EZ280" s="208">
        <v>0</v>
      </c>
      <c r="FA280" s="208">
        <v>0</v>
      </c>
      <c r="FB280" s="208">
        <v>0</v>
      </c>
      <c r="FC280" s="208"/>
      <c r="FD280" s="82"/>
      <c r="FE280" s="30"/>
    </row>
    <row r="281" spans="1:161" ht="15" hidden="1">
      <c r="A281" s="25" t="s">
        <v>261</v>
      </c>
      <c r="B281" s="212" t="s">
        <v>133</v>
      </c>
      <c r="C281" s="138"/>
      <c r="D281" s="221"/>
      <c r="E281" s="239">
        <v>770</v>
      </c>
      <c r="F281" s="95"/>
      <c r="G281" s="95"/>
      <c r="H281" s="147" t="s">
        <v>656</v>
      </c>
      <c r="I281" s="147"/>
      <c r="J281" s="135"/>
      <c r="K281" s="135"/>
      <c r="L281" s="139"/>
      <c r="M281" s="134"/>
      <c r="N281" s="134"/>
      <c r="O281" s="134"/>
      <c r="P281" s="134"/>
      <c r="Q281" s="134"/>
      <c r="R281" s="134"/>
      <c r="S281" s="139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3"/>
      <c r="BE281" s="83"/>
      <c r="BF281" s="83"/>
      <c r="BG281" s="82"/>
      <c r="BH281" s="81"/>
      <c r="BI281" s="80"/>
      <c r="BJ281" s="25"/>
      <c r="BK281" s="25"/>
      <c r="BL281" s="25"/>
      <c r="BM281" s="84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92"/>
      <c r="DG281" s="92"/>
      <c r="DH281" s="203"/>
      <c r="DI281" s="203"/>
      <c r="DJ281" s="203"/>
      <c r="DK281" s="203"/>
      <c r="DL281" s="203"/>
      <c r="DM281" s="203"/>
      <c r="DN281" s="203"/>
      <c r="DO281" s="203"/>
      <c r="DP281" s="208"/>
      <c r="DQ281" s="208"/>
      <c r="DR281" s="208"/>
      <c r="DS281" s="208"/>
      <c r="DT281" s="208"/>
      <c r="DU281" s="208"/>
      <c r="DV281" s="208"/>
      <c r="DW281" s="208"/>
      <c r="DX281" s="208"/>
      <c r="DY281" s="208"/>
      <c r="DZ281" s="208"/>
      <c r="EA281" s="208"/>
      <c r="EB281" s="208"/>
      <c r="EC281" s="208"/>
      <c r="ED281" s="208"/>
      <c r="EE281" s="208"/>
      <c r="EF281" s="208"/>
      <c r="EG281" s="208"/>
      <c r="EH281" s="208"/>
      <c r="EI281" s="208"/>
      <c r="EJ281" s="208"/>
      <c r="EK281" s="208"/>
      <c r="EL281" s="208"/>
      <c r="EM281" s="208"/>
      <c r="EN281" s="208"/>
      <c r="EO281" s="208"/>
      <c r="EP281" s="208"/>
      <c r="EQ281" s="208"/>
      <c r="ER281" s="208"/>
      <c r="ES281" s="208"/>
      <c r="ET281" s="208"/>
      <c r="EU281" s="208"/>
      <c r="EV281" s="208"/>
      <c r="EW281" s="208"/>
      <c r="EX281" s="208"/>
      <c r="EY281" s="208"/>
      <c r="EZ281" s="208">
        <v>0</v>
      </c>
      <c r="FA281" s="208">
        <v>0</v>
      </c>
      <c r="FB281" s="208">
        <v>0</v>
      </c>
      <c r="FC281" s="208"/>
      <c r="FD281" s="82"/>
      <c r="FE281" s="30"/>
    </row>
    <row r="282" spans="1:161" ht="15" hidden="1">
      <c r="A282" s="25" t="s">
        <v>262</v>
      </c>
      <c r="B282" s="212" t="s">
        <v>133</v>
      </c>
      <c r="C282" s="138"/>
      <c r="D282" s="221"/>
      <c r="E282" s="239">
        <v>770</v>
      </c>
      <c r="F282" s="95"/>
      <c r="G282" s="95"/>
      <c r="H282" s="147" t="s">
        <v>656</v>
      </c>
      <c r="I282" s="147"/>
      <c r="J282" s="135"/>
      <c r="K282" s="135"/>
      <c r="L282" s="139"/>
      <c r="M282" s="134"/>
      <c r="N282" s="134"/>
      <c r="O282" s="134"/>
      <c r="P282" s="134"/>
      <c r="Q282" s="134"/>
      <c r="R282" s="134"/>
      <c r="S282" s="139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3"/>
      <c r="BE282" s="83"/>
      <c r="BF282" s="83"/>
      <c r="BG282" s="82"/>
      <c r="BH282" s="81"/>
      <c r="BI282" s="80"/>
      <c r="BJ282" s="25"/>
      <c r="BK282" s="25"/>
      <c r="BL282" s="25"/>
      <c r="BM282" s="84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92"/>
      <c r="DG282" s="92"/>
      <c r="DH282" s="203"/>
      <c r="DI282" s="203"/>
      <c r="DJ282" s="203"/>
      <c r="DK282" s="203"/>
      <c r="DL282" s="203"/>
      <c r="DM282" s="203"/>
      <c r="DN282" s="203"/>
      <c r="DO282" s="203"/>
      <c r="DP282" s="208"/>
      <c r="DQ282" s="208"/>
      <c r="DR282" s="208"/>
      <c r="DS282" s="208"/>
      <c r="DT282" s="208"/>
      <c r="DU282" s="208"/>
      <c r="DV282" s="208"/>
      <c r="DW282" s="208"/>
      <c r="DX282" s="208"/>
      <c r="DY282" s="208"/>
      <c r="DZ282" s="208"/>
      <c r="EA282" s="208"/>
      <c r="EB282" s="208"/>
      <c r="EC282" s="208"/>
      <c r="ED282" s="208"/>
      <c r="EE282" s="208"/>
      <c r="EF282" s="208"/>
      <c r="EG282" s="208"/>
      <c r="EH282" s="208"/>
      <c r="EI282" s="208"/>
      <c r="EJ282" s="208"/>
      <c r="EK282" s="208"/>
      <c r="EL282" s="208"/>
      <c r="EM282" s="208"/>
      <c r="EN282" s="208"/>
      <c r="EO282" s="208"/>
      <c r="EP282" s="208"/>
      <c r="EQ282" s="208"/>
      <c r="ER282" s="208"/>
      <c r="ES282" s="208"/>
      <c r="ET282" s="208"/>
      <c r="EU282" s="208"/>
      <c r="EV282" s="208"/>
      <c r="EW282" s="208"/>
      <c r="EX282" s="208"/>
      <c r="EY282" s="208"/>
      <c r="EZ282" s="208">
        <v>0</v>
      </c>
      <c r="FA282" s="208">
        <v>0</v>
      </c>
      <c r="FB282" s="208">
        <v>0</v>
      </c>
      <c r="FC282" s="208"/>
      <c r="FD282" s="82"/>
      <c r="FE282" s="30"/>
    </row>
    <row r="283" spans="1:161" ht="15" hidden="1">
      <c r="A283" s="25" t="s">
        <v>263</v>
      </c>
      <c r="B283" s="212" t="s">
        <v>133</v>
      </c>
      <c r="C283" s="138"/>
      <c r="D283" s="221"/>
      <c r="E283" s="239">
        <v>770</v>
      </c>
      <c r="F283" s="95"/>
      <c r="G283" s="95"/>
      <c r="H283" s="147" t="s">
        <v>656</v>
      </c>
      <c r="I283" s="147"/>
      <c r="J283" s="135"/>
      <c r="K283" s="135"/>
      <c r="L283" s="139"/>
      <c r="M283" s="134"/>
      <c r="N283" s="134"/>
      <c r="O283" s="134"/>
      <c r="P283" s="134"/>
      <c r="Q283" s="134"/>
      <c r="R283" s="134"/>
      <c r="S283" s="139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3"/>
      <c r="BE283" s="83"/>
      <c r="BF283" s="83"/>
      <c r="BG283" s="82"/>
      <c r="BH283" s="81"/>
      <c r="BI283" s="80"/>
      <c r="BJ283" s="25"/>
      <c r="BK283" s="25"/>
      <c r="BL283" s="25"/>
      <c r="BM283" s="84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92"/>
      <c r="DG283" s="92"/>
      <c r="DH283" s="203"/>
      <c r="DI283" s="203"/>
      <c r="DJ283" s="203"/>
      <c r="DK283" s="203"/>
      <c r="DL283" s="203"/>
      <c r="DM283" s="203"/>
      <c r="DN283" s="203"/>
      <c r="DO283" s="203"/>
      <c r="DP283" s="208"/>
      <c r="DQ283" s="208"/>
      <c r="DR283" s="208"/>
      <c r="DS283" s="208"/>
      <c r="DT283" s="208"/>
      <c r="DU283" s="208"/>
      <c r="DV283" s="208"/>
      <c r="DW283" s="208"/>
      <c r="DX283" s="208"/>
      <c r="DY283" s="208"/>
      <c r="DZ283" s="208"/>
      <c r="EA283" s="208"/>
      <c r="EB283" s="208"/>
      <c r="EC283" s="208"/>
      <c r="ED283" s="208"/>
      <c r="EE283" s="208"/>
      <c r="EF283" s="208"/>
      <c r="EG283" s="208"/>
      <c r="EH283" s="208"/>
      <c r="EI283" s="208"/>
      <c r="EJ283" s="208"/>
      <c r="EK283" s="208"/>
      <c r="EL283" s="208"/>
      <c r="EM283" s="208"/>
      <c r="EN283" s="208"/>
      <c r="EO283" s="208"/>
      <c r="EP283" s="208"/>
      <c r="EQ283" s="208"/>
      <c r="ER283" s="208"/>
      <c r="ES283" s="208"/>
      <c r="ET283" s="208"/>
      <c r="EU283" s="208"/>
      <c r="EV283" s="208"/>
      <c r="EW283" s="208"/>
      <c r="EX283" s="208"/>
      <c r="EY283" s="208"/>
      <c r="EZ283" s="208">
        <v>0</v>
      </c>
      <c r="FA283" s="208">
        <v>0</v>
      </c>
      <c r="FB283" s="208">
        <v>0</v>
      </c>
      <c r="FC283" s="208"/>
      <c r="FD283" s="82"/>
      <c r="FE283" s="30"/>
    </row>
    <row r="284" spans="1:161" ht="15" hidden="1">
      <c r="A284" s="25" t="s">
        <v>264</v>
      </c>
      <c r="B284" s="212" t="s">
        <v>133</v>
      </c>
      <c r="C284" s="138"/>
      <c r="D284" s="221"/>
      <c r="E284" s="239">
        <v>770</v>
      </c>
      <c r="F284" s="95"/>
      <c r="G284" s="95"/>
      <c r="H284" s="147" t="s">
        <v>656</v>
      </c>
      <c r="I284" s="147"/>
      <c r="J284" s="135"/>
      <c r="K284" s="135"/>
      <c r="L284" s="139"/>
      <c r="M284" s="134"/>
      <c r="N284" s="134"/>
      <c r="O284" s="134"/>
      <c r="P284" s="134"/>
      <c r="Q284" s="134"/>
      <c r="R284" s="134"/>
      <c r="S284" s="139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3"/>
      <c r="BE284" s="83"/>
      <c r="BF284" s="83"/>
      <c r="BG284" s="82"/>
      <c r="BH284" s="81"/>
      <c r="BI284" s="80"/>
      <c r="BJ284" s="25"/>
      <c r="BK284" s="25"/>
      <c r="BL284" s="25"/>
      <c r="BM284" s="84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92"/>
      <c r="DG284" s="92"/>
      <c r="DH284" s="203"/>
      <c r="DI284" s="203"/>
      <c r="DJ284" s="203"/>
      <c r="DK284" s="203"/>
      <c r="DL284" s="203"/>
      <c r="DM284" s="203"/>
      <c r="DN284" s="203"/>
      <c r="DO284" s="203"/>
      <c r="DP284" s="208"/>
      <c r="DQ284" s="208"/>
      <c r="DR284" s="208"/>
      <c r="DS284" s="208"/>
      <c r="DT284" s="208"/>
      <c r="DU284" s="208"/>
      <c r="DV284" s="208"/>
      <c r="DW284" s="208"/>
      <c r="DX284" s="208"/>
      <c r="DY284" s="208"/>
      <c r="DZ284" s="208"/>
      <c r="EA284" s="208"/>
      <c r="EB284" s="208"/>
      <c r="EC284" s="208"/>
      <c r="ED284" s="208"/>
      <c r="EE284" s="208"/>
      <c r="EF284" s="208"/>
      <c r="EG284" s="208"/>
      <c r="EH284" s="208"/>
      <c r="EI284" s="208"/>
      <c r="EJ284" s="208"/>
      <c r="EK284" s="208"/>
      <c r="EL284" s="208"/>
      <c r="EM284" s="208"/>
      <c r="EN284" s="208"/>
      <c r="EO284" s="208"/>
      <c r="EP284" s="208"/>
      <c r="EQ284" s="208"/>
      <c r="ER284" s="208"/>
      <c r="ES284" s="208"/>
      <c r="ET284" s="208"/>
      <c r="EU284" s="208"/>
      <c r="EV284" s="208"/>
      <c r="EW284" s="208"/>
      <c r="EX284" s="208"/>
      <c r="EY284" s="208"/>
      <c r="EZ284" s="208">
        <v>0</v>
      </c>
      <c r="FA284" s="208">
        <v>0</v>
      </c>
      <c r="FB284" s="208">
        <v>0</v>
      </c>
      <c r="FC284" s="208"/>
      <c r="FD284" s="82"/>
      <c r="FE284" s="30"/>
    </row>
    <row r="285" spans="1:161" ht="15" hidden="1">
      <c r="A285" s="25" t="s">
        <v>265</v>
      </c>
      <c r="B285" s="212" t="s">
        <v>133</v>
      </c>
      <c r="C285" s="138"/>
      <c r="D285" s="221"/>
      <c r="E285" s="239">
        <v>770</v>
      </c>
      <c r="F285" s="95"/>
      <c r="G285" s="95"/>
      <c r="H285" s="147" t="s">
        <v>656</v>
      </c>
      <c r="I285" s="147"/>
      <c r="J285" s="135"/>
      <c r="K285" s="135"/>
      <c r="L285" s="139"/>
      <c r="M285" s="134"/>
      <c r="N285" s="134"/>
      <c r="O285" s="134"/>
      <c r="P285" s="134"/>
      <c r="Q285" s="134"/>
      <c r="R285" s="134"/>
      <c r="S285" s="139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3"/>
      <c r="BE285" s="83"/>
      <c r="BF285" s="83"/>
      <c r="BG285" s="82"/>
      <c r="BH285" s="81"/>
      <c r="BI285" s="80"/>
      <c r="BJ285" s="25"/>
      <c r="BK285" s="25"/>
      <c r="BL285" s="25"/>
      <c r="BM285" s="84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92"/>
      <c r="DG285" s="92"/>
      <c r="DH285" s="203"/>
      <c r="DI285" s="203"/>
      <c r="DJ285" s="203"/>
      <c r="DK285" s="203"/>
      <c r="DL285" s="203"/>
      <c r="DM285" s="203"/>
      <c r="DN285" s="203"/>
      <c r="DO285" s="203"/>
      <c r="DP285" s="208"/>
      <c r="DQ285" s="208"/>
      <c r="DR285" s="208"/>
      <c r="DS285" s="208"/>
      <c r="DT285" s="208"/>
      <c r="DU285" s="208"/>
      <c r="DV285" s="208"/>
      <c r="DW285" s="208"/>
      <c r="DX285" s="208"/>
      <c r="DY285" s="208"/>
      <c r="DZ285" s="208"/>
      <c r="EA285" s="208"/>
      <c r="EB285" s="208"/>
      <c r="EC285" s="208"/>
      <c r="ED285" s="208"/>
      <c r="EE285" s="208"/>
      <c r="EF285" s="208"/>
      <c r="EG285" s="208"/>
      <c r="EH285" s="208"/>
      <c r="EI285" s="208"/>
      <c r="EJ285" s="208"/>
      <c r="EK285" s="208"/>
      <c r="EL285" s="208"/>
      <c r="EM285" s="208"/>
      <c r="EN285" s="208"/>
      <c r="EO285" s="208"/>
      <c r="EP285" s="208"/>
      <c r="EQ285" s="208"/>
      <c r="ER285" s="208"/>
      <c r="ES285" s="208"/>
      <c r="ET285" s="208"/>
      <c r="EU285" s="208"/>
      <c r="EV285" s="208"/>
      <c r="EW285" s="208"/>
      <c r="EX285" s="208"/>
      <c r="EY285" s="208"/>
      <c r="EZ285" s="208">
        <v>0</v>
      </c>
      <c r="FA285" s="208">
        <v>0</v>
      </c>
      <c r="FB285" s="208">
        <v>0</v>
      </c>
      <c r="FC285" s="208"/>
      <c r="FD285" s="82"/>
      <c r="FE285" s="30"/>
    </row>
    <row r="286" spans="1:161" ht="15" hidden="1">
      <c r="A286" s="25" t="s">
        <v>266</v>
      </c>
      <c r="B286" s="212" t="s">
        <v>133</v>
      </c>
      <c r="C286" s="138"/>
      <c r="D286" s="221"/>
      <c r="E286" s="239">
        <v>770</v>
      </c>
      <c r="F286" s="95"/>
      <c r="G286" s="95"/>
      <c r="H286" s="147" t="s">
        <v>656</v>
      </c>
      <c r="I286" s="147"/>
      <c r="J286" s="135"/>
      <c r="K286" s="135"/>
      <c r="L286" s="139"/>
      <c r="M286" s="134"/>
      <c r="N286" s="134"/>
      <c r="O286" s="134"/>
      <c r="P286" s="134"/>
      <c r="Q286" s="134"/>
      <c r="R286" s="134"/>
      <c r="S286" s="139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3"/>
      <c r="BE286" s="83"/>
      <c r="BF286" s="83"/>
      <c r="BG286" s="82"/>
      <c r="BH286" s="81"/>
      <c r="BI286" s="80"/>
      <c r="BJ286" s="25"/>
      <c r="BK286" s="25"/>
      <c r="BL286" s="25"/>
      <c r="BM286" s="84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92"/>
      <c r="DG286" s="92"/>
      <c r="DH286" s="203"/>
      <c r="DI286" s="203"/>
      <c r="DJ286" s="203"/>
      <c r="DK286" s="203"/>
      <c r="DL286" s="203"/>
      <c r="DM286" s="203"/>
      <c r="DN286" s="203"/>
      <c r="DO286" s="203"/>
      <c r="DP286" s="208"/>
      <c r="DQ286" s="208"/>
      <c r="DR286" s="208"/>
      <c r="DS286" s="208"/>
      <c r="DT286" s="208"/>
      <c r="DU286" s="208"/>
      <c r="DV286" s="208"/>
      <c r="DW286" s="208"/>
      <c r="DX286" s="208"/>
      <c r="DY286" s="208"/>
      <c r="DZ286" s="208"/>
      <c r="EA286" s="208"/>
      <c r="EB286" s="208"/>
      <c r="EC286" s="208"/>
      <c r="ED286" s="208"/>
      <c r="EE286" s="208"/>
      <c r="EF286" s="208"/>
      <c r="EG286" s="208"/>
      <c r="EH286" s="208"/>
      <c r="EI286" s="208"/>
      <c r="EJ286" s="208"/>
      <c r="EK286" s="208"/>
      <c r="EL286" s="208"/>
      <c r="EM286" s="208"/>
      <c r="EN286" s="208"/>
      <c r="EO286" s="208"/>
      <c r="EP286" s="208"/>
      <c r="EQ286" s="208"/>
      <c r="ER286" s="208"/>
      <c r="ES286" s="208"/>
      <c r="ET286" s="208"/>
      <c r="EU286" s="208"/>
      <c r="EV286" s="208"/>
      <c r="EW286" s="208"/>
      <c r="EX286" s="208"/>
      <c r="EY286" s="208"/>
      <c r="EZ286" s="208">
        <v>0</v>
      </c>
      <c r="FA286" s="208">
        <v>0</v>
      </c>
      <c r="FB286" s="208">
        <v>0</v>
      </c>
      <c r="FC286" s="208"/>
      <c r="FD286" s="82"/>
      <c r="FE286" s="30"/>
    </row>
    <row r="287" spans="1:161" ht="15" hidden="1">
      <c r="A287" s="25" t="s">
        <v>267</v>
      </c>
      <c r="B287" s="212" t="s">
        <v>133</v>
      </c>
      <c r="C287" s="138"/>
      <c r="D287" s="221"/>
      <c r="E287" s="239">
        <v>770</v>
      </c>
      <c r="F287" s="95"/>
      <c r="G287" s="95"/>
      <c r="H287" s="147" t="s">
        <v>656</v>
      </c>
      <c r="I287" s="147"/>
      <c r="J287" s="135"/>
      <c r="K287" s="135"/>
      <c r="L287" s="139"/>
      <c r="M287" s="134"/>
      <c r="N287" s="134"/>
      <c r="O287" s="134"/>
      <c r="P287" s="134"/>
      <c r="Q287" s="134"/>
      <c r="R287" s="134"/>
      <c r="S287" s="139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3"/>
      <c r="BE287" s="83"/>
      <c r="BF287" s="83"/>
      <c r="BG287" s="82"/>
      <c r="BH287" s="81"/>
      <c r="BI287" s="80"/>
      <c r="BJ287" s="25"/>
      <c r="BK287" s="25"/>
      <c r="BL287" s="25"/>
      <c r="BM287" s="84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92"/>
      <c r="DG287" s="92"/>
      <c r="DH287" s="203"/>
      <c r="DI287" s="203"/>
      <c r="DJ287" s="203"/>
      <c r="DK287" s="203"/>
      <c r="DL287" s="203"/>
      <c r="DM287" s="203"/>
      <c r="DN287" s="203"/>
      <c r="DO287" s="203"/>
      <c r="DP287" s="208"/>
      <c r="DQ287" s="208"/>
      <c r="DR287" s="208"/>
      <c r="DS287" s="208"/>
      <c r="DT287" s="208"/>
      <c r="DU287" s="208"/>
      <c r="DV287" s="208"/>
      <c r="DW287" s="208"/>
      <c r="DX287" s="208"/>
      <c r="DY287" s="208"/>
      <c r="DZ287" s="208"/>
      <c r="EA287" s="208"/>
      <c r="EB287" s="208"/>
      <c r="EC287" s="208"/>
      <c r="ED287" s="208"/>
      <c r="EE287" s="208"/>
      <c r="EF287" s="208"/>
      <c r="EG287" s="208"/>
      <c r="EH287" s="208"/>
      <c r="EI287" s="208"/>
      <c r="EJ287" s="208"/>
      <c r="EK287" s="208"/>
      <c r="EL287" s="208"/>
      <c r="EM287" s="208"/>
      <c r="EN287" s="208"/>
      <c r="EO287" s="208"/>
      <c r="EP287" s="208"/>
      <c r="EQ287" s="208"/>
      <c r="ER287" s="208"/>
      <c r="ES287" s="208"/>
      <c r="ET287" s="208"/>
      <c r="EU287" s="208"/>
      <c r="EV287" s="208"/>
      <c r="EW287" s="208"/>
      <c r="EX287" s="208"/>
      <c r="EY287" s="208"/>
      <c r="EZ287" s="208">
        <v>0</v>
      </c>
      <c r="FA287" s="208">
        <v>0</v>
      </c>
      <c r="FB287" s="208">
        <v>0</v>
      </c>
      <c r="FC287" s="208"/>
      <c r="FD287" s="82"/>
      <c r="FE287" s="30"/>
    </row>
    <row r="288" spans="1:161" ht="15" hidden="1">
      <c r="A288" s="25" t="s">
        <v>268</v>
      </c>
      <c r="B288" s="212" t="s">
        <v>133</v>
      </c>
      <c r="C288" s="138"/>
      <c r="D288" s="221"/>
      <c r="E288" s="239">
        <v>770</v>
      </c>
      <c r="F288" s="95"/>
      <c r="G288" s="95"/>
      <c r="H288" s="147" t="s">
        <v>656</v>
      </c>
      <c r="I288" s="147"/>
      <c r="J288" s="135"/>
      <c r="K288" s="135"/>
      <c r="L288" s="139"/>
      <c r="M288" s="134"/>
      <c r="N288" s="134"/>
      <c r="O288" s="134"/>
      <c r="P288" s="134"/>
      <c r="Q288" s="134"/>
      <c r="R288" s="134"/>
      <c r="S288" s="139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3"/>
      <c r="BE288" s="83"/>
      <c r="BF288" s="83"/>
      <c r="BG288" s="82"/>
      <c r="BH288" s="81"/>
      <c r="BI288" s="80"/>
      <c r="BJ288" s="25"/>
      <c r="BK288" s="25"/>
      <c r="BL288" s="25"/>
      <c r="BM288" s="84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92"/>
      <c r="DG288" s="92"/>
      <c r="DH288" s="203"/>
      <c r="DI288" s="203"/>
      <c r="DJ288" s="203"/>
      <c r="DK288" s="203"/>
      <c r="DL288" s="203"/>
      <c r="DM288" s="203"/>
      <c r="DN288" s="203"/>
      <c r="DO288" s="203"/>
      <c r="DP288" s="208"/>
      <c r="DQ288" s="208"/>
      <c r="DR288" s="208"/>
      <c r="DS288" s="208"/>
      <c r="DT288" s="208"/>
      <c r="DU288" s="208"/>
      <c r="DV288" s="208"/>
      <c r="DW288" s="208"/>
      <c r="DX288" s="208"/>
      <c r="DY288" s="208"/>
      <c r="DZ288" s="208"/>
      <c r="EA288" s="208"/>
      <c r="EB288" s="208"/>
      <c r="EC288" s="208"/>
      <c r="ED288" s="208"/>
      <c r="EE288" s="208"/>
      <c r="EF288" s="208"/>
      <c r="EG288" s="208"/>
      <c r="EH288" s="208"/>
      <c r="EI288" s="208"/>
      <c r="EJ288" s="208"/>
      <c r="EK288" s="208"/>
      <c r="EL288" s="208"/>
      <c r="EM288" s="208"/>
      <c r="EN288" s="208"/>
      <c r="EO288" s="208"/>
      <c r="EP288" s="208"/>
      <c r="EQ288" s="208"/>
      <c r="ER288" s="208"/>
      <c r="ES288" s="208"/>
      <c r="ET288" s="208"/>
      <c r="EU288" s="208"/>
      <c r="EV288" s="208"/>
      <c r="EW288" s="208"/>
      <c r="EX288" s="208"/>
      <c r="EY288" s="208"/>
      <c r="EZ288" s="208">
        <v>0</v>
      </c>
      <c r="FA288" s="208">
        <v>0</v>
      </c>
      <c r="FB288" s="208">
        <v>0</v>
      </c>
      <c r="FC288" s="208"/>
      <c r="FD288" s="82"/>
      <c r="FE288" s="30"/>
    </row>
    <row r="289" spans="1:161" ht="15" hidden="1">
      <c r="A289" s="25" t="s">
        <v>272</v>
      </c>
      <c r="B289" s="212" t="s">
        <v>139</v>
      </c>
      <c r="C289" s="138"/>
      <c r="D289" s="221"/>
      <c r="E289" s="239">
        <v>770</v>
      </c>
      <c r="F289" s="95"/>
      <c r="G289" s="95"/>
      <c r="H289" s="147" t="s">
        <v>656</v>
      </c>
      <c r="I289" s="147"/>
      <c r="J289" s="135"/>
      <c r="K289" s="135"/>
      <c r="L289" s="139"/>
      <c r="M289" s="134"/>
      <c r="N289" s="134"/>
      <c r="O289" s="134"/>
      <c r="P289" s="134"/>
      <c r="Q289" s="134"/>
      <c r="R289" s="134"/>
      <c r="S289" s="139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3"/>
      <c r="BE289" s="83"/>
      <c r="BF289" s="83"/>
      <c r="BG289" s="82"/>
      <c r="BH289" s="81"/>
      <c r="BI289" s="80"/>
      <c r="BJ289" s="25"/>
      <c r="BK289" s="25"/>
      <c r="BL289" s="25"/>
      <c r="BM289" s="84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92"/>
      <c r="DG289" s="92"/>
      <c r="DH289" s="203"/>
      <c r="DI289" s="203"/>
      <c r="DJ289" s="203"/>
      <c r="DK289" s="203"/>
      <c r="DL289" s="203"/>
      <c r="DM289" s="203"/>
      <c r="DN289" s="203"/>
      <c r="DO289" s="203"/>
      <c r="DP289" s="208"/>
      <c r="DQ289" s="208"/>
      <c r="DR289" s="208"/>
      <c r="DS289" s="208"/>
      <c r="DT289" s="208"/>
      <c r="DU289" s="208"/>
      <c r="DV289" s="208"/>
      <c r="DW289" s="208"/>
      <c r="DX289" s="208"/>
      <c r="DY289" s="208"/>
      <c r="DZ289" s="208"/>
      <c r="EA289" s="208"/>
      <c r="EB289" s="208"/>
      <c r="EC289" s="208"/>
      <c r="ED289" s="208"/>
      <c r="EE289" s="208"/>
      <c r="EF289" s="208"/>
      <c r="EG289" s="208"/>
      <c r="EH289" s="208"/>
      <c r="EI289" s="208"/>
      <c r="EJ289" s="208"/>
      <c r="EK289" s="208"/>
      <c r="EL289" s="208"/>
      <c r="EM289" s="208"/>
      <c r="EN289" s="208"/>
      <c r="EO289" s="208"/>
      <c r="EP289" s="208"/>
      <c r="EQ289" s="208"/>
      <c r="ER289" s="208"/>
      <c r="ES289" s="208"/>
      <c r="ET289" s="208"/>
      <c r="EU289" s="208"/>
      <c r="EV289" s="208"/>
      <c r="EW289" s="208"/>
      <c r="EX289" s="208"/>
      <c r="EY289" s="208"/>
      <c r="EZ289" s="208">
        <v>0</v>
      </c>
      <c r="FA289" s="208">
        <v>0</v>
      </c>
      <c r="FB289" s="208">
        <v>0</v>
      </c>
      <c r="FC289" s="208"/>
      <c r="FD289" s="82"/>
      <c r="FE289" s="30"/>
    </row>
    <row r="290" spans="1:161" ht="15" hidden="1">
      <c r="A290" s="25" t="s">
        <v>273</v>
      </c>
      <c r="B290" s="212" t="s">
        <v>139</v>
      </c>
      <c r="C290" s="138"/>
      <c r="D290" s="221"/>
      <c r="E290" s="239">
        <v>770</v>
      </c>
      <c r="F290" s="95"/>
      <c r="G290" s="95"/>
      <c r="H290" s="147" t="s">
        <v>656</v>
      </c>
      <c r="I290" s="147"/>
      <c r="J290" s="135"/>
      <c r="K290" s="135"/>
      <c r="L290" s="139"/>
      <c r="M290" s="134"/>
      <c r="N290" s="134"/>
      <c r="O290" s="134"/>
      <c r="P290" s="134"/>
      <c r="Q290" s="134"/>
      <c r="R290" s="134"/>
      <c r="S290" s="139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3"/>
      <c r="BE290" s="83"/>
      <c r="BF290" s="83"/>
      <c r="BG290" s="82"/>
      <c r="BH290" s="81"/>
      <c r="BI290" s="80"/>
      <c r="BJ290" s="25"/>
      <c r="BK290" s="25"/>
      <c r="BL290" s="25"/>
      <c r="BM290" s="84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92"/>
      <c r="DG290" s="92"/>
      <c r="DH290" s="203"/>
      <c r="DI290" s="203"/>
      <c r="DJ290" s="203"/>
      <c r="DK290" s="203"/>
      <c r="DL290" s="203"/>
      <c r="DM290" s="203"/>
      <c r="DN290" s="203"/>
      <c r="DO290" s="203"/>
      <c r="DP290" s="208"/>
      <c r="DQ290" s="208"/>
      <c r="DR290" s="208"/>
      <c r="DS290" s="208"/>
      <c r="DT290" s="208"/>
      <c r="DU290" s="208"/>
      <c r="DV290" s="208"/>
      <c r="DW290" s="208"/>
      <c r="DX290" s="208"/>
      <c r="DY290" s="208"/>
      <c r="DZ290" s="208"/>
      <c r="EA290" s="208"/>
      <c r="EB290" s="208"/>
      <c r="EC290" s="208"/>
      <c r="ED290" s="208"/>
      <c r="EE290" s="208"/>
      <c r="EF290" s="208"/>
      <c r="EG290" s="208"/>
      <c r="EH290" s="208"/>
      <c r="EI290" s="208"/>
      <c r="EJ290" s="208"/>
      <c r="EK290" s="208"/>
      <c r="EL290" s="208"/>
      <c r="EM290" s="208"/>
      <c r="EN290" s="208"/>
      <c r="EO290" s="208"/>
      <c r="EP290" s="208"/>
      <c r="EQ290" s="208"/>
      <c r="ER290" s="208"/>
      <c r="ES290" s="208"/>
      <c r="ET290" s="208"/>
      <c r="EU290" s="208"/>
      <c r="EV290" s="208"/>
      <c r="EW290" s="208"/>
      <c r="EX290" s="208"/>
      <c r="EY290" s="208"/>
      <c r="EZ290" s="208">
        <v>0</v>
      </c>
      <c r="FA290" s="208">
        <v>0</v>
      </c>
      <c r="FB290" s="208">
        <v>0</v>
      </c>
      <c r="FC290" s="208"/>
      <c r="FD290" s="82"/>
      <c r="FE290" s="30"/>
    </row>
    <row r="291" spans="1:161" ht="15" hidden="1">
      <c r="A291" s="25" t="s">
        <v>274</v>
      </c>
      <c r="B291" s="212" t="s">
        <v>139</v>
      </c>
      <c r="C291" s="138"/>
      <c r="D291" s="221"/>
      <c r="E291" s="239">
        <v>770</v>
      </c>
      <c r="F291" s="95"/>
      <c r="G291" s="95"/>
      <c r="H291" s="147" t="s">
        <v>656</v>
      </c>
      <c r="I291" s="147"/>
      <c r="J291" s="135"/>
      <c r="K291" s="135"/>
      <c r="L291" s="139"/>
      <c r="M291" s="134"/>
      <c r="N291" s="134"/>
      <c r="O291" s="134"/>
      <c r="P291" s="134"/>
      <c r="Q291" s="134"/>
      <c r="R291" s="134"/>
      <c r="S291" s="139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3"/>
      <c r="BE291" s="83"/>
      <c r="BF291" s="83"/>
      <c r="BG291" s="82"/>
      <c r="BH291" s="81"/>
      <c r="BI291" s="80"/>
      <c r="BJ291" s="25"/>
      <c r="BK291" s="25"/>
      <c r="BL291" s="25"/>
      <c r="BM291" s="84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92"/>
      <c r="DG291" s="92"/>
      <c r="DH291" s="203"/>
      <c r="DI291" s="203"/>
      <c r="DJ291" s="203"/>
      <c r="DK291" s="203"/>
      <c r="DL291" s="203"/>
      <c r="DM291" s="203"/>
      <c r="DN291" s="203"/>
      <c r="DO291" s="203"/>
      <c r="DP291" s="208"/>
      <c r="DQ291" s="208"/>
      <c r="DR291" s="208"/>
      <c r="DS291" s="208"/>
      <c r="DT291" s="208"/>
      <c r="DU291" s="208"/>
      <c r="DV291" s="208"/>
      <c r="DW291" s="208"/>
      <c r="DX291" s="208"/>
      <c r="DY291" s="208"/>
      <c r="DZ291" s="208"/>
      <c r="EA291" s="208"/>
      <c r="EB291" s="208"/>
      <c r="EC291" s="208"/>
      <c r="ED291" s="208"/>
      <c r="EE291" s="208"/>
      <c r="EF291" s="208"/>
      <c r="EG291" s="208"/>
      <c r="EH291" s="208"/>
      <c r="EI291" s="208"/>
      <c r="EJ291" s="208"/>
      <c r="EK291" s="208"/>
      <c r="EL291" s="208"/>
      <c r="EM291" s="208"/>
      <c r="EN291" s="208"/>
      <c r="EO291" s="208"/>
      <c r="EP291" s="208"/>
      <c r="EQ291" s="208"/>
      <c r="ER291" s="208"/>
      <c r="ES291" s="208"/>
      <c r="ET291" s="208"/>
      <c r="EU291" s="208"/>
      <c r="EV291" s="208"/>
      <c r="EW291" s="208"/>
      <c r="EX291" s="208"/>
      <c r="EY291" s="208"/>
      <c r="EZ291" s="208">
        <v>0</v>
      </c>
      <c r="FA291" s="208">
        <v>0</v>
      </c>
      <c r="FB291" s="208">
        <v>0</v>
      </c>
      <c r="FC291" s="208"/>
      <c r="FD291" s="82"/>
      <c r="FE291" s="30"/>
    </row>
    <row r="292" spans="1:161" ht="15" hidden="1">
      <c r="A292" s="25" t="s">
        <v>275</v>
      </c>
      <c r="B292" s="212" t="s">
        <v>139</v>
      </c>
      <c r="C292" s="138"/>
      <c r="D292" s="221"/>
      <c r="E292" s="239">
        <v>770</v>
      </c>
      <c r="F292" s="95"/>
      <c r="G292" s="95"/>
      <c r="H292" s="147" t="s">
        <v>656</v>
      </c>
      <c r="I292" s="147"/>
      <c r="J292" s="135"/>
      <c r="K292" s="135"/>
      <c r="L292" s="139"/>
      <c r="M292" s="134"/>
      <c r="N292" s="134"/>
      <c r="O292" s="134"/>
      <c r="P292" s="134"/>
      <c r="Q292" s="134"/>
      <c r="R292" s="134"/>
      <c r="S292" s="139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3"/>
      <c r="BE292" s="83"/>
      <c r="BF292" s="83"/>
      <c r="BG292" s="82"/>
      <c r="BH292" s="81"/>
      <c r="BI292" s="80"/>
      <c r="BJ292" s="25"/>
      <c r="BK292" s="25"/>
      <c r="BL292" s="25"/>
      <c r="BM292" s="84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92"/>
      <c r="DG292" s="92"/>
      <c r="DH292" s="203"/>
      <c r="DI292" s="203"/>
      <c r="DJ292" s="203"/>
      <c r="DK292" s="203"/>
      <c r="DL292" s="203"/>
      <c r="DM292" s="203"/>
      <c r="DN292" s="203"/>
      <c r="DO292" s="203"/>
      <c r="DP292" s="208"/>
      <c r="DQ292" s="208"/>
      <c r="DR292" s="208"/>
      <c r="DS292" s="208"/>
      <c r="DT292" s="208"/>
      <c r="DU292" s="208"/>
      <c r="DV292" s="208"/>
      <c r="DW292" s="208"/>
      <c r="DX292" s="208"/>
      <c r="DY292" s="208"/>
      <c r="DZ292" s="208"/>
      <c r="EA292" s="208"/>
      <c r="EB292" s="208"/>
      <c r="EC292" s="208"/>
      <c r="ED292" s="208"/>
      <c r="EE292" s="208"/>
      <c r="EF292" s="208"/>
      <c r="EG292" s="208"/>
      <c r="EH292" s="208"/>
      <c r="EI292" s="208"/>
      <c r="EJ292" s="208"/>
      <c r="EK292" s="208"/>
      <c r="EL292" s="208"/>
      <c r="EM292" s="208"/>
      <c r="EN292" s="208"/>
      <c r="EO292" s="208"/>
      <c r="EP292" s="208"/>
      <c r="EQ292" s="208"/>
      <c r="ER292" s="208"/>
      <c r="ES292" s="208"/>
      <c r="ET292" s="208"/>
      <c r="EU292" s="208"/>
      <c r="EV292" s="208"/>
      <c r="EW292" s="208"/>
      <c r="EX292" s="208"/>
      <c r="EY292" s="208"/>
      <c r="EZ292" s="208">
        <v>0</v>
      </c>
      <c r="FA292" s="208">
        <v>0</v>
      </c>
      <c r="FB292" s="208">
        <v>0</v>
      </c>
      <c r="FC292" s="208"/>
      <c r="FD292" s="82"/>
      <c r="FE292" s="30"/>
    </row>
    <row r="293" spans="1:161" ht="15" hidden="1">
      <c r="A293" s="25" t="s">
        <v>276</v>
      </c>
      <c r="B293" s="212" t="s">
        <v>139</v>
      </c>
      <c r="C293" s="138"/>
      <c r="D293" s="221"/>
      <c r="E293" s="239">
        <v>770</v>
      </c>
      <c r="F293" s="95"/>
      <c r="G293" s="95"/>
      <c r="H293" s="147" t="s">
        <v>656</v>
      </c>
      <c r="I293" s="147"/>
      <c r="J293" s="135"/>
      <c r="K293" s="135"/>
      <c r="L293" s="139"/>
      <c r="M293" s="134"/>
      <c r="N293" s="134"/>
      <c r="O293" s="134"/>
      <c r="P293" s="134"/>
      <c r="Q293" s="134"/>
      <c r="R293" s="134"/>
      <c r="S293" s="139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3"/>
      <c r="BE293" s="83"/>
      <c r="BF293" s="83"/>
      <c r="BG293" s="82"/>
      <c r="BH293" s="81"/>
      <c r="BI293" s="80"/>
      <c r="BJ293" s="25"/>
      <c r="BK293" s="25"/>
      <c r="BL293" s="25"/>
      <c r="BM293" s="84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92"/>
      <c r="DG293" s="92"/>
      <c r="DH293" s="203"/>
      <c r="DI293" s="203"/>
      <c r="DJ293" s="203"/>
      <c r="DK293" s="203"/>
      <c r="DL293" s="203"/>
      <c r="DM293" s="203"/>
      <c r="DN293" s="203"/>
      <c r="DO293" s="203"/>
      <c r="DP293" s="208"/>
      <c r="DQ293" s="208"/>
      <c r="DR293" s="208"/>
      <c r="DS293" s="208"/>
      <c r="DT293" s="208"/>
      <c r="DU293" s="208"/>
      <c r="DV293" s="208"/>
      <c r="DW293" s="208"/>
      <c r="DX293" s="208"/>
      <c r="DY293" s="208"/>
      <c r="DZ293" s="208"/>
      <c r="EA293" s="208"/>
      <c r="EB293" s="208"/>
      <c r="EC293" s="208"/>
      <c r="ED293" s="208"/>
      <c r="EE293" s="208"/>
      <c r="EF293" s="208"/>
      <c r="EG293" s="208"/>
      <c r="EH293" s="208"/>
      <c r="EI293" s="208"/>
      <c r="EJ293" s="208"/>
      <c r="EK293" s="208"/>
      <c r="EL293" s="208"/>
      <c r="EM293" s="208"/>
      <c r="EN293" s="208"/>
      <c r="EO293" s="208"/>
      <c r="EP293" s="208"/>
      <c r="EQ293" s="208"/>
      <c r="ER293" s="208"/>
      <c r="ES293" s="208"/>
      <c r="ET293" s="208"/>
      <c r="EU293" s="208"/>
      <c r="EV293" s="208"/>
      <c r="EW293" s="208"/>
      <c r="EX293" s="208"/>
      <c r="EY293" s="208"/>
      <c r="EZ293" s="208">
        <v>0</v>
      </c>
      <c r="FA293" s="208">
        <v>0</v>
      </c>
      <c r="FB293" s="208">
        <v>0</v>
      </c>
      <c r="FC293" s="208"/>
      <c r="FD293" s="82"/>
      <c r="FE293" s="30"/>
    </row>
    <row r="294" spans="1:161" ht="15" hidden="1">
      <c r="A294" s="25" t="s">
        <v>277</v>
      </c>
      <c r="B294" s="212" t="s">
        <v>139</v>
      </c>
      <c r="C294" s="138"/>
      <c r="D294" s="221"/>
      <c r="E294" s="239">
        <v>770</v>
      </c>
      <c r="F294" s="95"/>
      <c r="G294" s="95"/>
      <c r="H294" s="147" t="s">
        <v>656</v>
      </c>
      <c r="I294" s="147"/>
      <c r="J294" s="135"/>
      <c r="K294" s="135"/>
      <c r="L294" s="139"/>
      <c r="M294" s="134"/>
      <c r="N294" s="134"/>
      <c r="O294" s="134"/>
      <c r="P294" s="134"/>
      <c r="Q294" s="134"/>
      <c r="R294" s="134"/>
      <c r="S294" s="139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3"/>
      <c r="BE294" s="83"/>
      <c r="BF294" s="83"/>
      <c r="BG294" s="82"/>
      <c r="BH294" s="81"/>
      <c r="BI294" s="80"/>
      <c r="BJ294" s="25"/>
      <c r="BK294" s="25"/>
      <c r="BL294" s="25"/>
      <c r="BM294" s="84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92"/>
      <c r="DG294" s="92"/>
      <c r="DH294" s="203"/>
      <c r="DI294" s="203"/>
      <c r="DJ294" s="203"/>
      <c r="DK294" s="203"/>
      <c r="DL294" s="203"/>
      <c r="DM294" s="203"/>
      <c r="DN294" s="203"/>
      <c r="DO294" s="203"/>
      <c r="DP294" s="208"/>
      <c r="DQ294" s="208"/>
      <c r="DR294" s="208"/>
      <c r="DS294" s="208"/>
      <c r="DT294" s="208"/>
      <c r="DU294" s="208"/>
      <c r="DV294" s="208"/>
      <c r="DW294" s="208"/>
      <c r="DX294" s="208"/>
      <c r="DY294" s="208"/>
      <c r="DZ294" s="208"/>
      <c r="EA294" s="208"/>
      <c r="EB294" s="208"/>
      <c r="EC294" s="208"/>
      <c r="ED294" s="208"/>
      <c r="EE294" s="208"/>
      <c r="EF294" s="208"/>
      <c r="EG294" s="208"/>
      <c r="EH294" s="208"/>
      <c r="EI294" s="208"/>
      <c r="EJ294" s="208"/>
      <c r="EK294" s="208"/>
      <c r="EL294" s="208"/>
      <c r="EM294" s="208"/>
      <c r="EN294" s="208"/>
      <c r="EO294" s="208"/>
      <c r="EP294" s="208"/>
      <c r="EQ294" s="208"/>
      <c r="ER294" s="208"/>
      <c r="ES294" s="208"/>
      <c r="ET294" s="208"/>
      <c r="EU294" s="208"/>
      <c r="EV294" s="208"/>
      <c r="EW294" s="208"/>
      <c r="EX294" s="208"/>
      <c r="EY294" s="208"/>
      <c r="EZ294" s="208">
        <v>0</v>
      </c>
      <c r="FA294" s="208">
        <v>0</v>
      </c>
      <c r="FB294" s="208">
        <v>0</v>
      </c>
      <c r="FC294" s="208"/>
      <c r="FD294" s="82"/>
      <c r="FE294" s="30"/>
    </row>
    <row r="295" spans="1:161" ht="15" hidden="1">
      <c r="A295" s="25" t="s">
        <v>278</v>
      </c>
      <c r="B295" s="212" t="s">
        <v>139</v>
      </c>
      <c r="C295" s="138"/>
      <c r="D295" s="221"/>
      <c r="E295" s="239">
        <v>770</v>
      </c>
      <c r="F295" s="95"/>
      <c r="G295" s="95"/>
      <c r="H295" s="147" t="s">
        <v>656</v>
      </c>
      <c r="I295" s="147"/>
      <c r="J295" s="135"/>
      <c r="K295" s="135"/>
      <c r="L295" s="139"/>
      <c r="M295" s="134"/>
      <c r="N295" s="134"/>
      <c r="O295" s="134"/>
      <c r="P295" s="134"/>
      <c r="Q295" s="134"/>
      <c r="R295" s="134"/>
      <c r="S295" s="139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3"/>
      <c r="BE295" s="83"/>
      <c r="BF295" s="83"/>
      <c r="BG295" s="82"/>
      <c r="BH295" s="81"/>
      <c r="BI295" s="80"/>
      <c r="BJ295" s="25"/>
      <c r="BK295" s="25"/>
      <c r="BL295" s="25"/>
      <c r="BM295" s="84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92"/>
      <c r="DG295" s="92"/>
      <c r="DH295" s="203"/>
      <c r="DI295" s="203"/>
      <c r="DJ295" s="203"/>
      <c r="DK295" s="203"/>
      <c r="DL295" s="203"/>
      <c r="DM295" s="203"/>
      <c r="DN295" s="203"/>
      <c r="DO295" s="203"/>
      <c r="DP295" s="208"/>
      <c r="DQ295" s="208"/>
      <c r="DR295" s="208"/>
      <c r="DS295" s="208"/>
      <c r="DT295" s="208"/>
      <c r="DU295" s="208"/>
      <c r="DV295" s="208"/>
      <c r="DW295" s="208"/>
      <c r="DX295" s="208"/>
      <c r="DY295" s="208"/>
      <c r="DZ295" s="208"/>
      <c r="EA295" s="208"/>
      <c r="EB295" s="208"/>
      <c r="EC295" s="208"/>
      <c r="ED295" s="208"/>
      <c r="EE295" s="208"/>
      <c r="EF295" s="208"/>
      <c r="EG295" s="208"/>
      <c r="EH295" s="208"/>
      <c r="EI295" s="208"/>
      <c r="EJ295" s="208"/>
      <c r="EK295" s="208"/>
      <c r="EL295" s="208"/>
      <c r="EM295" s="208"/>
      <c r="EN295" s="208"/>
      <c r="EO295" s="208"/>
      <c r="EP295" s="208"/>
      <c r="EQ295" s="208"/>
      <c r="ER295" s="208"/>
      <c r="ES295" s="208"/>
      <c r="ET295" s="208"/>
      <c r="EU295" s="208"/>
      <c r="EV295" s="208"/>
      <c r="EW295" s="208"/>
      <c r="EX295" s="208"/>
      <c r="EY295" s="208"/>
      <c r="EZ295" s="208">
        <v>0</v>
      </c>
      <c r="FA295" s="208">
        <v>0</v>
      </c>
      <c r="FB295" s="208">
        <v>0</v>
      </c>
      <c r="FC295" s="208"/>
      <c r="FD295" s="82"/>
      <c r="FE295" s="30"/>
    </row>
    <row r="296" spans="1:161" ht="15" hidden="1">
      <c r="A296" s="25" t="s">
        <v>279</v>
      </c>
      <c r="B296" s="212" t="s">
        <v>139</v>
      </c>
      <c r="C296" s="138"/>
      <c r="D296" s="221"/>
      <c r="E296" s="239">
        <v>770</v>
      </c>
      <c r="F296" s="95"/>
      <c r="G296" s="95"/>
      <c r="H296" s="147" t="s">
        <v>656</v>
      </c>
      <c r="I296" s="147"/>
      <c r="J296" s="135"/>
      <c r="K296" s="135"/>
      <c r="L296" s="139"/>
      <c r="M296" s="134"/>
      <c r="N296" s="134"/>
      <c r="O296" s="134"/>
      <c r="P296" s="134"/>
      <c r="Q296" s="134"/>
      <c r="R296" s="134"/>
      <c r="S296" s="139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3"/>
      <c r="BE296" s="83"/>
      <c r="BF296" s="83"/>
      <c r="BG296" s="82"/>
      <c r="BH296" s="81"/>
      <c r="BI296" s="80"/>
      <c r="BJ296" s="25"/>
      <c r="BK296" s="25"/>
      <c r="BL296" s="25"/>
      <c r="BM296" s="84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92"/>
      <c r="DG296" s="92"/>
      <c r="DH296" s="203"/>
      <c r="DI296" s="203"/>
      <c r="DJ296" s="203"/>
      <c r="DK296" s="203"/>
      <c r="DL296" s="203"/>
      <c r="DM296" s="203"/>
      <c r="DN296" s="203"/>
      <c r="DO296" s="203"/>
      <c r="DP296" s="208"/>
      <c r="DQ296" s="208"/>
      <c r="DR296" s="208"/>
      <c r="DS296" s="208"/>
      <c r="DT296" s="208"/>
      <c r="DU296" s="208"/>
      <c r="DV296" s="208"/>
      <c r="DW296" s="208"/>
      <c r="DX296" s="208"/>
      <c r="DY296" s="208"/>
      <c r="DZ296" s="208"/>
      <c r="EA296" s="208"/>
      <c r="EB296" s="208"/>
      <c r="EC296" s="208"/>
      <c r="ED296" s="208"/>
      <c r="EE296" s="208"/>
      <c r="EF296" s="208"/>
      <c r="EG296" s="208"/>
      <c r="EH296" s="208"/>
      <c r="EI296" s="208"/>
      <c r="EJ296" s="208"/>
      <c r="EK296" s="208"/>
      <c r="EL296" s="208"/>
      <c r="EM296" s="208"/>
      <c r="EN296" s="208"/>
      <c r="EO296" s="208"/>
      <c r="EP296" s="208"/>
      <c r="EQ296" s="208"/>
      <c r="ER296" s="208"/>
      <c r="ES296" s="208"/>
      <c r="ET296" s="208"/>
      <c r="EU296" s="208"/>
      <c r="EV296" s="208"/>
      <c r="EW296" s="208"/>
      <c r="EX296" s="208"/>
      <c r="EY296" s="208"/>
      <c r="EZ296" s="208">
        <v>0</v>
      </c>
      <c r="FA296" s="208">
        <v>0</v>
      </c>
      <c r="FB296" s="208">
        <v>0</v>
      </c>
      <c r="FC296" s="208"/>
      <c r="FD296" s="82"/>
      <c r="FE296" s="30"/>
    </row>
    <row r="297" spans="1:161" ht="15" hidden="1">
      <c r="A297" s="25" t="s">
        <v>280</v>
      </c>
      <c r="B297" s="212" t="s">
        <v>139</v>
      </c>
      <c r="C297" s="138"/>
      <c r="D297" s="221"/>
      <c r="E297" s="239">
        <v>770</v>
      </c>
      <c r="F297" s="95"/>
      <c r="G297" s="95"/>
      <c r="H297" s="147" t="s">
        <v>656</v>
      </c>
      <c r="I297" s="147"/>
      <c r="J297" s="135"/>
      <c r="K297" s="135"/>
      <c r="L297" s="139"/>
      <c r="M297" s="134"/>
      <c r="N297" s="134"/>
      <c r="O297" s="134"/>
      <c r="P297" s="134"/>
      <c r="Q297" s="134"/>
      <c r="R297" s="134"/>
      <c r="S297" s="139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3"/>
      <c r="BE297" s="83"/>
      <c r="BF297" s="83"/>
      <c r="BG297" s="82"/>
      <c r="BH297" s="81"/>
      <c r="BI297" s="80"/>
      <c r="BJ297" s="25"/>
      <c r="BK297" s="25"/>
      <c r="BL297" s="25"/>
      <c r="BM297" s="84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92"/>
      <c r="DG297" s="92"/>
      <c r="DH297" s="203"/>
      <c r="DI297" s="203"/>
      <c r="DJ297" s="203"/>
      <c r="DK297" s="203"/>
      <c r="DL297" s="203"/>
      <c r="DM297" s="203"/>
      <c r="DN297" s="203"/>
      <c r="DO297" s="203"/>
      <c r="DP297" s="208"/>
      <c r="DQ297" s="208"/>
      <c r="DR297" s="208"/>
      <c r="DS297" s="208"/>
      <c r="DT297" s="208"/>
      <c r="DU297" s="208"/>
      <c r="DV297" s="208"/>
      <c r="DW297" s="208"/>
      <c r="DX297" s="208"/>
      <c r="DY297" s="208"/>
      <c r="DZ297" s="208"/>
      <c r="EA297" s="208"/>
      <c r="EB297" s="208"/>
      <c r="EC297" s="208"/>
      <c r="ED297" s="208"/>
      <c r="EE297" s="208"/>
      <c r="EF297" s="208"/>
      <c r="EG297" s="208"/>
      <c r="EH297" s="208"/>
      <c r="EI297" s="208"/>
      <c r="EJ297" s="208"/>
      <c r="EK297" s="208"/>
      <c r="EL297" s="208"/>
      <c r="EM297" s="208"/>
      <c r="EN297" s="208"/>
      <c r="EO297" s="208"/>
      <c r="EP297" s="208"/>
      <c r="EQ297" s="208"/>
      <c r="ER297" s="208"/>
      <c r="ES297" s="208"/>
      <c r="ET297" s="208"/>
      <c r="EU297" s="208"/>
      <c r="EV297" s="208"/>
      <c r="EW297" s="208"/>
      <c r="EX297" s="208"/>
      <c r="EY297" s="208"/>
      <c r="EZ297" s="208">
        <v>0</v>
      </c>
      <c r="FA297" s="208">
        <v>0</v>
      </c>
      <c r="FB297" s="208">
        <v>0</v>
      </c>
      <c r="FC297" s="208"/>
      <c r="FD297" s="82"/>
      <c r="FE297" s="30"/>
    </row>
    <row r="298" spans="1:161" ht="15" hidden="1">
      <c r="A298" s="25" t="s">
        <v>281</v>
      </c>
      <c r="B298" s="212" t="s">
        <v>139</v>
      </c>
      <c r="C298" s="138"/>
      <c r="D298" s="221"/>
      <c r="E298" s="239">
        <v>770</v>
      </c>
      <c r="F298" s="95"/>
      <c r="G298" s="95"/>
      <c r="H298" s="147" t="s">
        <v>656</v>
      </c>
      <c r="I298" s="147"/>
      <c r="J298" s="135"/>
      <c r="K298" s="135"/>
      <c r="L298" s="139"/>
      <c r="M298" s="134"/>
      <c r="N298" s="134"/>
      <c r="O298" s="134"/>
      <c r="P298" s="134"/>
      <c r="Q298" s="134"/>
      <c r="R298" s="134"/>
      <c r="S298" s="139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3"/>
      <c r="BE298" s="83"/>
      <c r="BF298" s="83"/>
      <c r="BG298" s="82"/>
      <c r="BH298" s="81"/>
      <c r="BI298" s="80"/>
      <c r="BJ298" s="25"/>
      <c r="BK298" s="25"/>
      <c r="BL298" s="25"/>
      <c r="BM298" s="84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92"/>
      <c r="DG298" s="92"/>
      <c r="DH298" s="203"/>
      <c r="DI298" s="203"/>
      <c r="DJ298" s="203"/>
      <c r="DK298" s="203"/>
      <c r="DL298" s="203"/>
      <c r="DM298" s="203"/>
      <c r="DN298" s="203"/>
      <c r="DO298" s="203"/>
      <c r="DP298" s="208"/>
      <c r="DQ298" s="208"/>
      <c r="DR298" s="208"/>
      <c r="DS298" s="208"/>
      <c r="DT298" s="208"/>
      <c r="DU298" s="208"/>
      <c r="DV298" s="208"/>
      <c r="DW298" s="208"/>
      <c r="DX298" s="208"/>
      <c r="DY298" s="208"/>
      <c r="DZ298" s="208"/>
      <c r="EA298" s="208"/>
      <c r="EB298" s="208"/>
      <c r="EC298" s="208"/>
      <c r="ED298" s="208"/>
      <c r="EE298" s="208"/>
      <c r="EF298" s="208"/>
      <c r="EG298" s="208"/>
      <c r="EH298" s="208"/>
      <c r="EI298" s="208"/>
      <c r="EJ298" s="208"/>
      <c r="EK298" s="208"/>
      <c r="EL298" s="208"/>
      <c r="EM298" s="208"/>
      <c r="EN298" s="208"/>
      <c r="EO298" s="208"/>
      <c r="EP298" s="208"/>
      <c r="EQ298" s="208"/>
      <c r="ER298" s="208"/>
      <c r="ES298" s="208"/>
      <c r="ET298" s="208"/>
      <c r="EU298" s="208"/>
      <c r="EV298" s="208"/>
      <c r="EW298" s="208"/>
      <c r="EX298" s="208"/>
      <c r="EY298" s="208"/>
      <c r="EZ298" s="208">
        <v>0</v>
      </c>
      <c r="FA298" s="208">
        <v>0</v>
      </c>
      <c r="FB298" s="208">
        <v>0</v>
      </c>
      <c r="FC298" s="208"/>
      <c r="FD298" s="82"/>
      <c r="FE298" s="30"/>
    </row>
    <row r="299" spans="1:161" ht="15" hidden="1">
      <c r="A299" s="25" t="s">
        <v>282</v>
      </c>
      <c r="B299" s="212" t="s">
        <v>139</v>
      </c>
      <c r="C299" s="138"/>
      <c r="D299" s="221"/>
      <c r="E299" s="239">
        <v>770</v>
      </c>
      <c r="F299" s="95"/>
      <c r="G299" s="95"/>
      <c r="H299" s="147" t="s">
        <v>656</v>
      </c>
      <c r="I299" s="147"/>
      <c r="J299" s="135"/>
      <c r="K299" s="135"/>
      <c r="L299" s="139"/>
      <c r="M299" s="134"/>
      <c r="N299" s="134"/>
      <c r="O299" s="134"/>
      <c r="P299" s="134"/>
      <c r="Q299" s="134"/>
      <c r="R299" s="134"/>
      <c r="S299" s="139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3"/>
      <c r="BE299" s="83"/>
      <c r="BF299" s="83"/>
      <c r="BG299" s="82"/>
      <c r="BH299" s="81"/>
      <c r="BI299" s="80"/>
      <c r="BJ299" s="25"/>
      <c r="BK299" s="25"/>
      <c r="BL299" s="25"/>
      <c r="BM299" s="84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92"/>
      <c r="DG299" s="92"/>
      <c r="DH299" s="203"/>
      <c r="DI299" s="203"/>
      <c r="DJ299" s="203"/>
      <c r="DK299" s="203"/>
      <c r="DL299" s="203"/>
      <c r="DM299" s="203"/>
      <c r="DN299" s="203"/>
      <c r="DO299" s="203"/>
      <c r="DP299" s="208"/>
      <c r="DQ299" s="208"/>
      <c r="DR299" s="208"/>
      <c r="DS299" s="208"/>
      <c r="DT299" s="208"/>
      <c r="DU299" s="208"/>
      <c r="DV299" s="208"/>
      <c r="DW299" s="208"/>
      <c r="DX299" s="208"/>
      <c r="DY299" s="208"/>
      <c r="DZ299" s="208"/>
      <c r="EA299" s="208"/>
      <c r="EB299" s="208"/>
      <c r="EC299" s="208"/>
      <c r="ED299" s="208"/>
      <c r="EE299" s="208"/>
      <c r="EF299" s="208"/>
      <c r="EG299" s="208"/>
      <c r="EH299" s="208"/>
      <c r="EI299" s="208"/>
      <c r="EJ299" s="208"/>
      <c r="EK299" s="208"/>
      <c r="EL299" s="208"/>
      <c r="EM299" s="208"/>
      <c r="EN299" s="208"/>
      <c r="EO299" s="208"/>
      <c r="EP299" s="208"/>
      <c r="EQ299" s="208"/>
      <c r="ER299" s="208"/>
      <c r="ES299" s="208"/>
      <c r="ET299" s="208"/>
      <c r="EU299" s="208"/>
      <c r="EV299" s="208"/>
      <c r="EW299" s="208"/>
      <c r="EX299" s="208"/>
      <c r="EY299" s="208"/>
      <c r="EZ299" s="208">
        <v>0</v>
      </c>
      <c r="FA299" s="208">
        <v>0</v>
      </c>
      <c r="FB299" s="208">
        <v>0</v>
      </c>
      <c r="FC299" s="208"/>
      <c r="FD299" s="82"/>
      <c r="FE299" s="30"/>
    </row>
    <row r="300" spans="1:161" ht="15" hidden="1">
      <c r="A300" s="25" t="s">
        <v>283</v>
      </c>
      <c r="B300" s="212" t="s">
        <v>139</v>
      </c>
      <c r="C300" s="138"/>
      <c r="D300" s="221"/>
      <c r="E300" s="239">
        <v>770</v>
      </c>
      <c r="F300" s="95"/>
      <c r="G300" s="95"/>
      <c r="H300" s="147" t="s">
        <v>656</v>
      </c>
      <c r="I300" s="147"/>
      <c r="J300" s="135"/>
      <c r="K300" s="135"/>
      <c r="L300" s="139"/>
      <c r="M300" s="134"/>
      <c r="N300" s="134"/>
      <c r="O300" s="134"/>
      <c r="P300" s="134"/>
      <c r="Q300" s="134"/>
      <c r="R300" s="134"/>
      <c r="S300" s="139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3"/>
      <c r="BE300" s="83"/>
      <c r="BF300" s="83"/>
      <c r="BG300" s="82"/>
      <c r="BH300" s="81"/>
      <c r="BI300" s="80"/>
      <c r="BJ300" s="25"/>
      <c r="BK300" s="25"/>
      <c r="BL300" s="25"/>
      <c r="BM300" s="84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92"/>
      <c r="DG300" s="92"/>
      <c r="DH300" s="203"/>
      <c r="DI300" s="203"/>
      <c r="DJ300" s="203"/>
      <c r="DK300" s="203"/>
      <c r="DL300" s="203"/>
      <c r="DM300" s="203"/>
      <c r="DN300" s="203"/>
      <c r="DO300" s="203"/>
      <c r="DP300" s="208"/>
      <c r="DQ300" s="208"/>
      <c r="DR300" s="208"/>
      <c r="DS300" s="208"/>
      <c r="DT300" s="208"/>
      <c r="DU300" s="208"/>
      <c r="DV300" s="208"/>
      <c r="DW300" s="208"/>
      <c r="DX300" s="208"/>
      <c r="DY300" s="208"/>
      <c r="DZ300" s="208"/>
      <c r="EA300" s="208"/>
      <c r="EB300" s="208"/>
      <c r="EC300" s="208"/>
      <c r="ED300" s="208"/>
      <c r="EE300" s="208"/>
      <c r="EF300" s="208"/>
      <c r="EG300" s="208"/>
      <c r="EH300" s="208"/>
      <c r="EI300" s="208"/>
      <c r="EJ300" s="208"/>
      <c r="EK300" s="208"/>
      <c r="EL300" s="208"/>
      <c r="EM300" s="208"/>
      <c r="EN300" s="208"/>
      <c r="EO300" s="208"/>
      <c r="EP300" s="208"/>
      <c r="EQ300" s="208"/>
      <c r="ER300" s="208"/>
      <c r="ES300" s="208"/>
      <c r="ET300" s="208"/>
      <c r="EU300" s="208"/>
      <c r="EV300" s="208"/>
      <c r="EW300" s="208"/>
      <c r="EX300" s="208"/>
      <c r="EY300" s="208"/>
      <c r="EZ300" s="208">
        <v>0</v>
      </c>
      <c r="FA300" s="208">
        <v>0</v>
      </c>
      <c r="FB300" s="208">
        <v>0</v>
      </c>
      <c r="FC300" s="208"/>
      <c r="FD300" s="82"/>
      <c r="FE300" s="30"/>
    </row>
    <row r="301" spans="1:161" ht="15" hidden="1">
      <c r="A301" s="25" t="s">
        <v>284</v>
      </c>
      <c r="B301" s="212" t="s">
        <v>139</v>
      </c>
      <c r="C301" s="138"/>
      <c r="D301" s="221"/>
      <c r="E301" s="239">
        <v>770</v>
      </c>
      <c r="F301" s="95"/>
      <c r="G301" s="95"/>
      <c r="H301" s="147" t="s">
        <v>656</v>
      </c>
      <c r="I301" s="147"/>
      <c r="J301" s="135"/>
      <c r="K301" s="135"/>
      <c r="L301" s="139"/>
      <c r="M301" s="134"/>
      <c r="N301" s="134"/>
      <c r="O301" s="134"/>
      <c r="P301" s="134"/>
      <c r="Q301" s="134"/>
      <c r="R301" s="134"/>
      <c r="S301" s="139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3"/>
      <c r="BE301" s="83"/>
      <c r="BF301" s="83"/>
      <c r="BG301" s="82"/>
      <c r="BH301" s="81"/>
      <c r="BI301" s="80"/>
      <c r="BJ301" s="25"/>
      <c r="BK301" s="25"/>
      <c r="BL301" s="25"/>
      <c r="BM301" s="84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92"/>
      <c r="DG301" s="92"/>
      <c r="DH301" s="203"/>
      <c r="DI301" s="203"/>
      <c r="DJ301" s="203"/>
      <c r="DK301" s="203"/>
      <c r="DL301" s="203"/>
      <c r="DM301" s="203"/>
      <c r="DN301" s="203"/>
      <c r="DO301" s="203"/>
      <c r="DP301" s="208"/>
      <c r="DQ301" s="208"/>
      <c r="DR301" s="208"/>
      <c r="DS301" s="208"/>
      <c r="DT301" s="208"/>
      <c r="DU301" s="208"/>
      <c r="DV301" s="208"/>
      <c r="DW301" s="208"/>
      <c r="DX301" s="208"/>
      <c r="DY301" s="208"/>
      <c r="DZ301" s="208"/>
      <c r="EA301" s="208"/>
      <c r="EB301" s="208"/>
      <c r="EC301" s="208"/>
      <c r="ED301" s="208"/>
      <c r="EE301" s="208"/>
      <c r="EF301" s="208"/>
      <c r="EG301" s="208"/>
      <c r="EH301" s="208"/>
      <c r="EI301" s="208"/>
      <c r="EJ301" s="208"/>
      <c r="EK301" s="208"/>
      <c r="EL301" s="208"/>
      <c r="EM301" s="208"/>
      <c r="EN301" s="208"/>
      <c r="EO301" s="208"/>
      <c r="EP301" s="208"/>
      <c r="EQ301" s="208"/>
      <c r="ER301" s="208"/>
      <c r="ES301" s="208"/>
      <c r="ET301" s="208"/>
      <c r="EU301" s="208"/>
      <c r="EV301" s="208"/>
      <c r="EW301" s="208"/>
      <c r="EX301" s="208"/>
      <c r="EY301" s="208"/>
      <c r="EZ301" s="208">
        <v>0</v>
      </c>
      <c r="FA301" s="208">
        <v>0</v>
      </c>
      <c r="FB301" s="208">
        <v>0</v>
      </c>
      <c r="FC301" s="208"/>
      <c r="FD301" s="82"/>
      <c r="FE301" s="30"/>
    </row>
    <row r="302" spans="1:161" ht="15" hidden="1">
      <c r="A302" s="25" t="s">
        <v>285</v>
      </c>
      <c r="B302" s="212" t="s">
        <v>139</v>
      </c>
      <c r="C302" s="138"/>
      <c r="D302" s="221"/>
      <c r="E302" s="239">
        <v>770</v>
      </c>
      <c r="F302" s="95"/>
      <c r="G302" s="95"/>
      <c r="H302" s="147" t="s">
        <v>656</v>
      </c>
      <c r="I302" s="147"/>
      <c r="J302" s="135"/>
      <c r="K302" s="135"/>
      <c r="L302" s="139"/>
      <c r="M302" s="134"/>
      <c r="N302" s="134"/>
      <c r="O302" s="134"/>
      <c r="P302" s="134"/>
      <c r="Q302" s="134"/>
      <c r="R302" s="134"/>
      <c r="S302" s="139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3"/>
      <c r="BE302" s="83"/>
      <c r="BF302" s="83"/>
      <c r="BG302" s="82"/>
      <c r="BH302" s="81"/>
      <c r="BI302" s="80"/>
      <c r="BJ302" s="25"/>
      <c r="BK302" s="25"/>
      <c r="BL302" s="25"/>
      <c r="BM302" s="84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92"/>
      <c r="DG302" s="92"/>
      <c r="DH302" s="203"/>
      <c r="DI302" s="203"/>
      <c r="DJ302" s="203"/>
      <c r="DK302" s="203"/>
      <c r="DL302" s="203"/>
      <c r="DM302" s="203"/>
      <c r="DN302" s="203"/>
      <c r="DO302" s="203"/>
      <c r="DP302" s="208"/>
      <c r="DQ302" s="208"/>
      <c r="DR302" s="208"/>
      <c r="DS302" s="208"/>
      <c r="DT302" s="208"/>
      <c r="DU302" s="208"/>
      <c r="DV302" s="208"/>
      <c r="DW302" s="208"/>
      <c r="DX302" s="208"/>
      <c r="DY302" s="208"/>
      <c r="DZ302" s="208"/>
      <c r="EA302" s="208"/>
      <c r="EB302" s="208"/>
      <c r="EC302" s="208"/>
      <c r="ED302" s="208"/>
      <c r="EE302" s="208"/>
      <c r="EF302" s="208"/>
      <c r="EG302" s="208"/>
      <c r="EH302" s="208"/>
      <c r="EI302" s="208"/>
      <c r="EJ302" s="208"/>
      <c r="EK302" s="208"/>
      <c r="EL302" s="208"/>
      <c r="EM302" s="208"/>
      <c r="EN302" s="208"/>
      <c r="EO302" s="208"/>
      <c r="EP302" s="208"/>
      <c r="EQ302" s="208"/>
      <c r="ER302" s="208"/>
      <c r="ES302" s="208"/>
      <c r="ET302" s="208"/>
      <c r="EU302" s="208"/>
      <c r="EV302" s="208"/>
      <c r="EW302" s="208"/>
      <c r="EX302" s="208"/>
      <c r="EY302" s="208"/>
      <c r="EZ302" s="208">
        <v>0</v>
      </c>
      <c r="FA302" s="208">
        <v>0</v>
      </c>
      <c r="FB302" s="208">
        <v>0</v>
      </c>
      <c r="FC302" s="208"/>
      <c r="FD302" s="82"/>
      <c r="FE302" s="30"/>
    </row>
    <row r="303" spans="1:161" ht="15" hidden="1">
      <c r="A303" s="25" t="s">
        <v>286</v>
      </c>
      <c r="B303" s="212" t="s">
        <v>139</v>
      </c>
      <c r="C303" s="138"/>
      <c r="D303" s="221"/>
      <c r="E303" s="239">
        <v>770</v>
      </c>
      <c r="F303" s="95"/>
      <c r="G303" s="95"/>
      <c r="H303" s="147" t="s">
        <v>656</v>
      </c>
      <c r="I303" s="147"/>
      <c r="J303" s="135"/>
      <c r="K303" s="135"/>
      <c r="L303" s="139"/>
      <c r="M303" s="134"/>
      <c r="N303" s="134"/>
      <c r="O303" s="134"/>
      <c r="P303" s="134"/>
      <c r="Q303" s="134"/>
      <c r="R303" s="134"/>
      <c r="S303" s="139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3"/>
      <c r="BE303" s="83"/>
      <c r="BF303" s="83"/>
      <c r="BG303" s="82"/>
      <c r="BH303" s="81"/>
      <c r="BI303" s="80"/>
      <c r="BJ303" s="25"/>
      <c r="BK303" s="25"/>
      <c r="BL303" s="25"/>
      <c r="BM303" s="84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92"/>
      <c r="DG303" s="92"/>
      <c r="DH303" s="203"/>
      <c r="DI303" s="203"/>
      <c r="DJ303" s="203"/>
      <c r="DK303" s="203"/>
      <c r="DL303" s="203"/>
      <c r="DM303" s="203"/>
      <c r="DN303" s="203"/>
      <c r="DO303" s="203"/>
      <c r="DP303" s="208"/>
      <c r="DQ303" s="208"/>
      <c r="DR303" s="208"/>
      <c r="DS303" s="208"/>
      <c r="DT303" s="208"/>
      <c r="DU303" s="208"/>
      <c r="DV303" s="208"/>
      <c r="DW303" s="208"/>
      <c r="DX303" s="208"/>
      <c r="DY303" s="208"/>
      <c r="DZ303" s="208"/>
      <c r="EA303" s="208"/>
      <c r="EB303" s="208"/>
      <c r="EC303" s="208"/>
      <c r="ED303" s="208"/>
      <c r="EE303" s="208"/>
      <c r="EF303" s="208"/>
      <c r="EG303" s="208"/>
      <c r="EH303" s="208"/>
      <c r="EI303" s="208"/>
      <c r="EJ303" s="208"/>
      <c r="EK303" s="208"/>
      <c r="EL303" s="208"/>
      <c r="EM303" s="208"/>
      <c r="EN303" s="208"/>
      <c r="EO303" s="208"/>
      <c r="EP303" s="208"/>
      <c r="EQ303" s="208"/>
      <c r="ER303" s="208"/>
      <c r="ES303" s="208"/>
      <c r="ET303" s="208"/>
      <c r="EU303" s="208"/>
      <c r="EV303" s="208"/>
      <c r="EW303" s="208"/>
      <c r="EX303" s="208"/>
      <c r="EY303" s="208"/>
      <c r="EZ303" s="208">
        <v>0</v>
      </c>
      <c r="FA303" s="208">
        <v>0</v>
      </c>
      <c r="FB303" s="208">
        <v>0</v>
      </c>
      <c r="FC303" s="208"/>
      <c r="FD303" s="82"/>
      <c r="FE303" s="30"/>
    </row>
    <row r="304" spans="1:161" ht="15" hidden="1">
      <c r="A304" s="25" t="s">
        <v>287</v>
      </c>
      <c r="B304" s="212" t="s">
        <v>139</v>
      </c>
      <c r="C304" s="138"/>
      <c r="D304" s="221"/>
      <c r="E304" s="239">
        <v>770</v>
      </c>
      <c r="F304" s="95"/>
      <c r="G304" s="95"/>
      <c r="H304" s="147" t="s">
        <v>656</v>
      </c>
      <c r="I304" s="147"/>
      <c r="J304" s="135"/>
      <c r="K304" s="135"/>
      <c r="L304" s="139"/>
      <c r="M304" s="134"/>
      <c r="N304" s="134"/>
      <c r="O304" s="134"/>
      <c r="P304" s="134"/>
      <c r="Q304" s="134"/>
      <c r="R304" s="134"/>
      <c r="S304" s="139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3"/>
      <c r="BE304" s="83"/>
      <c r="BF304" s="83"/>
      <c r="BG304" s="82"/>
      <c r="BH304" s="81"/>
      <c r="BI304" s="80"/>
      <c r="BJ304" s="25"/>
      <c r="BK304" s="25"/>
      <c r="BL304" s="25"/>
      <c r="BM304" s="84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  <c r="CX304" s="25"/>
      <c r="CY304" s="25"/>
      <c r="CZ304" s="25"/>
      <c r="DA304" s="25"/>
      <c r="DB304" s="25"/>
      <c r="DC304" s="25"/>
      <c r="DD304" s="25"/>
      <c r="DE304" s="25"/>
      <c r="DF304" s="92"/>
      <c r="DG304" s="92"/>
      <c r="DH304" s="203"/>
      <c r="DI304" s="203"/>
      <c r="DJ304" s="203"/>
      <c r="DK304" s="203"/>
      <c r="DL304" s="203"/>
      <c r="DM304" s="203"/>
      <c r="DN304" s="203"/>
      <c r="DO304" s="203"/>
      <c r="DP304" s="208"/>
      <c r="DQ304" s="208"/>
      <c r="DR304" s="208"/>
      <c r="DS304" s="208"/>
      <c r="DT304" s="208"/>
      <c r="DU304" s="208"/>
      <c r="DV304" s="208"/>
      <c r="DW304" s="208"/>
      <c r="DX304" s="208"/>
      <c r="DY304" s="208"/>
      <c r="DZ304" s="208"/>
      <c r="EA304" s="208"/>
      <c r="EB304" s="208"/>
      <c r="EC304" s="208"/>
      <c r="ED304" s="208"/>
      <c r="EE304" s="208"/>
      <c r="EF304" s="208"/>
      <c r="EG304" s="208"/>
      <c r="EH304" s="208"/>
      <c r="EI304" s="208"/>
      <c r="EJ304" s="208"/>
      <c r="EK304" s="208"/>
      <c r="EL304" s="208"/>
      <c r="EM304" s="208"/>
      <c r="EN304" s="208"/>
      <c r="EO304" s="208"/>
      <c r="EP304" s="208"/>
      <c r="EQ304" s="208"/>
      <c r="ER304" s="208"/>
      <c r="ES304" s="208"/>
      <c r="ET304" s="208"/>
      <c r="EU304" s="208"/>
      <c r="EV304" s="208"/>
      <c r="EW304" s="208"/>
      <c r="EX304" s="208"/>
      <c r="EY304" s="208"/>
      <c r="EZ304" s="208">
        <v>0</v>
      </c>
      <c r="FA304" s="208">
        <v>0</v>
      </c>
      <c r="FB304" s="208">
        <v>0</v>
      </c>
      <c r="FC304" s="208"/>
      <c r="FD304" s="82"/>
      <c r="FE304" s="30"/>
    </row>
    <row r="305" spans="1:161" ht="15" hidden="1">
      <c r="A305" s="25" t="s">
        <v>288</v>
      </c>
      <c r="B305" s="212" t="s">
        <v>139</v>
      </c>
      <c r="C305" s="138"/>
      <c r="D305" s="221"/>
      <c r="E305" s="239">
        <v>770</v>
      </c>
      <c r="F305" s="95"/>
      <c r="G305" s="95"/>
      <c r="H305" s="147" t="s">
        <v>656</v>
      </c>
      <c r="I305" s="147"/>
      <c r="J305" s="135"/>
      <c r="K305" s="135"/>
      <c r="L305" s="139"/>
      <c r="M305" s="134"/>
      <c r="N305" s="134"/>
      <c r="O305" s="134"/>
      <c r="P305" s="134"/>
      <c r="Q305" s="134"/>
      <c r="R305" s="134"/>
      <c r="S305" s="139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3"/>
      <c r="BE305" s="83"/>
      <c r="BF305" s="83"/>
      <c r="BG305" s="82"/>
      <c r="BH305" s="81"/>
      <c r="BI305" s="80"/>
      <c r="BJ305" s="25"/>
      <c r="BK305" s="25"/>
      <c r="BL305" s="25"/>
      <c r="BM305" s="84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92"/>
      <c r="DG305" s="92"/>
      <c r="DH305" s="203"/>
      <c r="DI305" s="203"/>
      <c r="DJ305" s="203"/>
      <c r="DK305" s="203"/>
      <c r="DL305" s="203"/>
      <c r="DM305" s="203"/>
      <c r="DN305" s="203"/>
      <c r="DO305" s="203"/>
      <c r="DP305" s="208"/>
      <c r="DQ305" s="208"/>
      <c r="DR305" s="208"/>
      <c r="DS305" s="208"/>
      <c r="DT305" s="208"/>
      <c r="DU305" s="208"/>
      <c r="DV305" s="208"/>
      <c r="DW305" s="208"/>
      <c r="DX305" s="208"/>
      <c r="DY305" s="208"/>
      <c r="DZ305" s="208"/>
      <c r="EA305" s="208"/>
      <c r="EB305" s="208"/>
      <c r="EC305" s="208"/>
      <c r="ED305" s="208"/>
      <c r="EE305" s="208"/>
      <c r="EF305" s="208"/>
      <c r="EG305" s="208"/>
      <c r="EH305" s="208"/>
      <c r="EI305" s="208"/>
      <c r="EJ305" s="208"/>
      <c r="EK305" s="208"/>
      <c r="EL305" s="208"/>
      <c r="EM305" s="208"/>
      <c r="EN305" s="208"/>
      <c r="EO305" s="208"/>
      <c r="EP305" s="208"/>
      <c r="EQ305" s="208"/>
      <c r="ER305" s="208"/>
      <c r="ES305" s="208"/>
      <c r="ET305" s="208"/>
      <c r="EU305" s="208"/>
      <c r="EV305" s="208"/>
      <c r="EW305" s="208"/>
      <c r="EX305" s="208"/>
      <c r="EY305" s="208"/>
      <c r="EZ305" s="208">
        <v>0</v>
      </c>
      <c r="FA305" s="208">
        <v>0</v>
      </c>
      <c r="FB305" s="208">
        <v>0</v>
      </c>
      <c r="FC305" s="208"/>
      <c r="FD305" s="82"/>
      <c r="FE305" s="30"/>
    </row>
    <row r="306" spans="1:161" ht="15" hidden="1">
      <c r="A306" s="25" t="s">
        <v>289</v>
      </c>
      <c r="B306" s="212" t="s">
        <v>139</v>
      </c>
      <c r="C306" s="138"/>
      <c r="D306" s="221"/>
      <c r="E306" s="239">
        <v>770</v>
      </c>
      <c r="F306" s="95"/>
      <c r="G306" s="95"/>
      <c r="H306" s="147" t="s">
        <v>656</v>
      </c>
      <c r="I306" s="147"/>
      <c r="J306" s="135"/>
      <c r="K306" s="135"/>
      <c r="L306" s="139"/>
      <c r="M306" s="134"/>
      <c r="N306" s="134"/>
      <c r="O306" s="134"/>
      <c r="P306" s="134"/>
      <c r="Q306" s="134"/>
      <c r="R306" s="134"/>
      <c r="S306" s="139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3"/>
      <c r="BE306" s="83"/>
      <c r="BF306" s="83"/>
      <c r="BG306" s="82"/>
      <c r="BH306" s="81"/>
      <c r="BI306" s="80"/>
      <c r="BJ306" s="25"/>
      <c r="BK306" s="25"/>
      <c r="BL306" s="25"/>
      <c r="BM306" s="84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92"/>
      <c r="DG306" s="92"/>
      <c r="DH306" s="203"/>
      <c r="DI306" s="203"/>
      <c r="DJ306" s="203"/>
      <c r="DK306" s="203"/>
      <c r="DL306" s="203"/>
      <c r="DM306" s="203"/>
      <c r="DN306" s="203"/>
      <c r="DO306" s="203"/>
      <c r="DP306" s="208"/>
      <c r="DQ306" s="208"/>
      <c r="DR306" s="208"/>
      <c r="DS306" s="208"/>
      <c r="DT306" s="208"/>
      <c r="DU306" s="208"/>
      <c r="DV306" s="208"/>
      <c r="DW306" s="208"/>
      <c r="DX306" s="208"/>
      <c r="DY306" s="208"/>
      <c r="DZ306" s="208"/>
      <c r="EA306" s="208"/>
      <c r="EB306" s="208"/>
      <c r="EC306" s="208"/>
      <c r="ED306" s="208"/>
      <c r="EE306" s="208"/>
      <c r="EF306" s="208"/>
      <c r="EG306" s="208"/>
      <c r="EH306" s="208"/>
      <c r="EI306" s="208"/>
      <c r="EJ306" s="208"/>
      <c r="EK306" s="208"/>
      <c r="EL306" s="208"/>
      <c r="EM306" s="208"/>
      <c r="EN306" s="208"/>
      <c r="EO306" s="208"/>
      <c r="EP306" s="208"/>
      <c r="EQ306" s="208"/>
      <c r="ER306" s="208"/>
      <c r="ES306" s="208"/>
      <c r="ET306" s="208"/>
      <c r="EU306" s="208"/>
      <c r="EV306" s="208"/>
      <c r="EW306" s="208"/>
      <c r="EX306" s="208"/>
      <c r="EY306" s="208"/>
      <c r="EZ306" s="208">
        <v>0</v>
      </c>
      <c r="FA306" s="208">
        <v>0</v>
      </c>
      <c r="FB306" s="208">
        <v>0</v>
      </c>
      <c r="FC306" s="208"/>
      <c r="FD306" s="82"/>
      <c r="FE306" s="30"/>
    </row>
    <row r="307" spans="1:161" ht="15" hidden="1">
      <c r="A307" s="25" t="s">
        <v>308</v>
      </c>
      <c r="B307" s="224" t="s">
        <v>139</v>
      </c>
      <c r="C307" s="138"/>
      <c r="D307" s="221"/>
      <c r="E307" s="239">
        <v>770</v>
      </c>
      <c r="F307" s="95"/>
      <c r="G307" s="95"/>
      <c r="H307" s="225" t="s">
        <v>656</v>
      </c>
      <c r="I307" s="147"/>
      <c r="J307" s="135"/>
      <c r="K307" s="135"/>
      <c r="L307" s="139"/>
      <c r="M307" s="134"/>
      <c r="N307" s="134"/>
      <c r="O307" s="134"/>
      <c r="P307" s="134"/>
      <c r="Q307" s="134"/>
      <c r="R307" s="134"/>
      <c r="S307" s="139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3"/>
      <c r="BE307" s="83"/>
      <c r="BF307" s="83"/>
      <c r="BG307" s="82"/>
      <c r="BH307" s="81"/>
      <c r="BI307" s="80"/>
      <c r="BJ307" s="25"/>
      <c r="BK307" s="25"/>
      <c r="BL307" s="25"/>
      <c r="BM307" s="84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92"/>
      <c r="DG307" s="92"/>
      <c r="DH307" s="203"/>
      <c r="DI307" s="203"/>
      <c r="DJ307" s="203"/>
      <c r="DK307" s="203"/>
      <c r="DL307" s="203"/>
      <c r="DM307" s="203"/>
      <c r="DN307" s="203"/>
      <c r="DO307" s="203"/>
      <c r="DP307" s="208"/>
      <c r="DQ307" s="208"/>
      <c r="DR307" s="208"/>
      <c r="DS307" s="208"/>
      <c r="DT307" s="208"/>
      <c r="DU307" s="208"/>
      <c r="DV307" s="208"/>
      <c r="DW307" s="208"/>
      <c r="DX307" s="208"/>
      <c r="DY307" s="208"/>
      <c r="DZ307" s="208"/>
      <c r="EA307" s="208"/>
      <c r="EB307" s="208"/>
      <c r="EC307" s="208"/>
      <c r="ED307" s="208"/>
      <c r="EE307" s="208"/>
      <c r="EF307" s="208"/>
      <c r="EG307" s="208"/>
      <c r="EH307" s="208"/>
      <c r="EI307" s="208"/>
      <c r="EJ307" s="208"/>
      <c r="EK307" s="208"/>
      <c r="EL307" s="208"/>
      <c r="EM307" s="208"/>
      <c r="EN307" s="208"/>
      <c r="EO307" s="208"/>
      <c r="EP307" s="208"/>
      <c r="EQ307" s="208"/>
      <c r="ER307" s="208"/>
      <c r="ES307" s="208"/>
      <c r="ET307" s="208"/>
      <c r="EU307" s="208"/>
      <c r="EV307" s="208"/>
      <c r="EW307" s="208"/>
      <c r="EX307" s="208"/>
      <c r="EY307" s="208"/>
      <c r="EZ307" s="208">
        <v>0</v>
      </c>
      <c r="FA307" s="208">
        <v>0</v>
      </c>
      <c r="FB307" s="208">
        <v>0</v>
      </c>
      <c r="FC307" s="208"/>
      <c r="FD307" s="82"/>
      <c r="FE307" s="30"/>
    </row>
    <row r="308" spans="1:161" ht="15" hidden="1">
      <c r="A308" s="25" t="s">
        <v>141</v>
      </c>
      <c r="B308" s="224" t="s">
        <v>139</v>
      </c>
      <c r="C308" s="138"/>
      <c r="D308" s="221"/>
      <c r="E308" s="239">
        <v>970</v>
      </c>
      <c r="F308" s="95"/>
      <c r="G308" s="95"/>
      <c r="H308" s="225" t="s">
        <v>656</v>
      </c>
      <c r="I308" s="147"/>
      <c r="J308" s="135"/>
      <c r="K308" s="135"/>
      <c r="L308" s="139"/>
      <c r="M308" s="134"/>
      <c r="N308" s="134"/>
      <c r="O308" s="134"/>
      <c r="P308" s="134"/>
      <c r="Q308" s="134"/>
      <c r="R308" s="134"/>
      <c r="S308" s="139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3"/>
      <c r="BE308" s="83"/>
      <c r="BF308" s="83"/>
      <c r="BG308" s="82"/>
      <c r="BH308" s="81"/>
      <c r="BI308" s="80"/>
      <c r="BJ308" s="25"/>
      <c r="BK308" s="25"/>
      <c r="BL308" s="25"/>
      <c r="BM308" s="84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92"/>
      <c r="DG308" s="92"/>
      <c r="DH308" s="203"/>
      <c r="DI308" s="203"/>
      <c r="DJ308" s="203"/>
      <c r="DK308" s="203"/>
      <c r="DL308" s="203"/>
      <c r="DM308" s="203"/>
      <c r="DN308" s="203"/>
      <c r="DO308" s="203"/>
      <c r="DP308" s="208"/>
      <c r="DQ308" s="208"/>
      <c r="DR308" s="208"/>
      <c r="DS308" s="208"/>
      <c r="DT308" s="208"/>
      <c r="DU308" s="208"/>
      <c r="DV308" s="208"/>
      <c r="DW308" s="208"/>
      <c r="DX308" s="208"/>
      <c r="DY308" s="208"/>
      <c r="DZ308" s="208"/>
      <c r="EA308" s="208"/>
      <c r="EB308" s="208"/>
      <c r="EC308" s="208"/>
      <c r="ED308" s="208"/>
      <c r="EE308" s="208"/>
      <c r="EF308" s="208"/>
      <c r="EG308" s="208"/>
      <c r="EH308" s="208"/>
      <c r="EI308" s="208"/>
      <c r="EJ308" s="208"/>
      <c r="EK308" s="208"/>
      <c r="EL308" s="208"/>
      <c r="EM308" s="208"/>
      <c r="EN308" s="208"/>
      <c r="EO308" s="208"/>
      <c r="EP308" s="208"/>
      <c r="EQ308" s="208"/>
      <c r="ER308" s="208"/>
      <c r="ES308" s="208"/>
      <c r="ET308" s="208"/>
      <c r="EU308" s="208"/>
      <c r="EV308" s="208"/>
      <c r="EW308" s="208"/>
      <c r="EX308" s="208"/>
      <c r="EY308" s="208"/>
      <c r="EZ308" s="208">
        <v>0</v>
      </c>
      <c r="FA308" s="208">
        <v>0</v>
      </c>
      <c r="FB308" s="208">
        <v>0</v>
      </c>
      <c r="FC308" s="208"/>
      <c r="FD308" s="82"/>
      <c r="FE308" s="30"/>
    </row>
    <row r="309" spans="1:161" ht="15" hidden="1">
      <c r="A309" s="25" t="s">
        <v>290</v>
      </c>
      <c r="B309" s="212" t="s">
        <v>139</v>
      </c>
      <c r="C309" s="138"/>
      <c r="D309" s="221"/>
      <c r="E309" s="239">
        <v>770</v>
      </c>
      <c r="F309" s="95"/>
      <c r="G309" s="95"/>
      <c r="H309" s="147" t="s">
        <v>656</v>
      </c>
      <c r="I309" s="147"/>
      <c r="J309" s="135"/>
      <c r="K309" s="135"/>
      <c r="L309" s="139"/>
      <c r="M309" s="134"/>
      <c r="N309" s="134"/>
      <c r="O309" s="134"/>
      <c r="P309" s="134"/>
      <c r="Q309" s="134"/>
      <c r="R309" s="134"/>
      <c r="S309" s="139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3"/>
      <c r="BE309" s="83"/>
      <c r="BF309" s="83"/>
      <c r="BG309" s="82"/>
      <c r="BH309" s="81"/>
      <c r="BI309" s="80"/>
      <c r="BJ309" s="25"/>
      <c r="BK309" s="25"/>
      <c r="BL309" s="25"/>
      <c r="BM309" s="84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92"/>
      <c r="DG309" s="92"/>
      <c r="DH309" s="203"/>
      <c r="DI309" s="203"/>
      <c r="DJ309" s="203"/>
      <c r="DK309" s="203"/>
      <c r="DL309" s="203"/>
      <c r="DM309" s="203"/>
      <c r="DN309" s="203"/>
      <c r="DO309" s="203"/>
      <c r="DP309" s="208"/>
      <c r="DQ309" s="208"/>
      <c r="DR309" s="208"/>
      <c r="DS309" s="208"/>
      <c r="DT309" s="208"/>
      <c r="DU309" s="208"/>
      <c r="DV309" s="208"/>
      <c r="DW309" s="208"/>
      <c r="DX309" s="208"/>
      <c r="DY309" s="208"/>
      <c r="DZ309" s="208"/>
      <c r="EA309" s="208"/>
      <c r="EB309" s="208"/>
      <c r="EC309" s="208"/>
      <c r="ED309" s="208"/>
      <c r="EE309" s="208"/>
      <c r="EF309" s="208"/>
      <c r="EG309" s="208"/>
      <c r="EH309" s="208"/>
      <c r="EI309" s="208"/>
      <c r="EJ309" s="208"/>
      <c r="EK309" s="208"/>
      <c r="EL309" s="208"/>
      <c r="EM309" s="208"/>
      <c r="EN309" s="208"/>
      <c r="EO309" s="208"/>
      <c r="EP309" s="208"/>
      <c r="EQ309" s="208"/>
      <c r="ER309" s="208"/>
      <c r="ES309" s="208"/>
      <c r="ET309" s="208"/>
      <c r="EU309" s="208"/>
      <c r="EV309" s="208"/>
      <c r="EW309" s="208"/>
      <c r="EX309" s="208"/>
      <c r="EY309" s="208"/>
      <c r="EZ309" s="208">
        <v>0</v>
      </c>
      <c r="FA309" s="208">
        <v>0</v>
      </c>
      <c r="FB309" s="208">
        <v>0</v>
      </c>
      <c r="FC309" s="208"/>
      <c r="FD309" s="82"/>
      <c r="FE309" s="30"/>
    </row>
    <row r="310" spans="1:161" ht="15" hidden="1">
      <c r="A310" s="25" t="s">
        <v>291</v>
      </c>
      <c r="B310" s="212" t="s">
        <v>139</v>
      </c>
      <c r="C310" s="138"/>
      <c r="D310" s="221"/>
      <c r="E310" s="239">
        <v>770</v>
      </c>
      <c r="F310" s="95"/>
      <c r="G310" s="95"/>
      <c r="H310" s="147" t="s">
        <v>656</v>
      </c>
      <c r="I310" s="147"/>
      <c r="J310" s="135"/>
      <c r="K310" s="135"/>
      <c r="L310" s="139"/>
      <c r="M310" s="134"/>
      <c r="N310" s="134"/>
      <c r="O310" s="134"/>
      <c r="P310" s="134"/>
      <c r="Q310" s="134"/>
      <c r="R310" s="134"/>
      <c r="S310" s="139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3"/>
      <c r="BE310" s="83"/>
      <c r="BF310" s="83"/>
      <c r="BG310" s="82"/>
      <c r="BH310" s="81"/>
      <c r="BI310" s="80"/>
      <c r="BJ310" s="25"/>
      <c r="BK310" s="25"/>
      <c r="BL310" s="25"/>
      <c r="BM310" s="84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92"/>
      <c r="DG310" s="92"/>
      <c r="DH310" s="203"/>
      <c r="DI310" s="203"/>
      <c r="DJ310" s="203"/>
      <c r="DK310" s="203"/>
      <c r="DL310" s="203"/>
      <c r="DM310" s="203"/>
      <c r="DN310" s="203"/>
      <c r="DO310" s="203"/>
      <c r="DP310" s="208"/>
      <c r="DQ310" s="208"/>
      <c r="DR310" s="208"/>
      <c r="DS310" s="208"/>
      <c r="DT310" s="208"/>
      <c r="DU310" s="208"/>
      <c r="DV310" s="208"/>
      <c r="DW310" s="208"/>
      <c r="DX310" s="208"/>
      <c r="DY310" s="208"/>
      <c r="DZ310" s="208"/>
      <c r="EA310" s="208"/>
      <c r="EB310" s="208"/>
      <c r="EC310" s="208"/>
      <c r="ED310" s="208"/>
      <c r="EE310" s="208"/>
      <c r="EF310" s="208"/>
      <c r="EG310" s="208"/>
      <c r="EH310" s="208"/>
      <c r="EI310" s="208"/>
      <c r="EJ310" s="208"/>
      <c r="EK310" s="208"/>
      <c r="EL310" s="208"/>
      <c r="EM310" s="208"/>
      <c r="EN310" s="208"/>
      <c r="EO310" s="208"/>
      <c r="EP310" s="208"/>
      <c r="EQ310" s="208"/>
      <c r="ER310" s="208"/>
      <c r="ES310" s="208"/>
      <c r="ET310" s="208"/>
      <c r="EU310" s="208"/>
      <c r="EV310" s="208"/>
      <c r="EW310" s="208"/>
      <c r="EX310" s="208"/>
      <c r="EY310" s="208"/>
      <c r="EZ310" s="208">
        <v>0</v>
      </c>
      <c r="FA310" s="208">
        <v>0</v>
      </c>
      <c r="FB310" s="208">
        <v>0</v>
      </c>
      <c r="FC310" s="208"/>
      <c r="FD310" s="82"/>
      <c r="FE310" s="30"/>
    </row>
    <row r="311" spans="1:161" ht="15" hidden="1">
      <c r="A311" s="25" t="s">
        <v>292</v>
      </c>
      <c r="B311" s="212" t="s">
        <v>139</v>
      </c>
      <c r="C311" s="138"/>
      <c r="D311" s="221"/>
      <c r="E311" s="239">
        <v>770</v>
      </c>
      <c r="F311" s="95"/>
      <c r="G311" s="95"/>
      <c r="H311" s="147" t="s">
        <v>656</v>
      </c>
      <c r="I311" s="147"/>
      <c r="J311" s="135"/>
      <c r="K311" s="135"/>
      <c r="L311" s="139"/>
      <c r="M311" s="134"/>
      <c r="N311" s="134"/>
      <c r="O311" s="134"/>
      <c r="P311" s="134"/>
      <c r="Q311" s="134"/>
      <c r="R311" s="134"/>
      <c r="S311" s="139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3"/>
      <c r="BE311" s="83"/>
      <c r="BF311" s="83"/>
      <c r="BG311" s="82"/>
      <c r="BH311" s="81"/>
      <c r="BI311" s="80"/>
      <c r="BJ311" s="25"/>
      <c r="BK311" s="25"/>
      <c r="BL311" s="25"/>
      <c r="BM311" s="84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92"/>
      <c r="DG311" s="92"/>
      <c r="DH311" s="203"/>
      <c r="DI311" s="203"/>
      <c r="DJ311" s="203"/>
      <c r="DK311" s="203"/>
      <c r="DL311" s="203"/>
      <c r="DM311" s="203"/>
      <c r="DN311" s="203"/>
      <c r="DO311" s="203"/>
      <c r="DP311" s="208"/>
      <c r="DQ311" s="208"/>
      <c r="DR311" s="208"/>
      <c r="DS311" s="208"/>
      <c r="DT311" s="208"/>
      <c r="DU311" s="208"/>
      <c r="DV311" s="208"/>
      <c r="DW311" s="208"/>
      <c r="DX311" s="208"/>
      <c r="DY311" s="208"/>
      <c r="DZ311" s="208"/>
      <c r="EA311" s="208"/>
      <c r="EB311" s="208"/>
      <c r="EC311" s="208"/>
      <c r="ED311" s="208"/>
      <c r="EE311" s="208"/>
      <c r="EF311" s="208"/>
      <c r="EG311" s="208"/>
      <c r="EH311" s="208"/>
      <c r="EI311" s="208"/>
      <c r="EJ311" s="208"/>
      <c r="EK311" s="208"/>
      <c r="EL311" s="208"/>
      <c r="EM311" s="208"/>
      <c r="EN311" s="208"/>
      <c r="EO311" s="208"/>
      <c r="EP311" s="208"/>
      <c r="EQ311" s="208"/>
      <c r="ER311" s="208"/>
      <c r="ES311" s="208"/>
      <c r="ET311" s="208"/>
      <c r="EU311" s="208"/>
      <c r="EV311" s="208"/>
      <c r="EW311" s="208"/>
      <c r="EX311" s="208"/>
      <c r="EY311" s="208"/>
      <c r="EZ311" s="208">
        <v>0</v>
      </c>
      <c r="FA311" s="208">
        <v>0</v>
      </c>
      <c r="FB311" s="208">
        <v>0</v>
      </c>
      <c r="FC311" s="208"/>
      <c r="FD311" s="82"/>
      <c r="FE311" s="30"/>
    </row>
    <row r="312" spans="1:161" ht="15" hidden="1">
      <c r="A312" s="25" t="s">
        <v>293</v>
      </c>
      <c r="B312" s="212" t="s">
        <v>139</v>
      </c>
      <c r="C312" s="138"/>
      <c r="D312" s="221"/>
      <c r="E312" s="239">
        <v>770</v>
      </c>
      <c r="F312" s="95"/>
      <c r="G312" s="95"/>
      <c r="H312" s="147" t="s">
        <v>656</v>
      </c>
      <c r="I312" s="147"/>
      <c r="J312" s="135"/>
      <c r="K312" s="135"/>
      <c r="L312" s="139"/>
      <c r="M312" s="134"/>
      <c r="N312" s="134"/>
      <c r="O312" s="134"/>
      <c r="P312" s="134"/>
      <c r="Q312" s="134"/>
      <c r="R312" s="134"/>
      <c r="S312" s="139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3"/>
      <c r="BE312" s="83"/>
      <c r="BF312" s="83"/>
      <c r="BG312" s="82"/>
      <c r="BH312" s="81"/>
      <c r="BI312" s="80"/>
      <c r="BJ312" s="25"/>
      <c r="BK312" s="25"/>
      <c r="BL312" s="25"/>
      <c r="BM312" s="84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  <c r="CX312" s="25"/>
      <c r="CY312" s="25"/>
      <c r="CZ312" s="25"/>
      <c r="DA312" s="25"/>
      <c r="DB312" s="25"/>
      <c r="DC312" s="25"/>
      <c r="DD312" s="25"/>
      <c r="DE312" s="25"/>
      <c r="DF312" s="92"/>
      <c r="DG312" s="92"/>
      <c r="DH312" s="203"/>
      <c r="DI312" s="203"/>
      <c r="DJ312" s="203"/>
      <c r="DK312" s="203"/>
      <c r="DL312" s="203"/>
      <c r="DM312" s="203"/>
      <c r="DN312" s="203"/>
      <c r="DO312" s="203"/>
      <c r="DP312" s="208"/>
      <c r="DQ312" s="208"/>
      <c r="DR312" s="208"/>
      <c r="DS312" s="208"/>
      <c r="DT312" s="208"/>
      <c r="DU312" s="208"/>
      <c r="DV312" s="208"/>
      <c r="DW312" s="208"/>
      <c r="DX312" s="208"/>
      <c r="DY312" s="208"/>
      <c r="DZ312" s="208"/>
      <c r="EA312" s="208"/>
      <c r="EB312" s="208"/>
      <c r="EC312" s="208"/>
      <c r="ED312" s="208"/>
      <c r="EE312" s="208"/>
      <c r="EF312" s="208"/>
      <c r="EG312" s="208"/>
      <c r="EH312" s="208"/>
      <c r="EI312" s="208"/>
      <c r="EJ312" s="208"/>
      <c r="EK312" s="208"/>
      <c r="EL312" s="208"/>
      <c r="EM312" s="208"/>
      <c r="EN312" s="208"/>
      <c r="EO312" s="208"/>
      <c r="EP312" s="208"/>
      <c r="EQ312" s="208"/>
      <c r="ER312" s="208"/>
      <c r="ES312" s="208"/>
      <c r="ET312" s="208"/>
      <c r="EU312" s="208"/>
      <c r="EV312" s="208"/>
      <c r="EW312" s="208"/>
      <c r="EX312" s="208"/>
      <c r="EY312" s="208"/>
      <c r="EZ312" s="208">
        <v>0</v>
      </c>
      <c r="FA312" s="208">
        <v>0</v>
      </c>
      <c r="FB312" s="208">
        <v>0</v>
      </c>
      <c r="FC312" s="208"/>
      <c r="FD312" s="82"/>
      <c r="FE312" s="30"/>
    </row>
    <row r="313" spans="1:161" ht="15" hidden="1">
      <c r="A313" s="25" t="s">
        <v>294</v>
      </c>
      <c r="B313" s="212" t="s">
        <v>139</v>
      </c>
      <c r="C313" s="138"/>
      <c r="D313" s="221"/>
      <c r="E313" s="239">
        <v>770</v>
      </c>
      <c r="F313" s="95"/>
      <c r="G313" s="95"/>
      <c r="H313" s="147" t="s">
        <v>656</v>
      </c>
      <c r="I313" s="147"/>
      <c r="J313" s="135"/>
      <c r="K313" s="135"/>
      <c r="L313" s="139"/>
      <c r="M313" s="134"/>
      <c r="N313" s="134"/>
      <c r="O313" s="134"/>
      <c r="P313" s="134"/>
      <c r="Q313" s="134"/>
      <c r="R313" s="134"/>
      <c r="S313" s="139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3"/>
      <c r="BE313" s="83"/>
      <c r="BF313" s="83"/>
      <c r="BG313" s="82"/>
      <c r="BH313" s="81"/>
      <c r="BI313" s="80"/>
      <c r="BJ313" s="25"/>
      <c r="BK313" s="25"/>
      <c r="BL313" s="25"/>
      <c r="BM313" s="84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  <c r="CT313" s="25"/>
      <c r="CU313" s="25"/>
      <c r="CV313" s="25"/>
      <c r="CW313" s="25"/>
      <c r="CX313" s="25"/>
      <c r="CY313" s="25"/>
      <c r="CZ313" s="25"/>
      <c r="DA313" s="25"/>
      <c r="DB313" s="25"/>
      <c r="DC313" s="25"/>
      <c r="DD313" s="25"/>
      <c r="DE313" s="25"/>
      <c r="DF313" s="92"/>
      <c r="DG313" s="92"/>
      <c r="DH313" s="203"/>
      <c r="DI313" s="203"/>
      <c r="DJ313" s="203"/>
      <c r="DK313" s="203"/>
      <c r="DL313" s="203"/>
      <c r="DM313" s="203"/>
      <c r="DN313" s="203"/>
      <c r="DO313" s="203"/>
      <c r="DP313" s="208"/>
      <c r="DQ313" s="208"/>
      <c r="DR313" s="208"/>
      <c r="DS313" s="208"/>
      <c r="DT313" s="208"/>
      <c r="DU313" s="208"/>
      <c r="DV313" s="208"/>
      <c r="DW313" s="208"/>
      <c r="DX313" s="208"/>
      <c r="DY313" s="208"/>
      <c r="DZ313" s="208"/>
      <c r="EA313" s="208"/>
      <c r="EB313" s="208"/>
      <c r="EC313" s="208"/>
      <c r="ED313" s="208"/>
      <c r="EE313" s="208"/>
      <c r="EF313" s="208"/>
      <c r="EG313" s="208"/>
      <c r="EH313" s="208"/>
      <c r="EI313" s="208"/>
      <c r="EJ313" s="208"/>
      <c r="EK313" s="208"/>
      <c r="EL313" s="208"/>
      <c r="EM313" s="208"/>
      <c r="EN313" s="208"/>
      <c r="EO313" s="208"/>
      <c r="EP313" s="208"/>
      <c r="EQ313" s="208"/>
      <c r="ER313" s="208"/>
      <c r="ES313" s="208"/>
      <c r="ET313" s="208"/>
      <c r="EU313" s="208"/>
      <c r="EV313" s="208"/>
      <c r="EW313" s="208"/>
      <c r="EX313" s="208"/>
      <c r="EY313" s="208"/>
      <c r="EZ313" s="208">
        <v>0</v>
      </c>
      <c r="FA313" s="208">
        <v>0</v>
      </c>
      <c r="FB313" s="208">
        <v>0</v>
      </c>
      <c r="FC313" s="208"/>
      <c r="FD313" s="82"/>
      <c r="FE313" s="30"/>
    </row>
    <row r="314" spans="1:161" ht="15" hidden="1">
      <c r="A314" s="25" t="s">
        <v>295</v>
      </c>
      <c r="B314" s="212" t="s">
        <v>139</v>
      </c>
      <c r="C314" s="138"/>
      <c r="D314" s="221"/>
      <c r="E314" s="239">
        <v>770</v>
      </c>
      <c r="F314" s="95"/>
      <c r="G314" s="95"/>
      <c r="H314" s="147" t="s">
        <v>656</v>
      </c>
      <c r="I314" s="147"/>
      <c r="J314" s="135"/>
      <c r="K314" s="135"/>
      <c r="L314" s="139"/>
      <c r="M314" s="134"/>
      <c r="N314" s="134"/>
      <c r="O314" s="134"/>
      <c r="P314" s="134"/>
      <c r="Q314" s="134"/>
      <c r="R314" s="134"/>
      <c r="S314" s="139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3"/>
      <c r="BE314" s="83"/>
      <c r="BF314" s="83"/>
      <c r="BG314" s="82"/>
      <c r="BH314" s="81"/>
      <c r="BI314" s="80"/>
      <c r="BJ314" s="25"/>
      <c r="BK314" s="25"/>
      <c r="BL314" s="25"/>
      <c r="BM314" s="84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  <c r="CU314" s="25"/>
      <c r="CV314" s="25"/>
      <c r="CW314" s="25"/>
      <c r="CX314" s="25"/>
      <c r="CY314" s="25"/>
      <c r="CZ314" s="25"/>
      <c r="DA314" s="25"/>
      <c r="DB314" s="25"/>
      <c r="DC314" s="25"/>
      <c r="DD314" s="25"/>
      <c r="DE314" s="25"/>
      <c r="DF314" s="92"/>
      <c r="DG314" s="92"/>
      <c r="DH314" s="203"/>
      <c r="DI314" s="203"/>
      <c r="DJ314" s="203"/>
      <c r="DK314" s="203"/>
      <c r="DL314" s="203"/>
      <c r="DM314" s="203"/>
      <c r="DN314" s="203"/>
      <c r="DO314" s="203"/>
      <c r="DP314" s="208"/>
      <c r="DQ314" s="208"/>
      <c r="DR314" s="208"/>
      <c r="DS314" s="208"/>
      <c r="DT314" s="208"/>
      <c r="DU314" s="208"/>
      <c r="DV314" s="208"/>
      <c r="DW314" s="208"/>
      <c r="DX314" s="208"/>
      <c r="DY314" s="208"/>
      <c r="DZ314" s="208"/>
      <c r="EA314" s="208"/>
      <c r="EB314" s="208"/>
      <c r="EC314" s="208"/>
      <c r="ED314" s="208"/>
      <c r="EE314" s="208"/>
      <c r="EF314" s="208"/>
      <c r="EG314" s="208"/>
      <c r="EH314" s="208"/>
      <c r="EI314" s="208"/>
      <c r="EJ314" s="208"/>
      <c r="EK314" s="208"/>
      <c r="EL314" s="208"/>
      <c r="EM314" s="208"/>
      <c r="EN314" s="208"/>
      <c r="EO314" s="208"/>
      <c r="EP314" s="208"/>
      <c r="EQ314" s="208"/>
      <c r="ER314" s="208"/>
      <c r="ES314" s="208"/>
      <c r="ET314" s="208"/>
      <c r="EU314" s="208"/>
      <c r="EV314" s="208"/>
      <c r="EW314" s="208"/>
      <c r="EX314" s="208"/>
      <c r="EY314" s="208"/>
      <c r="EZ314" s="208">
        <v>0</v>
      </c>
      <c r="FA314" s="208">
        <v>0</v>
      </c>
      <c r="FB314" s="208">
        <v>0</v>
      </c>
      <c r="FC314" s="208"/>
      <c r="FD314" s="82"/>
      <c r="FE314" s="30"/>
    </row>
    <row r="315" spans="1:161" ht="15" hidden="1">
      <c r="A315" s="25" t="s">
        <v>296</v>
      </c>
      <c r="B315" s="212" t="s">
        <v>139</v>
      </c>
      <c r="C315" s="138"/>
      <c r="D315" s="221"/>
      <c r="E315" s="239">
        <v>770</v>
      </c>
      <c r="F315" s="95"/>
      <c r="G315" s="95"/>
      <c r="H315" s="147" t="s">
        <v>656</v>
      </c>
      <c r="I315" s="147"/>
      <c r="J315" s="135"/>
      <c r="K315" s="135"/>
      <c r="L315" s="139"/>
      <c r="M315" s="134"/>
      <c r="N315" s="134"/>
      <c r="O315" s="134"/>
      <c r="P315" s="134"/>
      <c r="Q315" s="134"/>
      <c r="R315" s="134"/>
      <c r="S315" s="139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3"/>
      <c r="BE315" s="83"/>
      <c r="BF315" s="83"/>
      <c r="BG315" s="82"/>
      <c r="BH315" s="81"/>
      <c r="BI315" s="80"/>
      <c r="BJ315" s="25"/>
      <c r="BK315" s="25"/>
      <c r="BL315" s="25"/>
      <c r="BM315" s="84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92"/>
      <c r="DG315" s="92"/>
      <c r="DH315" s="203"/>
      <c r="DI315" s="203"/>
      <c r="DJ315" s="203"/>
      <c r="DK315" s="203"/>
      <c r="DL315" s="203"/>
      <c r="DM315" s="203"/>
      <c r="DN315" s="203"/>
      <c r="DO315" s="203"/>
      <c r="DP315" s="208"/>
      <c r="DQ315" s="208"/>
      <c r="DR315" s="208"/>
      <c r="DS315" s="208"/>
      <c r="DT315" s="208"/>
      <c r="DU315" s="208"/>
      <c r="DV315" s="208"/>
      <c r="DW315" s="208"/>
      <c r="DX315" s="208"/>
      <c r="DY315" s="208"/>
      <c r="DZ315" s="208"/>
      <c r="EA315" s="208"/>
      <c r="EB315" s="208"/>
      <c r="EC315" s="208"/>
      <c r="ED315" s="208"/>
      <c r="EE315" s="208"/>
      <c r="EF315" s="208"/>
      <c r="EG315" s="208"/>
      <c r="EH315" s="208"/>
      <c r="EI315" s="208"/>
      <c r="EJ315" s="208"/>
      <c r="EK315" s="208"/>
      <c r="EL315" s="208"/>
      <c r="EM315" s="208"/>
      <c r="EN315" s="208"/>
      <c r="EO315" s="208"/>
      <c r="EP315" s="208"/>
      <c r="EQ315" s="208"/>
      <c r="ER315" s="208"/>
      <c r="ES315" s="208"/>
      <c r="ET315" s="208"/>
      <c r="EU315" s="208"/>
      <c r="EV315" s="208"/>
      <c r="EW315" s="208"/>
      <c r="EX315" s="208"/>
      <c r="EY315" s="208"/>
      <c r="EZ315" s="208">
        <v>0</v>
      </c>
      <c r="FA315" s="208">
        <v>0</v>
      </c>
      <c r="FB315" s="208">
        <v>0</v>
      </c>
      <c r="FC315" s="208"/>
      <c r="FD315" s="82"/>
      <c r="FE315" s="30"/>
    </row>
    <row r="316" spans="1:161" ht="15" hidden="1">
      <c r="A316" s="25" t="s">
        <v>297</v>
      </c>
      <c r="B316" s="212" t="s">
        <v>139</v>
      </c>
      <c r="C316" s="138"/>
      <c r="D316" s="221"/>
      <c r="E316" s="239">
        <v>770</v>
      </c>
      <c r="F316" s="95"/>
      <c r="G316" s="95"/>
      <c r="H316" s="147" t="s">
        <v>656</v>
      </c>
      <c r="I316" s="147"/>
      <c r="J316" s="135"/>
      <c r="K316" s="135"/>
      <c r="L316" s="139"/>
      <c r="M316" s="134"/>
      <c r="N316" s="134"/>
      <c r="O316" s="134"/>
      <c r="P316" s="134"/>
      <c r="Q316" s="134"/>
      <c r="R316" s="134"/>
      <c r="S316" s="139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3"/>
      <c r="BE316" s="83"/>
      <c r="BF316" s="83"/>
      <c r="BG316" s="82"/>
      <c r="BH316" s="81"/>
      <c r="BI316" s="80"/>
      <c r="BJ316" s="25"/>
      <c r="BK316" s="25"/>
      <c r="BL316" s="25"/>
      <c r="BM316" s="84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  <c r="CX316" s="25"/>
      <c r="CY316" s="25"/>
      <c r="CZ316" s="25"/>
      <c r="DA316" s="25"/>
      <c r="DB316" s="25"/>
      <c r="DC316" s="25"/>
      <c r="DD316" s="25"/>
      <c r="DE316" s="25"/>
      <c r="DF316" s="92"/>
      <c r="DG316" s="92"/>
      <c r="DH316" s="203"/>
      <c r="DI316" s="203"/>
      <c r="DJ316" s="203"/>
      <c r="DK316" s="203"/>
      <c r="DL316" s="203"/>
      <c r="DM316" s="203"/>
      <c r="DN316" s="203"/>
      <c r="DO316" s="203"/>
      <c r="DP316" s="208"/>
      <c r="DQ316" s="208"/>
      <c r="DR316" s="208"/>
      <c r="DS316" s="208"/>
      <c r="DT316" s="208"/>
      <c r="DU316" s="208"/>
      <c r="DV316" s="208"/>
      <c r="DW316" s="208"/>
      <c r="DX316" s="208"/>
      <c r="DY316" s="208"/>
      <c r="DZ316" s="208"/>
      <c r="EA316" s="208"/>
      <c r="EB316" s="208"/>
      <c r="EC316" s="208"/>
      <c r="ED316" s="208"/>
      <c r="EE316" s="208"/>
      <c r="EF316" s="208"/>
      <c r="EG316" s="208"/>
      <c r="EH316" s="208"/>
      <c r="EI316" s="208"/>
      <c r="EJ316" s="208"/>
      <c r="EK316" s="208"/>
      <c r="EL316" s="208"/>
      <c r="EM316" s="208"/>
      <c r="EN316" s="208"/>
      <c r="EO316" s="208"/>
      <c r="EP316" s="208"/>
      <c r="EQ316" s="208"/>
      <c r="ER316" s="208"/>
      <c r="ES316" s="208"/>
      <c r="ET316" s="208"/>
      <c r="EU316" s="208"/>
      <c r="EV316" s="208"/>
      <c r="EW316" s="208"/>
      <c r="EX316" s="208"/>
      <c r="EY316" s="208"/>
      <c r="EZ316" s="208">
        <v>0</v>
      </c>
      <c r="FA316" s="208">
        <v>0</v>
      </c>
      <c r="FB316" s="208">
        <v>0</v>
      </c>
      <c r="FC316" s="208"/>
      <c r="FD316" s="82"/>
      <c r="FE316" s="30"/>
    </row>
    <row r="317" spans="1:161" ht="15" hidden="1">
      <c r="A317" s="25" t="s">
        <v>298</v>
      </c>
      <c r="B317" s="212" t="s">
        <v>139</v>
      </c>
      <c r="C317" s="138"/>
      <c r="D317" s="221"/>
      <c r="E317" s="239">
        <v>770</v>
      </c>
      <c r="F317" s="95"/>
      <c r="G317" s="95"/>
      <c r="H317" s="147" t="s">
        <v>656</v>
      </c>
      <c r="I317" s="147"/>
      <c r="J317" s="135"/>
      <c r="K317" s="135"/>
      <c r="L317" s="139"/>
      <c r="M317" s="134"/>
      <c r="N317" s="134"/>
      <c r="O317" s="134"/>
      <c r="P317" s="134"/>
      <c r="Q317" s="134"/>
      <c r="R317" s="134"/>
      <c r="S317" s="139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3"/>
      <c r="BE317" s="83"/>
      <c r="BF317" s="83"/>
      <c r="BG317" s="82"/>
      <c r="BH317" s="81"/>
      <c r="BI317" s="80"/>
      <c r="BJ317" s="25"/>
      <c r="BK317" s="25"/>
      <c r="BL317" s="25"/>
      <c r="BM317" s="84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  <c r="CX317" s="25"/>
      <c r="CY317" s="25"/>
      <c r="CZ317" s="25"/>
      <c r="DA317" s="25"/>
      <c r="DB317" s="25"/>
      <c r="DC317" s="25"/>
      <c r="DD317" s="25"/>
      <c r="DE317" s="25"/>
      <c r="DF317" s="92"/>
      <c r="DG317" s="92"/>
      <c r="DH317" s="203"/>
      <c r="DI317" s="203"/>
      <c r="DJ317" s="203"/>
      <c r="DK317" s="203"/>
      <c r="DL317" s="203"/>
      <c r="DM317" s="203"/>
      <c r="DN317" s="203"/>
      <c r="DO317" s="203"/>
      <c r="DP317" s="208"/>
      <c r="DQ317" s="208"/>
      <c r="DR317" s="208"/>
      <c r="DS317" s="208"/>
      <c r="DT317" s="208"/>
      <c r="DU317" s="208"/>
      <c r="DV317" s="208"/>
      <c r="DW317" s="208"/>
      <c r="DX317" s="208"/>
      <c r="DY317" s="208"/>
      <c r="DZ317" s="208"/>
      <c r="EA317" s="208"/>
      <c r="EB317" s="208"/>
      <c r="EC317" s="208"/>
      <c r="ED317" s="208"/>
      <c r="EE317" s="208"/>
      <c r="EF317" s="208"/>
      <c r="EG317" s="208"/>
      <c r="EH317" s="208"/>
      <c r="EI317" s="208"/>
      <c r="EJ317" s="208"/>
      <c r="EK317" s="208"/>
      <c r="EL317" s="208"/>
      <c r="EM317" s="208"/>
      <c r="EN317" s="208"/>
      <c r="EO317" s="208"/>
      <c r="EP317" s="208"/>
      <c r="EQ317" s="208"/>
      <c r="ER317" s="208"/>
      <c r="ES317" s="208"/>
      <c r="ET317" s="208"/>
      <c r="EU317" s="208"/>
      <c r="EV317" s="208"/>
      <c r="EW317" s="208"/>
      <c r="EX317" s="208"/>
      <c r="EY317" s="208"/>
      <c r="EZ317" s="208">
        <v>0</v>
      </c>
      <c r="FA317" s="208">
        <v>0</v>
      </c>
      <c r="FB317" s="208">
        <v>0</v>
      </c>
      <c r="FC317" s="208"/>
      <c r="FD317" s="82"/>
      <c r="FE317" s="30"/>
    </row>
    <row r="318" spans="1:161" ht="15" hidden="1">
      <c r="A318" s="25" t="s">
        <v>299</v>
      </c>
      <c r="B318" s="212" t="s">
        <v>139</v>
      </c>
      <c r="C318" s="138"/>
      <c r="D318" s="221"/>
      <c r="E318" s="239">
        <v>770</v>
      </c>
      <c r="F318" s="95"/>
      <c r="G318" s="95"/>
      <c r="H318" s="147" t="s">
        <v>656</v>
      </c>
      <c r="I318" s="147"/>
      <c r="J318" s="135"/>
      <c r="K318" s="135"/>
      <c r="L318" s="139"/>
      <c r="M318" s="134"/>
      <c r="N318" s="134"/>
      <c r="O318" s="134"/>
      <c r="P318" s="134"/>
      <c r="Q318" s="134"/>
      <c r="R318" s="134"/>
      <c r="S318" s="139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3"/>
      <c r="BE318" s="83"/>
      <c r="BF318" s="83"/>
      <c r="BG318" s="82"/>
      <c r="BH318" s="81"/>
      <c r="BI318" s="80"/>
      <c r="BJ318" s="25"/>
      <c r="BK318" s="25"/>
      <c r="BL318" s="25"/>
      <c r="BM318" s="84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  <c r="CX318" s="25"/>
      <c r="CY318" s="25"/>
      <c r="CZ318" s="25"/>
      <c r="DA318" s="25"/>
      <c r="DB318" s="25"/>
      <c r="DC318" s="25"/>
      <c r="DD318" s="25"/>
      <c r="DE318" s="25"/>
      <c r="DF318" s="92"/>
      <c r="DG318" s="92"/>
      <c r="DH318" s="203"/>
      <c r="DI318" s="203"/>
      <c r="DJ318" s="203"/>
      <c r="DK318" s="203"/>
      <c r="DL318" s="203"/>
      <c r="DM318" s="203"/>
      <c r="DN318" s="203"/>
      <c r="DO318" s="203"/>
      <c r="DP318" s="208"/>
      <c r="DQ318" s="208"/>
      <c r="DR318" s="208"/>
      <c r="DS318" s="208"/>
      <c r="DT318" s="208"/>
      <c r="DU318" s="208"/>
      <c r="DV318" s="208"/>
      <c r="DW318" s="208"/>
      <c r="DX318" s="208"/>
      <c r="DY318" s="208"/>
      <c r="DZ318" s="208"/>
      <c r="EA318" s="208"/>
      <c r="EB318" s="208"/>
      <c r="EC318" s="208"/>
      <c r="ED318" s="208"/>
      <c r="EE318" s="208"/>
      <c r="EF318" s="208"/>
      <c r="EG318" s="208"/>
      <c r="EH318" s="208"/>
      <c r="EI318" s="208"/>
      <c r="EJ318" s="208"/>
      <c r="EK318" s="208"/>
      <c r="EL318" s="208"/>
      <c r="EM318" s="208"/>
      <c r="EN318" s="208"/>
      <c r="EO318" s="208"/>
      <c r="EP318" s="208"/>
      <c r="EQ318" s="208"/>
      <c r="ER318" s="208"/>
      <c r="ES318" s="208"/>
      <c r="ET318" s="208"/>
      <c r="EU318" s="208"/>
      <c r="EV318" s="208"/>
      <c r="EW318" s="208"/>
      <c r="EX318" s="208"/>
      <c r="EY318" s="208"/>
      <c r="EZ318" s="208">
        <v>0</v>
      </c>
      <c r="FA318" s="208">
        <v>0</v>
      </c>
      <c r="FB318" s="208">
        <v>0</v>
      </c>
      <c r="FC318" s="208"/>
      <c r="FD318" s="82"/>
      <c r="FE318" s="30"/>
    </row>
    <row r="319" spans="1:161" ht="15" hidden="1">
      <c r="A319" s="25" t="s">
        <v>300</v>
      </c>
      <c r="B319" s="212" t="s">
        <v>139</v>
      </c>
      <c r="C319" s="138"/>
      <c r="D319" s="221"/>
      <c r="E319" s="239">
        <v>770</v>
      </c>
      <c r="F319" s="95"/>
      <c r="G319" s="95"/>
      <c r="H319" s="147" t="s">
        <v>656</v>
      </c>
      <c r="I319" s="147"/>
      <c r="J319" s="135"/>
      <c r="K319" s="135"/>
      <c r="L319" s="139"/>
      <c r="M319" s="134"/>
      <c r="N319" s="134"/>
      <c r="O319" s="134"/>
      <c r="P319" s="134"/>
      <c r="Q319" s="134"/>
      <c r="R319" s="134"/>
      <c r="S319" s="139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3"/>
      <c r="BE319" s="83"/>
      <c r="BF319" s="83"/>
      <c r="BG319" s="82"/>
      <c r="BH319" s="81"/>
      <c r="BI319" s="80"/>
      <c r="BJ319" s="25"/>
      <c r="BK319" s="25"/>
      <c r="BL319" s="25"/>
      <c r="BM319" s="84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  <c r="CX319" s="25"/>
      <c r="CY319" s="25"/>
      <c r="CZ319" s="25"/>
      <c r="DA319" s="25"/>
      <c r="DB319" s="25"/>
      <c r="DC319" s="25"/>
      <c r="DD319" s="25"/>
      <c r="DE319" s="25"/>
      <c r="DF319" s="92"/>
      <c r="DG319" s="92"/>
      <c r="DH319" s="203"/>
      <c r="DI319" s="203"/>
      <c r="DJ319" s="203"/>
      <c r="DK319" s="203"/>
      <c r="DL319" s="203"/>
      <c r="DM319" s="203"/>
      <c r="DN319" s="203"/>
      <c r="DO319" s="203"/>
      <c r="DP319" s="208"/>
      <c r="DQ319" s="208"/>
      <c r="DR319" s="208"/>
      <c r="DS319" s="208"/>
      <c r="DT319" s="208"/>
      <c r="DU319" s="208"/>
      <c r="DV319" s="208"/>
      <c r="DW319" s="208"/>
      <c r="DX319" s="208"/>
      <c r="DY319" s="208"/>
      <c r="DZ319" s="208"/>
      <c r="EA319" s="208"/>
      <c r="EB319" s="208"/>
      <c r="EC319" s="208"/>
      <c r="ED319" s="208"/>
      <c r="EE319" s="208"/>
      <c r="EF319" s="208"/>
      <c r="EG319" s="208"/>
      <c r="EH319" s="208"/>
      <c r="EI319" s="208"/>
      <c r="EJ319" s="208"/>
      <c r="EK319" s="208"/>
      <c r="EL319" s="208"/>
      <c r="EM319" s="208"/>
      <c r="EN319" s="208"/>
      <c r="EO319" s="208"/>
      <c r="EP319" s="208"/>
      <c r="EQ319" s="208"/>
      <c r="ER319" s="208"/>
      <c r="ES319" s="208"/>
      <c r="ET319" s="208"/>
      <c r="EU319" s="208"/>
      <c r="EV319" s="208"/>
      <c r="EW319" s="208"/>
      <c r="EX319" s="208"/>
      <c r="EY319" s="208"/>
      <c r="EZ319" s="208">
        <v>0</v>
      </c>
      <c r="FA319" s="208">
        <v>0</v>
      </c>
      <c r="FB319" s="208">
        <v>0</v>
      </c>
      <c r="FC319" s="208"/>
      <c r="FD319" s="82"/>
      <c r="FE319" s="30"/>
    </row>
    <row r="320" spans="1:161" ht="15" hidden="1">
      <c r="A320" s="25" t="s">
        <v>301</v>
      </c>
      <c r="B320" s="212" t="s">
        <v>139</v>
      </c>
      <c r="C320" s="138"/>
      <c r="D320" s="221"/>
      <c r="E320" s="239">
        <v>770</v>
      </c>
      <c r="F320" s="95"/>
      <c r="G320" s="95"/>
      <c r="H320" s="147" t="s">
        <v>656</v>
      </c>
      <c r="I320" s="147"/>
      <c r="J320" s="135"/>
      <c r="K320" s="135"/>
      <c r="L320" s="139"/>
      <c r="M320" s="134"/>
      <c r="N320" s="134"/>
      <c r="O320" s="134"/>
      <c r="P320" s="134"/>
      <c r="Q320" s="134"/>
      <c r="R320" s="134"/>
      <c r="S320" s="139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3"/>
      <c r="BE320" s="83"/>
      <c r="BF320" s="83"/>
      <c r="BG320" s="82"/>
      <c r="BH320" s="81"/>
      <c r="BI320" s="80"/>
      <c r="BJ320" s="25"/>
      <c r="BK320" s="25"/>
      <c r="BL320" s="25"/>
      <c r="BM320" s="84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  <c r="CX320" s="25"/>
      <c r="CY320" s="25"/>
      <c r="CZ320" s="25"/>
      <c r="DA320" s="25"/>
      <c r="DB320" s="25"/>
      <c r="DC320" s="25"/>
      <c r="DD320" s="25"/>
      <c r="DE320" s="25"/>
      <c r="DF320" s="92"/>
      <c r="DG320" s="92"/>
      <c r="DH320" s="203"/>
      <c r="DI320" s="203"/>
      <c r="DJ320" s="203"/>
      <c r="DK320" s="203"/>
      <c r="DL320" s="203"/>
      <c r="DM320" s="203"/>
      <c r="DN320" s="203"/>
      <c r="DO320" s="203"/>
      <c r="DP320" s="208"/>
      <c r="DQ320" s="208"/>
      <c r="DR320" s="208"/>
      <c r="DS320" s="208"/>
      <c r="DT320" s="208"/>
      <c r="DU320" s="208"/>
      <c r="DV320" s="208"/>
      <c r="DW320" s="208"/>
      <c r="DX320" s="208"/>
      <c r="DY320" s="208"/>
      <c r="DZ320" s="208"/>
      <c r="EA320" s="208"/>
      <c r="EB320" s="208"/>
      <c r="EC320" s="208"/>
      <c r="ED320" s="208"/>
      <c r="EE320" s="208"/>
      <c r="EF320" s="208"/>
      <c r="EG320" s="208"/>
      <c r="EH320" s="208"/>
      <c r="EI320" s="208"/>
      <c r="EJ320" s="208"/>
      <c r="EK320" s="208"/>
      <c r="EL320" s="208"/>
      <c r="EM320" s="208"/>
      <c r="EN320" s="208"/>
      <c r="EO320" s="208"/>
      <c r="EP320" s="208"/>
      <c r="EQ320" s="208"/>
      <c r="ER320" s="208"/>
      <c r="ES320" s="208"/>
      <c r="ET320" s="208"/>
      <c r="EU320" s="208"/>
      <c r="EV320" s="208"/>
      <c r="EW320" s="208"/>
      <c r="EX320" s="208"/>
      <c r="EY320" s="208"/>
      <c r="EZ320" s="208">
        <v>0</v>
      </c>
      <c r="FA320" s="208">
        <v>0</v>
      </c>
      <c r="FB320" s="208">
        <v>0</v>
      </c>
      <c r="FC320" s="208"/>
      <c r="FD320" s="82"/>
      <c r="FE320" s="30"/>
    </row>
    <row r="321" spans="1:161" ht="15" hidden="1">
      <c r="A321" s="25" t="s">
        <v>302</v>
      </c>
      <c r="B321" s="212" t="s">
        <v>139</v>
      </c>
      <c r="C321" s="138"/>
      <c r="D321" s="221"/>
      <c r="E321" s="239">
        <v>770</v>
      </c>
      <c r="F321" s="95"/>
      <c r="G321" s="95"/>
      <c r="H321" s="147" t="s">
        <v>656</v>
      </c>
      <c r="I321" s="147"/>
      <c r="J321" s="135"/>
      <c r="K321" s="135"/>
      <c r="L321" s="139"/>
      <c r="M321" s="134"/>
      <c r="N321" s="134"/>
      <c r="O321" s="134"/>
      <c r="P321" s="134"/>
      <c r="Q321" s="134"/>
      <c r="R321" s="134"/>
      <c r="S321" s="139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3"/>
      <c r="BE321" s="83"/>
      <c r="BF321" s="83"/>
      <c r="BG321" s="82"/>
      <c r="BH321" s="81"/>
      <c r="BI321" s="80"/>
      <c r="BJ321" s="25"/>
      <c r="BK321" s="25"/>
      <c r="BL321" s="25"/>
      <c r="BM321" s="84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  <c r="CX321" s="25"/>
      <c r="CY321" s="25"/>
      <c r="CZ321" s="25"/>
      <c r="DA321" s="25"/>
      <c r="DB321" s="25"/>
      <c r="DC321" s="25"/>
      <c r="DD321" s="25"/>
      <c r="DE321" s="25"/>
      <c r="DF321" s="92"/>
      <c r="DG321" s="92"/>
      <c r="DH321" s="203"/>
      <c r="DI321" s="203"/>
      <c r="DJ321" s="203"/>
      <c r="DK321" s="203"/>
      <c r="DL321" s="203"/>
      <c r="DM321" s="203"/>
      <c r="DN321" s="203"/>
      <c r="DO321" s="203"/>
      <c r="DP321" s="208"/>
      <c r="DQ321" s="208"/>
      <c r="DR321" s="208"/>
      <c r="DS321" s="208"/>
      <c r="DT321" s="208"/>
      <c r="DU321" s="208"/>
      <c r="DV321" s="208"/>
      <c r="DW321" s="208"/>
      <c r="DX321" s="208"/>
      <c r="DY321" s="208"/>
      <c r="DZ321" s="208"/>
      <c r="EA321" s="208"/>
      <c r="EB321" s="208"/>
      <c r="EC321" s="208"/>
      <c r="ED321" s="208"/>
      <c r="EE321" s="208"/>
      <c r="EF321" s="208"/>
      <c r="EG321" s="208"/>
      <c r="EH321" s="208"/>
      <c r="EI321" s="208"/>
      <c r="EJ321" s="208"/>
      <c r="EK321" s="208"/>
      <c r="EL321" s="208"/>
      <c r="EM321" s="208"/>
      <c r="EN321" s="208"/>
      <c r="EO321" s="208"/>
      <c r="EP321" s="208"/>
      <c r="EQ321" s="208"/>
      <c r="ER321" s="208"/>
      <c r="ES321" s="208"/>
      <c r="ET321" s="208"/>
      <c r="EU321" s="208"/>
      <c r="EV321" s="208"/>
      <c r="EW321" s="208"/>
      <c r="EX321" s="208"/>
      <c r="EY321" s="208"/>
      <c r="EZ321" s="208">
        <v>0</v>
      </c>
      <c r="FA321" s="208">
        <v>0</v>
      </c>
      <c r="FB321" s="208">
        <v>0</v>
      </c>
      <c r="FC321" s="208"/>
      <c r="FD321" s="82"/>
      <c r="FE321" s="30"/>
    </row>
    <row r="322" spans="1:161" ht="15" hidden="1">
      <c r="A322" s="25" t="s">
        <v>303</v>
      </c>
      <c r="B322" s="212" t="s">
        <v>139</v>
      </c>
      <c r="C322" s="138"/>
      <c r="D322" s="221"/>
      <c r="E322" s="239">
        <v>770</v>
      </c>
      <c r="F322" s="95"/>
      <c r="G322" s="95"/>
      <c r="H322" s="147" t="s">
        <v>656</v>
      </c>
      <c r="I322" s="147"/>
      <c r="J322" s="135"/>
      <c r="K322" s="135"/>
      <c r="L322" s="139"/>
      <c r="M322" s="134"/>
      <c r="N322" s="134"/>
      <c r="O322" s="134"/>
      <c r="P322" s="134"/>
      <c r="Q322" s="134"/>
      <c r="R322" s="134"/>
      <c r="S322" s="139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3"/>
      <c r="BE322" s="83"/>
      <c r="BF322" s="83"/>
      <c r="BG322" s="82"/>
      <c r="BH322" s="81"/>
      <c r="BI322" s="80"/>
      <c r="BJ322" s="25"/>
      <c r="BK322" s="25"/>
      <c r="BL322" s="25"/>
      <c r="BM322" s="84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  <c r="CX322" s="25"/>
      <c r="CY322" s="25"/>
      <c r="CZ322" s="25"/>
      <c r="DA322" s="25"/>
      <c r="DB322" s="25"/>
      <c r="DC322" s="25"/>
      <c r="DD322" s="25"/>
      <c r="DE322" s="25"/>
      <c r="DF322" s="92"/>
      <c r="DG322" s="92"/>
      <c r="DH322" s="203"/>
      <c r="DI322" s="203"/>
      <c r="DJ322" s="203"/>
      <c r="DK322" s="203"/>
      <c r="DL322" s="203"/>
      <c r="DM322" s="203"/>
      <c r="DN322" s="203"/>
      <c r="DO322" s="203"/>
      <c r="DP322" s="208"/>
      <c r="DQ322" s="208"/>
      <c r="DR322" s="208"/>
      <c r="DS322" s="208"/>
      <c r="DT322" s="208"/>
      <c r="DU322" s="208"/>
      <c r="DV322" s="208"/>
      <c r="DW322" s="208"/>
      <c r="DX322" s="208"/>
      <c r="DY322" s="208"/>
      <c r="DZ322" s="208"/>
      <c r="EA322" s="208"/>
      <c r="EB322" s="208"/>
      <c r="EC322" s="208"/>
      <c r="ED322" s="208"/>
      <c r="EE322" s="208"/>
      <c r="EF322" s="208"/>
      <c r="EG322" s="208"/>
      <c r="EH322" s="208"/>
      <c r="EI322" s="208"/>
      <c r="EJ322" s="208"/>
      <c r="EK322" s="208"/>
      <c r="EL322" s="208"/>
      <c r="EM322" s="208"/>
      <c r="EN322" s="208"/>
      <c r="EO322" s="208"/>
      <c r="EP322" s="208"/>
      <c r="EQ322" s="208"/>
      <c r="ER322" s="208"/>
      <c r="ES322" s="208"/>
      <c r="ET322" s="208"/>
      <c r="EU322" s="208"/>
      <c r="EV322" s="208"/>
      <c r="EW322" s="208"/>
      <c r="EX322" s="208"/>
      <c r="EY322" s="208"/>
      <c r="EZ322" s="208">
        <v>0</v>
      </c>
      <c r="FA322" s="208">
        <v>0</v>
      </c>
      <c r="FB322" s="208">
        <v>0</v>
      </c>
      <c r="FC322" s="208"/>
      <c r="FD322" s="82"/>
      <c r="FE322" s="30"/>
    </row>
    <row r="323" spans="1:161" ht="15" hidden="1">
      <c r="A323" s="25" t="s">
        <v>304</v>
      </c>
      <c r="B323" s="212" t="s">
        <v>139</v>
      </c>
      <c r="C323" s="138"/>
      <c r="D323" s="221"/>
      <c r="E323" s="239">
        <v>770</v>
      </c>
      <c r="F323" s="95"/>
      <c r="G323" s="95"/>
      <c r="H323" s="147" t="s">
        <v>656</v>
      </c>
      <c r="I323" s="147"/>
      <c r="J323" s="135"/>
      <c r="K323" s="135"/>
      <c r="L323" s="139"/>
      <c r="M323" s="134"/>
      <c r="N323" s="134"/>
      <c r="O323" s="134"/>
      <c r="P323" s="134"/>
      <c r="Q323" s="134"/>
      <c r="R323" s="134"/>
      <c r="S323" s="139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3"/>
      <c r="BE323" s="83"/>
      <c r="BF323" s="83"/>
      <c r="BG323" s="82"/>
      <c r="BH323" s="81"/>
      <c r="BI323" s="80"/>
      <c r="BJ323" s="25"/>
      <c r="BK323" s="25"/>
      <c r="BL323" s="25"/>
      <c r="BM323" s="84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  <c r="CX323" s="25"/>
      <c r="CY323" s="25"/>
      <c r="CZ323" s="25"/>
      <c r="DA323" s="25"/>
      <c r="DB323" s="25"/>
      <c r="DC323" s="25"/>
      <c r="DD323" s="25"/>
      <c r="DE323" s="25"/>
      <c r="DF323" s="92"/>
      <c r="DG323" s="92"/>
      <c r="DH323" s="203"/>
      <c r="DI323" s="203"/>
      <c r="DJ323" s="203"/>
      <c r="DK323" s="203"/>
      <c r="DL323" s="203"/>
      <c r="DM323" s="203"/>
      <c r="DN323" s="203"/>
      <c r="DO323" s="203"/>
      <c r="DP323" s="208"/>
      <c r="DQ323" s="208"/>
      <c r="DR323" s="208"/>
      <c r="DS323" s="208"/>
      <c r="DT323" s="208"/>
      <c r="DU323" s="208"/>
      <c r="DV323" s="208"/>
      <c r="DW323" s="208"/>
      <c r="DX323" s="208"/>
      <c r="DY323" s="208"/>
      <c r="DZ323" s="208"/>
      <c r="EA323" s="208"/>
      <c r="EB323" s="208"/>
      <c r="EC323" s="208"/>
      <c r="ED323" s="208"/>
      <c r="EE323" s="208"/>
      <c r="EF323" s="208"/>
      <c r="EG323" s="208"/>
      <c r="EH323" s="208"/>
      <c r="EI323" s="208"/>
      <c r="EJ323" s="208"/>
      <c r="EK323" s="208"/>
      <c r="EL323" s="208"/>
      <c r="EM323" s="208"/>
      <c r="EN323" s="208"/>
      <c r="EO323" s="208"/>
      <c r="EP323" s="208"/>
      <c r="EQ323" s="208"/>
      <c r="ER323" s="208"/>
      <c r="ES323" s="208"/>
      <c r="ET323" s="208"/>
      <c r="EU323" s="208"/>
      <c r="EV323" s="208"/>
      <c r="EW323" s="208"/>
      <c r="EX323" s="208"/>
      <c r="EY323" s="208"/>
      <c r="EZ323" s="208">
        <v>0</v>
      </c>
      <c r="FA323" s="208">
        <v>0</v>
      </c>
      <c r="FB323" s="208">
        <v>0</v>
      </c>
      <c r="FC323" s="208"/>
      <c r="FD323" s="82"/>
      <c r="FE323" s="30"/>
    </row>
    <row r="324" spans="1:161" ht="15" hidden="1">
      <c r="A324" s="25" t="s">
        <v>305</v>
      </c>
      <c r="B324" s="212" t="s">
        <v>139</v>
      </c>
      <c r="C324" s="138"/>
      <c r="D324" s="221"/>
      <c r="E324" s="239">
        <v>770</v>
      </c>
      <c r="F324" s="95"/>
      <c r="G324" s="95"/>
      <c r="H324" s="147" t="s">
        <v>656</v>
      </c>
      <c r="I324" s="147"/>
      <c r="J324" s="135"/>
      <c r="K324" s="135"/>
      <c r="L324" s="139"/>
      <c r="M324" s="134"/>
      <c r="N324" s="134"/>
      <c r="O324" s="134"/>
      <c r="P324" s="134"/>
      <c r="Q324" s="134"/>
      <c r="R324" s="134"/>
      <c r="S324" s="139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3"/>
      <c r="BE324" s="83"/>
      <c r="BF324" s="83"/>
      <c r="BG324" s="82"/>
      <c r="BH324" s="81"/>
      <c r="BI324" s="80"/>
      <c r="BJ324" s="25"/>
      <c r="BK324" s="25"/>
      <c r="BL324" s="25"/>
      <c r="BM324" s="84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  <c r="CX324" s="25"/>
      <c r="CY324" s="25"/>
      <c r="CZ324" s="25"/>
      <c r="DA324" s="25"/>
      <c r="DB324" s="25"/>
      <c r="DC324" s="25"/>
      <c r="DD324" s="25"/>
      <c r="DE324" s="25"/>
      <c r="DF324" s="92"/>
      <c r="DG324" s="92"/>
      <c r="DH324" s="203"/>
      <c r="DI324" s="203"/>
      <c r="DJ324" s="203"/>
      <c r="DK324" s="203"/>
      <c r="DL324" s="203"/>
      <c r="DM324" s="203"/>
      <c r="DN324" s="203"/>
      <c r="DO324" s="203"/>
      <c r="DP324" s="208"/>
      <c r="DQ324" s="208"/>
      <c r="DR324" s="208"/>
      <c r="DS324" s="208"/>
      <c r="DT324" s="208"/>
      <c r="DU324" s="208"/>
      <c r="DV324" s="208"/>
      <c r="DW324" s="208"/>
      <c r="DX324" s="208"/>
      <c r="DY324" s="208"/>
      <c r="DZ324" s="208"/>
      <c r="EA324" s="208"/>
      <c r="EB324" s="208"/>
      <c r="EC324" s="208"/>
      <c r="ED324" s="208"/>
      <c r="EE324" s="208"/>
      <c r="EF324" s="208"/>
      <c r="EG324" s="208"/>
      <c r="EH324" s="208"/>
      <c r="EI324" s="208"/>
      <c r="EJ324" s="208"/>
      <c r="EK324" s="208"/>
      <c r="EL324" s="208"/>
      <c r="EM324" s="208"/>
      <c r="EN324" s="208"/>
      <c r="EO324" s="208"/>
      <c r="EP324" s="208"/>
      <c r="EQ324" s="208"/>
      <c r="ER324" s="208"/>
      <c r="ES324" s="208"/>
      <c r="ET324" s="208"/>
      <c r="EU324" s="208"/>
      <c r="EV324" s="208"/>
      <c r="EW324" s="208"/>
      <c r="EX324" s="208"/>
      <c r="EY324" s="208"/>
      <c r="EZ324" s="208">
        <v>0</v>
      </c>
      <c r="FA324" s="208">
        <v>0</v>
      </c>
      <c r="FB324" s="208">
        <v>0</v>
      </c>
      <c r="FC324" s="208"/>
      <c r="FD324" s="82"/>
      <c r="FE324" s="30"/>
    </row>
    <row r="325" spans="1:161" ht="15" hidden="1">
      <c r="A325" s="25" t="s">
        <v>306</v>
      </c>
      <c r="B325" s="212" t="s">
        <v>139</v>
      </c>
      <c r="C325" s="138"/>
      <c r="D325" s="221"/>
      <c r="E325" s="239">
        <v>770</v>
      </c>
      <c r="F325" s="95"/>
      <c r="G325" s="95"/>
      <c r="H325" s="147" t="s">
        <v>656</v>
      </c>
      <c r="I325" s="147"/>
      <c r="J325" s="135"/>
      <c r="K325" s="135"/>
      <c r="L325" s="139"/>
      <c r="M325" s="134"/>
      <c r="N325" s="134"/>
      <c r="O325" s="134"/>
      <c r="P325" s="134"/>
      <c r="Q325" s="134"/>
      <c r="R325" s="134"/>
      <c r="S325" s="139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3"/>
      <c r="BE325" s="83"/>
      <c r="BF325" s="83"/>
      <c r="BG325" s="82"/>
      <c r="BH325" s="81"/>
      <c r="BI325" s="80"/>
      <c r="BJ325" s="25"/>
      <c r="BK325" s="25"/>
      <c r="BL325" s="25"/>
      <c r="BM325" s="84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  <c r="CX325" s="25"/>
      <c r="CY325" s="25"/>
      <c r="CZ325" s="25"/>
      <c r="DA325" s="25"/>
      <c r="DB325" s="25"/>
      <c r="DC325" s="25"/>
      <c r="DD325" s="25"/>
      <c r="DE325" s="25"/>
      <c r="DF325" s="92"/>
      <c r="DG325" s="92"/>
      <c r="DH325" s="203"/>
      <c r="DI325" s="203"/>
      <c r="DJ325" s="203"/>
      <c r="DK325" s="203"/>
      <c r="DL325" s="203"/>
      <c r="DM325" s="203"/>
      <c r="DN325" s="203"/>
      <c r="DO325" s="203"/>
      <c r="DP325" s="208"/>
      <c r="DQ325" s="208"/>
      <c r="DR325" s="208"/>
      <c r="DS325" s="208"/>
      <c r="DT325" s="208"/>
      <c r="DU325" s="208"/>
      <c r="DV325" s="208"/>
      <c r="DW325" s="208"/>
      <c r="DX325" s="208"/>
      <c r="DY325" s="208"/>
      <c r="DZ325" s="208"/>
      <c r="EA325" s="208"/>
      <c r="EB325" s="208"/>
      <c r="EC325" s="208"/>
      <c r="ED325" s="208"/>
      <c r="EE325" s="208"/>
      <c r="EF325" s="208"/>
      <c r="EG325" s="208"/>
      <c r="EH325" s="208"/>
      <c r="EI325" s="208"/>
      <c r="EJ325" s="208"/>
      <c r="EK325" s="208"/>
      <c r="EL325" s="208"/>
      <c r="EM325" s="208"/>
      <c r="EN325" s="208"/>
      <c r="EO325" s="208"/>
      <c r="EP325" s="208"/>
      <c r="EQ325" s="208"/>
      <c r="ER325" s="208"/>
      <c r="ES325" s="208"/>
      <c r="ET325" s="208"/>
      <c r="EU325" s="208"/>
      <c r="EV325" s="208"/>
      <c r="EW325" s="208"/>
      <c r="EX325" s="208"/>
      <c r="EY325" s="208"/>
      <c r="EZ325" s="208">
        <v>0</v>
      </c>
      <c r="FA325" s="208">
        <v>0</v>
      </c>
      <c r="FB325" s="208">
        <v>0</v>
      </c>
      <c r="FC325" s="208"/>
      <c r="FD325" s="82"/>
      <c r="FE325" s="30"/>
    </row>
    <row r="326" spans="1:161" ht="15" hidden="1">
      <c r="A326" s="25" t="s">
        <v>307</v>
      </c>
      <c r="B326" s="212" t="s">
        <v>139</v>
      </c>
      <c r="C326" s="138"/>
      <c r="D326" s="221"/>
      <c r="E326" s="239">
        <v>770</v>
      </c>
      <c r="F326" s="95"/>
      <c r="G326" s="95"/>
      <c r="H326" s="147" t="s">
        <v>656</v>
      </c>
      <c r="I326" s="147"/>
      <c r="J326" s="135"/>
      <c r="K326" s="135"/>
      <c r="L326" s="139"/>
      <c r="M326" s="134"/>
      <c r="N326" s="134"/>
      <c r="O326" s="134"/>
      <c r="P326" s="134"/>
      <c r="Q326" s="134"/>
      <c r="R326" s="134"/>
      <c r="S326" s="139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3"/>
      <c r="BE326" s="83"/>
      <c r="BF326" s="83"/>
      <c r="BG326" s="82"/>
      <c r="BH326" s="81"/>
      <c r="BI326" s="80"/>
      <c r="BJ326" s="25"/>
      <c r="BK326" s="25"/>
      <c r="BL326" s="25"/>
      <c r="BM326" s="84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  <c r="CX326" s="25"/>
      <c r="CY326" s="25"/>
      <c r="CZ326" s="25"/>
      <c r="DA326" s="25"/>
      <c r="DB326" s="25"/>
      <c r="DC326" s="25"/>
      <c r="DD326" s="25"/>
      <c r="DE326" s="25"/>
      <c r="DF326" s="92"/>
      <c r="DG326" s="92"/>
      <c r="DH326" s="203"/>
      <c r="DI326" s="203"/>
      <c r="DJ326" s="203"/>
      <c r="DK326" s="203"/>
      <c r="DL326" s="203"/>
      <c r="DM326" s="203"/>
      <c r="DN326" s="203"/>
      <c r="DO326" s="203"/>
      <c r="DP326" s="208"/>
      <c r="DQ326" s="208"/>
      <c r="DR326" s="208"/>
      <c r="DS326" s="208"/>
      <c r="DT326" s="208"/>
      <c r="DU326" s="208"/>
      <c r="DV326" s="208"/>
      <c r="DW326" s="208"/>
      <c r="DX326" s="208"/>
      <c r="DY326" s="208"/>
      <c r="DZ326" s="208"/>
      <c r="EA326" s="208"/>
      <c r="EB326" s="208"/>
      <c r="EC326" s="208"/>
      <c r="ED326" s="208"/>
      <c r="EE326" s="208"/>
      <c r="EF326" s="208"/>
      <c r="EG326" s="208"/>
      <c r="EH326" s="208"/>
      <c r="EI326" s="208"/>
      <c r="EJ326" s="208"/>
      <c r="EK326" s="208"/>
      <c r="EL326" s="208"/>
      <c r="EM326" s="208"/>
      <c r="EN326" s="208"/>
      <c r="EO326" s="208"/>
      <c r="EP326" s="208"/>
      <c r="EQ326" s="208"/>
      <c r="ER326" s="208"/>
      <c r="ES326" s="208"/>
      <c r="ET326" s="208"/>
      <c r="EU326" s="208"/>
      <c r="EV326" s="208"/>
      <c r="EW326" s="208"/>
      <c r="EX326" s="208"/>
      <c r="EY326" s="208"/>
      <c r="EZ326" s="208">
        <v>0</v>
      </c>
      <c r="FA326" s="208">
        <v>0</v>
      </c>
      <c r="FB326" s="208">
        <v>0</v>
      </c>
      <c r="FC326" s="208"/>
      <c r="FD326" s="82"/>
      <c r="FE326" s="30"/>
    </row>
    <row r="327" spans="1:161" ht="15" hidden="1">
      <c r="A327" s="25" t="s">
        <v>309</v>
      </c>
      <c r="B327" s="212" t="s">
        <v>139</v>
      </c>
      <c r="C327" s="138"/>
      <c r="D327" s="221"/>
      <c r="E327" s="239">
        <v>770</v>
      </c>
      <c r="F327" s="95"/>
      <c r="G327" s="95"/>
      <c r="H327" s="147" t="s">
        <v>656</v>
      </c>
      <c r="I327" s="147"/>
      <c r="J327" s="135"/>
      <c r="K327" s="135"/>
      <c r="L327" s="139"/>
      <c r="M327" s="134"/>
      <c r="N327" s="134"/>
      <c r="O327" s="134"/>
      <c r="P327" s="134"/>
      <c r="Q327" s="134"/>
      <c r="R327" s="134"/>
      <c r="S327" s="139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3"/>
      <c r="BE327" s="83"/>
      <c r="BF327" s="83"/>
      <c r="BG327" s="82"/>
      <c r="BH327" s="81"/>
      <c r="BI327" s="80"/>
      <c r="BJ327" s="25"/>
      <c r="BK327" s="25"/>
      <c r="BL327" s="25"/>
      <c r="BM327" s="84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  <c r="CX327" s="25"/>
      <c r="CY327" s="25"/>
      <c r="CZ327" s="25"/>
      <c r="DA327" s="25"/>
      <c r="DB327" s="25"/>
      <c r="DC327" s="25"/>
      <c r="DD327" s="25"/>
      <c r="DE327" s="25"/>
      <c r="DF327" s="92"/>
      <c r="DG327" s="92"/>
      <c r="DH327" s="203"/>
      <c r="DI327" s="203"/>
      <c r="DJ327" s="203"/>
      <c r="DK327" s="203"/>
      <c r="DL327" s="203"/>
      <c r="DM327" s="203"/>
      <c r="DN327" s="203"/>
      <c r="DO327" s="203"/>
      <c r="DP327" s="208"/>
      <c r="DQ327" s="208"/>
      <c r="DR327" s="208"/>
      <c r="DS327" s="208"/>
      <c r="DT327" s="208"/>
      <c r="DU327" s="208"/>
      <c r="DV327" s="208"/>
      <c r="DW327" s="208"/>
      <c r="DX327" s="208"/>
      <c r="DY327" s="208"/>
      <c r="DZ327" s="208"/>
      <c r="EA327" s="208"/>
      <c r="EB327" s="208"/>
      <c r="EC327" s="208"/>
      <c r="ED327" s="208"/>
      <c r="EE327" s="208"/>
      <c r="EF327" s="208"/>
      <c r="EG327" s="208"/>
      <c r="EH327" s="208"/>
      <c r="EI327" s="208"/>
      <c r="EJ327" s="208"/>
      <c r="EK327" s="208"/>
      <c r="EL327" s="208"/>
      <c r="EM327" s="208"/>
      <c r="EN327" s="208"/>
      <c r="EO327" s="208"/>
      <c r="EP327" s="208"/>
      <c r="EQ327" s="208"/>
      <c r="ER327" s="208"/>
      <c r="ES327" s="208"/>
      <c r="ET327" s="208"/>
      <c r="EU327" s="208"/>
      <c r="EV327" s="208"/>
      <c r="EW327" s="208"/>
      <c r="EX327" s="208"/>
      <c r="EY327" s="208"/>
      <c r="EZ327" s="208">
        <v>0</v>
      </c>
      <c r="FA327" s="208">
        <v>0</v>
      </c>
      <c r="FB327" s="208">
        <v>0</v>
      </c>
      <c r="FC327" s="208"/>
      <c r="FD327" s="82"/>
      <c r="FE327" s="30"/>
    </row>
    <row r="328" spans="1:161" ht="15" hidden="1">
      <c r="A328" s="25" t="s">
        <v>311</v>
      </c>
      <c r="B328" s="212" t="s">
        <v>139</v>
      </c>
      <c r="C328" s="138"/>
      <c r="D328" s="221"/>
      <c r="E328" s="239">
        <v>770</v>
      </c>
      <c r="F328" s="95"/>
      <c r="G328" s="95"/>
      <c r="H328" s="147" t="s">
        <v>656</v>
      </c>
      <c r="I328" s="147"/>
      <c r="J328" s="135"/>
      <c r="K328" s="135"/>
      <c r="L328" s="139"/>
      <c r="M328" s="134"/>
      <c r="N328" s="134"/>
      <c r="O328" s="134"/>
      <c r="P328" s="134"/>
      <c r="Q328" s="134"/>
      <c r="R328" s="134"/>
      <c r="S328" s="139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3"/>
      <c r="BE328" s="83"/>
      <c r="BF328" s="83"/>
      <c r="BG328" s="82"/>
      <c r="BH328" s="81"/>
      <c r="BI328" s="80"/>
      <c r="BJ328" s="25"/>
      <c r="BK328" s="25"/>
      <c r="BL328" s="25"/>
      <c r="BM328" s="84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92"/>
      <c r="DG328" s="92"/>
      <c r="DH328" s="203"/>
      <c r="DI328" s="203"/>
      <c r="DJ328" s="203"/>
      <c r="DK328" s="203"/>
      <c r="DL328" s="203"/>
      <c r="DM328" s="203"/>
      <c r="DN328" s="203"/>
      <c r="DO328" s="203"/>
      <c r="DP328" s="208"/>
      <c r="DQ328" s="208"/>
      <c r="DR328" s="208"/>
      <c r="DS328" s="208"/>
      <c r="DT328" s="208"/>
      <c r="DU328" s="208"/>
      <c r="DV328" s="208"/>
      <c r="DW328" s="208"/>
      <c r="DX328" s="208"/>
      <c r="DY328" s="208"/>
      <c r="DZ328" s="208"/>
      <c r="EA328" s="208"/>
      <c r="EB328" s="208"/>
      <c r="EC328" s="208"/>
      <c r="ED328" s="208"/>
      <c r="EE328" s="208"/>
      <c r="EF328" s="208"/>
      <c r="EG328" s="208"/>
      <c r="EH328" s="208"/>
      <c r="EI328" s="208"/>
      <c r="EJ328" s="208"/>
      <c r="EK328" s="208"/>
      <c r="EL328" s="208"/>
      <c r="EM328" s="208"/>
      <c r="EN328" s="208"/>
      <c r="EO328" s="208"/>
      <c r="EP328" s="208"/>
      <c r="EQ328" s="208"/>
      <c r="ER328" s="208"/>
      <c r="ES328" s="208"/>
      <c r="ET328" s="208"/>
      <c r="EU328" s="208"/>
      <c r="EV328" s="208"/>
      <c r="EW328" s="208"/>
      <c r="EX328" s="208"/>
      <c r="EY328" s="208"/>
      <c r="EZ328" s="208">
        <v>0</v>
      </c>
      <c r="FA328" s="208">
        <v>0</v>
      </c>
      <c r="FB328" s="208">
        <v>0</v>
      </c>
      <c r="FC328" s="208"/>
      <c r="FD328" s="82"/>
      <c r="FE328" s="30"/>
    </row>
    <row r="329" spans="1:161" ht="15" hidden="1">
      <c r="A329" s="25" t="s">
        <v>312</v>
      </c>
      <c r="B329" s="212" t="s">
        <v>139</v>
      </c>
      <c r="C329" s="138"/>
      <c r="D329" s="221"/>
      <c r="E329" s="239">
        <v>770</v>
      </c>
      <c r="F329" s="95"/>
      <c r="G329" s="95"/>
      <c r="H329" s="147" t="s">
        <v>656</v>
      </c>
      <c r="I329" s="147"/>
      <c r="J329" s="135"/>
      <c r="K329" s="135"/>
      <c r="L329" s="139"/>
      <c r="M329" s="134"/>
      <c r="N329" s="134"/>
      <c r="O329" s="134"/>
      <c r="P329" s="134"/>
      <c r="Q329" s="134"/>
      <c r="R329" s="134"/>
      <c r="S329" s="139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3"/>
      <c r="BE329" s="83"/>
      <c r="BF329" s="83"/>
      <c r="BG329" s="82"/>
      <c r="BH329" s="81"/>
      <c r="BI329" s="80"/>
      <c r="BJ329" s="25"/>
      <c r="BK329" s="25"/>
      <c r="BL329" s="25"/>
      <c r="BM329" s="84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  <c r="CX329" s="25"/>
      <c r="CY329" s="25"/>
      <c r="CZ329" s="25"/>
      <c r="DA329" s="25"/>
      <c r="DB329" s="25"/>
      <c r="DC329" s="25"/>
      <c r="DD329" s="25"/>
      <c r="DE329" s="25"/>
      <c r="DF329" s="92"/>
      <c r="DG329" s="92"/>
      <c r="DH329" s="203"/>
      <c r="DI329" s="203"/>
      <c r="DJ329" s="203"/>
      <c r="DK329" s="203"/>
      <c r="DL329" s="203"/>
      <c r="DM329" s="203"/>
      <c r="DN329" s="203"/>
      <c r="DO329" s="203"/>
      <c r="DP329" s="208"/>
      <c r="DQ329" s="208"/>
      <c r="DR329" s="208"/>
      <c r="DS329" s="208"/>
      <c r="DT329" s="208"/>
      <c r="DU329" s="208"/>
      <c r="DV329" s="208"/>
      <c r="DW329" s="208"/>
      <c r="DX329" s="208"/>
      <c r="DY329" s="208"/>
      <c r="DZ329" s="208"/>
      <c r="EA329" s="208"/>
      <c r="EB329" s="208"/>
      <c r="EC329" s="208"/>
      <c r="ED329" s="208"/>
      <c r="EE329" s="208"/>
      <c r="EF329" s="208"/>
      <c r="EG329" s="208"/>
      <c r="EH329" s="208"/>
      <c r="EI329" s="208"/>
      <c r="EJ329" s="208"/>
      <c r="EK329" s="208"/>
      <c r="EL329" s="208"/>
      <c r="EM329" s="208"/>
      <c r="EN329" s="208"/>
      <c r="EO329" s="208"/>
      <c r="EP329" s="208"/>
      <c r="EQ329" s="208"/>
      <c r="ER329" s="208"/>
      <c r="ES329" s="208"/>
      <c r="ET329" s="208"/>
      <c r="EU329" s="208"/>
      <c r="EV329" s="208"/>
      <c r="EW329" s="208"/>
      <c r="EX329" s="208"/>
      <c r="EY329" s="208"/>
      <c r="EZ329" s="208">
        <v>0</v>
      </c>
      <c r="FA329" s="208">
        <v>0</v>
      </c>
      <c r="FB329" s="208">
        <v>0</v>
      </c>
      <c r="FC329" s="208"/>
      <c r="FD329" s="82"/>
      <c r="FE329" s="30"/>
    </row>
    <row r="330" spans="1:161" ht="15" hidden="1">
      <c r="A330" s="25" t="s">
        <v>313</v>
      </c>
      <c r="B330" s="212" t="s">
        <v>139</v>
      </c>
      <c r="C330" s="138"/>
      <c r="D330" s="221"/>
      <c r="E330" s="239">
        <v>770</v>
      </c>
      <c r="F330" s="95"/>
      <c r="G330" s="95"/>
      <c r="H330" s="147" t="s">
        <v>656</v>
      </c>
      <c r="I330" s="147"/>
      <c r="J330" s="135"/>
      <c r="K330" s="135"/>
      <c r="L330" s="139"/>
      <c r="M330" s="134"/>
      <c r="N330" s="134"/>
      <c r="O330" s="134"/>
      <c r="P330" s="134"/>
      <c r="Q330" s="134"/>
      <c r="R330" s="134"/>
      <c r="S330" s="139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3"/>
      <c r="BE330" s="83"/>
      <c r="BF330" s="83"/>
      <c r="BG330" s="82"/>
      <c r="BH330" s="81"/>
      <c r="BI330" s="80"/>
      <c r="BJ330" s="25"/>
      <c r="BK330" s="25"/>
      <c r="BL330" s="25"/>
      <c r="BM330" s="84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  <c r="CX330" s="25"/>
      <c r="CY330" s="25"/>
      <c r="CZ330" s="25"/>
      <c r="DA330" s="25"/>
      <c r="DB330" s="25"/>
      <c r="DC330" s="25"/>
      <c r="DD330" s="25"/>
      <c r="DE330" s="25"/>
      <c r="DF330" s="92"/>
      <c r="DG330" s="92"/>
      <c r="DH330" s="203"/>
      <c r="DI330" s="203"/>
      <c r="DJ330" s="203"/>
      <c r="DK330" s="203"/>
      <c r="DL330" s="203"/>
      <c r="DM330" s="203"/>
      <c r="DN330" s="203"/>
      <c r="DO330" s="203"/>
      <c r="DP330" s="208"/>
      <c r="DQ330" s="208"/>
      <c r="DR330" s="208"/>
      <c r="DS330" s="208"/>
      <c r="DT330" s="208"/>
      <c r="DU330" s="208"/>
      <c r="DV330" s="208"/>
      <c r="DW330" s="208"/>
      <c r="DX330" s="208"/>
      <c r="DY330" s="208"/>
      <c r="DZ330" s="208"/>
      <c r="EA330" s="208"/>
      <c r="EB330" s="208"/>
      <c r="EC330" s="208"/>
      <c r="ED330" s="208"/>
      <c r="EE330" s="208"/>
      <c r="EF330" s="208"/>
      <c r="EG330" s="208"/>
      <c r="EH330" s="208"/>
      <c r="EI330" s="208"/>
      <c r="EJ330" s="208"/>
      <c r="EK330" s="208"/>
      <c r="EL330" s="208"/>
      <c r="EM330" s="208"/>
      <c r="EN330" s="208"/>
      <c r="EO330" s="208"/>
      <c r="EP330" s="208"/>
      <c r="EQ330" s="208"/>
      <c r="ER330" s="208"/>
      <c r="ES330" s="208"/>
      <c r="ET330" s="208"/>
      <c r="EU330" s="208"/>
      <c r="EV330" s="208"/>
      <c r="EW330" s="208"/>
      <c r="EX330" s="208"/>
      <c r="EY330" s="208"/>
      <c r="EZ330" s="208">
        <v>0</v>
      </c>
      <c r="FA330" s="208">
        <v>0</v>
      </c>
      <c r="FB330" s="208">
        <v>0</v>
      </c>
      <c r="FC330" s="208"/>
      <c r="FD330" s="82"/>
      <c r="FE330" s="30"/>
    </row>
    <row r="331" spans="1:161" ht="15" hidden="1">
      <c r="A331" s="25" t="s">
        <v>314</v>
      </c>
      <c r="B331" s="212" t="s">
        <v>139</v>
      </c>
      <c r="C331" s="138"/>
      <c r="D331" s="221"/>
      <c r="E331" s="239">
        <v>770</v>
      </c>
      <c r="F331" s="95"/>
      <c r="G331" s="95"/>
      <c r="H331" s="147" t="s">
        <v>656</v>
      </c>
      <c r="I331" s="147"/>
      <c r="J331" s="135"/>
      <c r="K331" s="135"/>
      <c r="L331" s="139"/>
      <c r="M331" s="134"/>
      <c r="N331" s="134"/>
      <c r="O331" s="134"/>
      <c r="P331" s="134"/>
      <c r="Q331" s="134"/>
      <c r="R331" s="134"/>
      <c r="S331" s="139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3"/>
      <c r="BE331" s="83"/>
      <c r="BF331" s="83"/>
      <c r="BG331" s="82"/>
      <c r="BH331" s="81"/>
      <c r="BI331" s="80"/>
      <c r="BJ331" s="25"/>
      <c r="BK331" s="25"/>
      <c r="BL331" s="25"/>
      <c r="BM331" s="84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92"/>
      <c r="DG331" s="92"/>
      <c r="DH331" s="203"/>
      <c r="DI331" s="203"/>
      <c r="DJ331" s="203"/>
      <c r="DK331" s="203"/>
      <c r="DL331" s="203"/>
      <c r="DM331" s="203"/>
      <c r="DN331" s="203"/>
      <c r="DO331" s="203"/>
      <c r="DP331" s="208"/>
      <c r="DQ331" s="208"/>
      <c r="DR331" s="208"/>
      <c r="DS331" s="208"/>
      <c r="DT331" s="208"/>
      <c r="DU331" s="208"/>
      <c r="DV331" s="208"/>
      <c r="DW331" s="208"/>
      <c r="DX331" s="208"/>
      <c r="DY331" s="208"/>
      <c r="DZ331" s="208"/>
      <c r="EA331" s="208"/>
      <c r="EB331" s="208"/>
      <c r="EC331" s="208"/>
      <c r="ED331" s="208"/>
      <c r="EE331" s="208"/>
      <c r="EF331" s="208"/>
      <c r="EG331" s="208"/>
      <c r="EH331" s="208"/>
      <c r="EI331" s="208"/>
      <c r="EJ331" s="208"/>
      <c r="EK331" s="208"/>
      <c r="EL331" s="208"/>
      <c r="EM331" s="208"/>
      <c r="EN331" s="208"/>
      <c r="EO331" s="208"/>
      <c r="EP331" s="208"/>
      <c r="EQ331" s="208"/>
      <c r="ER331" s="208"/>
      <c r="ES331" s="208"/>
      <c r="ET331" s="208"/>
      <c r="EU331" s="208"/>
      <c r="EV331" s="208"/>
      <c r="EW331" s="208"/>
      <c r="EX331" s="208"/>
      <c r="EY331" s="208"/>
      <c r="EZ331" s="208">
        <v>0</v>
      </c>
      <c r="FA331" s="208">
        <v>0</v>
      </c>
      <c r="FB331" s="208">
        <v>0</v>
      </c>
      <c r="FC331" s="208"/>
      <c r="FD331" s="82"/>
      <c r="FE331" s="30"/>
    </row>
    <row r="332" spans="1:161" ht="15" hidden="1">
      <c r="A332" s="25" t="s">
        <v>315</v>
      </c>
      <c r="B332" s="212" t="s">
        <v>139</v>
      </c>
      <c r="C332" s="138"/>
      <c r="D332" s="221"/>
      <c r="E332" s="239">
        <v>770</v>
      </c>
      <c r="F332" s="95"/>
      <c r="G332" s="95"/>
      <c r="H332" s="147" t="s">
        <v>656</v>
      </c>
      <c r="I332" s="147"/>
      <c r="J332" s="135"/>
      <c r="K332" s="135"/>
      <c r="L332" s="139"/>
      <c r="M332" s="134"/>
      <c r="N332" s="134"/>
      <c r="O332" s="134"/>
      <c r="P332" s="134"/>
      <c r="Q332" s="134"/>
      <c r="R332" s="134"/>
      <c r="S332" s="139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3"/>
      <c r="BE332" s="83"/>
      <c r="BF332" s="83"/>
      <c r="BG332" s="82"/>
      <c r="BH332" s="81"/>
      <c r="BI332" s="80"/>
      <c r="BJ332" s="25"/>
      <c r="BK332" s="25"/>
      <c r="BL332" s="25"/>
      <c r="BM332" s="84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  <c r="CX332" s="25"/>
      <c r="CY332" s="25"/>
      <c r="CZ332" s="25"/>
      <c r="DA332" s="25"/>
      <c r="DB332" s="25"/>
      <c r="DC332" s="25"/>
      <c r="DD332" s="25"/>
      <c r="DE332" s="25"/>
      <c r="DF332" s="92"/>
      <c r="DG332" s="92"/>
      <c r="DH332" s="203"/>
      <c r="DI332" s="203"/>
      <c r="DJ332" s="203"/>
      <c r="DK332" s="203"/>
      <c r="DL332" s="203"/>
      <c r="DM332" s="203"/>
      <c r="DN332" s="203"/>
      <c r="DO332" s="203"/>
      <c r="DP332" s="208"/>
      <c r="DQ332" s="208"/>
      <c r="DR332" s="208"/>
      <c r="DS332" s="208"/>
      <c r="DT332" s="208"/>
      <c r="DU332" s="208"/>
      <c r="DV332" s="208"/>
      <c r="DW332" s="208"/>
      <c r="DX332" s="208"/>
      <c r="DY332" s="208"/>
      <c r="DZ332" s="208"/>
      <c r="EA332" s="208"/>
      <c r="EB332" s="208"/>
      <c r="EC332" s="208"/>
      <c r="ED332" s="208"/>
      <c r="EE332" s="208"/>
      <c r="EF332" s="208"/>
      <c r="EG332" s="208"/>
      <c r="EH332" s="208"/>
      <c r="EI332" s="208"/>
      <c r="EJ332" s="208"/>
      <c r="EK332" s="208"/>
      <c r="EL332" s="208"/>
      <c r="EM332" s="208"/>
      <c r="EN332" s="208"/>
      <c r="EO332" s="208"/>
      <c r="EP332" s="208"/>
      <c r="EQ332" s="208"/>
      <c r="ER332" s="208"/>
      <c r="ES332" s="208"/>
      <c r="ET332" s="208"/>
      <c r="EU332" s="208"/>
      <c r="EV332" s="208"/>
      <c r="EW332" s="208"/>
      <c r="EX332" s="208"/>
      <c r="EY332" s="208"/>
      <c r="EZ332" s="208">
        <v>0</v>
      </c>
      <c r="FA332" s="208">
        <v>0</v>
      </c>
      <c r="FB332" s="208">
        <v>0</v>
      </c>
      <c r="FC332" s="208"/>
      <c r="FD332" s="82"/>
      <c r="FE332" s="30"/>
    </row>
    <row r="333" spans="1:161" ht="15" hidden="1">
      <c r="A333" s="25" t="s">
        <v>316</v>
      </c>
      <c r="B333" s="212" t="s">
        <v>139</v>
      </c>
      <c r="C333" s="138"/>
      <c r="D333" s="221"/>
      <c r="E333" s="239">
        <v>770</v>
      </c>
      <c r="F333" s="95"/>
      <c r="G333" s="95"/>
      <c r="H333" s="147" t="s">
        <v>656</v>
      </c>
      <c r="I333" s="147"/>
      <c r="J333" s="135"/>
      <c r="K333" s="135"/>
      <c r="L333" s="139"/>
      <c r="M333" s="134"/>
      <c r="N333" s="134"/>
      <c r="O333" s="134"/>
      <c r="P333" s="134"/>
      <c r="Q333" s="134"/>
      <c r="R333" s="134"/>
      <c r="S333" s="139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3"/>
      <c r="BE333" s="83"/>
      <c r="BF333" s="83"/>
      <c r="BG333" s="82"/>
      <c r="BH333" s="81"/>
      <c r="BI333" s="80"/>
      <c r="BJ333" s="25"/>
      <c r="BK333" s="25"/>
      <c r="BL333" s="25"/>
      <c r="BM333" s="84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  <c r="CX333" s="25"/>
      <c r="CY333" s="25"/>
      <c r="CZ333" s="25"/>
      <c r="DA333" s="25"/>
      <c r="DB333" s="25"/>
      <c r="DC333" s="25"/>
      <c r="DD333" s="25"/>
      <c r="DE333" s="25"/>
      <c r="DF333" s="92"/>
      <c r="DG333" s="92"/>
      <c r="DH333" s="203"/>
      <c r="DI333" s="203"/>
      <c r="DJ333" s="203"/>
      <c r="DK333" s="203"/>
      <c r="DL333" s="203"/>
      <c r="DM333" s="203"/>
      <c r="DN333" s="203"/>
      <c r="DO333" s="203"/>
      <c r="DP333" s="208"/>
      <c r="DQ333" s="208"/>
      <c r="DR333" s="208"/>
      <c r="DS333" s="208"/>
      <c r="DT333" s="208"/>
      <c r="DU333" s="208"/>
      <c r="DV333" s="208"/>
      <c r="DW333" s="208"/>
      <c r="DX333" s="208"/>
      <c r="DY333" s="208"/>
      <c r="DZ333" s="208"/>
      <c r="EA333" s="208"/>
      <c r="EB333" s="208"/>
      <c r="EC333" s="208"/>
      <c r="ED333" s="208"/>
      <c r="EE333" s="208"/>
      <c r="EF333" s="208"/>
      <c r="EG333" s="208"/>
      <c r="EH333" s="208"/>
      <c r="EI333" s="208"/>
      <c r="EJ333" s="208"/>
      <c r="EK333" s="208"/>
      <c r="EL333" s="208"/>
      <c r="EM333" s="208"/>
      <c r="EN333" s="208"/>
      <c r="EO333" s="208"/>
      <c r="EP333" s="208"/>
      <c r="EQ333" s="208"/>
      <c r="ER333" s="208"/>
      <c r="ES333" s="208"/>
      <c r="ET333" s="208"/>
      <c r="EU333" s="208"/>
      <c r="EV333" s="208"/>
      <c r="EW333" s="208"/>
      <c r="EX333" s="208"/>
      <c r="EY333" s="208"/>
      <c r="EZ333" s="208">
        <v>0</v>
      </c>
      <c r="FA333" s="208">
        <v>0</v>
      </c>
      <c r="FB333" s="208">
        <v>0</v>
      </c>
      <c r="FC333" s="208"/>
      <c r="FD333" s="82"/>
      <c r="FE333" s="30"/>
    </row>
    <row r="334" spans="1:161" ht="15" hidden="1">
      <c r="A334" s="25" t="s">
        <v>142</v>
      </c>
      <c r="B334" s="230" t="s">
        <v>139</v>
      </c>
      <c r="C334" s="138"/>
      <c r="D334" s="221"/>
      <c r="E334" s="239">
        <v>970</v>
      </c>
      <c r="F334" s="95"/>
      <c r="G334" s="95"/>
      <c r="H334" s="229" t="s">
        <v>656</v>
      </c>
      <c r="I334" s="147"/>
      <c r="J334" s="135"/>
      <c r="K334" s="135"/>
      <c r="L334" s="139"/>
      <c r="M334" s="134"/>
      <c r="N334" s="134"/>
      <c r="O334" s="134"/>
      <c r="P334" s="134"/>
      <c r="Q334" s="134"/>
      <c r="R334" s="134"/>
      <c r="S334" s="139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3"/>
      <c r="BE334" s="83"/>
      <c r="BF334" s="83"/>
      <c r="BG334" s="82"/>
      <c r="BH334" s="81"/>
      <c r="BI334" s="80"/>
      <c r="BJ334" s="25"/>
      <c r="BK334" s="25"/>
      <c r="BL334" s="25"/>
      <c r="BM334" s="84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  <c r="CX334" s="25"/>
      <c r="CY334" s="25"/>
      <c r="CZ334" s="25"/>
      <c r="DA334" s="25"/>
      <c r="DB334" s="25"/>
      <c r="DC334" s="25"/>
      <c r="DD334" s="25"/>
      <c r="DE334" s="25"/>
      <c r="DF334" s="92"/>
      <c r="DG334" s="92"/>
      <c r="DH334" s="203"/>
      <c r="DI334" s="203"/>
      <c r="DJ334" s="203"/>
      <c r="DK334" s="203"/>
      <c r="DL334" s="203"/>
      <c r="DM334" s="203"/>
      <c r="DN334" s="203"/>
      <c r="DO334" s="203"/>
      <c r="DP334" s="208"/>
      <c r="DQ334" s="208"/>
      <c r="DR334" s="208"/>
      <c r="DS334" s="208"/>
      <c r="DT334" s="208"/>
      <c r="DU334" s="208"/>
      <c r="DV334" s="208"/>
      <c r="DW334" s="208"/>
      <c r="DX334" s="208"/>
      <c r="DY334" s="208"/>
      <c r="DZ334" s="208"/>
      <c r="EA334" s="208"/>
      <c r="EB334" s="208"/>
      <c r="EC334" s="208"/>
      <c r="ED334" s="208"/>
      <c r="EE334" s="208"/>
      <c r="EF334" s="208"/>
      <c r="EG334" s="208"/>
      <c r="EH334" s="208"/>
      <c r="EI334" s="208"/>
      <c r="EJ334" s="208"/>
      <c r="EK334" s="208"/>
      <c r="EL334" s="208"/>
      <c r="EM334" s="208"/>
      <c r="EN334" s="208"/>
      <c r="EO334" s="208"/>
      <c r="EP334" s="208"/>
      <c r="EQ334" s="208"/>
      <c r="ER334" s="208"/>
      <c r="ES334" s="208"/>
      <c r="ET334" s="208"/>
      <c r="EU334" s="208"/>
      <c r="EV334" s="208"/>
      <c r="EW334" s="208"/>
      <c r="EX334" s="208"/>
      <c r="EY334" s="208"/>
      <c r="EZ334" s="208">
        <v>0</v>
      </c>
      <c r="FA334" s="208">
        <v>0</v>
      </c>
      <c r="FB334" s="208">
        <v>0</v>
      </c>
      <c r="FC334" s="208"/>
      <c r="FD334" s="82"/>
      <c r="FE334" s="30"/>
    </row>
    <row r="335" spans="1:161" ht="15" hidden="1">
      <c r="A335" s="25" t="s">
        <v>317</v>
      </c>
      <c r="B335" s="212" t="s">
        <v>139</v>
      </c>
      <c r="C335" s="138"/>
      <c r="D335" s="221"/>
      <c r="E335" s="239">
        <v>770</v>
      </c>
      <c r="F335" s="95"/>
      <c r="G335" s="95"/>
      <c r="H335" s="147" t="s">
        <v>656</v>
      </c>
      <c r="I335" s="147"/>
      <c r="J335" s="135"/>
      <c r="K335" s="135"/>
      <c r="L335" s="139"/>
      <c r="M335" s="134"/>
      <c r="N335" s="134"/>
      <c r="O335" s="134"/>
      <c r="P335" s="134"/>
      <c r="Q335" s="134"/>
      <c r="R335" s="134"/>
      <c r="S335" s="139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3"/>
      <c r="BE335" s="83"/>
      <c r="BF335" s="83"/>
      <c r="BG335" s="82"/>
      <c r="BH335" s="81"/>
      <c r="BI335" s="80"/>
      <c r="BJ335" s="25"/>
      <c r="BK335" s="25"/>
      <c r="BL335" s="25"/>
      <c r="BM335" s="84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  <c r="CX335" s="25"/>
      <c r="CY335" s="25"/>
      <c r="CZ335" s="25"/>
      <c r="DA335" s="25"/>
      <c r="DB335" s="25"/>
      <c r="DC335" s="25"/>
      <c r="DD335" s="25"/>
      <c r="DE335" s="25"/>
      <c r="DF335" s="92"/>
      <c r="DG335" s="92"/>
      <c r="DH335" s="203"/>
      <c r="DI335" s="203"/>
      <c r="DJ335" s="203"/>
      <c r="DK335" s="203"/>
      <c r="DL335" s="203"/>
      <c r="DM335" s="203"/>
      <c r="DN335" s="203"/>
      <c r="DO335" s="203"/>
      <c r="DP335" s="208"/>
      <c r="DQ335" s="208"/>
      <c r="DR335" s="208"/>
      <c r="DS335" s="208"/>
      <c r="DT335" s="208"/>
      <c r="DU335" s="208"/>
      <c r="DV335" s="208"/>
      <c r="DW335" s="208"/>
      <c r="DX335" s="208"/>
      <c r="DY335" s="208"/>
      <c r="DZ335" s="208"/>
      <c r="EA335" s="208"/>
      <c r="EB335" s="208"/>
      <c r="EC335" s="208"/>
      <c r="ED335" s="208"/>
      <c r="EE335" s="208"/>
      <c r="EF335" s="208"/>
      <c r="EG335" s="208"/>
      <c r="EH335" s="208"/>
      <c r="EI335" s="208"/>
      <c r="EJ335" s="208"/>
      <c r="EK335" s="208"/>
      <c r="EL335" s="208"/>
      <c r="EM335" s="208"/>
      <c r="EN335" s="208"/>
      <c r="EO335" s="208"/>
      <c r="EP335" s="208"/>
      <c r="EQ335" s="208"/>
      <c r="ER335" s="208"/>
      <c r="ES335" s="208"/>
      <c r="ET335" s="208"/>
      <c r="EU335" s="208"/>
      <c r="EV335" s="208"/>
      <c r="EW335" s="208"/>
      <c r="EX335" s="208"/>
      <c r="EY335" s="208"/>
      <c r="EZ335" s="208">
        <v>0</v>
      </c>
      <c r="FA335" s="208">
        <v>0</v>
      </c>
      <c r="FB335" s="208">
        <v>0</v>
      </c>
      <c r="FC335" s="208"/>
      <c r="FD335" s="82"/>
      <c r="FE335" s="30"/>
    </row>
    <row r="336" spans="1:161" ht="15" hidden="1">
      <c r="A336" s="25" t="s">
        <v>318</v>
      </c>
      <c r="B336" s="212" t="s">
        <v>139</v>
      </c>
      <c r="C336" s="138"/>
      <c r="D336" s="221"/>
      <c r="E336" s="239">
        <v>770</v>
      </c>
      <c r="F336" s="95"/>
      <c r="G336" s="95"/>
      <c r="H336" s="147" t="s">
        <v>656</v>
      </c>
      <c r="I336" s="147"/>
      <c r="J336" s="135"/>
      <c r="K336" s="135"/>
      <c r="L336" s="139"/>
      <c r="M336" s="134"/>
      <c r="N336" s="134"/>
      <c r="O336" s="134"/>
      <c r="P336" s="134"/>
      <c r="Q336" s="134"/>
      <c r="R336" s="134"/>
      <c r="S336" s="139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3"/>
      <c r="BE336" s="83"/>
      <c r="BF336" s="83"/>
      <c r="BG336" s="82"/>
      <c r="BH336" s="81"/>
      <c r="BI336" s="80"/>
      <c r="BJ336" s="25"/>
      <c r="BK336" s="25"/>
      <c r="BL336" s="25"/>
      <c r="BM336" s="84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  <c r="CX336" s="25"/>
      <c r="CY336" s="25"/>
      <c r="CZ336" s="25"/>
      <c r="DA336" s="25"/>
      <c r="DB336" s="25"/>
      <c r="DC336" s="25"/>
      <c r="DD336" s="25"/>
      <c r="DE336" s="25"/>
      <c r="DF336" s="92"/>
      <c r="DG336" s="92"/>
      <c r="DH336" s="203"/>
      <c r="DI336" s="203"/>
      <c r="DJ336" s="203"/>
      <c r="DK336" s="203"/>
      <c r="DL336" s="203"/>
      <c r="DM336" s="203"/>
      <c r="DN336" s="203"/>
      <c r="DO336" s="203"/>
      <c r="DP336" s="208"/>
      <c r="DQ336" s="208"/>
      <c r="DR336" s="208"/>
      <c r="DS336" s="208"/>
      <c r="DT336" s="208"/>
      <c r="DU336" s="208"/>
      <c r="DV336" s="208"/>
      <c r="DW336" s="208"/>
      <c r="DX336" s="208"/>
      <c r="DY336" s="208"/>
      <c r="DZ336" s="208"/>
      <c r="EA336" s="208"/>
      <c r="EB336" s="208"/>
      <c r="EC336" s="208"/>
      <c r="ED336" s="208"/>
      <c r="EE336" s="208"/>
      <c r="EF336" s="208"/>
      <c r="EG336" s="208"/>
      <c r="EH336" s="208"/>
      <c r="EI336" s="208"/>
      <c r="EJ336" s="208"/>
      <c r="EK336" s="208"/>
      <c r="EL336" s="208"/>
      <c r="EM336" s="208"/>
      <c r="EN336" s="208"/>
      <c r="EO336" s="208"/>
      <c r="EP336" s="208"/>
      <c r="EQ336" s="208"/>
      <c r="ER336" s="208"/>
      <c r="ES336" s="208"/>
      <c r="ET336" s="208"/>
      <c r="EU336" s="208"/>
      <c r="EV336" s="208"/>
      <c r="EW336" s="208"/>
      <c r="EX336" s="208"/>
      <c r="EY336" s="208"/>
      <c r="EZ336" s="208">
        <v>0</v>
      </c>
      <c r="FA336" s="208">
        <v>0</v>
      </c>
      <c r="FB336" s="208">
        <v>0</v>
      </c>
      <c r="FC336" s="208"/>
      <c r="FD336" s="82"/>
      <c r="FE336" s="30"/>
    </row>
    <row r="337" spans="1:161" ht="15" hidden="1">
      <c r="A337" s="25" t="s">
        <v>319</v>
      </c>
      <c r="B337" s="212" t="s">
        <v>139</v>
      </c>
      <c r="C337" s="138"/>
      <c r="D337" s="221"/>
      <c r="E337" s="239">
        <v>770</v>
      </c>
      <c r="F337" s="95"/>
      <c r="G337" s="95"/>
      <c r="H337" s="147" t="s">
        <v>656</v>
      </c>
      <c r="I337" s="147"/>
      <c r="J337" s="135"/>
      <c r="K337" s="135"/>
      <c r="L337" s="139"/>
      <c r="M337" s="134"/>
      <c r="N337" s="134"/>
      <c r="O337" s="134"/>
      <c r="P337" s="134"/>
      <c r="Q337" s="134"/>
      <c r="R337" s="134"/>
      <c r="S337" s="139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3"/>
      <c r="BE337" s="83"/>
      <c r="BF337" s="83"/>
      <c r="BG337" s="82"/>
      <c r="BH337" s="81"/>
      <c r="BI337" s="80"/>
      <c r="BJ337" s="25"/>
      <c r="BK337" s="25"/>
      <c r="BL337" s="25"/>
      <c r="BM337" s="84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  <c r="CX337" s="25"/>
      <c r="CY337" s="25"/>
      <c r="CZ337" s="25"/>
      <c r="DA337" s="25"/>
      <c r="DB337" s="25"/>
      <c r="DC337" s="25"/>
      <c r="DD337" s="25"/>
      <c r="DE337" s="25"/>
      <c r="DF337" s="92"/>
      <c r="DG337" s="92"/>
      <c r="DH337" s="203"/>
      <c r="DI337" s="203"/>
      <c r="DJ337" s="203"/>
      <c r="DK337" s="203"/>
      <c r="DL337" s="203"/>
      <c r="DM337" s="203"/>
      <c r="DN337" s="203"/>
      <c r="DO337" s="203"/>
      <c r="DP337" s="208"/>
      <c r="DQ337" s="208"/>
      <c r="DR337" s="208"/>
      <c r="DS337" s="208"/>
      <c r="DT337" s="208"/>
      <c r="DU337" s="208"/>
      <c r="DV337" s="208"/>
      <c r="DW337" s="208"/>
      <c r="DX337" s="208"/>
      <c r="DY337" s="208"/>
      <c r="DZ337" s="208"/>
      <c r="EA337" s="208"/>
      <c r="EB337" s="208"/>
      <c r="EC337" s="208"/>
      <c r="ED337" s="208"/>
      <c r="EE337" s="208"/>
      <c r="EF337" s="208"/>
      <c r="EG337" s="208"/>
      <c r="EH337" s="208"/>
      <c r="EI337" s="208"/>
      <c r="EJ337" s="208"/>
      <c r="EK337" s="208"/>
      <c r="EL337" s="208"/>
      <c r="EM337" s="208"/>
      <c r="EN337" s="208"/>
      <c r="EO337" s="208"/>
      <c r="EP337" s="208"/>
      <c r="EQ337" s="208"/>
      <c r="ER337" s="208"/>
      <c r="ES337" s="208"/>
      <c r="ET337" s="208"/>
      <c r="EU337" s="208"/>
      <c r="EV337" s="208"/>
      <c r="EW337" s="208"/>
      <c r="EX337" s="208"/>
      <c r="EY337" s="208"/>
      <c r="EZ337" s="208">
        <v>0</v>
      </c>
      <c r="FA337" s="208">
        <v>0</v>
      </c>
      <c r="FB337" s="208">
        <v>0</v>
      </c>
      <c r="FC337" s="208"/>
      <c r="FD337" s="82"/>
      <c r="FE337" s="30"/>
    </row>
    <row r="338" spans="1:161" ht="15" hidden="1">
      <c r="A338" s="25" t="s">
        <v>336</v>
      </c>
      <c r="B338" s="212" t="s">
        <v>139</v>
      </c>
      <c r="C338" s="138"/>
      <c r="D338" s="221"/>
      <c r="E338" s="239">
        <v>970</v>
      </c>
      <c r="F338" s="95"/>
      <c r="G338" s="95"/>
      <c r="H338" s="147" t="s">
        <v>656</v>
      </c>
      <c r="I338" s="147"/>
      <c r="J338" s="135"/>
      <c r="K338" s="135"/>
      <c r="L338" s="139"/>
      <c r="M338" s="134"/>
      <c r="N338" s="134"/>
      <c r="O338" s="134"/>
      <c r="P338" s="134"/>
      <c r="Q338" s="134"/>
      <c r="R338" s="134"/>
      <c r="S338" s="139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3"/>
      <c r="BE338" s="83"/>
      <c r="BF338" s="83"/>
      <c r="BG338" s="82"/>
      <c r="BH338" s="81"/>
      <c r="BI338" s="80"/>
      <c r="BJ338" s="25"/>
      <c r="BK338" s="25"/>
      <c r="BL338" s="25"/>
      <c r="BM338" s="84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  <c r="CX338" s="25"/>
      <c r="CY338" s="25"/>
      <c r="CZ338" s="25"/>
      <c r="DA338" s="25"/>
      <c r="DB338" s="25"/>
      <c r="DC338" s="25"/>
      <c r="DD338" s="25"/>
      <c r="DE338" s="25"/>
      <c r="DF338" s="92"/>
      <c r="DG338" s="92"/>
      <c r="DH338" s="203"/>
      <c r="DI338" s="203"/>
      <c r="DJ338" s="203"/>
      <c r="DK338" s="203"/>
      <c r="DL338" s="203"/>
      <c r="DM338" s="203"/>
      <c r="DN338" s="203"/>
      <c r="DO338" s="203"/>
      <c r="DP338" s="208"/>
      <c r="DQ338" s="208"/>
      <c r="DR338" s="208"/>
      <c r="DS338" s="208"/>
      <c r="DT338" s="208"/>
      <c r="DU338" s="208"/>
      <c r="DV338" s="208"/>
      <c r="DW338" s="208"/>
      <c r="DX338" s="208"/>
      <c r="DY338" s="208"/>
      <c r="DZ338" s="208"/>
      <c r="EA338" s="208"/>
      <c r="EB338" s="208"/>
      <c r="EC338" s="208"/>
      <c r="ED338" s="208"/>
      <c r="EE338" s="208"/>
      <c r="EF338" s="208"/>
      <c r="EG338" s="208"/>
      <c r="EH338" s="208"/>
      <c r="EI338" s="208"/>
      <c r="EJ338" s="208"/>
      <c r="EK338" s="208"/>
      <c r="EL338" s="208"/>
      <c r="EM338" s="208"/>
      <c r="EN338" s="208"/>
      <c r="EO338" s="208"/>
      <c r="EP338" s="208"/>
      <c r="EQ338" s="208"/>
      <c r="ER338" s="208"/>
      <c r="ES338" s="208"/>
      <c r="ET338" s="208"/>
      <c r="EU338" s="208"/>
      <c r="EV338" s="208"/>
      <c r="EW338" s="208"/>
      <c r="EX338" s="208"/>
      <c r="EY338" s="208"/>
      <c r="EZ338" s="208">
        <v>0</v>
      </c>
      <c r="FA338" s="208">
        <v>0</v>
      </c>
      <c r="FB338" s="208">
        <v>0</v>
      </c>
      <c r="FC338" s="208"/>
      <c r="FD338" s="82"/>
      <c r="FE338" s="30"/>
    </row>
    <row r="339" spans="1:161" ht="15" hidden="1">
      <c r="A339" s="25" t="s">
        <v>320</v>
      </c>
      <c r="B339" s="212" t="s">
        <v>139</v>
      </c>
      <c r="C339" s="138"/>
      <c r="D339" s="221"/>
      <c r="E339" s="239">
        <v>770</v>
      </c>
      <c r="F339" s="95"/>
      <c r="G339" s="95"/>
      <c r="H339" s="147" t="s">
        <v>656</v>
      </c>
      <c r="I339" s="147"/>
      <c r="J339" s="135"/>
      <c r="K339" s="135"/>
      <c r="L339" s="139"/>
      <c r="M339" s="134"/>
      <c r="N339" s="134"/>
      <c r="O339" s="134"/>
      <c r="P339" s="134"/>
      <c r="Q339" s="134"/>
      <c r="R339" s="134"/>
      <c r="S339" s="139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3"/>
      <c r="BE339" s="83"/>
      <c r="BF339" s="83"/>
      <c r="BG339" s="82"/>
      <c r="BH339" s="81"/>
      <c r="BI339" s="80"/>
      <c r="BJ339" s="25"/>
      <c r="BK339" s="25"/>
      <c r="BL339" s="25"/>
      <c r="BM339" s="84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  <c r="CX339" s="25"/>
      <c r="CY339" s="25"/>
      <c r="CZ339" s="25"/>
      <c r="DA339" s="25"/>
      <c r="DB339" s="25"/>
      <c r="DC339" s="25"/>
      <c r="DD339" s="25"/>
      <c r="DE339" s="25"/>
      <c r="DF339" s="92"/>
      <c r="DG339" s="92"/>
      <c r="DH339" s="203"/>
      <c r="DI339" s="203"/>
      <c r="DJ339" s="203"/>
      <c r="DK339" s="203"/>
      <c r="DL339" s="203"/>
      <c r="DM339" s="203"/>
      <c r="DN339" s="203"/>
      <c r="DO339" s="203"/>
      <c r="DP339" s="208"/>
      <c r="DQ339" s="208"/>
      <c r="DR339" s="208"/>
      <c r="DS339" s="208"/>
      <c r="DT339" s="208"/>
      <c r="DU339" s="208"/>
      <c r="DV339" s="208"/>
      <c r="DW339" s="208"/>
      <c r="DX339" s="208"/>
      <c r="DY339" s="208"/>
      <c r="DZ339" s="208"/>
      <c r="EA339" s="208"/>
      <c r="EB339" s="208"/>
      <c r="EC339" s="208"/>
      <c r="ED339" s="208"/>
      <c r="EE339" s="208"/>
      <c r="EF339" s="208"/>
      <c r="EG339" s="208"/>
      <c r="EH339" s="208"/>
      <c r="EI339" s="208"/>
      <c r="EJ339" s="208"/>
      <c r="EK339" s="208"/>
      <c r="EL339" s="208"/>
      <c r="EM339" s="208"/>
      <c r="EN339" s="208"/>
      <c r="EO339" s="208"/>
      <c r="EP339" s="208"/>
      <c r="EQ339" s="208"/>
      <c r="ER339" s="208"/>
      <c r="ES339" s="208"/>
      <c r="ET339" s="208"/>
      <c r="EU339" s="208"/>
      <c r="EV339" s="208"/>
      <c r="EW339" s="208"/>
      <c r="EX339" s="208"/>
      <c r="EY339" s="208"/>
      <c r="EZ339" s="208">
        <v>0</v>
      </c>
      <c r="FA339" s="208">
        <v>0</v>
      </c>
      <c r="FB339" s="208">
        <v>0</v>
      </c>
      <c r="FC339" s="208"/>
      <c r="FD339" s="82"/>
      <c r="FE339" s="30"/>
    </row>
    <row r="340" spans="1:161" ht="15" hidden="1">
      <c r="A340" s="25" t="s">
        <v>321</v>
      </c>
      <c r="B340" s="212" t="s">
        <v>139</v>
      </c>
      <c r="C340" s="138"/>
      <c r="D340" s="221"/>
      <c r="E340" s="239">
        <v>770</v>
      </c>
      <c r="F340" s="95"/>
      <c r="G340" s="95"/>
      <c r="H340" s="147" t="s">
        <v>656</v>
      </c>
      <c r="I340" s="147"/>
      <c r="J340" s="135"/>
      <c r="K340" s="135"/>
      <c r="L340" s="139"/>
      <c r="M340" s="134"/>
      <c r="N340" s="134"/>
      <c r="O340" s="134"/>
      <c r="P340" s="134"/>
      <c r="Q340" s="134"/>
      <c r="R340" s="134"/>
      <c r="S340" s="139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3"/>
      <c r="BE340" s="83"/>
      <c r="BF340" s="83"/>
      <c r="BG340" s="82"/>
      <c r="BH340" s="81"/>
      <c r="BI340" s="80"/>
      <c r="BJ340" s="25"/>
      <c r="BK340" s="25"/>
      <c r="BL340" s="25"/>
      <c r="BM340" s="84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  <c r="CX340" s="25"/>
      <c r="CY340" s="25"/>
      <c r="CZ340" s="25"/>
      <c r="DA340" s="25"/>
      <c r="DB340" s="25"/>
      <c r="DC340" s="25"/>
      <c r="DD340" s="25"/>
      <c r="DE340" s="25"/>
      <c r="DF340" s="92"/>
      <c r="DG340" s="92"/>
      <c r="DH340" s="203"/>
      <c r="DI340" s="203"/>
      <c r="DJ340" s="203"/>
      <c r="DK340" s="203"/>
      <c r="DL340" s="203"/>
      <c r="DM340" s="203"/>
      <c r="DN340" s="203"/>
      <c r="DO340" s="203"/>
      <c r="DP340" s="208"/>
      <c r="DQ340" s="208"/>
      <c r="DR340" s="208"/>
      <c r="DS340" s="208"/>
      <c r="DT340" s="208"/>
      <c r="DU340" s="208"/>
      <c r="DV340" s="208"/>
      <c r="DW340" s="208"/>
      <c r="DX340" s="208"/>
      <c r="DY340" s="208"/>
      <c r="DZ340" s="208"/>
      <c r="EA340" s="208"/>
      <c r="EB340" s="208"/>
      <c r="EC340" s="208"/>
      <c r="ED340" s="208"/>
      <c r="EE340" s="208"/>
      <c r="EF340" s="208"/>
      <c r="EG340" s="208"/>
      <c r="EH340" s="208"/>
      <c r="EI340" s="208"/>
      <c r="EJ340" s="208"/>
      <c r="EK340" s="208"/>
      <c r="EL340" s="208"/>
      <c r="EM340" s="208"/>
      <c r="EN340" s="208"/>
      <c r="EO340" s="208"/>
      <c r="EP340" s="208"/>
      <c r="EQ340" s="208"/>
      <c r="ER340" s="208"/>
      <c r="ES340" s="208"/>
      <c r="ET340" s="208"/>
      <c r="EU340" s="208"/>
      <c r="EV340" s="208"/>
      <c r="EW340" s="208"/>
      <c r="EX340" s="208"/>
      <c r="EY340" s="208"/>
      <c r="EZ340" s="208">
        <v>0</v>
      </c>
      <c r="FA340" s="208">
        <v>0</v>
      </c>
      <c r="FB340" s="208">
        <v>0</v>
      </c>
      <c r="FC340" s="208"/>
      <c r="FD340" s="82"/>
      <c r="FE340" s="30"/>
    </row>
    <row r="341" spans="1:161" ht="15" hidden="1">
      <c r="A341" s="25" t="s">
        <v>322</v>
      </c>
      <c r="B341" s="212" t="s">
        <v>139</v>
      </c>
      <c r="C341" s="138"/>
      <c r="D341" s="221"/>
      <c r="E341" s="239">
        <v>770</v>
      </c>
      <c r="F341" s="95"/>
      <c r="G341" s="95"/>
      <c r="H341" s="147" t="s">
        <v>656</v>
      </c>
      <c r="I341" s="147"/>
      <c r="J341" s="135"/>
      <c r="K341" s="135"/>
      <c r="L341" s="139"/>
      <c r="M341" s="134"/>
      <c r="N341" s="134"/>
      <c r="O341" s="134"/>
      <c r="P341" s="134"/>
      <c r="Q341" s="134"/>
      <c r="R341" s="134"/>
      <c r="S341" s="139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3"/>
      <c r="BE341" s="83"/>
      <c r="BF341" s="83"/>
      <c r="BG341" s="82"/>
      <c r="BH341" s="81"/>
      <c r="BI341" s="80"/>
      <c r="BJ341" s="25"/>
      <c r="BK341" s="25"/>
      <c r="BL341" s="25"/>
      <c r="BM341" s="84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92"/>
      <c r="DG341" s="92"/>
      <c r="DH341" s="203"/>
      <c r="DI341" s="203"/>
      <c r="DJ341" s="203"/>
      <c r="DK341" s="203"/>
      <c r="DL341" s="203"/>
      <c r="DM341" s="203"/>
      <c r="DN341" s="203"/>
      <c r="DO341" s="203"/>
      <c r="DP341" s="208"/>
      <c r="DQ341" s="208"/>
      <c r="DR341" s="208"/>
      <c r="DS341" s="208"/>
      <c r="DT341" s="208"/>
      <c r="DU341" s="208"/>
      <c r="DV341" s="208"/>
      <c r="DW341" s="208"/>
      <c r="DX341" s="208"/>
      <c r="DY341" s="208"/>
      <c r="DZ341" s="208"/>
      <c r="EA341" s="208"/>
      <c r="EB341" s="208"/>
      <c r="EC341" s="208"/>
      <c r="ED341" s="208"/>
      <c r="EE341" s="208"/>
      <c r="EF341" s="208"/>
      <c r="EG341" s="208"/>
      <c r="EH341" s="208"/>
      <c r="EI341" s="208"/>
      <c r="EJ341" s="208"/>
      <c r="EK341" s="208"/>
      <c r="EL341" s="208"/>
      <c r="EM341" s="208"/>
      <c r="EN341" s="208"/>
      <c r="EO341" s="208"/>
      <c r="EP341" s="208"/>
      <c r="EQ341" s="208"/>
      <c r="ER341" s="208"/>
      <c r="ES341" s="208"/>
      <c r="ET341" s="208"/>
      <c r="EU341" s="208"/>
      <c r="EV341" s="208"/>
      <c r="EW341" s="208"/>
      <c r="EX341" s="208"/>
      <c r="EY341" s="208"/>
      <c r="EZ341" s="208">
        <v>0</v>
      </c>
      <c r="FA341" s="208">
        <v>0</v>
      </c>
      <c r="FB341" s="208">
        <v>0</v>
      </c>
      <c r="FC341" s="208"/>
      <c r="FD341" s="82"/>
      <c r="FE341" s="30"/>
    </row>
    <row r="342" spans="1:161" ht="15" hidden="1">
      <c r="A342" s="25" t="s">
        <v>323</v>
      </c>
      <c r="B342" s="212" t="s">
        <v>139</v>
      </c>
      <c r="C342" s="138"/>
      <c r="D342" s="221"/>
      <c r="E342" s="239">
        <v>770</v>
      </c>
      <c r="F342" s="95"/>
      <c r="G342" s="95"/>
      <c r="H342" s="147" t="s">
        <v>656</v>
      </c>
      <c r="I342" s="147"/>
      <c r="J342" s="135"/>
      <c r="K342" s="135"/>
      <c r="L342" s="139"/>
      <c r="M342" s="134"/>
      <c r="N342" s="134"/>
      <c r="O342" s="134"/>
      <c r="P342" s="134"/>
      <c r="Q342" s="134"/>
      <c r="R342" s="134"/>
      <c r="S342" s="139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3"/>
      <c r="BE342" s="83"/>
      <c r="BF342" s="83"/>
      <c r="BG342" s="82"/>
      <c r="BH342" s="81"/>
      <c r="BI342" s="80"/>
      <c r="BJ342" s="25"/>
      <c r="BK342" s="25"/>
      <c r="BL342" s="25"/>
      <c r="BM342" s="84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  <c r="CX342" s="25"/>
      <c r="CY342" s="25"/>
      <c r="CZ342" s="25"/>
      <c r="DA342" s="25"/>
      <c r="DB342" s="25"/>
      <c r="DC342" s="25"/>
      <c r="DD342" s="25"/>
      <c r="DE342" s="25"/>
      <c r="DF342" s="92"/>
      <c r="DG342" s="92"/>
      <c r="DH342" s="203"/>
      <c r="DI342" s="203"/>
      <c r="DJ342" s="203"/>
      <c r="DK342" s="203"/>
      <c r="DL342" s="203"/>
      <c r="DM342" s="203"/>
      <c r="DN342" s="203"/>
      <c r="DO342" s="203"/>
      <c r="DP342" s="208"/>
      <c r="DQ342" s="208"/>
      <c r="DR342" s="208"/>
      <c r="DS342" s="208"/>
      <c r="DT342" s="208"/>
      <c r="DU342" s="208"/>
      <c r="DV342" s="208"/>
      <c r="DW342" s="208"/>
      <c r="DX342" s="208"/>
      <c r="DY342" s="208"/>
      <c r="DZ342" s="208"/>
      <c r="EA342" s="208"/>
      <c r="EB342" s="208"/>
      <c r="EC342" s="208"/>
      <c r="ED342" s="208"/>
      <c r="EE342" s="208"/>
      <c r="EF342" s="208"/>
      <c r="EG342" s="208"/>
      <c r="EH342" s="208"/>
      <c r="EI342" s="208"/>
      <c r="EJ342" s="208"/>
      <c r="EK342" s="208"/>
      <c r="EL342" s="208"/>
      <c r="EM342" s="208"/>
      <c r="EN342" s="208"/>
      <c r="EO342" s="208"/>
      <c r="EP342" s="208"/>
      <c r="EQ342" s="208"/>
      <c r="ER342" s="208"/>
      <c r="ES342" s="208"/>
      <c r="ET342" s="208"/>
      <c r="EU342" s="208"/>
      <c r="EV342" s="208"/>
      <c r="EW342" s="208"/>
      <c r="EX342" s="208"/>
      <c r="EY342" s="208"/>
      <c r="EZ342" s="208">
        <v>0</v>
      </c>
      <c r="FA342" s="208">
        <v>0</v>
      </c>
      <c r="FB342" s="208">
        <v>0</v>
      </c>
      <c r="FC342" s="208"/>
      <c r="FD342" s="82"/>
      <c r="FE342" s="30"/>
    </row>
    <row r="343" spans="1:161" ht="15" hidden="1">
      <c r="A343" s="25" t="s">
        <v>324</v>
      </c>
      <c r="B343" s="212" t="s">
        <v>139</v>
      </c>
      <c r="C343" s="138"/>
      <c r="D343" s="221"/>
      <c r="E343" s="239">
        <v>770</v>
      </c>
      <c r="F343" s="95"/>
      <c r="G343" s="95"/>
      <c r="H343" s="147" t="s">
        <v>656</v>
      </c>
      <c r="I343" s="147"/>
      <c r="J343" s="135"/>
      <c r="K343" s="135"/>
      <c r="L343" s="139"/>
      <c r="M343" s="134"/>
      <c r="N343" s="134"/>
      <c r="O343" s="134"/>
      <c r="P343" s="134"/>
      <c r="Q343" s="134"/>
      <c r="R343" s="134"/>
      <c r="S343" s="139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3"/>
      <c r="BE343" s="83"/>
      <c r="BF343" s="83"/>
      <c r="BG343" s="82"/>
      <c r="BH343" s="81"/>
      <c r="BI343" s="80"/>
      <c r="BJ343" s="25"/>
      <c r="BK343" s="25"/>
      <c r="BL343" s="25"/>
      <c r="BM343" s="84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  <c r="CX343" s="25"/>
      <c r="CY343" s="25"/>
      <c r="CZ343" s="25"/>
      <c r="DA343" s="25"/>
      <c r="DB343" s="25"/>
      <c r="DC343" s="25"/>
      <c r="DD343" s="25"/>
      <c r="DE343" s="25"/>
      <c r="DF343" s="92"/>
      <c r="DG343" s="92"/>
      <c r="DH343" s="203"/>
      <c r="DI343" s="203"/>
      <c r="DJ343" s="203"/>
      <c r="DK343" s="203"/>
      <c r="DL343" s="203"/>
      <c r="DM343" s="203"/>
      <c r="DN343" s="203"/>
      <c r="DO343" s="203"/>
      <c r="DP343" s="208"/>
      <c r="DQ343" s="208"/>
      <c r="DR343" s="208"/>
      <c r="DS343" s="208"/>
      <c r="DT343" s="208"/>
      <c r="DU343" s="208"/>
      <c r="DV343" s="208"/>
      <c r="DW343" s="208"/>
      <c r="DX343" s="208"/>
      <c r="DY343" s="208"/>
      <c r="DZ343" s="208"/>
      <c r="EA343" s="208"/>
      <c r="EB343" s="208"/>
      <c r="EC343" s="208"/>
      <c r="ED343" s="208"/>
      <c r="EE343" s="208"/>
      <c r="EF343" s="208"/>
      <c r="EG343" s="208"/>
      <c r="EH343" s="208"/>
      <c r="EI343" s="208"/>
      <c r="EJ343" s="208"/>
      <c r="EK343" s="208"/>
      <c r="EL343" s="208"/>
      <c r="EM343" s="208"/>
      <c r="EN343" s="208"/>
      <c r="EO343" s="208"/>
      <c r="EP343" s="208"/>
      <c r="EQ343" s="208"/>
      <c r="ER343" s="208"/>
      <c r="ES343" s="208"/>
      <c r="ET343" s="208"/>
      <c r="EU343" s="208"/>
      <c r="EV343" s="208"/>
      <c r="EW343" s="208"/>
      <c r="EX343" s="208"/>
      <c r="EY343" s="208"/>
      <c r="EZ343" s="208">
        <v>0</v>
      </c>
      <c r="FA343" s="208">
        <v>0</v>
      </c>
      <c r="FB343" s="208">
        <v>0</v>
      </c>
      <c r="FC343" s="208"/>
      <c r="FD343" s="82"/>
      <c r="FE343" s="30"/>
    </row>
    <row r="344" spans="1:161" ht="15" hidden="1">
      <c r="A344" s="25" t="s">
        <v>327</v>
      </c>
      <c r="B344" s="212" t="s">
        <v>139</v>
      </c>
      <c r="C344" s="138"/>
      <c r="D344" s="221"/>
      <c r="E344" s="239">
        <v>770</v>
      </c>
      <c r="F344" s="95"/>
      <c r="G344" s="95"/>
      <c r="H344" s="147" t="s">
        <v>656</v>
      </c>
      <c r="I344" s="147"/>
      <c r="J344" s="135"/>
      <c r="K344" s="135"/>
      <c r="L344" s="139"/>
      <c r="M344" s="134"/>
      <c r="N344" s="134"/>
      <c r="O344" s="134"/>
      <c r="P344" s="134"/>
      <c r="Q344" s="134"/>
      <c r="R344" s="134"/>
      <c r="S344" s="139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3"/>
      <c r="BE344" s="83"/>
      <c r="BF344" s="83"/>
      <c r="BG344" s="82"/>
      <c r="BH344" s="81"/>
      <c r="BI344" s="80"/>
      <c r="BJ344" s="25"/>
      <c r="BK344" s="25"/>
      <c r="BL344" s="25"/>
      <c r="BM344" s="84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  <c r="CX344" s="25"/>
      <c r="CY344" s="25"/>
      <c r="CZ344" s="25"/>
      <c r="DA344" s="25"/>
      <c r="DB344" s="25"/>
      <c r="DC344" s="25"/>
      <c r="DD344" s="25"/>
      <c r="DE344" s="25"/>
      <c r="DF344" s="92"/>
      <c r="DG344" s="92"/>
      <c r="DH344" s="203"/>
      <c r="DI344" s="203"/>
      <c r="DJ344" s="203"/>
      <c r="DK344" s="203"/>
      <c r="DL344" s="203"/>
      <c r="DM344" s="203"/>
      <c r="DN344" s="203"/>
      <c r="DO344" s="203"/>
      <c r="DP344" s="208"/>
      <c r="DQ344" s="208"/>
      <c r="DR344" s="208"/>
      <c r="DS344" s="208"/>
      <c r="DT344" s="208"/>
      <c r="DU344" s="208"/>
      <c r="DV344" s="208"/>
      <c r="DW344" s="208"/>
      <c r="DX344" s="208"/>
      <c r="DY344" s="208"/>
      <c r="DZ344" s="208"/>
      <c r="EA344" s="208"/>
      <c r="EB344" s="208"/>
      <c r="EC344" s="208"/>
      <c r="ED344" s="208"/>
      <c r="EE344" s="208"/>
      <c r="EF344" s="208"/>
      <c r="EG344" s="208"/>
      <c r="EH344" s="208"/>
      <c r="EI344" s="208"/>
      <c r="EJ344" s="208"/>
      <c r="EK344" s="208"/>
      <c r="EL344" s="208"/>
      <c r="EM344" s="208"/>
      <c r="EN344" s="208"/>
      <c r="EO344" s="208"/>
      <c r="EP344" s="208"/>
      <c r="EQ344" s="208"/>
      <c r="ER344" s="208"/>
      <c r="ES344" s="208"/>
      <c r="ET344" s="208"/>
      <c r="EU344" s="208"/>
      <c r="EV344" s="208"/>
      <c r="EW344" s="208"/>
      <c r="EX344" s="208"/>
      <c r="EY344" s="208"/>
      <c r="EZ344" s="208">
        <v>0</v>
      </c>
      <c r="FA344" s="208">
        <v>0</v>
      </c>
      <c r="FB344" s="208">
        <v>0</v>
      </c>
      <c r="FC344" s="208"/>
      <c r="FD344" s="82"/>
      <c r="FE344" s="30"/>
    </row>
    <row r="345" spans="1:161" ht="15" hidden="1">
      <c r="A345" s="25" t="s">
        <v>328</v>
      </c>
      <c r="B345" s="212" t="s">
        <v>139</v>
      </c>
      <c r="C345" s="138"/>
      <c r="D345" s="221"/>
      <c r="E345" s="239">
        <v>770</v>
      </c>
      <c r="F345" s="95"/>
      <c r="G345" s="95"/>
      <c r="H345" s="147" t="s">
        <v>656</v>
      </c>
      <c r="I345" s="147"/>
      <c r="J345" s="135"/>
      <c r="K345" s="135"/>
      <c r="L345" s="139"/>
      <c r="M345" s="134"/>
      <c r="N345" s="134"/>
      <c r="O345" s="134"/>
      <c r="P345" s="134"/>
      <c r="Q345" s="134"/>
      <c r="R345" s="134"/>
      <c r="S345" s="139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3"/>
      <c r="BE345" s="83"/>
      <c r="BF345" s="83"/>
      <c r="BG345" s="82"/>
      <c r="BH345" s="81"/>
      <c r="BI345" s="80"/>
      <c r="BJ345" s="25"/>
      <c r="BK345" s="25"/>
      <c r="BL345" s="25"/>
      <c r="BM345" s="84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  <c r="CX345" s="25"/>
      <c r="CY345" s="25"/>
      <c r="CZ345" s="25"/>
      <c r="DA345" s="25"/>
      <c r="DB345" s="25"/>
      <c r="DC345" s="25"/>
      <c r="DD345" s="25"/>
      <c r="DE345" s="25"/>
      <c r="DF345" s="92"/>
      <c r="DG345" s="92"/>
      <c r="DH345" s="203"/>
      <c r="DI345" s="203"/>
      <c r="DJ345" s="203"/>
      <c r="DK345" s="203"/>
      <c r="DL345" s="203"/>
      <c r="DM345" s="203"/>
      <c r="DN345" s="203"/>
      <c r="DO345" s="203"/>
      <c r="DP345" s="208"/>
      <c r="DQ345" s="208"/>
      <c r="DR345" s="208"/>
      <c r="DS345" s="208"/>
      <c r="DT345" s="208"/>
      <c r="DU345" s="208"/>
      <c r="DV345" s="208"/>
      <c r="DW345" s="208"/>
      <c r="DX345" s="208"/>
      <c r="DY345" s="208"/>
      <c r="DZ345" s="208"/>
      <c r="EA345" s="208"/>
      <c r="EB345" s="208"/>
      <c r="EC345" s="208"/>
      <c r="ED345" s="208"/>
      <c r="EE345" s="208"/>
      <c r="EF345" s="208"/>
      <c r="EG345" s="208"/>
      <c r="EH345" s="208"/>
      <c r="EI345" s="208"/>
      <c r="EJ345" s="208"/>
      <c r="EK345" s="208"/>
      <c r="EL345" s="208"/>
      <c r="EM345" s="208"/>
      <c r="EN345" s="208"/>
      <c r="EO345" s="208"/>
      <c r="EP345" s="208"/>
      <c r="EQ345" s="208"/>
      <c r="ER345" s="208"/>
      <c r="ES345" s="208"/>
      <c r="ET345" s="208"/>
      <c r="EU345" s="208"/>
      <c r="EV345" s="208"/>
      <c r="EW345" s="208"/>
      <c r="EX345" s="208"/>
      <c r="EY345" s="208"/>
      <c r="EZ345" s="208">
        <v>0</v>
      </c>
      <c r="FA345" s="208">
        <v>0</v>
      </c>
      <c r="FB345" s="208">
        <v>0</v>
      </c>
      <c r="FC345" s="208"/>
      <c r="FD345" s="82"/>
      <c r="FE345" s="30"/>
    </row>
    <row r="346" spans="1:161" ht="15" hidden="1">
      <c r="A346" s="25" t="s">
        <v>148</v>
      </c>
      <c r="B346" s="226" t="s">
        <v>143</v>
      </c>
      <c r="C346" s="138"/>
      <c r="D346" s="221"/>
      <c r="E346" s="239">
        <v>770</v>
      </c>
      <c r="F346" s="95"/>
      <c r="G346" s="95"/>
      <c r="H346" s="147" t="s">
        <v>656</v>
      </c>
      <c r="I346" s="147"/>
      <c r="J346" s="135"/>
      <c r="K346" s="135"/>
      <c r="L346" s="139"/>
      <c r="M346" s="134"/>
      <c r="N346" s="134"/>
      <c r="O346" s="134"/>
      <c r="P346" s="134"/>
      <c r="Q346" s="134"/>
      <c r="R346" s="134"/>
      <c r="S346" s="139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3"/>
      <c r="BE346" s="83"/>
      <c r="BF346" s="83"/>
      <c r="BG346" s="82"/>
      <c r="BH346" s="81"/>
      <c r="BI346" s="80"/>
      <c r="BJ346" s="25"/>
      <c r="BK346" s="25"/>
      <c r="BL346" s="25"/>
      <c r="BM346" s="84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  <c r="CX346" s="25"/>
      <c r="CY346" s="25"/>
      <c r="CZ346" s="25"/>
      <c r="DA346" s="25"/>
      <c r="DB346" s="25"/>
      <c r="DC346" s="25"/>
      <c r="DD346" s="25"/>
      <c r="DE346" s="25"/>
      <c r="DF346" s="92"/>
      <c r="DG346" s="92"/>
      <c r="DH346" s="203"/>
      <c r="DI346" s="203"/>
      <c r="DJ346" s="203"/>
      <c r="DK346" s="203"/>
      <c r="DL346" s="203"/>
      <c r="DM346" s="203"/>
      <c r="DN346" s="203"/>
      <c r="DO346" s="203"/>
      <c r="DP346" s="208"/>
      <c r="DQ346" s="208"/>
      <c r="DR346" s="208"/>
      <c r="DS346" s="208"/>
      <c r="DT346" s="208"/>
      <c r="DU346" s="208"/>
      <c r="DV346" s="208"/>
      <c r="DW346" s="208"/>
      <c r="DX346" s="208"/>
      <c r="DY346" s="208"/>
      <c r="DZ346" s="208"/>
      <c r="EA346" s="208"/>
      <c r="EB346" s="208"/>
      <c r="EC346" s="208"/>
      <c r="ED346" s="208"/>
      <c r="EE346" s="208"/>
      <c r="EF346" s="208"/>
      <c r="EG346" s="208"/>
      <c r="EH346" s="208"/>
      <c r="EI346" s="208"/>
      <c r="EJ346" s="208"/>
      <c r="EK346" s="208"/>
      <c r="EL346" s="208"/>
      <c r="EM346" s="208"/>
      <c r="EN346" s="208"/>
      <c r="EO346" s="208"/>
      <c r="EP346" s="208"/>
      <c r="EQ346" s="208"/>
      <c r="ER346" s="208"/>
      <c r="ES346" s="208"/>
      <c r="ET346" s="208"/>
      <c r="EU346" s="208"/>
      <c r="EV346" s="208"/>
      <c r="EW346" s="208"/>
      <c r="EX346" s="208"/>
      <c r="EY346" s="208"/>
      <c r="EZ346" s="208">
        <v>0</v>
      </c>
      <c r="FA346" s="208">
        <v>0</v>
      </c>
      <c r="FB346" s="208">
        <v>0</v>
      </c>
      <c r="FC346" s="208"/>
      <c r="FD346" s="82"/>
      <c r="FE346" s="30"/>
    </row>
    <row r="347" spans="1:161" ht="15" hidden="1">
      <c r="A347" s="25" t="s">
        <v>329</v>
      </c>
      <c r="B347" s="212" t="s">
        <v>139</v>
      </c>
      <c r="C347" s="138"/>
      <c r="D347" s="221"/>
      <c r="E347" s="239">
        <v>770</v>
      </c>
      <c r="F347" s="95"/>
      <c r="G347" s="95"/>
      <c r="H347" s="147" t="s">
        <v>656</v>
      </c>
      <c r="I347" s="147"/>
      <c r="J347" s="135"/>
      <c r="K347" s="135"/>
      <c r="L347" s="139"/>
      <c r="M347" s="134"/>
      <c r="N347" s="134"/>
      <c r="O347" s="134"/>
      <c r="P347" s="134"/>
      <c r="Q347" s="134"/>
      <c r="R347" s="134"/>
      <c r="S347" s="139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3"/>
      <c r="BE347" s="83"/>
      <c r="BF347" s="83"/>
      <c r="BG347" s="82"/>
      <c r="BH347" s="81"/>
      <c r="BI347" s="80"/>
      <c r="BJ347" s="25"/>
      <c r="BK347" s="25"/>
      <c r="BL347" s="25"/>
      <c r="BM347" s="84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  <c r="CX347" s="25"/>
      <c r="CY347" s="25"/>
      <c r="CZ347" s="25"/>
      <c r="DA347" s="25"/>
      <c r="DB347" s="25"/>
      <c r="DC347" s="25"/>
      <c r="DD347" s="25"/>
      <c r="DE347" s="25"/>
      <c r="DF347" s="92"/>
      <c r="DG347" s="92"/>
      <c r="DH347" s="203"/>
      <c r="DI347" s="203"/>
      <c r="DJ347" s="203"/>
      <c r="DK347" s="203"/>
      <c r="DL347" s="203"/>
      <c r="DM347" s="203"/>
      <c r="DN347" s="203"/>
      <c r="DO347" s="203"/>
      <c r="DP347" s="208"/>
      <c r="DQ347" s="208"/>
      <c r="DR347" s="208"/>
      <c r="DS347" s="208"/>
      <c r="DT347" s="208"/>
      <c r="DU347" s="208"/>
      <c r="DV347" s="208"/>
      <c r="DW347" s="208"/>
      <c r="DX347" s="208"/>
      <c r="DY347" s="208"/>
      <c r="DZ347" s="208"/>
      <c r="EA347" s="208"/>
      <c r="EB347" s="208"/>
      <c r="EC347" s="208"/>
      <c r="ED347" s="208"/>
      <c r="EE347" s="208"/>
      <c r="EF347" s="208"/>
      <c r="EG347" s="208"/>
      <c r="EH347" s="208"/>
      <c r="EI347" s="208"/>
      <c r="EJ347" s="208"/>
      <c r="EK347" s="208"/>
      <c r="EL347" s="208"/>
      <c r="EM347" s="208"/>
      <c r="EN347" s="208"/>
      <c r="EO347" s="208"/>
      <c r="EP347" s="208"/>
      <c r="EQ347" s="208"/>
      <c r="ER347" s="208"/>
      <c r="ES347" s="208"/>
      <c r="ET347" s="208"/>
      <c r="EU347" s="208"/>
      <c r="EV347" s="208"/>
      <c r="EW347" s="208"/>
      <c r="EX347" s="208"/>
      <c r="EY347" s="208"/>
      <c r="EZ347" s="208">
        <v>0</v>
      </c>
      <c r="FA347" s="208">
        <v>0</v>
      </c>
      <c r="FB347" s="208">
        <v>0</v>
      </c>
      <c r="FC347" s="208"/>
      <c r="FD347" s="82"/>
      <c r="FE347" s="30"/>
    </row>
    <row r="348" spans="1:161" ht="15" hidden="1">
      <c r="A348" s="25" t="s">
        <v>330</v>
      </c>
      <c r="B348" s="212" t="s">
        <v>139</v>
      </c>
      <c r="C348" s="138"/>
      <c r="D348" s="221"/>
      <c r="E348" s="239">
        <v>770</v>
      </c>
      <c r="F348" s="95"/>
      <c r="G348" s="95"/>
      <c r="H348" s="147" t="s">
        <v>656</v>
      </c>
      <c r="I348" s="147"/>
      <c r="J348" s="135"/>
      <c r="K348" s="135"/>
      <c r="L348" s="139"/>
      <c r="M348" s="134"/>
      <c r="N348" s="134"/>
      <c r="O348" s="134"/>
      <c r="P348" s="134"/>
      <c r="Q348" s="134"/>
      <c r="R348" s="134"/>
      <c r="S348" s="139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3"/>
      <c r="BE348" s="83"/>
      <c r="BF348" s="83"/>
      <c r="BG348" s="82"/>
      <c r="BH348" s="81"/>
      <c r="BI348" s="80"/>
      <c r="BJ348" s="25"/>
      <c r="BK348" s="25"/>
      <c r="BL348" s="25"/>
      <c r="BM348" s="84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92"/>
      <c r="DG348" s="92"/>
      <c r="DH348" s="203"/>
      <c r="DI348" s="203"/>
      <c r="DJ348" s="203"/>
      <c r="DK348" s="203"/>
      <c r="DL348" s="203"/>
      <c r="DM348" s="203"/>
      <c r="DN348" s="203"/>
      <c r="DO348" s="203"/>
      <c r="DP348" s="208"/>
      <c r="DQ348" s="208"/>
      <c r="DR348" s="208"/>
      <c r="DS348" s="208"/>
      <c r="DT348" s="208"/>
      <c r="DU348" s="208"/>
      <c r="DV348" s="208"/>
      <c r="DW348" s="208"/>
      <c r="DX348" s="208"/>
      <c r="DY348" s="208"/>
      <c r="DZ348" s="208"/>
      <c r="EA348" s="208"/>
      <c r="EB348" s="208"/>
      <c r="EC348" s="208"/>
      <c r="ED348" s="208"/>
      <c r="EE348" s="208"/>
      <c r="EF348" s="208"/>
      <c r="EG348" s="208"/>
      <c r="EH348" s="208"/>
      <c r="EI348" s="208"/>
      <c r="EJ348" s="208"/>
      <c r="EK348" s="208"/>
      <c r="EL348" s="208"/>
      <c r="EM348" s="208"/>
      <c r="EN348" s="208"/>
      <c r="EO348" s="208"/>
      <c r="EP348" s="208"/>
      <c r="EQ348" s="208"/>
      <c r="ER348" s="208"/>
      <c r="ES348" s="208"/>
      <c r="ET348" s="208"/>
      <c r="EU348" s="208"/>
      <c r="EV348" s="208"/>
      <c r="EW348" s="208"/>
      <c r="EX348" s="208"/>
      <c r="EY348" s="208"/>
      <c r="EZ348" s="208">
        <v>0</v>
      </c>
      <c r="FA348" s="208">
        <v>0</v>
      </c>
      <c r="FB348" s="208">
        <v>0</v>
      </c>
      <c r="FC348" s="208"/>
      <c r="FD348" s="82"/>
      <c r="FE348" s="30"/>
    </row>
    <row r="349" spans="1:161" ht="15" hidden="1">
      <c r="A349" s="25" t="s">
        <v>331</v>
      </c>
      <c r="B349" s="212" t="s">
        <v>139</v>
      </c>
      <c r="C349" s="138"/>
      <c r="D349" s="221"/>
      <c r="E349" s="239">
        <v>770</v>
      </c>
      <c r="F349" s="95"/>
      <c r="G349" s="95"/>
      <c r="H349" s="147" t="s">
        <v>656</v>
      </c>
      <c r="I349" s="147"/>
      <c r="J349" s="135"/>
      <c r="K349" s="135"/>
      <c r="L349" s="139"/>
      <c r="M349" s="134"/>
      <c r="N349" s="134"/>
      <c r="O349" s="134"/>
      <c r="P349" s="134"/>
      <c r="Q349" s="134"/>
      <c r="R349" s="134"/>
      <c r="S349" s="139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3"/>
      <c r="BE349" s="83"/>
      <c r="BF349" s="83"/>
      <c r="BG349" s="82"/>
      <c r="BH349" s="81"/>
      <c r="BI349" s="80"/>
      <c r="BJ349" s="25"/>
      <c r="BK349" s="25"/>
      <c r="BL349" s="25"/>
      <c r="BM349" s="84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  <c r="CX349" s="25"/>
      <c r="CY349" s="25"/>
      <c r="CZ349" s="25"/>
      <c r="DA349" s="25"/>
      <c r="DB349" s="25"/>
      <c r="DC349" s="25"/>
      <c r="DD349" s="25"/>
      <c r="DE349" s="25"/>
      <c r="DF349" s="92"/>
      <c r="DG349" s="92"/>
      <c r="DH349" s="203"/>
      <c r="DI349" s="203"/>
      <c r="DJ349" s="203"/>
      <c r="DK349" s="203"/>
      <c r="DL349" s="203"/>
      <c r="DM349" s="203"/>
      <c r="DN349" s="203"/>
      <c r="DO349" s="203"/>
      <c r="DP349" s="208"/>
      <c r="DQ349" s="208"/>
      <c r="DR349" s="208"/>
      <c r="DS349" s="208"/>
      <c r="DT349" s="208"/>
      <c r="DU349" s="208"/>
      <c r="DV349" s="208"/>
      <c r="DW349" s="208"/>
      <c r="DX349" s="208"/>
      <c r="DY349" s="208"/>
      <c r="DZ349" s="208"/>
      <c r="EA349" s="208"/>
      <c r="EB349" s="208"/>
      <c r="EC349" s="208"/>
      <c r="ED349" s="208"/>
      <c r="EE349" s="208"/>
      <c r="EF349" s="208"/>
      <c r="EG349" s="208"/>
      <c r="EH349" s="208"/>
      <c r="EI349" s="208"/>
      <c r="EJ349" s="208"/>
      <c r="EK349" s="208"/>
      <c r="EL349" s="208"/>
      <c r="EM349" s="208"/>
      <c r="EN349" s="208"/>
      <c r="EO349" s="208"/>
      <c r="EP349" s="208"/>
      <c r="EQ349" s="208"/>
      <c r="ER349" s="208"/>
      <c r="ES349" s="208"/>
      <c r="ET349" s="208"/>
      <c r="EU349" s="208"/>
      <c r="EV349" s="208"/>
      <c r="EW349" s="208"/>
      <c r="EX349" s="208"/>
      <c r="EY349" s="208"/>
      <c r="EZ349" s="208">
        <v>0</v>
      </c>
      <c r="FA349" s="208">
        <v>0</v>
      </c>
      <c r="FB349" s="208">
        <v>0</v>
      </c>
      <c r="FC349" s="208"/>
      <c r="FD349" s="82"/>
      <c r="FE349" s="30"/>
    </row>
    <row r="350" spans="1:161" ht="15" hidden="1">
      <c r="A350" s="25" t="s">
        <v>332</v>
      </c>
      <c r="B350" s="212" t="s">
        <v>139</v>
      </c>
      <c r="C350" s="138"/>
      <c r="D350" s="221"/>
      <c r="E350" s="239">
        <v>770</v>
      </c>
      <c r="F350" s="95"/>
      <c r="G350" s="95"/>
      <c r="H350" s="147" t="s">
        <v>656</v>
      </c>
      <c r="I350" s="147"/>
      <c r="J350" s="135"/>
      <c r="K350" s="135"/>
      <c r="L350" s="139"/>
      <c r="M350" s="134"/>
      <c r="N350" s="134"/>
      <c r="O350" s="134"/>
      <c r="P350" s="134"/>
      <c r="Q350" s="134"/>
      <c r="R350" s="134"/>
      <c r="S350" s="139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3"/>
      <c r="BE350" s="83"/>
      <c r="BF350" s="83"/>
      <c r="BG350" s="82"/>
      <c r="BH350" s="81"/>
      <c r="BI350" s="80"/>
      <c r="BJ350" s="25"/>
      <c r="BK350" s="25"/>
      <c r="BL350" s="25"/>
      <c r="BM350" s="84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92"/>
      <c r="DG350" s="92"/>
      <c r="DH350" s="203"/>
      <c r="DI350" s="203"/>
      <c r="DJ350" s="203"/>
      <c r="DK350" s="203"/>
      <c r="DL350" s="203"/>
      <c r="DM350" s="203"/>
      <c r="DN350" s="203"/>
      <c r="DO350" s="203"/>
      <c r="DP350" s="208"/>
      <c r="DQ350" s="208"/>
      <c r="DR350" s="208"/>
      <c r="DS350" s="208"/>
      <c r="DT350" s="208"/>
      <c r="DU350" s="208"/>
      <c r="DV350" s="208"/>
      <c r="DW350" s="208"/>
      <c r="DX350" s="208"/>
      <c r="DY350" s="208"/>
      <c r="DZ350" s="208"/>
      <c r="EA350" s="208"/>
      <c r="EB350" s="208"/>
      <c r="EC350" s="208"/>
      <c r="ED350" s="208"/>
      <c r="EE350" s="208"/>
      <c r="EF350" s="208"/>
      <c r="EG350" s="208"/>
      <c r="EH350" s="208"/>
      <c r="EI350" s="208"/>
      <c r="EJ350" s="208"/>
      <c r="EK350" s="208"/>
      <c r="EL350" s="208"/>
      <c r="EM350" s="208"/>
      <c r="EN350" s="208"/>
      <c r="EO350" s="208"/>
      <c r="EP350" s="208"/>
      <c r="EQ350" s="208"/>
      <c r="ER350" s="208"/>
      <c r="ES350" s="208"/>
      <c r="ET350" s="208"/>
      <c r="EU350" s="208"/>
      <c r="EV350" s="208"/>
      <c r="EW350" s="208"/>
      <c r="EX350" s="208"/>
      <c r="EY350" s="208"/>
      <c r="EZ350" s="208">
        <v>0</v>
      </c>
      <c r="FA350" s="208">
        <v>0</v>
      </c>
      <c r="FB350" s="208">
        <v>0</v>
      </c>
      <c r="FC350" s="208"/>
      <c r="FD350" s="82"/>
      <c r="FE350" s="30"/>
    </row>
    <row r="351" spans="1:161" ht="15" hidden="1">
      <c r="A351" s="25" t="s">
        <v>333</v>
      </c>
      <c r="B351" s="212" t="s">
        <v>139</v>
      </c>
      <c r="C351" s="138"/>
      <c r="D351" s="221"/>
      <c r="E351" s="239">
        <v>770</v>
      </c>
      <c r="F351" s="95"/>
      <c r="G351" s="95"/>
      <c r="H351" s="147" t="s">
        <v>656</v>
      </c>
      <c r="I351" s="147"/>
      <c r="J351" s="135"/>
      <c r="K351" s="135"/>
      <c r="L351" s="139"/>
      <c r="M351" s="134"/>
      <c r="N351" s="134"/>
      <c r="O351" s="134"/>
      <c r="P351" s="134"/>
      <c r="Q351" s="134"/>
      <c r="R351" s="134"/>
      <c r="S351" s="139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3"/>
      <c r="BE351" s="83"/>
      <c r="BF351" s="83"/>
      <c r="BG351" s="82"/>
      <c r="BH351" s="81"/>
      <c r="BI351" s="80"/>
      <c r="BJ351" s="25"/>
      <c r="BK351" s="25"/>
      <c r="BL351" s="25"/>
      <c r="BM351" s="84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92"/>
      <c r="DG351" s="92"/>
      <c r="DH351" s="203"/>
      <c r="DI351" s="203"/>
      <c r="DJ351" s="203"/>
      <c r="DK351" s="203"/>
      <c r="DL351" s="203"/>
      <c r="DM351" s="203"/>
      <c r="DN351" s="203"/>
      <c r="DO351" s="203"/>
      <c r="DP351" s="208"/>
      <c r="DQ351" s="208"/>
      <c r="DR351" s="208"/>
      <c r="DS351" s="208"/>
      <c r="DT351" s="208"/>
      <c r="DU351" s="208"/>
      <c r="DV351" s="208"/>
      <c r="DW351" s="208"/>
      <c r="DX351" s="208"/>
      <c r="DY351" s="208"/>
      <c r="DZ351" s="208"/>
      <c r="EA351" s="208"/>
      <c r="EB351" s="208"/>
      <c r="EC351" s="208"/>
      <c r="ED351" s="208"/>
      <c r="EE351" s="208"/>
      <c r="EF351" s="208"/>
      <c r="EG351" s="208"/>
      <c r="EH351" s="208"/>
      <c r="EI351" s="208"/>
      <c r="EJ351" s="208"/>
      <c r="EK351" s="208"/>
      <c r="EL351" s="208"/>
      <c r="EM351" s="208"/>
      <c r="EN351" s="208"/>
      <c r="EO351" s="208"/>
      <c r="EP351" s="208"/>
      <c r="EQ351" s="208"/>
      <c r="ER351" s="208"/>
      <c r="ES351" s="208"/>
      <c r="ET351" s="208"/>
      <c r="EU351" s="208"/>
      <c r="EV351" s="208"/>
      <c r="EW351" s="208"/>
      <c r="EX351" s="208"/>
      <c r="EY351" s="208"/>
      <c r="EZ351" s="208">
        <v>0</v>
      </c>
      <c r="FA351" s="208">
        <v>0</v>
      </c>
      <c r="FB351" s="208">
        <v>0</v>
      </c>
      <c r="FC351" s="208"/>
      <c r="FD351" s="82"/>
      <c r="FE351" s="30"/>
    </row>
    <row r="352" spans="1:161" ht="15" hidden="1">
      <c r="A352" s="25" t="s">
        <v>334</v>
      </c>
      <c r="B352" s="212" t="s">
        <v>139</v>
      </c>
      <c r="C352" s="138"/>
      <c r="D352" s="221"/>
      <c r="E352" s="239">
        <v>770</v>
      </c>
      <c r="F352" s="95"/>
      <c r="G352" s="95"/>
      <c r="H352" s="147" t="s">
        <v>656</v>
      </c>
      <c r="I352" s="147"/>
      <c r="J352" s="135"/>
      <c r="K352" s="135"/>
      <c r="L352" s="139"/>
      <c r="M352" s="134"/>
      <c r="N352" s="134"/>
      <c r="O352" s="134"/>
      <c r="P352" s="134"/>
      <c r="Q352" s="134"/>
      <c r="R352" s="134"/>
      <c r="S352" s="139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3"/>
      <c r="BE352" s="83"/>
      <c r="BF352" s="83"/>
      <c r="BG352" s="82"/>
      <c r="BH352" s="81"/>
      <c r="BI352" s="80"/>
      <c r="BJ352" s="25"/>
      <c r="BK352" s="25"/>
      <c r="BL352" s="25"/>
      <c r="BM352" s="84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92"/>
      <c r="DG352" s="92"/>
      <c r="DH352" s="203"/>
      <c r="DI352" s="203"/>
      <c r="DJ352" s="203"/>
      <c r="DK352" s="203"/>
      <c r="DL352" s="203"/>
      <c r="DM352" s="203"/>
      <c r="DN352" s="203"/>
      <c r="DO352" s="203"/>
      <c r="DP352" s="208"/>
      <c r="DQ352" s="208"/>
      <c r="DR352" s="208"/>
      <c r="DS352" s="208"/>
      <c r="DT352" s="208"/>
      <c r="DU352" s="208"/>
      <c r="DV352" s="208"/>
      <c r="DW352" s="208"/>
      <c r="DX352" s="208"/>
      <c r="DY352" s="208"/>
      <c r="DZ352" s="208"/>
      <c r="EA352" s="208"/>
      <c r="EB352" s="208"/>
      <c r="EC352" s="208"/>
      <c r="ED352" s="208"/>
      <c r="EE352" s="208"/>
      <c r="EF352" s="208"/>
      <c r="EG352" s="208"/>
      <c r="EH352" s="208"/>
      <c r="EI352" s="208"/>
      <c r="EJ352" s="208"/>
      <c r="EK352" s="208"/>
      <c r="EL352" s="208"/>
      <c r="EM352" s="208"/>
      <c r="EN352" s="208"/>
      <c r="EO352" s="208"/>
      <c r="EP352" s="208"/>
      <c r="EQ352" s="208"/>
      <c r="ER352" s="208"/>
      <c r="ES352" s="208"/>
      <c r="ET352" s="208"/>
      <c r="EU352" s="208"/>
      <c r="EV352" s="208"/>
      <c r="EW352" s="208"/>
      <c r="EX352" s="208"/>
      <c r="EY352" s="208"/>
      <c r="EZ352" s="208">
        <v>0</v>
      </c>
      <c r="FA352" s="208">
        <v>0</v>
      </c>
      <c r="FB352" s="208">
        <v>0</v>
      </c>
      <c r="FC352" s="208"/>
      <c r="FD352" s="82"/>
      <c r="FE352" s="30"/>
    </row>
    <row r="353" spans="1:161" ht="15" hidden="1">
      <c r="A353" s="25" t="s">
        <v>337</v>
      </c>
      <c r="B353" s="212" t="s">
        <v>143</v>
      </c>
      <c r="C353" s="138"/>
      <c r="D353" s="221"/>
      <c r="E353" s="239">
        <v>770</v>
      </c>
      <c r="F353" s="95"/>
      <c r="G353" s="95"/>
      <c r="H353" s="147" t="s">
        <v>656</v>
      </c>
      <c r="I353" s="147"/>
      <c r="J353" s="135"/>
      <c r="K353" s="135"/>
      <c r="L353" s="139"/>
      <c r="M353" s="134"/>
      <c r="N353" s="134"/>
      <c r="O353" s="134"/>
      <c r="P353" s="134"/>
      <c r="Q353" s="134"/>
      <c r="R353" s="134"/>
      <c r="S353" s="139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3"/>
      <c r="BE353" s="83"/>
      <c r="BF353" s="83"/>
      <c r="BG353" s="82"/>
      <c r="BH353" s="81"/>
      <c r="BI353" s="80"/>
      <c r="BJ353" s="25"/>
      <c r="BK353" s="25"/>
      <c r="BL353" s="25"/>
      <c r="BM353" s="84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  <c r="CX353" s="25"/>
      <c r="CY353" s="25"/>
      <c r="CZ353" s="25"/>
      <c r="DA353" s="25"/>
      <c r="DB353" s="25"/>
      <c r="DC353" s="25"/>
      <c r="DD353" s="25"/>
      <c r="DE353" s="25"/>
      <c r="DF353" s="92"/>
      <c r="DG353" s="92"/>
      <c r="DH353" s="203"/>
      <c r="DI353" s="203"/>
      <c r="DJ353" s="203"/>
      <c r="DK353" s="203"/>
      <c r="DL353" s="203"/>
      <c r="DM353" s="203"/>
      <c r="DN353" s="203"/>
      <c r="DO353" s="203"/>
      <c r="DP353" s="208"/>
      <c r="DQ353" s="208"/>
      <c r="DR353" s="208"/>
      <c r="DS353" s="208"/>
      <c r="DT353" s="208"/>
      <c r="DU353" s="208"/>
      <c r="DV353" s="208"/>
      <c r="DW353" s="208"/>
      <c r="DX353" s="208"/>
      <c r="DY353" s="208"/>
      <c r="DZ353" s="208"/>
      <c r="EA353" s="208"/>
      <c r="EB353" s="208"/>
      <c r="EC353" s="208"/>
      <c r="ED353" s="208"/>
      <c r="EE353" s="208"/>
      <c r="EF353" s="208"/>
      <c r="EG353" s="208"/>
      <c r="EH353" s="208"/>
      <c r="EI353" s="208"/>
      <c r="EJ353" s="208"/>
      <c r="EK353" s="208"/>
      <c r="EL353" s="208"/>
      <c r="EM353" s="208"/>
      <c r="EN353" s="208"/>
      <c r="EO353" s="208"/>
      <c r="EP353" s="208"/>
      <c r="EQ353" s="208"/>
      <c r="ER353" s="208"/>
      <c r="ES353" s="208"/>
      <c r="ET353" s="208"/>
      <c r="EU353" s="208"/>
      <c r="EV353" s="208"/>
      <c r="EW353" s="208"/>
      <c r="EX353" s="208"/>
      <c r="EY353" s="208"/>
      <c r="EZ353" s="208">
        <v>0</v>
      </c>
      <c r="FA353" s="208">
        <v>0</v>
      </c>
      <c r="FB353" s="208">
        <v>0</v>
      </c>
      <c r="FC353" s="208"/>
      <c r="FD353" s="82"/>
      <c r="FE353" s="30"/>
    </row>
    <row r="354" spans="1:161" ht="15" hidden="1">
      <c r="A354" s="25" t="s">
        <v>338</v>
      </c>
      <c r="B354" s="212" t="s">
        <v>143</v>
      </c>
      <c r="C354" s="138"/>
      <c r="D354" s="221"/>
      <c r="E354" s="239">
        <v>770</v>
      </c>
      <c r="F354" s="95"/>
      <c r="G354" s="95"/>
      <c r="H354" s="147" t="s">
        <v>656</v>
      </c>
      <c r="I354" s="147"/>
      <c r="J354" s="135"/>
      <c r="K354" s="135"/>
      <c r="L354" s="139"/>
      <c r="M354" s="134"/>
      <c r="N354" s="134"/>
      <c r="O354" s="134"/>
      <c r="P354" s="134"/>
      <c r="Q354" s="134"/>
      <c r="R354" s="134"/>
      <c r="S354" s="139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3"/>
      <c r="BE354" s="83"/>
      <c r="BF354" s="83"/>
      <c r="BG354" s="82"/>
      <c r="BH354" s="81"/>
      <c r="BI354" s="80"/>
      <c r="BJ354" s="25"/>
      <c r="BK354" s="25"/>
      <c r="BL354" s="25"/>
      <c r="BM354" s="84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  <c r="CX354" s="25"/>
      <c r="CY354" s="25"/>
      <c r="CZ354" s="25"/>
      <c r="DA354" s="25"/>
      <c r="DB354" s="25"/>
      <c r="DC354" s="25"/>
      <c r="DD354" s="25"/>
      <c r="DE354" s="25"/>
      <c r="DF354" s="92"/>
      <c r="DG354" s="92"/>
      <c r="DH354" s="203"/>
      <c r="DI354" s="203"/>
      <c r="DJ354" s="203"/>
      <c r="DK354" s="203"/>
      <c r="DL354" s="203"/>
      <c r="DM354" s="203"/>
      <c r="DN354" s="203"/>
      <c r="DO354" s="203"/>
      <c r="DP354" s="208"/>
      <c r="DQ354" s="208"/>
      <c r="DR354" s="208"/>
      <c r="DS354" s="208"/>
      <c r="DT354" s="208"/>
      <c r="DU354" s="208"/>
      <c r="DV354" s="208"/>
      <c r="DW354" s="208"/>
      <c r="DX354" s="208"/>
      <c r="DY354" s="208"/>
      <c r="DZ354" s="208"/>
      <c r="EA354" s="208"/>
      <c r="EB354" s="208"/>
      <c r="EC354" s="208"/>
      <c r="ED354" s="208"/>
      <c r="EE354" s="208"/>
      <c r="EF354" s="208"/>
      <c r="EG354" s="208"/>
      <c r="EH354" s="208"/>
      <c r="EI354" s="208"/>
      <c r="EJ354" s="208"/>
      <c r="EK354" s="208"/>
      <c r="EL354" s="208"/>
      <c r="EM354" s="208"/>
      <c r="EN354" s="208"/>
      <c r="EO354" s="208"/>
      <c r="EP354" s="208"/>
      <c r="EQ354" s="208"/>
      <c r="ER354" s="208"/>
      <c r="ES354" s="208"/>
      <c r="ET354" s="208"/>
      <c r="EU354" s="208"/>
      <c r="EV354" s="208"/>
      <c r="EW354" s="208"/>
      <c r="EX354" s="208"/>
      <c r="EY354" s="208"/>
      <c r="EZ354" s="208">
        <v>0</v>
      </c>
      <c r="FA354" s="208">
        <v>0</v>
      </c>
      <c r="FB354" s="208">
        <v>0</v>
      </c>
      <c r="FC354" s="208"/>
      <c r="FD354" s="82"/>
      <c r="FE354" s="30"/>
    </row>
    <row r="355" spans="1:161" ht="15" hidden="1">
      <c r="A355" s="25" t="s">
        <v>339</v>
      </c>
      <c r="B355" s="212" t="s">
        <v>143</v>
      </c>
      <c r="C355" s="138"/>
      <c r="D355" s="221"/>
      <c r="E355" s="239">
        <v>770</v>
      </c>
      <c r="F355" s="95"/>
      <c r="G355" s="95"/>
      <c r="H355" s="147" t="s">
        <v>656</v>
      </c>
      <c r="I355" s="147"/>
      <c r="J355" s="135"/>
      <c r="K355" s="135"/>
      <c r="L355" s="139"/>
      <c r="M355" s="134"/>
      <c r="N355" s="134"/>
      <c r="O355" s="134"/>
      <c r="P355" s="134"/>
      <c r="Q355" s="134"/>
      <c r="R355" s="134"/>
      <c r="S355" s="139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3"/>
      <c r="BE355" s="83"/>
      <c r="BF355" s="83"/>
      <c r="BG355" s="82"/>
      <c r="BH355" s="81"/>
      <c r="BI355" s="80"/>
      <c r="BJ355" s="25"/>
      <c r="BK355" s="25"/>
      <c r="BL355" s="25"/>
      <c r="BM355" s="84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  <c r="CX355" s="25"/>
      <c r="CY355" s="25"/>
      <c r="CZ355" s="25"/>
      <c r="DA355" s="25"/>
      <c r="DB355" s="25"/>
      <c r="DC355" s="25"/>
      <c r="DD355" s="25"/>
      <c r="DE355" s="25"/>
      <c r="DF355" s="92"/>
      <c r="DG355" s="92"/>
      <c r="DH355" s="203"/>
      <c r="DI355" s="203"/>
      <c r="DJ355" s="203"/>
      <c r="DK355" s="203"/>
      <c r="DL355" s="203"/>
      <c r="DM355" s="203"/>
      <c r="DN355" s="203"/>
      <c r="DO355" s="203"/>
      <c r="DP355" s="208"/>
      <c r="DQ355" s="208"/>
      <c r="DR355" s="208"/>
      <c r="DS355" s="208"/>
      <c r="DT355" s="208"/>
      <c r="DU355" s="208"/>
      <c r="DV355" s="208"/>
      <c r="DW355" s="208"/>
      <c r="DX355" s="208"/>
      <c r="DY355" s="208"/>
      <c r="DZ355" s="208"/>
      <c r="EA355" s="208"/>
      <c r="EB355" s="208"/>
      <c r="EC355" s="208"/>
      <c r="ED355" s="208"/>
      <c r="EE355" s="208"/>
      <c r="EF355" s="208"/>
      <c r="EG355" s="208"/>
      <c r="EH355" s="208"/>
      <c r="EI355" s="208"/>
      <c r="EJ355" s="208"/>
      <c r="EK355" s="208"/>
      <c r="EL355" s="208"/>
      <c r="EM355" s="208"/>
      <c r="EN355" s="208"/>
      <c r="EO355" s="208"/>
      <c r="EP355" s="208"/>
      <c r="EQ355" s="208"/>
      <c r="ER355" s="208"/>
      <c r="ES355" s="208"/>
      <c r="ET355" s="208"/>
      <c r="EU355" s="208"/>
      <c r="EV355" s="208"/>
      <c r="EW355" s="208"/>
      <c r="EX355" s="208"/>
      <c r="EY355" s="208"/>
      <c r="EZ355" s="208">
        <v>0</v>
      </c>
      <c r="FA355" s="208">
        <v>0</v>
      </c>
      <c r="FB355" s="208">
        <v>0</v>
      </c>
      <c r="FC355" s="208"/>
      <c r="FD355" s="82"/>
      <c r="FE355" s="30"/>
    </row>
    <row r="356" spans="1:161" ht="15" hidden="1">
      <c r="A356" s="25" t="s">
        <v>340</v>
      </c>
      <c r="B356" s="212" t="s">
        <v>143</v>
      </c>
      <c r="C356" s="138"/>
      <c r="D356" s="221"/>
      <c r="E356" s="239">
        <v>770</v>
      </c>
      <c r="F356" s="95"/>
      <c r="G356" s="95"/>
      <c r="H356" s="147" t="s">
        <v>656</v>
      </c>
      <c r="I356" s="147"/>
      <c r="J356" s="135"/>
      <c r="K356" s="135"/>
      <c r="L356" s="139"/>
      <c r="M356" s="134"/>
      <c r="N356" s="134"/>
      <c r="O356" s="134"/>
      <c r="P356" s="134"/>
      <c r="Q356" s="134"/>
      <c r="R356" s="134"/>
      <c r="S356" s="139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3"/>
      <c r="BE356" s="83"/>
      <c r="BF356" s="83"/>
      <c r="BG356" s="82"/>
      <c r="BH356" s="81"/>
      <c r="BI356" s="80"/>
      <c r="BJ356" s="25"/>
      <c r="BK356" s="25"/>
      <c r="BL356" s="25"/>
      <c r="BM356" s="84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  <c r="CX356" s="25"/>
      <c r="CY356" s="25"/>
      <c r="CZ356" s="25"/>
      <c r="DA356" s="25"/>
      <c r="DB356" s="25"/>
      <c r="DC356" s="25"/>
      <c r="DD356" s="25"/>
      <c r="DE356" s="25"/>
      <c r="DF356" s="92"/>
      <c r="DG356" s="92"/>
      <c r="DH356" s="203"/>
      <c r="DI356" s="203"/>
      <c r="DJ356" s="203"/>
      <c r="DK356" s="203"/>
      <c r="DL356" s="203"/>
      <c r="DM356" s="203"/>
      <c r="DN356" s="203"/>
      <c r="DO356" s="203"/>
      <c r="DP356" s="208"/>
      <c r="DQ356" s="208"/>
      <c r="DR356" s="208"/>
      <c r="DS356" s="208"/>
      <c r="DT356" s="208"/>
      <c r="DU356" s="208"/>
      <c r="DV356" s="208"/>
      <c r="DW356" s="208"/>
      <c r="DX356" s="208"/>
      <c r="DY356" s="208"/>
      <c r="DZ356" s="208"/>
      <c r="EA356" s="208"/>
      <c r="EB356" s="208"/>
      <c r="EC356" s="208"/>
      <c r="ED356" s="208"/>
      <c r="EE356" s="208"/>
      <c r="EF356" s="208"/>
      <c r="EG356" s="208"/>
      <c r="EH356" s="208"/>
      <c r="EI356" s="208"/>
      <c r="EJ356" s="208"/>
      <c r="EK356" s="208"/>
      <c r="EL356" s="208"/>
      <c r="EM356" s="208"/>
      <c r="EN356" s="208"/>
      <c r="EO356" s="208"/>
      <c r="EP356" s="208"/>
      <c r="EQ356" s="208"/>
      <c r="ER356" s="208"/>
      <c r="ES356" s="208"/>
      <c r="ET356" s="208"/>
      <c r="EU356" s="208"/>
      <c r="EV356" s="208"/>
      <c r="EW356" s="208"/>
      <c r="EX356" s="208"/>
      <c r="EY356" s="208"/>
      <c r="EZ356" s="208">
        <v>0</v>
      </c>
      <c r="FA356" s="208">
        <v>0</v>
      </c>
      <c r="FB356" s="208">
        <v>0</v>
      </c>
      <c r="FC356" s="208"/>
      <c r="FD356" s="82"/>
      <c r="FE356" s="30"/>
    </row>
    <row r="357" spans="1:161" ht="15" hidden="1">
      <c r="A357" s="25" t="s">
        <v>341</v>
      </c>
      <c r="B357" s="212" t="s">
        <v>143</v>
      </c>
      <c r="C357" s="138"/>
      <c r="D357" s="221"/>
      <c r="E357" s="239">
        <v>770</v>
      </c>
      <c r="F357" s="95"/>
      <c r="G357" s="95"/>
      <c r="H357" s="147" t="s">
        <v>656</v>
      </c>
      <c r="I357" s="147"/>
      <c r="J357" s="135"/>
      <c r="K357" s="135"/>
      <c r="L357" s="139"/>
      <c r="M357" s="134"/>
      <c r="N357" s="134"/>
      <c r="O357" s="134"/>
      <c r="P357" s="134"/>
      <c r="Q357" s="134"/>
      <c r="R357" s="134"/>
      <c r="S357" s="139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3"/>
      <c r="BE357" s="83"/>
      <c r="BF357" s="83"/>
      <c r="BG357" s="82"/>
      <c r="BH357" s="81"/>
      <c r="BI357" s="80"/>
      <c r="BJ357" s="25"/>
      <c r="BK357" s="25"/>
      <c r="BL357" s="25"/>
      <c r="BM357" s="84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  <c r="CX357" s="25"/>
      <c r="CY357" s="25"/>
      <c r="CZ357" s="25"/>
      <c r="DA357" s="25"/>
      <c r="DB357" s="25"/>
      <c r="DC357" s="25"/>
      <c r="DD357" s="25"/>
      <c r="DE357" s="25"/>
      <c r="DF357" s="92"/>
      <c r="DG357" s="92"/>
      <c r="DH357" s="203"/>
      <c r="DI357" s="203"/>
      <c r="DJ357" s="203"/>
      <c r="DK357" s="203"/>
      <c r="DL357" s="203"/>
      <c r="DM357" s="203"/>
      <c r="DN357" s="203"/>
      <c r="DO357" s="203"/>
      <c r="DP357" s="208"/>
      <c r="DQ357" s="208"/>
      <c r="DR357" s="208"/>
      <c r="DS357" s="208"/>
      <c r="DT357" s="208"/>
      <c r="DU357" s="208"/>
      <c r="DV357" s="208"/>
      <c r="DW357" s="208"/>
      <c r="DX357" s="208"/>
      <c r="DY357" s="208"/>
      <c r="DZ357" s="208"/>
      <c r="EA357" s="208"/>
      <c r="EB357" s="208"/>
      <c r="EC357" s="208"/>
      <c r="ED357" s="208"/>
      <c r="EE357" s="208"/>
      <c r="EF357" s="208"/>
      <c r="EG357" s="208"/>
      <c r="EH357" s="208"/>
      <c r="EI357" s="208"/>
      <c r="EJ357" s="208"/>
      <c r="EK357" s="208"/>
      <c r="EL357" s="208"/>
      <c r="EM357" s="208"/>
      <c r="EN357" s="208"/>
      <c r="EO357" s="208"/>
      <c r="EP357" s="208"/>
      <c r="EQ357" s="208"/>
      <c r="ER357" s="208"/>
      <c r="ES357" s="208"/>
      <c r="ET357" s="208"/>
      <c r="EU357" s="208"/>
      <c r="EV357" s="208"/>
      <c r="EW357" s="208"/>
      <c r="EX357" s="208"/>
      <c r="EY357" s="208"/>
      <c r="EZ357" s="208">
        <v>0</v>
      </c>
      <c r="FA357" s="208">
        <v>0</v>
      </c>
      <c r="FB357" s="208">
        <v>0</v>
      </c>
      <c r="FC357" s="208"/>
      <c r="FD357" s="82"/>
      <c r="FE357" s="30"/>
    </row>
    <row r="358" spans="1:161" ht="15" hidden="1">
      <c r="A358" s="25" t="s">
        <v>342</v>
      </c>
      <c r="B358" s="212" t="s">
        <v>143</v>
      </c>
      <c r="C358" s="138"/>
      <c r="D358" s="221"/>
      <c r="E358" s="239">
        <v>770</v>
      </c>
      <c r="F358" s="95"/>
      <c r="G358" s="95"/>
      <c r="H358" s="147" t="s">
        <v>656</v>
      </c>
      <c r="I358" s="147"/>
      <c r="J358" s="135"/>
      <c r="K358" s="135"/>
      <c r="L358" s="139"/>
      <c r="M358" s="134"/>
      <c r="N358" s="134"/>
      <c r="O358" s="134"/>
      <c r="P358" s="134"/>
      <c r="Q358" s="134"/>
      <c r="R358" s="134"/>
      <c r="S358" s="139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3"/>
      <c r="BE358" s="83"/>
      <c r="BF358" s="83"/>
      <c r="BG358" s="82"/>
      <c r="BH358" s="81"/>
      <c r="BI358" s="80"/>
      <c r="BJ358" s="25"/>
      <c r="BK358" s="25"/>
      <c r="BL358" s="25"/>
      <c r="BM358" s="84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  <c r="CX358" s="25"/>
      <c r="CY358" s="25"/>
      <c r="CZ358" s="25"/>
      <c r="DA358" s="25"/>
      <c r="DB358" s="25"/>
      <c r="DC358" s="25"/>
      <c r="DD358" s="25"/>
      <c r="DE358" s="25"/>
      <c r="DF358" s="92"/>
      <c r="DG358" s="92"/>
      <c r="DH358" s="203"/>
      <c r="DI358" s="203"/>
      <c r="DJ358" s="203"/>
      <c r="DK358" s="203"/>
      <c r="DL358" s="203"/>
      <c r="DM358" s="203"/>
      <c r="DN358" s="203"/>
      <c r="DO358" s="203"/>
      <c r="DP358" s="208"/>
      <c r="DQ358" s="208"/>
      <c r="DR358" s="208"/>
      <c r="DS358" s="208"/>
      <c r="DT358" s="208"/>
      <c r="DU358" s="208"/>
      <c r="DV358" s="208"/>
      <c r="DW358" s="208"/>
      <c r="DX358" s="208"/>
      <c r="DY358" s="208"/>
      <c r="DZ358" s="208"/>
      <c r="EA358" s="208"/>
      <c r="EB358" s="208"/>
      <c r="EC358" s="208"/>
      <c r="ED358" s="208"/>
      <c r="EE358" s="208"/>
      <c r="EF358" s="208"/>
      <c r="EG358" s="208"/>
      <c r="EH358" s="208"/>
      <c r="EI358" s="208"/>
      <c r="EJ358" s="208"/>
      <c r="EK358" s="208"/>
      <c r="EL358" s="208"/>
      <c r="EM358" s="208"/>
      <c r="EN358" s="208"/>
      <c r="EO358" s="208"/>
      <c r="EP358" s="208"/>
      <c r="EQ358" s="208"/>
      <c r="ER358" s="208"/>
      <c r="ES358" s="208"/>
      <c r="ET358" s="208"/>
      <c r="EU358" s="208"/>
      <c r="EV358" s="208"/>
      <c r="EW358" s="208"/>
      <c r="EX358" s="208"/>
      <c r="EY358" s="208"/>
      <c r="EZ358" s="208">
        <v>0</v>
      </c>
      <c r="FA358" s="208">
        <v>0</v>
      </c>
      <c r="FB358" s="208">
        <v>0</v>
      </c>
      <c r="FC358" s="208"/>
      <c r="FD358" s="82"/>
      <c r="FE358" s="30"/>
    </row>
    <row r="359" spans="1:161" ht="15" hidden="1">
      <c r="A359" s="25" t="s">
        <v>343</v>
      </c>
      <c r="B359" s="212" t="s">
        <v>143</v>
      </c>
      <c r="C359" s="138"/>
      <c r="D359" s="221"/>
      <c r="E359" s="239">
        <v>770</v>
      </c>
      <c r="F359" s="95"/>
      <c r="G359" s="95"/>
      <c r="H359" s="147" t="s">
        <v>656</v>
      </c>
      <c r="I359" s="147"/>
      <c r="J359" s="135"/>
      <c r="K359" s="135"/>
      <c r="L359" s="139"/>
      <c r="M359" s="134"/>
      <c r="N359" s="134"/>
      <c r="O359" s="134"/>
      <c r="P359" s="134"/>
      <c r="Q359" s="134"/>
      <c r="R359" s="134"/>
      <c r="S359" s="139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3"/>
      <c r="BE359" s="83"/>
      <c r="BF359" s="83"/>
      <c r="BG359" s="82"/>
      <c r="BH359" s="81"/>
      <c r="BI359" s="80"/>
      <c r="BJ359" s="25"/>
      <c r="BK359" s="25"/>
      <c r="BL359" s="25"/>
      <c r="BM359" s="84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  <c r="CX359" s="25"/>
      <c r="CY359" s="25"/>
      <c r="CZ359" s="25"/>
      <c r="DA359" s="25"/>
      <c r="DB359" s="25"/>
      <c r="DC359" s="25"/>
      <c r="DD359" s="25"/>
      <c r="DE359" s="25"/>
      <c r="DF359" s="92"/>
      <c r="DG359" s="92"/>
      <c r="DH359" s="203"/>
      <c r="DI359" s="203"/>
      <c r="DJ359" s="203"/>
      <c r="DK359" s="203"/>
      <c r="DL359" s="203"/>
      <c r="DM359" s="203"/>
      <c r="DN359" s="203"/>
      <c r="DO359" s="203"/>
      <c r="DP359" s="208"/>
      <c r="DQ359" s="208"/>
      <c r="DR359" s="208"/>
      <c r="DS359" s="208"/>
      <c r="DT359" s="208"/>
      <c r="DU359" s="208"/>
      <c r="DV359" s="208"/>
      <c r="DW359" s="208"/>
      <c r="DX359" s="208"/>
      <c r="DY359" s="208"/>
      <c r="DZ359" s="208"/>
      <c r="EA359" s="208"/>
      <c r="EB359" s="208"/>
      <c r="EC359" s="208"/>
      <c r="ED359" s="208"/>
      <c r="EE359" s="208"/>
      <c r="EF359" s="208"/>
      <c r="EG359" s="208"/>
      <c r="EH359" s="208"/>
      <c r="EI359" s="208"/>
      <c r="EJ359" s="208"/>
      <c r="EK359" s="208"/>
      <c r="EL359" s="208"/>
      <c r="EM359" s="208"/>
      <c r="EN359" s="208"/>
      <c r="EO359" s="208"/>
      <c r="EP359" s="208"/>
      <c r="EQ359" s="208"/>
      <c r="ER359" s="208"/>
      <c r="ES359" s="208"/>
      <c r="ET359" s="208"/>
      <c r="EU359" s="208"/>
      <c r="EV359" s="208"/>
      <c r="EW359" s="208"/>
      <c r="EX359" s="208"/>
      <c r="EY359" s="208"/>
      <c r="EZ359" s="208">
        <v>0</v>
      </c>
      <c r="FA359" s="208">
        <v>0</v>
      </c>
      <c r="FB359" s="208">
        <v>0</v>
      </c>
      <c r="FC359" s="208"/>
      <c r="FD359" s="82"/>
      <c r="FE359" s="30"/>
    </row>
    <row r="360" spans="1:161" ht="15" hidden="1">
      <c r="A360" s="25" t="s">
        <v>344</v>
      </c>
      <c r="B360" s="212" t="s">
        <v>143</v>
      </c>
      <c r="C360" s="138"/>
      <c r="D360" s="221"/>
      <c r="E360" s="239">
        <v>770</v>
      </c>
      <c r="F360" s="95"/>
      <c r="G360" s="95"/>
      <c r="H360" s="147" t="s">
        <v>656</v>
      </c>
      <c r="I360" s="147"/>
      <c r="J360" s="135"/>
      <c r="K360" s="135"/>
      <c r="L360" s="139"/>
      <c r="M360" s="134"/>
      <c r="N360" s="134"/>
      <c r="O360" s="134"/>
      <c r="P360" s="134"/>
      <c r="Q360" s="134"/>
      <c r="R360" s="134"/>
      <c r="S360" s="139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3"/>
      <c r="BE360" s="83"/>
      <c r="BF360" s="83"/>
      <c r="BG360" s="82"/>
      <c r="BH360" s="81"/>
      <c r="BI360" s="80"/>
      <c r="BJ360" s="25"/>
      <c r="BK360" s="25"/>
      <c r="BL360" s="25"/>
      <c r="BM360" s="84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  <c r="CX360" s="25"/>
      <c r="CY360" s="25"/>
      <c r="CZ360" s="25"/>
      <c r="DA360" s="25"/>
      <c r="DB360" s="25"/>
      <c r="DC360" s="25"/>
      <c r="DD360" s="25"/>
      <c r="DE360" s="25"/>
      <c r="DF360" s="92"/>
      <c r="DG360" s="92"/>
      <c r="DH360" s="203"/>
      <c r="DI360" s="203"/>
      <c r="DJ360" s="203"/>
      <c r="DK360" s="203"/>
      <c r="DL360" s="203"/>
      <c r="DM360" s="203"/>
      <c r="DN360" s="203"/>
      <c r="DO360" s="203"/>
      <c r="DP360" s="208"/>
      <c r="DQ360" s="208"/>
      <c r="DR360" s="208"/>
      <c r="DS360" s="208"/>
      <c r="DT360" s="208"/>
      <c r="DU360" s="208"/>
      <c r="DV360" s="208"/>
      <c r="DW360" s="208"/>
      <c r="DX360" s="208"/>
      <c r="DY360" s="208"/>
      <c r="DZ360" s="208"/>
      <c r="EA360" s="208"/>
      <c r="EB360" s="208"/>
      <c r="EC360" s="208"/>
      <c r="ED360" s="208"/>
      <c r="EE360" s="208"/>
      <c r="EF360" s="208"/>
      <c r="EG360" s="208"/>
      <c r="EH360" s="208"/>
      <c r="EI360" s="208"/>
      <c r="EJ360" s="208"/>
      <c r="EK360" s="208"/>
      <c r="EL360" s="208"/>
      <c r="EM360" s="208"/>
      <c r="EN360" s="208"/>
      <c r="EO360" s="208"/>
      <c r="EP360" s="208"/>
      <c r="EQ360" s="208"/>
      <c r="ER360" s="208"/>
      <c r="ES360" s="208"/>
      <c r="ET360" s="208"/>
      <c r="EU360" s="208"/>
      <c r="EV360" s="208"/>
      <c r="EW360" s="208"/>
      <c r="EX360" s="208"/>
      <c r="EY360" s="208"/>
      <c r="EZ360" s="208">
        <v>0</v>
      </c>
      <c r="FA360" s="208">
        <v>0</v>
      </c>
      <c r="FB360" s="208">
        <v>0</v>
      </c>
      <c r="FC360" s="208"/>
      <c r="FD360" s="82"/>
      <c r="FE360" s="30"/>
    </row>
    <row r="361" spans="1:161" ht="15" hidden="1">
      <c r="A361" s="25" t="s">
        <v>345</v>
      </c>
      <c r="B361" s="212" t="s">
        <v>143</v>
      </c>
      <c r="C361" s="138"/>
      <c r="D361" s="221"/>
      <c r="E361" s="239">
        <v>770</v>
      </c>
      <c r="F361" s="95"/>
      <c r="G361" s="95"/>
      <c r="H361" s="147" t="s">
        <v>656</v>
      </c>
      <c r="I361" s="147"/>
      <c r="J361" s="135"/>
      <c r="K361" s="135"/>
      <c r="L361" s="139"/>
      <c r="M361" s="134"/>
      <c r="N361" s="134"/>
      <c r="O361" s="134"/>
      <c r="P361" s="134"/>
      <c r="Q361" s="134"/>
      <c r="R361" s="134"/>
      <c r="S361" s="139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3"/>
      <c r="BE361" s="83"/>
      <c r="BF361" s="83"/>
      <c r="BG361" s="82"/>
      <c r="BH361" s="81"/>
      <c r="BI361" s="80"/>
      <c r="BJ361" s="25"/>
      <c r="BK361" s="25"/>
      <c r="BL361" s="25"/>
      <c r="BM361" s="84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  <c r="CX361" s="25"/>
      <c r="CY361" s="25"/>
      <c r="CZ361" s="25"/>
      <c r="DA361" s="25"/>
      <c r="DB361" s="25"/>
      <c r="DC361" s="25"/>
      <c r="DD361" s="25"/>
      <c r="DE361" s="25"/>
      <c r="DF361" s="92"/>
      <c r="DG361" s="92"/>
      <c r="DH361" s="203"/>
      <c r="DI361" s="203"/>
      <c r="DJ361" s="203"/>
      <c r="DK361" s="203"/>
      <c r="DL361" s="203"/>
      <c r="DM361" s="203"/>
      <c r="DN361" s="203"/>
      <c r="DO361" s="203"/>
      <c r="DP361" s="208"/>
      <c r="DQ361" s="208"/>
      <c r="DR361" s="208"/>
      <c r="DS361" s="208"/>
      <c r="DT361" s="208"/>
      <c r="DU361" s="208"/>
      <c r="DV361" s="208"/>
      <c r="DW361" s="208"/>
      <c r="DX361" s="208"/>
      <c r="DY361" s="208"/>
      <c r="DZ361" s="208"/>
      <c r="EA361" s="208"/>
      <c r="EB361" s="208"/>
      <c r="EC361" s="208"/>
      <c r="ED361" s="208"/>
      <c r="EE361" s="208"/>
      <c r="EF361" s="208"/>
      <c r="EG361" s="208"/>
      <c r="EH361" s="208"/>
      <c r="EI361" s="208"/>
      <c r="EJ361" s="208"/>
      <c r="EK361" s="208"/>
      <c r="EL361" s="208"/>
      <c r="EM361" s="208"/>
      <c r="EN361" s="208"/>
      <c r="EO361" s="208"/>
      <c r="EP361" s="208"/>
      <c r="EQ361" s="208"/>
      <c r="ER361" s="208"/>
      <c r="ES361" s="208"/>
      <c r="ET361" s="208"/>
      <c r="EU361" s="208"/>
      <c r="EV361" s="208"/>
      <c r="EW361" s="208"/>
      <c r="EX361" s="208"/>
      <c r="EY361" s="208"/>
      <c r="EZ361" s="208">
        <v>0</v>
      </c>
      <c r="FA361" s="208">
        <v>0</v>
      </c>
      <c r="FB361" s="208">
        <v>0</v>
      </c>
      <c r="FC361" s="208"/>
      <c r="FD361" s="82"/>
      <c r="FE361" s="30"/>
    </row>
    <row r="362" spans="1:161" ht="15" hidden="1">
      <c r="A362" s="25" t="s">
        <v>346</v>
      </c>
      <c r="B362" s="212" t="s">
        <v>143</v>
      </c>
      <c r="C362" s="138"/>
      <c r="D362" s="221"/>
      <c r="E362" s="239">
        <v>770</v>
      </c>
      <c r="F362" s="95"/>
      <c r="G362" s="95"/>
      <c r="H362" s="147" t="s">
        <v>656</v>
      </c>
      <c r="I362" s="147"/>
      <c r="J362" s="135"/>
      <c r="K362" s="135"/>
      <c r="L362" s="139"/>
      <c r="M362" s="134"/>
      <c r="N362" s="134"/>
      <c r="O362" s="134"/>
      <c r="P362" s="134"/>
      <c r="Q362" s="134"/>
      <c r="R362" s="134"/>
      <c r="S362" s="139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3"/>
      <c r="BE362" s="83"/>
      <c r="BF362" s="83"/>
      <c r="BG362" s="82"/>
      <c r="BH362" s="81"/>
      <c r="BI362" s="80"/>
      <c r="BJ362" s="25"/>
      <c r="BK362" s="25"/>
      <c r="BL362" s="25"/>
      <c r="BM362" s="84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92"/>
      <c r="DG362" s="92"/>
      <c r="DH362" s="203"/>
      <c r="DI362" s="203"/>
      <c r="DJ362" s="203"/>
      <c r="DK362" s="203"/>
      <c r="DL362" s="203"/>
      <c r="DM362" s="203"/>
      <c r="DN362" s="203"/>
      <c r="DO362" s="203"/>
      <c r="DP362" s="208"/>
      <c r="DQ362" s="208"/>
      <c r="DR362" s="208"/>
      <c r="DS362" s="208"/>
      <c r="DT362" s="208"/>
      <c r="DU362" s="208"/>
      <c r="DV362" s="208"/>
      <c r="DW362" s="208"/>
      <c r="DX362" s="208"/>
      <c r="DY362" s="208"/>
      <c r="DZ362" s="208"/>
      <c r="EA362" s="208"/>
      <c r="EB362" s="208"/>
      <c r="EC362" s="208"/>
      <c r="ED362" s="208"/>
      <c r="EE362" s="208"/>
      <c r="EF362" s="208"/>
      <c r="EG362" s="208"/>
      <c r="EH362" s="208"/>
      <c r="EI362" s="208"/>
      <c r="EJ362" s="208"/>
      <c r="EK362" s="208"/>
      <c r="EL362" s="208"/>
      <c r="EM362" s="208"/>
      <c r="EN362" s="208"/>
      <c r="EO362" s="208"/>
      <c r="EP362" s="208"/>
      <c r="EQ362" s="208"/>
      <c r="ER362" s="208"/>
      <c r="ES362" s="208"/>
      <c r="ET362" s="208"/>
      <c r="EU362" s="208"/>
      <c r="EV362" s="208"/>
      <c r="EW362" s="208"/>
      <c r="EX362" s="208"/>
      <c r="EY362" s="208"/>
      <c r="EZ362" s="208">
        <v>0</v>
      </c>
      <c r="FA362" s="208">
        <v>0</v>
      </c>
      <c r="FB362" s="208">
        <v>0</v>
      </c>
      <c r="FC362" s="208"/>
      <c r="FD362" s="82"/>
      <c r="FE362" s="30"/>
    </row>
    <row r="363" spans="1:161" ht="15" hidden="1">
      <c r="A363" s="25" t="s">
        <v>347</v>
      </c>
      <c r="B363" s="212" t="s">
        <v>143</v>
      </c>
      <c r="C363" s="138"/>
      <c r="D363" s="221"/>
      <c r="E363" s="239">
        <v>770</v>
      </c>
      <c r="F363" s="95"/>
      <c r="G363" s="95"/>
      <c r="H363" s="147" t="s">
        <v>656</v>
      </c>
      <c r="I363" s="147"/>
      <c r="J363" s="135"/>
      <c r="K363" s="135"/>
      <c r="L363" s="139"/>
      <c r="M363" s="134"/>
      <c r="N363" s="134"/>
      <c r="O363" s="134"/>
      <c r="P363" s="134"/>
      <c r="Q363" s="134"/>
      <c r="R363" s="134"/>
      <c r="S363" s="139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3"/>
      <c r="BE363" s="83"/>
      <c r="BF363" s="83"/>
      <c r="BG363" s="82"/>
      <c r="BH363" s="81"/>
      <c r="BI363" s="80"/>
      <c r="BJ363" s="25"/>
      <c r="BK363" s="25"/>
      <c r="BL363" s="25"/>
      <c r="BM363" s="84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92"/>
      <c r="DG363" s="92"/>
      <c r="DH363" s="203"/>
      <c r="DI363" s="203"/>
      <c r="DJ363" s="203"/>
      <c r="DK363" s="203"/>
      <c r="DL363" s="203"/>
      <c r="DM363" s="203"/>
      <c r="DN363" s="203"/>
      <c r="DO363" s="203"/>
      <c r="DP363" s="208"/>
      <c r="DQ363" s="208"/>
      <c r="DR363" s="208"/>
      <c r="DS363" s="208"/>
      <c r="DT363" s="208"/>
      <c r="DU363" s="208"/>
      <c r="DV363" s="208"/>
      <c r="DW363" s="208"/>
      <c r="DX363" s="208"/>
      <c r="DY363" s="208"/>
      <c r="DZ363" s="208"/>
      <c r="EA363" s="208"/>
      <c r="EB363" s="208"/>
      <c r="EC363" s="208"/>
      <c r="ED363" s="208"/>
      <c r="EE363" s="208"/>
      <c r="EF363" s="208"/>
      <c r="EG363" s="208"/>
      <c r="EH363" s="208"/>
      <c r="EI363" s="208"/>
      <c r="EJ363" s="208"/>
      <c r="EK363" s="208"/>
      <c r="EL363" s="208"/>
      <c r="EM363" s="208"/>
      <c r="EN363" s="208"/>
      <c r="EO363" s="208"/>
      <c r="EP363" s="208"/>
      <c r="EQ363" s="208"/>
      <c r="ER363" s="208"/>
      <c r="ES363" s="208"/>
      <c r="ET363" s="208"/>
      <c r="EU363" s="208"/>
      <c r="EV363" s="208"/>
      <c r="EW363" s="208"/>
      <c r="EX363" s="208"/>
      <c r="EY363" s="208"/>
      <c r="EZ363" s="208">
        <v>0</v>
      </c>
      <c r="FA363" s="208">
        <v>0</v>
      </c>
      <c r="FB363" s="208">
        <v>0</v>
      </c>
      <c r="FC363" s="208"/>
      <c r="FD363" s="82"/>
      <c r="FE363" s="30"/>
    </row>
    <row r="364" spans="1:161" ht="15" hidden="1">
      <c r="A364" s="25" t="s">
        <v>348</v>
      </c>
      <c r="B364" s="212" t="s">
        <v>143</v>
      </c>
      <c r="C364" s="138"/>
      <c r="D364" s="221"/>
      <c r="E364" s="239">
        <v>770</v>
      </c>
      <c r="F364" s="95"/>
      <c r="G364" s="95"/>
      <c r="H364" s="147" t="s">
        <v>656</v>
      </c>
      <c r="I364" s="147"/>
      <c r="J364" s="135"/>
      <c r="K364" s="135"/>
      <c r="L364" s="139"/>
      <c r="M364" s="134"/>
      <c r="N364" s="134"/>
      <c r="O364" s="134"/>
      <c r="P364" s="134"/>
      <c r="Q364" s="134"/>
      <c r="R364" s="134"/>
      <c r="S364" s="139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3"/>
      <c r="BE364" s="83"/>
      <c r="BF364" s="83"/>
      <c r="BG364" s="82"/>
      <c r="BH364" s="81"/>
      <c r="BI364" s="80"/>
      <c r="BJ364" s="25"/>
      <c r="BK364" s="25"/>
      <c r="BL364" s="25"/>
      <c r="BM364" s="84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  <c r="CX364" s="25"/>
      <c r="CY364" s="25"/>
      <c r="CZ364" s="25"/>
      <c r="DA364" s="25"/>
      <c r="DB364" s="25"/>
      <c r="DC364" s="25"/>
      <c r="DD364" s="25"/>
      <c r="DE364" s="25"/>
      <c r="DF364" s="92"/>
      <c r="DG364" s="92"/>
      <c r="DH364" s="203"/>
      <c r="DI364" s="203"/>
      <c r="DJ364" s="203"/>
      <c r="DK364" s="203"/>
      <c r="DL364" s="203"/>
      <c r="DM364" s="203"/>
      <c r="DN364" s="203"/>
      <c r="DO364" s="203"/>
      <c r="DP364" s="208"/>
      <c r="DQ364" s="208"/>
      <c r="DR364" s="208"/>
      <c r="DS364" s="208"/>
      <c r="DT364" s="208"/>
      <c r="DU364" s="208"/>
      <c r="DV364" s="208"/>
      <c r="DW364" s="208"/>
      <c r="DX364" s="208"/>
      <c r="DY364" s="208"/>
      <c r="DZ364" s="208"/>
      <c r="EA364" s="208"/>
      <c r="EB364" s="208"/>
      <c r="EC364" s="208"/>
      <c r="ED364" s="208"/>
      <c r="EE364" s="208"/>
      <c r="EF364" s="208"/>
      <c r="EG364" s="208"/>
      <c r="EH364" s="208"/>
      <c r="EI364" s="208"/>
      <c r="EJ364" s="208"/>
      <c r="EK364" s="208"/>
      <c r="EL364" s="208"/>
      <c r="EM364" s="208"/>
      <c r="EN364" s="208"/>
      <c r="EO364" s="208"/>
      <c r="EP364" s="208"/>
      <c r="EQ364" s="208"/>
      <c r="ER364" s="208"/>
      <c r="ES364" s="208"/>
      <c r="ET364" s="208"/>
      <c r="EU364" s="208"/>
      <c r="EV364" s="208"/>
      <c r="EW364" s="208"/>
      <c r="EX364" s="208"/>
      <c r="EY364" s="208"/>
      <c r="EZ364" s="208">
        <v>0</v>
      </c>
      <c r="FA364" s="208">
        <v>0</v>
      </c>
      <c r="FB364" s="208">
        <v>0</v>
      </c>
      <c r="FC364" s="208"/>
      <c r="FD364" s="82"/>
      <c r="FE364" s="30"/>
    </row>
    <row r="365" spans="1:161" ht="15" hidden="1">
      <c r="A365" s="25" t="s">
        <v>349</v>
      </c>
      <c r="B365" s="212" t="s">
        <v>143</v>
      </c>
      <c r="C365" s="138"/>
      <c r="D365" s="221"/>
      <c r="E365" s="239">
        <v>770</v>
      </c>
      <c r="F365" s="95"/>
      <c r="G365" s="95"/>
      <c r="H365" s="147" t="s">
        <v>656</v>
      </c>
      <c r="I365" s="147"/>
      <c r="J365" s="135"/>
      <c r="K365" s="135"/>
      <c r="L365" s="139"/>
      <c r="M365" s="134"/>
      <c r="N365" s="134"/>
      <c r="O365" s="134"/>
      <c r="P365" s="134"/>
      <c r="Q365" s="134"/>
      <c r="R365" s="134"/>
      <c r="S365" s="139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3"/>
      <c r="BE365" s="83"/>
      <c r="BF365" s="83"/>
      <c r="BG365" s="82"/>
      <c r="BH365" s="81"/>
      <c r="BI365" s="80"/>
      <c r="BJ365" s="25"/>
      <c r="BK365" s="25"/>
      <c r="BL365" s="25"/>
      <c r="BM365" s="84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  <c r="CX365" s="25"/>
      <c r="CY365" s="25"/>
      <c r="CZ365" s="25"/>
      <c r="DA365" s="25"/>
      <c r="DB365" s="25"/>
      <c r="DC365" s="25"/>
      <c r="DD365" s="25"/>
      <c r="DE365" s="25"/>
      <c r="DF365" s="92"/>
      <c r="DG365" s="92"/>
      <c r="DH365" s="203"/>
      <c r="DI365" s="203"/>
      <c r="DJ365" s="203"/>
      <c r="DK365" s="203"/>
      <c r="DL365" s="203"/>
      <c r="DM365" s="203"/>
      <c r="DN365" s="203"/>
      <c r="DO365" s="203"/>
      <c r="DP365" s="208"/>
      <c r="DQ365" s="208"/>
      <c r="DR365" s="208"/>
      <c r="DS365" s="208"/>
      <c r="DT365" s="208"/>
      <c r="DU365" s="208"/>
      <c r="DV365" s="208"/>
      <c r="DW365" s="208"/>
      <c r="DX365" s="208"/>
      <c r="DY365" s="208"/>
      <c r="DZ365" s="208"/>
      <c r="EA365" s="208"/>
      <c r="EB365" s="208"/>
      <c r="EC365" s="208"/>
      <c r="ED365" s="208"/>
      <c r="EE365" s="208"/>
      <c r="EF365" s="208"/>
      <c r="EG365" s="208"/>
      <c r="EH365" s="208"/>
      <c r="EI365" s="208"/>
      <c r="EJ365" s="208"/>
      <c r="EK365" s="208"/>
      <c r="EL365" s="208"/>
      <c r="EM365" s="208"/>
      <c r="EN365" s="208"/>
      <c r="EO365" s="208"/>
      <c r="EP365" s="208"/>
      <c r="EQ365" s="208"/>
      <c r="ER365" s="208"/>
      <c r="ES365" s="208"/>
      <c r="ET365" s="208"/>
      <c r="EU365" s="208"/>
      <c r="EV365" s="208"/>
      <c r="EW365" s="208"/>
      <c r="EX365" s="208"/>
      <c r="EY365" s="208"/>
      <c r="EZ365" s="208">
        <v>0</v>
      </c>
      <c r="FA365" s="208">
        <v>0</v>
      </c>
      <c r="FB365" s="208">
        <v>0</v>
      </c>
      <c r="FC365" s="208"/>
      <c r="FD365" s="82"/>
      <c r="FE365" s="30"/>
    </row>
    <row r="366" spans="1:161" ht="15" hidden="1">
      <c r="A366" s="25" t="s">
        <v>350</v>
      </c>
      <c r="B366" s="212" t="s">
        <v>143</v>
      </c>
      <c r="C366" s="138"/>
      <c r="D366" s="221"/>
      <c r="E366" s="239">
        <v>770</v>
      </c>
      <c r="F366" s="95"/>
      <c r="G366" s="95"/>
      <c r="H366" s="147" t="s">
        <v>656</v>
      </c>
      <c r="I366" s="147"/>
      <c r="J366" s="135"/>
      <c r="K366" s="135"/>
      <c r="L366" s="139"/>
      <c r="M366" s="134"/>
      <c r="N366" s="134"/>
      <c r="O366" s="134"/>
      <c r="P366" s="134"/>
      <c r="Q366" s="134"/>
      <c r="R366" s="134"/>
      <c r="S366" s="139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3"/>
      <c r="BE366" s="83"/>
      <c r="BF366" s="83"/>
      <c r="BG366" s="82"/>
      <c r="BH366" s="81"/>
      <c r="BI366" s="80"/>
      <c r="BJ366" s="25"/>
      <c r="BK366" s="25"/>
      <c r="BL366" s="25"/>
      <c r="BM366" s="84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  <c r="CX366" s="25"/>
      <c r="CY366" s="25"/>
      <c r="CZ366" s="25"/>
      <c r="DA366" s="25"/>
      <c r="DB366" s="25"/>
      <c r="DC366" s="25"/>
      <c r="DD366" s="25"/>
      <c r="DE366" s="25"/>
      <c r="DF366" s="92"/>
      <c r="DG366" s="92"/>
      <c r="DH366" s="203"/>
      <c r="DI366" s="203"/>
      <c r="DJ366" s="203"/>
      <c r="DK366" s="203"/>
      <c r="DL366" s="203"/>
      <c r="DM366" s="203"/>
      <c r="DN366" s="203"/>
      <c r="DO366" s="203"/>
      <c r="DP366" s="208"/>
      <c r="DQ366" s="208"/>
      <c r="DR366" s="208"/>
      <c r="DS366" s="208"/>
      <c r="DT366" s="208"/>
      <c r="DU366" s="208"/>
      <c r="DV366" s="208"/>
      <c r="DW366" s="208"/>
      <c r="DX366" s="208"/>
      <c r="DY366" s="208"/>
      <c r="DZ366" s="208"/>
      <c r="EA366" s="208"/>
      <c r="EB366" s="208"/>
      <c r="EC366" s="208"/>
      <c r="ED366" s="208"/>
      <c r="EE366" s="208"/>
      <c r="EF366" s="208"/>
      <c r="EG366" s="208"/>
      <c r="EH366" s="208"/>
      <c r="EI366" s="208"/>
      <c r="EJ366" s="208"/>
      <c r="EK366" s="208"/>
      <c r="EL366" s="208"/>
      <c r="EM366" s="208"/>
      <c r="EN366" s="208"/>
      <c r="EO366" s="208"/>
      <c r="EP366" s="208"/>
      <c r="EQ366" s="208"/>
      <c r="ER366" s="208"/>
      <c r="ES366" s="208"/>
      <c r="ET366" s="208"/>
      <c r="EU366" s="208"/>
      <c r="EV366" s="208"/>
      <c r="EW366" s="208"/>
      <c r="EX366" s="208"/>
      <c r="EY366" s="208"/>
      <c r="EZ366" s="208">
        <v>0</v>
      </c>
      <c r="FA366" s="208">
        <v>0</v>
      </c>
      <c r="FB366" s="208">
        <v>0</v>
      </c>
      <c r="FC366" s="208"/>
      <c r="FD366" s="82"/>
      <c r="FE366" s="30"/>
    </row>
    <row r="367" spans="1:161" ht="15" hidden="1">
      <c r="A367" s="25" t="s">
        <v>351</v>
      </c>
      <c r="B367" s="212" t="s">
        <v>143</v>
      </c>
      <c r="C367" s="138"/>
      <c r="D367" s="221"/>
      <c r="E367" s="239">
        <v>770</v>
      </c>
      <c r="F367" s="95"/>
      <c r="G367" s="95"/>
      <c r="H367" s="147" t="s">
        <v>656</v>
      </c>
      <c r="I367" s="147"/>
      <c r="J367" s="135"/>
      <c r="K367" s="135"/>
      <c r="L367" s="139"/>
      <c r="M367" s="134"/>
      <c r="N367" s="134"/>
      <c r="O367" s="134"/>
      <c r="P367" s="134"/>
      <c r="Q367" s="134"/>
      <c r="R367" s="134"/>
      <c r="S367" s="139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3"/>
      <c r="BE367" s="83"/>
      <c r="BF367" s="83"/>
      <c r="BG367" s="82"/>
      <c r="BH367" s="81"/>
      <c r="BI367" s="80"/>
      <c r="BJ367" s="25"/>
      <c r="BK367" s="25"/>
      <c r="BL367" s="25"/>
      <c r="BM367" s="84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  <c r="CX367" s="25"/>
      <c r="CY367" s="25"/>
      <c r="CZ367" s="25"/>
      <c r="DA367" s="25"/>
      <c r="DB367" s="25"/>
      <c r="DC367" s="25"/>
      <c r="DD367" s="25"/>
      <c r="DE367" s="25"/>
      <c r="DF367" s="92"/>
      <c r="DG367" s="92"/>
      <c r="DH367" s="203"/>
      <c r="DI367" s="203"/>
      <c r="DJ367" s="203"/>
      <c r="DK367" s="203"/>
      <c r="DL367" s="203"/>
      <c r="DM367" s="203"/>
      <c r="DN367" s="203"/>
      <c r="DO367" s="203"/>
      <c r="DP367" s="208"/>
      <c r="DQ367" s="208"/>
      <c r="DR367" s="208"/>
      <c r="DS367" s="208"/>
      <c r="DT367" s="208"/>
      <c r="DU367" s="208"/>
      <c r="DV367" s="208"/>
      <c r="DW367" s="208"/>
      <c r="DX367" s="208"/>
      <c r="DY367" s="208"/>
      <c r="DZ367" s="208"/>
      <c r="EA367" s="208"/>
      <c r="EB367" s="208"/>
      <c r="EC367" s="208"/>
      <c r="ED367" s="208"/>
      <c r="EE367" s="208"/>
      <c r="EF367" s="208"/>
      <c r="EG367" s="208"/>
      <c r="EH367" s="208"/>
      <c r="EI367" s="208"/>
      <c r="EJ367" s="208"/>
      <c r="EK367" s="208"/>
      <c r="EL367" s="208"/>
      <c r="EM367" s="208"/>
      <c r="EN367" s="208"/>
      <c r="EO367" s="208"/>
      <c r="EP367" s="208"/>
      <c r="EQ367" s="208"/>
      <c r="ER367" s="208"/>
      <c r="ES367" s="208"/>
      <c r="ET367" s="208"/>
      <c r="EU367" s="208"/>
      <c r="EV367" s="208"/>
      <c r="EW367" s="208"/>
      <c r="EX367" s="208"/>
      <c r="EY367" s="208"/>
      <c r="EZ367" s="208">
        <v>0</v>
      </c>
      <c r="FA367" s="208">
        <v>0</v>
      </c>
      <c r="FB367" s="208">
        <v>0</v>
      </c>
      <c r="FC367" s="208"/>
      <c r="FD367" s="82"/>
      <c r="FE367" s="30"/>
    </row>
    <row r="368" spans="1:161" ht="15" hidden="1">
      <c r="A368" s="25" t="s">
        <v>352</v>
      </c>
      <c r="B368" s="212" t="s">
        <v>143</v>
      </c>
      <c r="C368" s="138"/>
      <c r="D368" s="221"/>
      <c r="E368" s="239">
        <v>770</v>
      </c>
      <c r="F368" s="95"/>
      <c r="G368" s="95"/>
      <c r="H368" s="147" t="s">
        <v>656</v>
      </c>
      <c r="I368" s="147"/>
      <c r="J368" s="135"/>
      <c r="K368" s="135"/>
      <c r="L368" s="139"/>
      <c r="M368" s="134"/>
      <c r="N368" s="134"/>
      <c r="O368" s="134"/>
      <c r="P368" s="134"/>
      <c r="Q368" s="134"/>
      <c r="R368" s="134"/>
      <c r="S368" s="139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3"/>
      <c r="BE368" s="83"/>
      <c r="BF368" s="83"/>
      <c r="BG368" s="82"/>
      <c r="BH368" s="81"/>
      <c r="BI368" s="80"/>
      <c r="BJ368" s="25"/>
      <c r="BK368" s="25"/>
      <c r="BL368" s="25"/>
      <c r="BM368" s="84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92"/>
      <c r="DG368" s="92"/>
      <c r="DH368" s="203"/>
      <c r="DI368" s="203"/>
      <c r="DJ368" s="203"/>
      <c r="DK368" s="203"/>
      <c r="DL368" s="203"/>
      <c r="DM368" s="203"/>
      <c r="DN368" s="203"/>
      <c r="DO368" s="203"/>
      <c r="DP368" s="208"/>
      <c r="DQ368" s="208"/>
      <c r="DR368" s="208"/>
      <c r="DS368" s="208"/>
      <c r="DT368" s="208"/>
      <c r="DU368" s="208"/>
      <c r="DV368" s="208"/>
      <c r="DW368" s="208"/>
      <c r="DX368" s="208"/>
      <c r="DY368" s="208"/>
      <c r="DZ368" s="208"/>
      <c r="EA368" s="208"/>
      <c r="EB368" s="208"/>
      <c r="EC368" s="208"/>
      <c r="ED368" s="208"/>
      <c r="EE368" s="208"/>
      <c r="EF368" s="208"/>
      <c r="EG368" s="208"/>
      <c r="EH368" s="208"/>
      <c r="EI368" s="208"/>
      <c r="EJ368" s="208"/>
      <c r="EK368" s="208"/>
      <c r="EL368" s="208"/>
      <c r="EM368" s="208"/>
      <c r="EN368" s="208"/>
      <c r="EO368" s="208"/>
      <c r="EP368" s="208"/>
      <c r="EQ368" s="208"/>
      <c r="ER368" s="208"/>
      <c r="ES368" s="208"/>
      <c r="ET368" s="208"/>
      <c r="EU368" s="208"/>
      <c r="EV368" s="208"/>
      <c r="EW368" s="208"/>
      <c r="EX368" s="208"/>
      <c r="EY368" s="208"/>
      <c r="EZ368" s="208">
        <v>0</v>
      </c>
      <c r="FA368" s="208">
        <v>0</v>
      </c>
      <c r="FB368" s="208">
        <v>0</v>
      </c>
      <c r="FC368" s="208"/>
      <c r="FD368" s="82"/>
      <c r="FE368" s="30"/>
    </row>
    <row r="369" spans="1:161" ht="15" hidden="1">
      <c r="A369" s="25" t="s">
        <v>353</v>
      </c>
      <c r="B369" s="212" t="s">
        <v>143</v>
      </c>
      <c r="C369" s="138"/>
      <c r="D369" s="221"/>
      <c r="E369" s="239">
        <v>770</v>
      </c>
      <c r="F369" s="95"/>
      <c r="G369" s="95"/>
      <c r="H369" s="147" t="s">
        <v>656</v>
      </c>
      <c r="I369" s="147"/>
      <c r="J369" s="135"/>
      <c r="K369" s="135"/>
      <c r="L369" s="139"/>
      <c r="M369" s="134"/>
      <c r="N369" s="134"/>
      <c r="O369" s="134"/>
      <c r="P369" s="134"/>
      <c r="Q369" s="134"/>
      <c r="R369" s="134"/>
      <c r="S369" s="139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3"/>
      <c r="BE369" s="83"/>
      <c r="BF369" s="83"/>
      <c r="BG369" s="82"/>
      <c r="BH369" s="81"/>
      <c r="BI369" s="80"/>
      <c r="BJ369" s="25"/>
      <c r="BK369" s="25"/>
      <c r="BL369" s="25"/>
      <c r="BM369" s="84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  <c r="CR369" s="25"/>
      <c r="CS369" s="25"/>
      <c r="CT369" s="25"/>
      <c r="CU369" s="25"/>
      <c r="CV369" s="25"/>
      <c r="CW369" s="25"/>
      <c r="CX369" s="25"/>
      <c r="CY369" s="25"/>
      <c r="CZ369" s="25"/>
      <c r="DA369" s="25"/>
      <c r="DB369" s="25"/>
      <c r="DC369" s="25"/>
      <c r="DD369" s="25"/>
      <c r="DE369" s="25"/>
      <c r="DF369" s="92"/>
      <c r="DG369" s="92"/>
      <c r="DH369" s="203"/>
      <c r="DI369" s="203"/>
      <c r="DJ369" s="203"/>
      <c r="DK369" s="203"/>
      <c r="DL369" s="203"/>
      <c r="DM369" s="203"/>
      <c r="DN369" s="203"/>
      <c r="DO369" s="203"/>
      <c r="DP369" s="208"/>
      <c r="DQ369" s="208"/>
      <c r="DR369" s="208"/>
      <c r="DS369" s="208"/>
      <c r="DT369" s="208"/>
      <c r="DU369" s="208"/>
      <c r="DV369" s="208"/>
      <c r="DW369" s="208"/>
      <c r="DX369" s="208"/>
      <c r="DY369" s="208"/>
      <c r="DZ369" s="208"/>
      <c r="EA369" s="208"/>
      <c r="EB369" s="208"/>
      <c r="EC369" s="208"/>
      <c r="ED369" s="208"/>
      <c r="EE369" s="208"/>
      <c r="EF369" s="208"/>
      <c r="EG369" s="208"/>
      <c r="EH369" s="208"/>
      <c r="EI369" s="208"/>
      <c r="EJ369" s="208"/>
      <c r="EK369" s="208"/>
      <c r="EL369" s="208"/>
      <c r="EM369" s="208"/>
      <c r="EN369" s="208"/>
      <c r="EO369" s="208"/>
      <c r="EP369" s="208"/>
      <c r="EQ369" s="208"/>
      <c r="ER369" s="208"/>
      <c r="ES369" s="208"/>
      <c r="ET369" s="208"/>
      <c r="EU369" s="208"/>
      <c r="EV369" s="208"/>
      <c r="EW369" s="208"/>
      <c r="EX369" s="208"/>
      <c r="EY369" s="208"/>
      <c r="EZ369" s="208">
        <v>0</v>
      </c>
      <c r="FA369" s="208">
        <v>0</v>
      </c>
      <c r="FB369" s="208">
        <v>0</v>
      </c>
      <c r="FC369" s="208"/>
      <c r="FD369" s="82"/>
      <c r="FE369" s="30"/>
    </row>
    <row r="370" spans="1:161" ht="15" hidden="1">
      <c r="A370" s="25" t="s">
        <v>355</v>
      </c>
      <c r="B370" s="212" t="s">
        <v>143</v>
      </c>
      <c r="C370" s="138"/>
      <c r="D370" s="221"/>
      <c r="E370" s="239">
        <v>770</v>
      </c>
      <c r="F370" s="95"/>
      <c r="G370" s="95"/>
      <c r="H370" s="147" t="s">
        <v>656</v>
      </c>
      <c r="I370" s="147"/>
      <c r="J370" s="135"/>
      <c r="K370" s="135"/>
      <c r="L370" s="139"/>
      <c r="M370" s="134"/>
      <c r="N370" s="134"/>
      <c r="O370" s="134"/>
      <c r="P370" s="134"/>
      <c r="Q370" s="134"/>
      <c r="R370" s="134"/>
      <c r="S370" s="139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3"/>
      <c r="BE370" s="83"/>
      <c r="BF370" s="83"/>
      <c r="BG370" s="82"/>
      <c r="BH370" s="81"/>
      <c r="BI370" s="80"/>
      <c r="BJ370" s="25"/>
      <c r="BK370" s="25"/>
      <c r="BL370" s="25"/>
      <c r="BM370" s="84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  <c r="CX370" s="25"/>
      <c r="CY370" s="25"/>
      <c r="CZ370" s="25"/>
      <c r="DA370" s="25"/>
      <c r="DB370" s="25"/>
      <c r="DC370" s="25"/>
      <c r="DD370" s="25"/>
      <c r="DE370" s="25"/>
      <c r="DF370" s="92"/>
      <c r="DG370" s="92"/>
      <c r="DH370" s="203"/>
      <c r="DI370" s="203"/>
      <c r="DJ370" s="203"/>
      <c r="DK370" s="203"/>
      <c r="DL370" s="203"/>
      <c r="DM370" s="203"/>
      <c r="DN370" s="203"/>
      <c r="DO370" s="203"/>
      <c r="DP370" s="208"/>
      <c r="DQ370" s="208"/>
      <c r="DR370" s="208"/>
      <c r="DS370" s="208"/>
      <c r="DT370" s="208"/>
      <c r="DU370" s="208"/>
      <c r="DV370" s="208"/>
      <c r="DW370" s="208"/>
      <c r="DX370" s="208"/>
      <c r="DY370" s="208"/>
      <c r="DZ370" s="208"/>
      <c r="EA370" s="208"/>
      <c r="EB370" s="208"/>
      <c r="EC370" s="208"/>
      <c r="ED370" s="208"/>
      <c r="EE370" s="208"/>
      <c r="EF370" s="208"/>
      <c r="EG370" s="208"/>
      <c r="EH370" s="208"/>
      <c r="EI370" s="208"/>
      <c r="EJ370" s="208"/>
      <c r="EK370" s="208"/>
      <c r="EL370" s="208"/>
      <c r="EM370" s="208"/>
      <c r="EN370" s="208"/>
      <c r="EO370" s="208"/>
      <c r="EP370" s="208"/>
      <c r="EQ370" s="208"/>
      <c r="ER370" s="208"/>
      <c r="ES370" s="208"/>
      <c r="ET370" s="208"/>
      <c r="EU370" s="208"/>
      <c r="EV370" s="208"/>
      <c r="EW370" s="208"/>
      <c r="EX370" s="208"/>
      <c r="EY370" s="208"/>
      <c r="EZ370" s="208">
        <v>0</v>
      </c>
      <c r="FA370" s="208">
        <v>0</v>
      </c>
      <c r="FB370" s="208">
        <v>0</v>
      </c>
      <c r="FC370" s="208"/>
      <c r="FD370" s="82"/>
      <c r="FE370" s="30"/>
    </row>
    <row r="371" spans="1:161" ht="15" hidden="1">
      <c r="A371" s="25" t="s">
        <v>356</v>
      </c>
      <c r="B371" s="212" t="s">
        <v>143</v>
      </c>
      <c r="C371" s="138"/>
      <c r="D371" s="221"/>
      <c r="E371" s="239">
        <v>770</v>
      </c>
      <c r="F371" s="95"/>
      <c r="G371" s="95"/>
      <c r="H371" s="147" t="s">
        <v>656</v>
      </c>
      <c r="I371" s="147"/>
      <c r="J371" s="135"/>
      <c r="K371" s="135"/>
      <c r="L371" s="139"/>
      <c r="M371" s="134"/>
      <c r="N371" s="134"/>
      <c r="O371" s="134"/>
      <c r="P371" s="134"/>
      <c r="Q371" s="134"/>
      <c r="R371" s="134"/>
      <c r="S371" s="139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3"/>
      <c r="BE371" s="83"/>
      <c r="BF371" s="83"/>
      <c r="BG371" s="82"/>
      <c r="BH371" s="81"/>
      <c r="BI371" s="80"/>
      <c r="BJ371" s="25"/>
      <c r="BK371" s="25"/>
      <c r="BL371" s="25"/>
      <c r="BM371" s="84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  <c r="CX371" s="25"/>
      <c r="CY371" s="25"/>
      <c r="CZ371" s="25"/>
      <c r="DA371" s="25"/>
      <c r="DB371" s="25"/>
      <c r="DC371" s="25"/>
      <c r="DD371" s="25"/>
      <c r="DE371" s="25"/>
      <c r="DF371" s="92"/>
      <c r="DG371" s="92"/>
      <c r="DH371" s="203"/>
      <c r="DI371" s="203"/>
      <c r="DJ371" s="203"/>
      <c r="DK371" s="203"/>
      <c r="DL371" s="203"/>
      <c r="DM371" s="203"/>
      <c r="DN371" s="203"/>
      <c r="DO371" s="203"/>
      <c r="DP371" s="208"/>
      <c r="DQ371" s="208"/>
      <c r="DR371" s="208"/>
      <c r="DS371" s="208"/>
      <c r="DT371" s="208"/>
      <c r="DU371" s="208"/>
      <c r="DV371" s="208"/>
      <c r="DW371" s="208"/>
      <c r="DX371" s="208"/>
      <c r="DY371" s="208"/>
      <c r="DZ371" s="208"/>
      <c r="EA371" s="208"/>
      <c r="EB371" s="208"/>
      <c r="EC371" s="208"/>
      <c r="ED371" s="208"/>
      <c r="EE371" s="208"/>
      <c r="EF371" s="208"/>
      <c r="EG371" s="208"/>
      <c r="EH371" s="208"/>
      <c r="EI371" s="208"/>
      <c r="EJ371" s="208"/>
      <c r="EK371" s="208"/>
      <c r="EL371" s="208"/>
      <c r="EM371" s="208"/>
      <c r="EN371" s="208"/>
      <c r="EO371" s="208"/>
      <c r="EP371" s="208"/>
      <c r="EQ371" s="208"/>
      <c r="ER371" s="208"/>
      <c r="ES371" s="208"/>
      <c r="ET371" s="208"/>
      <c r="EU371" s="208"/>
      <c r="EV371" s="208"/>
      <c r="EW371" s="208"/>
      <c r="EX371" s="208"/>
      <c r="EY371" s="208"/>
      <c r="EZ371" s="208">
        <v>0</v>
      </c>
      <c r="FA371" s="208">
        <v>0</v>
      </c>
      <c r="FB371" s="208">
        <v>0</v>
      </c>
      <c r="FC371" s="208"/>
      <c r="FD371" s="82"/>
      <c r="FE371" s="30"/>
    </row>
    <row r="372" spans="1:161" ht="15" hidden="1">
      <c r="A372" s="25" t="s">
        <v>357</v>
      </c>
      <c r="B372" s="212" t="s">
        <v>143</v>
      </c>
      <c r="C372" s="138"/>
      <c r="D372" s="221"/>
      <c r="E372" s="239">
        <v>770</v>
      </c>
      <c r="F372" s="95"/>
      <c r="G372" s="95"/>
      <c r="H372" s="147" t="s">
        <v>656</v>
      </c>
      <c r="I372" s="147"/>
      <c r="J372" s="135"/>
      <c r="K372" s="135"/>
      <c r="L372" s="139"/>
      <c r="M372" s="134"/>
      <c r="N372" s="134"/>
      <c r="O372" s="134"/>
      <c r="P372" s="134"/>
      <c r="Q372" s="134"/>
      <c r="R372" s="134"/>
      <c r="S372" s="139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3"/>
      <c r="BE372" s="83"/>
      <c r="BF372" s="83"/>
      <c r="BG372" s="82"/>
      <c r="BH372" s="81"/>
      <c r="BI372" s="80"/>
      <c r="BJ372" s="25"/>
      <c r="BK372" s="25"/>
      <c r="BL372" s="25"/>
      <c r="BM372" s="84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  <c r="CX372" s="25"/>
      <c r="CY372" s="25"/>
      <c r="CZ372" s="25"/>
      <c r="DA372" s="25"/>
      <c r="DB372" s="25"/>
      <c r="DC372" s="25"/>
      <c r="DD372" s="25"/>
      <c r="DE372" s="25"/>
      <c r="DF372" s="92"/>
      <c r="DG372" s="92"/>
      <c r="DH372" s="203"/>
      <c r="DI372" s="203"/>
      <c r="DJ372" s="203"/>
      <c r="DK372" s="203"/>
      <c r="DL372" s="203"/>
      <c r="DM372" s="203"/>
      <c r="DN372" s="203"/>
      <c r="DO372" s="203"/>
      <c r="DP372" s="208"/>
      <c r="DQ372" s="208"/>
      <c r="DR372" s="208"/>
      <c r="DS372" s="208"/>
      <c r="DT372" s="208"/>
      <c r="DU372" s="208"/>
      <c r="DV372" s="208"/>
      <c r="DW372" s="208"/>
      <c r="DX372" s="208"/>
      <c r="DY372" s="208"/>
      <c r="DZ372" s="208"/>
      <c r="EA372" s="208"/>
      <c r="EB372" s="208"/>
      <c r="EC372" s="208"/>
      <c r="ED372" s="208"/>
      <c r="EE372" s="208"/>
      <c r="EF372" s="208"/>
      <c r="EG372" s="208"/>
      <c r="EH372" s="208"/>
      <c r="EI372" s="208"/>
      <c r="EJ372" s="208"/>
      <c r="EK372" s="208"/>
      <c r="EL372" s="208"/>
      <c r="EM372" s="208"/>
      <c r="EN372" s="208"/>
      <c r="EO372" s="208"/>
      <c r="EP372" s="208"/>
      <c r="EQ372" s="208"/>
      <c r="ER372" s="208"/>
      <c r="ES372" s="208"/>
      <c r="ET372" s="208"/>
      <c r="EU372" s="208"/>
      <c r="EV372" s="208"/>
      <c r="EW372" s="208"/>
      <c r="EX372" s="208"/>
      <c r="EY372" s="208"/>
      <c r="EZ372" s="208">
        <v>0</v>
      </c>
      <c r="FA372" s="208">
        <v>0</v>
      </c>
      <c r="FB372" s="208">
        <v>0</v>
      </c>
      <c r="FC372" s="208"/>
      <c r="FD372" s="82"/>
      <c r="FE372" s="30"/>
    </row>
    <row r="373" spans="1:161" ht="15" hidden="1">
      <c r="A373" s="25" t="s">
        <v>359</v>
      </c>
      <c r="B373" s="212" t="s">
        <v>143</v>
      </c>
      <c r="C373" s="138"/>
      <c r="D373" s="221"/>
      <c r="E373" s="239">
        <v>770</v>
      </c>
      <c r="F373" s="95"/>
      <c r="G373" s="95"/>
      <c r="H373" s="147" t="s">
        <v>656</v>
      </c>
      <c r="I373" s="147"/>
      <c r="J373" s="135"/>
      <c r="K373" s="135"/>
      <c r="L373" s="139"/>
      <c r="M373" s="134"/>
      <c r="N373" s="134"/>
      <c r="O373" s="134"/>
      <c r="P373" s="134"/>
      <c r="Q373" s="134"/>
      <c r="R373" s="134"/>
      <c r="S373" s="139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3"/>
      <c r="BE373" s="83"/>
      <c r="BF373" s="83"/>
      <c r="BG373" s="82"/>
      <c r="BH373" s="81"/>
      <c r="BI373" s="80"/>
      <c r="BJ373" s="25"/>
      <c r="BK373" s="25"/>
      <c r="BL373" s="25"/>
      <c r="BM373" s="84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  <c r="CX373" s="25"/>
      <c r="CY373" s="25"/>
      <c r="CZ373" s="25"/>
      <c r="DA373" s="25"/>
      <c r="DB373" s="25"/>
      <c r="DC373" s="25"/>
      <c r="DD373" s="25"/>
      <c r="DE373" s="25"/>
      <c r="DF373" s="92"/>
      <c r="DG373" s="92"/>
      <c r="DH373" s="203"/>
      <c r="DI373" s="203"/>
      <c r="DJ373" s="203"/>
      <c r="DK373" s="203"/>
      <c r="DL373" s="203"/>
      <c r="DM373" s="203"/>
      <c r="DN373" s="203"/>
      <c r="DO373" s="203"/>
      <c r="DP373" s="208"/>
      <c r="DQ373" s="208"/>
      <c r="DR373" s="208"/>
      <c r="DS373" s="208"/>
      <c r="DT373" s="208"/>
      <c r="DU373" s="208"/>
      <c r="DV373" s="208"/>
      <c r="DW373" s="208"/>
      <c r="DX373" s="208"/>
      <c r="DY373" s="208"/>
      <c r="DZ373" s="208"/>
      <c r="EA373" s="208"/>
      <c r="EB373" s="208"/>
      <c r="EC373" s="208"/>
      <c r="ED373" s="208"/>
      <c r="EE373" s="208"/>
      <c r="EF373" s="208"/>
      <c r="EG373" s="208"/>
      <c r="EH373" s="208"/>
      <c r="EI373" s="208"/>
      <c r="EJ373" s="208"/>
      <c r="EK373" s="208"/>
      <c r="EL373" s="208"/>
      <c r="EM373" s="208"/>
      <c r="EN373" s="208"/>
      <c r="EO373" s="208"/>
      <c r="EP373" s="208"/>
      <c r="EQ373" s="208"/>
      <c r="ER373" s="208"/>
      <c r="ES373" s="208"/>
      <c r="ET373" s="208"/>
      <c r="EU373" s="208"/>
      <c r="EV373" s="208"/>
      <c r="EW373" s="208"/>
      <c r="EX373" s="208"/>
      <c r="EY373" s="208"/>
      <c r="EZ373" s="208">
        <v>0</v>
      </c>
      <c r="FA373" s="208">
        <v>0</v>
      </c>
      <c r="FB373" s="208">
        <v>0</v>
      </c>
      <c r="FC373" s="208"/>
      <c r="FD373" s="82"/>
      <c r="FE373" s="30"/>
    </row>
    <row r="374" spans="1:161" ht="15" hidden="1">
      <c r="A374" s="25" t="s">
        <v>360</v>
      </c>
      <c r="B374" s="212" t="s">
        <v>143</v>
      </c>
      <c r="C374" s="138"/>
      <c r="D374" s="221"/>
      <c r="E374" s="239">
        <v>770</v>
      </c>
      <c r="F374" s="95"/>
      <c r="G374" s="95"/>
      <c r="H374" s="147" t="s">
        <v>656</v>
      </c>
      <c r="I374" s="147"/>
      <c r="J374" s="135"/>
      <c r="K374" s="135"/>
      <c r="L374" s="139"/>
      <c r="M374" s="134"/>
      <c r="N374" s="134"/>
      <c r="O374" s="134"/>
      <c r="P374" s="134"/>
      <c r="Q374" s="134"/>
      <c r="R374" s="134"/>
      <c r="S374" s="139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3"/>
      <c r="BE374" s="83"/>
      <c r="BF374" s="83"/>
      <c r="BG374" s="82"/>
      <c r="BH374" s="81"/>
      <c r="BI374" s="80"/>
      <c r="BJ374" s="25"/>
      <c r="BK374" s="25"/>
      <c r="BL374" s="25"/>
      <c r="BM374" s="84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  <c r="CX374" s="25"/>
      <c r="CY374" s="25"/>
      <c r="CZ374" s="25"/>
      <c r="DA374" s="25"/>
      <c r="DB374" s="25"/>
      <c r="DC374" s="25"/>
      <c r="DD374" s="25"/>
      <c r="DE374" s="25"/>
      <c r="DF374" s="92"/>
      <c r="DG374" s="92"/>
      <c r="DH374" s="203"/>
      <c r="DI374" s="203"/>
      <c r="DJ374" s="203"/>
      <c r="DK374" s="203"/>
      <c r="DL374" s="203"/>
      <c r="DM374" s="203"/>
      <c r="DN374" s="203"/>
      <c r="DO374" s="203"/>
      <c r="DP374" s="208"/>
      <c r="DQ374" s="208"/>
      <c r="DR374" s="208"/>
      <c r="DS374" s="208"/>
      <c r="DT374" s="208"/>
      <c r="DU374" s="208"/>
      <c r="DV374" s="208"/>
      <c r="DW374" s="208"/>
      <c r="DX374" s="208"/>
      <c r="DY374" s="208"/>
      <c r="DZ374" s="208"/>
      <c r="EA374" s="208"/>
      <c r="EB374" s="208"/>
      <c r="EC374" s="208"/>
      <c r="ED374" s="208"/>
      <c r="EE374" s="208"/>
      <c r="EF374" s="208"/>
      <c r="EG374" s="208"/>
      <c r="EH374" s="208"/>
      <c r="EI374" s="208"/>
      <c r="EJ374" s="208"/>
      <c r="EK374" s="208"/>
      <c r="EL374" s="208"/>
      <c r="EM374" s="208"/>
      <c r="EN374" s="208"/>
      <c r="EO374" s="208"/>
      <c r="EP374" s="208"/>
      <c r="EQ374" s="208"/>
      <c r="ER374" s="208"/>
      <c r="ES374" s="208"/>
      <c r="ET374" s="208"/>
      <c r="EU374" s="208"/>
      <c r="EV374" s="208"/>
      <c r="EW374" s="208"/>
      <c r="EX374" s="208"/>
      <c r="EY374" s="208"/>
      <c r="EZ374" s="208">
        <v>0</v>
      </c>
      <c r="FA374" s="208">
        <v>0</v>
      </c>
      <c r="FB374" s="208">
        <v>0</v>
      </c>
      <c r="FC374" s="208"/>
      <c r="FD374" s="82"/>
      <c r="FE374" s="30"/>
    </row>
    <row r="375" spans="1:161" ht="15" hidden="1">
      <c r="A375" s="25" t="s">
        <v>361</v>
      </c>
      <c r="B375" s="212" t="s">
        <v>143</v>
      </c>
      <c r="C375" s="138"/>
      <c r="D375" s="221"/>
      <c r="E375" s="239">
        <v>770</v>
      </c>
      <c r="F375" s="95"/>
      <c r="G375" s="95"/>
      <c r="H375" s="147" t="s">
        <v>656</v>
      </c>
      <c r="I375" s="147"/>
      <c r="J375" s="135"/>
      <c r="K375" s="135"/>
      <c r="L375" s="139"/>
      <c r="M375" s="134"/>
      <c r="N375" s="134"/>
      <c r="O375" s="134"/>
      <c r="P375" s="134"/>
      <c r="Q375" s="134"/>
      <c r="R375" s="134"/>
      <c r="S375" s="139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3"/>
      <c r="BE375" s="83"/>
      <c r="BF375" s="83"/>
      <c r="BG375" s="82"/>
      <c r="BH375" s="81"/>
      <c r="BI375" s="80"/>
      <c r="BJ375" s="25"/>
      <c r="BK375" s="25"/>
      <c r="BL375" s="25"/>
      <c r="BM375" s="84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  <c r="CX375" s="25"/>
      <c r="CY375" s="25"/>
      <c r="CZ375" s="25"/>
      <c r="DA375" s="25"/>
      <c r="DB375" s="25"/>
      <c r="DC375" s="25"/>
      <c r="DD375" s="25"/>
      <c r="DE375" s="25"/>
      <c r="DF375" s="92"/>
      <c r="DG375" s="92"/>
      <c r="DH375" s="203"/>
      <c r="DI375" s="203"/>
      <c r="DJ375" s="203"/>
      <c r="DK375" s="203"/>
      <c r="DL375" s="203"/>
      <c r="DM375" s="203"/>
      <c r="DN375" s="203"/>
      <c r="DO375" s="203"/>
      <c r="DP375" s="208"/>
      <c r="DQ375" s="208"/>
      <c r="DR375" s="208"/>
      <c r="DS375" s="208"/>
      <c r="DT375" s="208"/>
      <c r="DU375" s="208"/>
      <c r="DV375" s="208"/>
      <c r="DW375" s="208"/>
      <c r="DX375" s="208"/>
      <c r="DY375" s="208"/>
      <c r="DZ375" s="208"/>
      <c r="EA375" s="208"/>
      <c r="EB375" s="208"/>
      <c r="EC375" s="208"/>
      <c r="ED375" s="208"/>
      <c r="EE375" s="208"/>
      <c r="EF375" s="208"/>
      <c r="EG375" s="208"/>
      <c r="EH375" s="208"/>
      <c r="EI375" s="208"/>
      <c r="EJ375" s="208"/>
      <c r="EK375" s="208"/>
      <c r="EL375" s="208"/>
      <c r="EM375" s="208"/>
      <c r="EN375" s="208"/>
      <c r="EO375" s="208"/>
      <c r="EP375" s="208"/>
      <c r="EQ375" s="208"/>
      <c r="ER375" s="208"/>
      <c r="ES375" s="208"/>
      <c r="ET375" s="208"/>
      <c r="EU375" s="208"/>
      <c r="EV375" s="208"/>
      <c r="EW375" s="208"/>
      <c r="EX375" s="208"/>
      <c r="EY375" s="208"/>
      <c r="EZ375" s="208">
        <v>0</v>
      </c>
      <c r="FA375" s="208">
        <v>0</v>
      </c>
      <c r="FB375" s="208">
        <v>0</v>
      </c>
      <c r="FC375" s="208"/>
      <c r="FD375" s="82"/>
      <c r="FE375" s="30"/>
    </row>
    <row r="376" spans="1:161" ht="15" hidden="1">
      <c r="A376" s="25" t="s">
        <v>358</v>
      </c>
      <c r="B376" s="230" t="s">
        <v>143</v>
      </c>
      <c r="C376" s="138"/>
      <c r="D376" s="221"/>
      <c r="E376" s="239">
        <v>770</v>
      </c>
      <c r="F376" s="95"/>
      <c r="G376" s="95"/>
      <c r="H376" s="231" t="s">
        <v>656</v>
      </c>
      <c r="I376" s="147"/>
      <c r="J376" s="135"/>
      <c r="K376" s="135"/>
      <c r="L376" s="139"/>
      <c r="M376" s="134"/>
      <c r="N376" s="134"/>
      <c r="O376" s="134"/>
      <c r="P376" s="134"/>
      <c r="Q376" s="134"/>
      <c r="R376" s="134"/>
      <c r="S376" s="139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3"/>
      <c r="BE376" s="83"/>
      <c r="BF376" s="83"/>
      <c r="BG376" s="82"/>
      <c r="BH376" s="81"/>
      <c r="BI376" s="80"/>
      <c r="BJ376" s="25"/>
      <c r="BK376" s="25"/>
      <c r="BL376" s="25"/>
      <c r="BM376" s="84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  <c r="CX376" s="25"/>
      <c r="CY376" s="25"/>
      <c r="CZ376" s="25"/>
      <c r="DA376" s="25"/>
      <c r="DB376" s="25"/>
      <c r="DC376" s="25"/>
      <c r="DD376" s="25"/>
      <c r="DE376" s="25"/>
      <c r="DF376" s="92"/>
      <c r="DG376" s="92"/>
      <c r="DH376" s="203"/>
      <c r="DI376" s="203"/>
      <c r="DJ376" s="203"/>
      <c r="DK376" s="203"/>
      <c r="DL376" s="203"/>
      <c r="DM376" s="203"/>
      <c r="DN376" s="203"/>
      <c r="DO376" s="203"/>
      <c r="DP376" s="208"/>
      <c r="DQ376" s="208"/>
      <c r="DR376" s="208"/>
      <c r="DS376" s="208"/>
      <c r="DT376" s="208"/>
      <c r="DU376" s="208"/>
      <c r="DV376" s="208"/>
      <c r="DW376" s="208"/>
      <c r="DX376" s="208"/>
      <c r="DY376" s="208"/>
      <c r="DZ376" s="208"/>
      <c r="EA376" s="208"/>
      <c r="EB376" s="208"/>
      <c r="EC376" s="208"/>
      <c r="ED376" s="208"/>
      <c r="EE376" s="208"/>
      <c r="EF376" s="208"/>
      <c r="EG376" s="208"/>
      <c r="EH376" s="208"/>
      <c r="EI376" s="208"/>
      <c r="EJ376" s="208"/>
      <c r="EK376" s="208"/>
      <c r="EL376" s="208"/>
      <c r="EM376" s="208"/>
      <c r="EN376" s="208"/>
      <c r="EO376" s="208"/>
      <c r="EP376" s="208"/>
      <c r="EQ376" s="208"/>
      <c r="ER376" s="208"/>
      <c r="ES376" s="208"/>
      <c r="ET376" s="208"/>
      <c r="EU376" s="208"/>
      <c r="EV376" s="208"/>
      <c r="EW376" s="208"/>
      <c r="EX376" s="208"/>
      <c r="EY376" s="208"/>
      <c r="EZ376" s="208">
        <v>0</v>
      </c>
      <c r="FA376" s="208">
        <v>0</v>
      </c>
      <c r="FB376" s="208">
        <v>0</v>
      </c>
      <c r="FC376" s="208"/>
      <c r="FD376" s="82"/>
      <c r="FE376" s="30"/>
    </row>
    <row r="377" spans="1:161" ht="15" hidden="1">
      <c r="A377" s="25" t="s">
        <v>392</v>
      </c>
      <c r="B377" s="230" t="s">
        <v>143</v>
      </c>
      <c r="C377" s="138"/>
      <c r="D377" s="221"/>
      <c r="E377" s="239">
        <v>970</v>
      </c>
      <c r="F377" s="95"/>
      <c r="G377" s="95"/>
      <c r="H377" s="231" t="s">
        <v>656</v>
      </c>
      <c r="I377" s="147"/>
      <c r="J377" s="135"/>
      <c r="K377" s="135"/>
      <c r="L377" s="139"/>
      <c r="M377" s="134"/>
      <c r="N377" s="134"/>
      <c r="O377" s="134"/>
      <c r="P377" s="134"/>
      <c r="Q377" s="134"/>
      <c r="R377" s="134"/>
      <c r="S377" s="139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3"/>
      <c r="BE377" s="83"/>
      <c r="BF377" s="83"/>
      <c r="BG377" s="82"/>
      <c r="BH377" s="81"/>
      <c r="BI377" s="80"/>
      <c r="BJ377" s="25"/>
      <c r="BK377" s="25"/>
      <c r="BL377" s="25"/>
      <c r="BM377" s="84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  <c r="CX377" s="25"/>
      <c r="CY377" s="25"/>
      <c r="CZ377" s="25"/>
      <c r="DA377" s="25"/>
      <c r="DB377" s="25"/>
      <c r="DC377" s="25"/>
      <c r="DD377" s="25"/>
      <c r="DE377" s="25"/>
      <c r="DF377" s="92"/>
      <c r="DG377" s="92"/>
      <c r="DH377" s="203"/>
      <c r="DI377" s="203"/>
      <c r="DJ377" s="203"/>
      <c r="DK377" s="203"/>
      <c r="DL377" s="203"/>
      <c r="DM377" s="203"/>
      <c r="DN377" s="203"/>
      <c r="DO377" s="203"/>
      <c r="DP377" s="208"/>
      <c r="DQ377" s="208"/>
      <c r="DR377" s="208"/>
      <c r="DS377" s="208"/>
      <c r="DT377" s="208"/>
      <c r="DU377" s="208"/>
      <c r="DV377" s="208"/>
      <c r="DW377" s="208"/>
      <c r="DX377" s="208"/>
      <c r="DY377" s="208"/>
      <c r="DZ377" s="208"/>
      <c r="EA377" s="208"/>
      <c r="EB377" s="208"/>
      <c r="EC377" s="208"/>
      <c r="ED377" s="208"/>
      <c r="EE377" s="208"/>
      <c r="EF377" s="208"/>
      <c r="EG377" s="208"/>
      <c r="EH377" s="208"/>
      <c r="EI377" s="208"/>
      <c r="EJ377" s="208"/>
      <c r="EK377" s="208"/>
      <c r="EL377" s="208"/>
      <c r="EM377" s="208"/>
      <c r="EN377" s="208"/>
      <c r="EO377" s="208"/>
      <c r="EP377" s="208"/>
      <c r="EQ377" s="208"/>
      <c r="ER377" s="208"/>
      <c r="ES377" s="208"/>
      <c r="ET377" s="208"/>
      <c r="EU377" s="208"/>
      <c r="EV377" s="208"/>
      <c r="EW377" s="208"/>
      <c r="EX377" s="208"/>
      <c r="EY377" s="208"/>
      <c r="EZ377" s="208">
        <v>0</v>
      </c>
      <c r="FA377" s="208">
        <v>0</v>
      </c>
      <c r="FB377" s="208">
        <v>0</v>
      </c>
      <c r="FC377" s="208"/>
      <c r="FD377" s="82"/>
      <c r="FE377" s="30"/>
    </row>
    <row r="378" spans="1:161" ht="15" hidden="1">
      <c r="A378" s="25" t="s">
        <v>362</v>
      </c>
      <c r="B378" s="212" t="s">
        <v>143</v>
      </c>
      <c r="C378" s="138"/>
      <c r="D378" s="221"/>
      <c r="E378" s="239">
        <v>770</v>
      </c>
      <c r="F378" s="95"/>
      <c r="G378" s="95"/>
      <c r="H378" s="147" t="s">
        <v>656</v>
      </c>
      <c r="I378" s="147"/>
      <c r="J378" s="135"/>
      <c r="K378" s="135"/>
      <c r="L378" s="139"/>
      <c r="M378" s="134"/>
      <c r="N378" s="134"/>
      <c r="O378" s="134"/>
      <c r="P378" s="134"/>
      <c r="Q378" s="134"/>
      <c r="R378" s="134"/>
      <c r="S378" s="139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3"/>
      <c r="BE378" s="83"/>
      <c r="BF378" s="83"/>
      <c r="BG378" s="82"/>
      <c r="BH378" s="81"/>
      <c r="BI378" s="80"/>
      <c r="BJ378" s="25"/>
      <c r="BK378" s="25"/>
      <c r="BL378" s="25"/>
      <c r="BM378" s="84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  <c r="CX378" s="25"/>
      <c r="CY378" s="25"/>
      <c r="CZ378" s="25"/>
      <c r="DA378" s="25"/>
      <c r="DB378" s="25"/>
      <c r="DC378" s="25"/>
      <c r="DD378" s="25"/>
      <c r="DE378" s="25"/>
      <c r="DF378" s="92"/>
      <c r="DG378" s="92"/>
      <c r="DH378" s="203"/>
      <c r="DI378" s="203"/>
      <c r="DJ378" s="203"/>
      <c r="DK378" s="203"/>
      <c r="DL378" s="203"/>
      <c r="DM378" s="203"/>
      <c r="DN378" s="203"/>
      <c r="DO378" s="203"/>
      <c r="DP378" s="208"/>
      <c r="DQ378" s="208"/>
      <c r="DR378" s="208"/>
      <c r="DS378" s="208"/>
      <c r="DT378" s="208"/>
      <c r="DU378" s="208"/>
      <c r="DV378" s="208"/>
      <c r="DW378" s="208"/>
      <c r="DX378" s="208"/>
      <c r="DY378" s="208"/>
      <c r="DZ378" s="208"/>
      <c r="EA378" s="208"/>
      <c r="EB378" s="208"/>
      <c r="EC378" s="208"/>
      <c r="ED378" s="208"/>
      <c r="EE378" s="208"/>
      <c r="EF378" s="208"/>
      <c r="EG378" s="208"/>
      <c r="EH378" s="208"/>
      <c r="EI378" s="208"/>
      <c r="EJ378" s="208"/>
      <c r="EK378" s="208"/>
      <c r="EL378" s="208"/>
      <c r="EM378" s="208"/>
      <c r="EN378" s="208"/>
      <c r="EO378" s="208"/>
      <c r="EP378" s="208"/>
      <c r="EQ378" s="208"/>
      <c r="ER378" s="208"/>
      <c r="ES378" s="208"/>
      <c r="ET378" s="208"/>
      <c r="EU378" s="208"/>
      <c r="EV378" s="208"/>
      <c r="EW378" s="208"/>
      <c r="EX378" s="208"/>
      <c r="EY378" s="208"/>
      <c r="EZ378" s="208">
        <v>0</v>
      </c>
      <c r="FA378" s="208">
        <v>0</v>
      </c>
      <c r="FB378" s="208">
        <v>0</v>
      </c>
      <c r="FC378" s="208"/>
      <c r="FD378" s="82"/>
      <c r="FE378" s="30"/>
    </row>
    <row r="379" spans="1:161" ht="15" hidden="1">
      <c r="A379" s="25" t="s">
        <v>363</v>
      </c>
      <c r="B379" s="212" t="s">
        <v>143</v>
      </c>
      <c r="C379" s="138"/>
      <c r="D379" s="221"/>
      <c r="E379" s="239">
        <v>770</v>
      </c>
      <c r="F379" s="95"/>
      <c r="G379" s="95"/>
      <c r="H379" s="147" t="s">
        <v>656</v>
      </c>
      <c r="I379" s="147"/>
      <c r="J379" s="135"/>
      <c r="K379" s="135"/>
      <c r="L379" s="139"/>
      <c r="M379" s="134"/>
      <c r="N379" s="134"/>
      <c r="O379" s="134"/>
      <c r="P379" s="134"/>
      <c r="Q379" s="134"/>
      <c r="R379" s="134"/>
      <c r="S379" s="139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3"/>
      <c r="BE379" s="83"/>
      <c r="BF379" s="83"/>
      <c r="BG379" s="82"/>
      <c r="BH379" s="81"/>
      <c r="BI379" s="80"/>
      <c r="BJ379" s="25"/>
      <c r="BK379" s="25"/>
      <c r="BL379" s="25"/>
      <c r="BM379" s="84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  <c r="CX379" s="25"/>
      <c r="CY379" s="25"/>
      <c r="CZ379" s="25"/>
      <c r="DA379" s="25"/>
      <c r="DB379" s="25"/>
      <c r="DC379" s="25"/>
      <c r="DD379" s="25"/>
      <c r="DE379" s="25"/>
      <c r="DF379" s="92"/>
      <c r="DG379" s="92"/>
      <c r="DH379" s="203"/>
      <c r="DI379" s="203"/>
      <c r="DJ379" s="203"/>
      <c r="DK379" s="203"/>
      <c r="DL379" s="203"/>
      <c r="DM379" s="203"/>
      <c r="DN379" s="203"/>
      <c r="DO379" s="203"/>
      <c r="DP379" s="208"/>
      <c r="DQ379" s="208"/>
      <c r="DR379" s="208"/>
      <c r="DS379" s="208"/>
      <c r="DT379" s="208"/>
      <c r="DU379" s="208"/>
      <c r="DV379" s="208"/>
      <c r="DW379" s="208"/>
      <c r="DX379" s="208"/>
      <c r="DY379" s="208"/>
      <c r="DZ379" s="208"/>
      <c r="EA379" s="208"/>
      <c r="EB379" s="208"/>
      <c r="EC379" s="208"/>
      <c r="ED379" s="208"/>
      <c r="EE379" s="208"/>
      <c r="EF379" s="208"/>
      <c r="EG379" s="208"/>
      <c r="EH379" s="208"/>
      <c r="EI379" s="208"/>
      <c r="EJ379" s="208"/>
      <c r="EK379" s="208"/>
      <c r="EL379" s="208"/>
      <c r="EM379" s="208"/>
      <c r="EN379" s="208"/>
      <c r="EO379" s="208"/>
      <c r="EP379" s="208"/>
      <c r="EQ379" s="208"/>
      <c r="ER379" s="208"/>
      <c r="ES379" s="208"/>
      <c r="ET379" s="208"/>
      <c r="EU379" s="208"/>
      <c r="EV379" s="208"/>
      <c r="EW379" s="208"/>
      <c r="EX379" s="208"/>
      <c r="EY379" s="208"/>
      <c r="EZ379" s="208">
        <v>0</v>
      </c>
      <c r="FA379" s="208">
        <v>0</v>
      </c>
      <c r="FB379" s="208">
        <v>0</v>
      </c>
      <c r="FC379" s="208"/>
      <c r="FD379" s="82"/>
      <c r="FE379" s="30"/>
    </row>
    <row r="380" spans="1:161" ht="15" hidden="1">
      <c r="A380" s="25" t="s">
        <v>364</v>
      </c>
      <c r="B380" s="212" t="s">
        <v>143</v>
      </c>
      <c r="C380" s="138"/>
      <c r="D380" s="221"/>
      <c r="E380" s="239">
        <v>770</v>
      </c>
      <c r="F380" s="95"/>
      <c r="G380" s="95"/>
      <c r="H380" s="147" t="s">
        <v>656</v>
      </c>
      <c r="I380" s="147"/>
      <c r="J380" s="135"/>
      <c r="K380" s="135"/>
      <c r="L380" s="139"/>
      <c r="M380" s="134"/>
      <c r="N380" s="134"/>
      <c r="O380" s="134"/>
      <c r="P380" s="134"/>
      <c r="Q380" s="134"/>
      <c r="R380" s="134"/>
      <c r="S380" s="139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3"/>
      <c r="BE380" s="83"/>
      <c r="BF380" s="83"/>
      <c r="BG380" s="82"/>
      <c r="BH380" s="81"/>
      <c r="BI380" s="80"/>
      <c r="BJ380" s="25"/>
      <c r="BK380" s="25"/>
      <c r="BL380" s="25"/>
      <c r="BM380" s="84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  <c r="CX380" s="25"/>
      <c r="CY380" s="25"/>
      <c r="CZ380" s="25"/>
      <c r="DA380" s="25"/>
      <c r="DB380" s="25"/>
      <c r="DC380" s="25"/>
      <c r="DD380" s="25"/>
      <c r="DE380" s="25"/>
      <c r="DF380" s="92"/>
      <c r="DG380" s="92"/>
      <c r="DH380" s="203"/>
      <c r="DI380" s="203"/>
      <c r="DJ380" s="203"/>
      <c r="DK380" s="203"/>
      <c r="DL380" s="203"/>
      <c r="DM380" s="203"/>
      <c r="DN380" s="203"/>
      <c r="DO380" s="203"/>
      <c r="DP380" s="208"/>
      <c r="DQ380" s="208"/>
      <c r="DR380" s="208"/>
      <c r="DS380" s="208"/>
      <c r="DT380" s="208"/>
      <c r="DU380" s="208"/>
      <c r="DV380" s="208"/>
      <c r="DW380" s="208"/>
      <c r="DX380" s="208"/>
      <c r="DY380" s="208"/>
      <c r="DZ380" s="208"/>
      <c r="EA380" s="208"/>
      <c r="EB380" s="208"/>
      <c r="EC380" s="208"/>
      <c r="ED380" s="208"/>
      <c r="EE380" s="208"/>
      <c r="EF380" s="208"/>
      <c r="EG380" s="208"/>
      <c r="EH380" s="208"/>
      <c r="EI380" s="208"/>
      <c r="EJ380" s="208"/>
      <c r="EK380" s="208"/>
      <c r="EL380" s="208"/>
      <c r="EM380" s="208"/>
      <c r="EN380" s="208"/>
      <c r="EO380" s="208"/>
      <c r="EP380" s="208"/>
      <c r="EQ380" s="208"/>
      <c r="ER380" s="208"/>
      <c r="ES380" s="208"/>
      <c r="ET380" s="208"/>
      <c r="EU380" s="208"/>
      <c r="EV380" s="208"/>
      <c r="EW380" s="208"/>
      <c r="EX380" s="208"/>
      <c r="EY380" s="208"/>
      <c r="EZ380" s="208">
        <v>0</v>
      </c>
      <c r="FA380" s="208">
        <v>0</v>
      </c>
      <c r="FB380" s="208">
        <v>0</v>
      </c>
      <c r="FC380" s="208"/>
      <c r="FD380" s="82"/>
      <c r="FE380" s="30"/>
    </row>
    <row r="381" spans="1:161" ht="15" hidden="1">
      <c r="A381" s="25" t="s">
        <v>388</v>
      </c>
      <c r="B381" s="212" t="s">
        <v>143</v>
      </c>
      <c r="C381" s="138"/>
      <c r="D381" s="221"/>
      <c r="E381" s="239">
        <v>970</v>
      </c>
      <c r="F381" s="95"/>
      <c r="G381" s="95"/>
      <c r="H381" s="147" t="s">
        <v>656</v>
      </c>
      <c r="I381" s="147"/>
      <c r="J381" s="135"/>
      <c r="K381" s="135"/>
      <c r="L381" s="139"/>
      <c r="M381" s="134"/>
      <c r="N381" s="134"/>
      <c r="O381" s="134"/>
      <c r="P381" s="134"/>
      <c r="Q381" s="134"/>
      <c r="R381" s="134"/>
      <c r="S381" s="139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3"/>
      <c r="BE381" s="83"/>
      <c r="BF381" s="83"/>
      <c r="BG381" s="82"/>
      <c r="BH381" s="81"/>
      <c r="BI381" s="80"/>
      <c r="BJ381" s="25"/>
      <c r="BK381" s="25"/>
      <c r="BL381" s="25"/>
      <c r="BM381" s="84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  <c r="CR381" s="25"/>
      <c r="CS381" s="25"/>
      <c r="CT381" s="25"/>
      <c r="CU381" s="25"/>
      <c r="CV381" s="25"/>
      <c r="CW381" s="25"/>
      <c r="CX381" s="25"/>
      <c r="CY381" s="25"/>
      <c r="CZ381" s="25"/>
      <c r="DA381" s="25"/>
      <c r="DB381" s="25"/>
      <c r="DC381" s="25"/>
      <c r="DD381" s="25"/>
      <c r="DE381" s="25"/>
      <c r="DF381" s="92"/>
      <c r="DG381" s="92"/>
      <c r="DH381" s="203"/>
      <c r="DI381" s="203"/>
      <c r="DJ381" s="203"/>
      <c r="DK381" s="203"/>
      <c r="DL381" s="203"/>
      <c r="DM381" s="203"/>
      <c r="DN381" s="203"/>
      <c r="DO381" s="203"/>
      <c r="DP381" s="208"/>
      <c r="DQ381" s="208"/>
      <c r="DR381" s="208"/>
      <c r="DS381" s="208"/>
      <c r="DT381" s="208"/>
      <c r="DU381" s="208"/>
      <c r="DV381" s="208"/>
      <c r="DW381" s="208"/>
      <c r="DX381" s="208"/>
      <c r="DY381" s="208"/>
      <c r="DZ381" s="208"/>
      <c r="EA381" s="208"/>
      <c r="EB381" s="208"/>
      <c r="EC381" s="208"/>
      <c r="ED381" s="208"/>
      <c r="EE381" s="208"/>
      <c r="EF381" s="208"/>
      <c r="EG381" s="208"/>
      <c r="EH381" s="208"/>
      <c r="EI381" s="208"/>
      <c r="EJ381" s="208"/>
      <c r="EK381" s="208"/>
      <c r="EL381" s="208"/>
      <c r="EM381" s="208"/>
      <c r="EN381" s="208"/>
      <c r="EO381" s="208"/>
      <c r="EP381" s="208"/>
      <c r="EQ381" s="208"/>
      <c r="ER381" s="208"/>
      <c r="ES381" s="208"/>
      <c r="ET381" s="208"/>
      <c r="EU381" s="208"/>
      <c r="EV381" s="208"/>
      <c r="EW381" s="208"/>
      <c r="EX381" s="208"/>
      <c r="EY381" s="208"/>
      <c r="EZ381" s="208">
        <v>0</v>
      </c>
      <c r="FA381" s="208">
        <v>0</v>
      </c>
      <c r="FB381" s="208">
        <v>0</v>
      </c>
      <c r="FC381" s="208"/>
      <c r="FD381" s="82"/>
      <c r="FE381" s="30"/>
    </row>
    <row r="382" spans="1:161" ht="15" hidden="1">
      <c r="A382" s="25" t="s">
        <v>365</v>
      </c>
      <c r="B382" s="212" t="s">
        <v>143</v>
      </c>
      <c r="C382" s="138"/>
      <c r="D382" s="221"/>
      <c r="E382" s="239">
        <v>770</v>
      </c>
      <c r="F382" s="95"/>
      <c r="G382" s="95"/>
      <c r="H382" s="147" t="s">
        <v>656</v>
      </c>
      <c r="I382" s="147"/>
      <c r="J382" s="135"/>
      <c r="K382" s="135"/>
      <c r="L382" s="139"/>
      <c r="M382" s="134"/>
      <c r="N382" s="134"/>
      <c r="O382" s="134"/>
      <c r="P382" s="134"/>
      <c r="Q382" s="134"/>
      <c r="R382" s="134"/>
      <c r="S382" s="139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3"/>
      <c r="BE382" s="83"/>
      <c r="BF382" s="83"/>
      <c r="BG382" s="82"/>
      <c r="BH382" s="81"/>
      <c r="BI382" s="80"/>
      <c r="BJ382" s="25"/>
      <c r="BK382" s="25"/>
      <c r="BL382" s="25"/>
      <c r="BM382" s="84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  <c r="CX382" s="25"/>
      <c r="CY382" s="25"/>
      <c r="CZ382" s="25"/>
      <c r="DA382" s="25"/>
      <c r="DB382" s="25"/>
      <c r="DC382" s="25"/>
      <c r="DD382" s="25"/>
      <c r="DE382" s="25"/>
      <c r="DF382" s="92"/>
      <c r="DG382" s="92"/>
      <c r="DH382" s="203"/>
      <c r="DI382" s="203"/>
      <c r="DJ382" s="203"/>
      <c r="DK382" s="203"/>
      <c r="DL382" s="203"/>
      <c r="DM382" s="203"/>
      <c r="DN382" s="203"/>
      <c r="DO382" s="203"/>
      <c r="DP382" s="208"/>
      <c r="DQ382" s="208"/>
      <c r="DR382" s="208"/>
      <c r="DS382" s="208"/>
      <c r="DT382" s="208"/>
      <c r="DU382" s="208"/>
      <c r="DV382" s="208"/>
      <c r="DW382" s="208"/>
      <c r="DX382" s="208"/>
      <c r="DY382" s="208"/>
      <c r="DZ382" s="208"/>
      <c r="EA382" s="208"/>
      <c r="EB382" s="208"/>
      <c r="EC382" s="208"/>
      <c r="ED382" s="208"/>
      <c r="EE382" s="208"/>
      <c r="EF382" s="208"/>
      <c r="EG382" s="208"/>
      <c r="EH382" s="208"/>
      <c r="EI382" s="208"/>
      <c r="EJ382" s="208"/>
      <c r="EK382" s="208"/>
      <c r="EL382" s="208"/>
      <c r="EM382" s="208"/>
      <c r="EN382" s="208"/>
      <c r="EO382" s="208"/>
      <c r="EP382" s="208"/>
      <c r="EQ382" s="208"/>
      <c r="ER382" s="208"/>
      <c r="ES382" s="208"/>
      <c r="ET382" s="208"/>
      <c r="EU382" s="208"/>
      <c r="EV382" s="208"/>
      <c r="EW382" s="208"/>
      <c r="EX382" s="208"/>
      <c r="EY382" s="208"/>
      <c r="EZ382" s="208">
        <v>0</v>
      </c>
      <c r="FA382" s="208">
        <v>0</v>
      </c>
      <c r="FB382" s="208">
        <v>0</v>
      </c>
      <c r="FC382" s="208"/>
      <c r="FD382" s="82"/>
      <c r="FE382" s="30"/>
    </row>
    <row r="383" spans="1:161" ht="15" hidden="1">
      <c r="A383" s="25" t="s">
        <v>366</v>
      </c>
      <c r="B383" s="212" t="s">
        <v>143</v>
      </c>
      <c r="C383" s="138"/>
      <c r="D383" s="221"/>
      <c r="E383" s="239">
        <v>770</v>
      </c>
      <c r="F383" s="95"/>
      <c r="G383" s="95"/>
      <c r="H383" s="147" t="s">
        <v>656</v>
      </c>
      <c r="I383" s="147"/>
      <c r="J383" s="135"/>
      <c r="K383" s="135"/>
      <c r="L383" s="139"/>
      <c r="M383" s="134"/>
      <c r="N383" s="134"/>
      <c r="O383" s="134"/>
      <c r="P383" s="134"/>
      <c r="Q383" s="134"/>
      <c r="R383" s="134"/>
      <c r="S383" s="139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3"/>
      <c r="BE383" s="83"/>
      <c r="BF383" s="83"/>
      <c r="BG383" s="82"/>
      <c r="BH383" s="81"/>
      <c r="BI383" s="80"/>
      <c r="BJ383" s="25"/>
      <c r="BK383" s="25"/>
      <c r="BL383" s="25"/>
      <c r="BM383" s="84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  <c r="CX383" s="25"/>
      <c r="CY383" s="25"/>
      <c r="CZ383" s="25"/>
      <c r="DA383" s="25"/>
      <c r="DB383" s="25"/>
      <c r="DC383" s="25"/>
      <c r="DD383" s="25"/>
      <c r="DE383" s="25"/>
      <c r="DF383" s="92"/>
      <c r="DG383" s="92"/>
      <c r="DH383" s="203"/>
      <c r="DI383" s="203"/>
      <c r="DJ383" s="203"/>
      <c r="DK383" s="203"/>
      <c r="DL383" s="203"/>
      <c r="DM383" s="203"/>
      <c r="DN383" s="203"/>
      <c r="DO383" s="203"/>
      <c r="DP383" s="208"/>
      <c r="DQ383" s="208"/>
      <c r="DR383" s="208"/>
      <c r="DS383" s="208"/>
      <c r="DT383" s="208"/>
      <c r="DU383" s="208"/>
      <c r="DV383" s="208"/>
      <c r="DW383" s="208"/>
      <c r="DX383" s="208"/>
      <c r="DY383" s="208"/>
      <c r="DZ383" s="208"/>
      <c r="EA383" s="208"/>
      <c r="EB383" s="208"/>
      <c r="EC383" s="208"/>
      <c r="ED383" s="208"/>
      <c r="EE383" s="208"/>
      <c r="EF383" s="208"/>
      <c r="EG383" s="208"/>
      <c r="EH383" s="208"/>
      <c r="EI383" s="208"/>
      <c r="EJ383" s="208"/>
      <c r="EK383" s="208"/>
      <c r="EL383" s="208"/>
      <c r="EM383" s="208"/>
      <c r="EN383" s="208"/>
      <c r="EO383" s="208"/>
      <c r="EP383" s="208"/>
      <c r="EQ383" s="208"/>
      <c r="ER383" s="208"/>
      <c r="ES383" s="208"/>
      <c r="ET383" s="208"/>
      <c r="EU383" s="208"/>
      <c r="EV383" s="208"/>
      <c r="EW383" s="208"/>
      <c r="EX383" s="208"/>
      <c r="EY383" s="208"/>
      <c r="EZ383" s="208">
        <v>0</v>
      </c>
      <c r="FA383" s="208">
        <v>0</v>
      </c>
      <c r="FB383" s="208">
        <v>0</v>
      </c>
      <c r="FC383" s="208"/>
      <c r="FD383" s="82"/>
      <c r="FE383" s="30"/>
    </row>
    <row r="384" spans="1:161" ht="15" hidden="1">
      <c r="A384" s="25" t="s">
        <v>144</v>
      </c>
      <c r="B384" s="224" t="s">
        <v>143</v>
      </c>
      <c r="C384" s="138"/>
      <c r="D384" s="221"/>
      <c r="E384" s="239">
        <v>770</v>
      </c>
      <c r="F384" s="95"/>
      <c r="G384" s="95"/>
      <c r="H384" s="147" t="s">
        <v>656</v>
      </c>
      <c r="I384" s="147"/>
      <c r="J384" s="135"/>
      <c r="K384" s="135"/>
      <c r="L384" s="139"/>
      <c r="M384" s="134"/>
      <c r="N384" s="134"/>
      <c r="O384" s="134"/>
      <c r="P384" s="134"/>
      <c r="Q384" s="134"/>
      <c r="R384" s="134"/>
      <c r="S384" s="139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3"/>
      <c r="BE384" s="83"/>
      <c r="BF384" s="83"/>
      <c r="BG384" s="82"/>
      <c r="BH384" s="81"/>
      <c r="BI384" s="80"/>
      <c r="BJ384" s="25"/>
      <c r="BK384" s="25"/>
      <c r="BL384" s="25"/>
      <c r="BM384" s="84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  <c r="CX384" s="25"/>
      <c r="CY384" s="25"/>
      <c r="CZ384" s="25"/>
      <c r="DA384" s="25"/>
      <c r="DB384" s="25"/>
      <c r="DC384" s="25"/>
      <c r="DD384" s="25"/>
      <c r="DE384" s="25"/>
      <c r="DF384" s="92"/>
      <c r="DG384" s="92"/>
      <c r="DH384" s="203"/>
      <c r="DI384" s="203"/>
      <c r="DJ384" s="203"/>
      <c r="DK384" s="203"/>
      <c r="DL384" s="203"/>
      <c r="DM384" s="203"/>
      <c r="DN384" s="203"/>
      <c r="DO384" s="203"/>
      <c r="DP384" s="208"/>
      <c r="DQ384" s="208"/>
      <c r="DR384" s="208"/>
      <c r="DS384" s="208"/>
      <c r="DT384" s="208"/>
      <c r="DU384" s="208"/>
      <c r="DV384" s="208"/>
      <c r="DW384" s="208"/>
      <c r="DX384" s="208"/>
      <c r="DY384" s="208"/>
      <c r="DZ384" s="208"/>
      <c r="EA384" s="208"/>
      <c r="EB384" s="208"/>
      <c r="EC384" s="208"/>
      <c r="ED384" s="208"/>
      <c r="EE384" s="208"/>
      <c r="EF384" s="208"/>
      <c r="EG384" s="208"/>
      <c r="EH384" s="208"/>
      <c r="EI384" s="208"/>
      <c r="EJ384" s="208"/>
      <c r="EK384" s="208"/>
      <c r="EL384" s="208"/>
      <c r="EM384" s="208"/>
      <c r="EN384" s="208"/>
      <c r="EO384" s="208"/>
      <c r="EP384" s="208"/>
      <c r="EQ384" s="208"/>
      <c r="ER384" s="208"/>
      <c r="ES384" s="208"/>
      <c r="ET384" s="208"/>
      <c r="EU384" s="208"/>
      <c r="EV384" s="208"/>
      <c r="EW384" s="208"/>
      <c r="EX384" s="208"/>
      <c r="EY384" s="208"/>
      <c r="EZ384" s="208">
        <v>0</v>
      </c>
      <c r="FA384" s="208">
        <v>0</v>
      </c>
      <c r="FB384" s="208">
        <v>0</v>
      </c>
      <c r="FC384" s="208"/>
      <c r="FD384" s="82"/>
      <c r="FE384" s="30"/>
    </row>
    <row r="385" spans="1:161" ht="15" hidden="1">
      <c r="A385" s="25" t="s">
        <v>146</v>
      </c>
      <c r="B385" s="224" t="s">
        <v>143</v>
      </c>
      <c r="C385" s="138"/>
      <c r="D385" s="221"/>
      <c r="E385" s="239">
        <v>770</v>
      </c>
      <c r="F385" s="95"/>
      <c r="G385" s="95"/>
      <c r="H385" s="147" t="s">
        <v>656</v>
      </c>
      <c r="I385" s="147"/>
      <c r="J385" s="135"/>
      <c r="K385" s="135"/>
      <c r="L385" s="139"/>
      <c r="M385" s="134"/>
      <c r="N385" s="134"/>
      <c r="O385" s="134"/>
      <c r="P385" s="134"/>
      <c r="Q385" s="134"/>
      <c r="R385" s="134"/>
      <c r="S385" s="139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3"/>
      <c r="BE385" s="83"/>
      <c r="BF385" s="83"/>
      <c r="BG385" s="82"/>
      <c r="BH385" s="81"/>
      <c r="BI385" s="80"/>
      <c r="BJ385" s="25"/>
      <c r="BK385" s="25"/>
      <c r="BL385" s="25"/>
      <c r="BM385" s="84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  <c r="CX385" s="25"/>
      <c r="CY385" s="25"/>
      <c r="CZ385" s="25"/>
      <c r="DA385" s="25"/>
      <c r="DB385" s="25"/>
      <c r="DC385" s="25"/>
      <c r="DD385" s="25"/>
      <c r="DE385" s="25"/>
      <c r="DF385" s="92"/>
      <c r="DG385" s="92"/>
      <c r="DH385" s="203"/>
      <c r="DI385" s="203"/>
      <c r="DJ385" s="203"/>
      <c r="DK385" s="203"/>
      <c r="DL385" s="203"/>
      <c r="DM385" s="203"/>
      <c r="DN385" s="203"/>
      <c r="DO385" s="203"/>
      <c r="DP385" s="208"/>
      <c r="DQ385" s="208"/>
      <c r="DR385" s="208"/>
      <c r="DS385" s="208"/>
      <c r="DT385" s="208"/>
      <c r="DU385" s="208"/>
      <c r="DV385" s="208"/>
      <c r="DW385" s="208"/>
      <c r="DX385" s="208"/>
      <c r="DY385" s="208"/>
      <c r="DZ385" s="208"/>
      <c r="EA385" s="208"/>
      <c r="EB385" s="208"/>
      <c r="EC385" s="208"/>
      <c r="ED385" s="208"/>
      <c r="EE385" s="208"/>
      <c r="EF385" s="208"/>
      <c r="EG385" s="208"/>
      <c r="EH385" s="208"/>
      <c r="EI385" s="208"/>
      <c r="EJ385" s="208"/>
      <c r="EK385" s="208"/>
      <c r="EL385" s="208"/>
      <c r="EM385" s="208"/>
      <c r="EN385" s="208"/>
      <c r="EO385" s="208"/>
      <c r="EP385" s="208"/>
      <c r="EQ385" s="208"/>
      <c r="ER385" s="208"/>
      <c r="ES385" s="208"/>
      <c r="ET385" s="208"/>
      <c r="EU385" s="208"/>
      <c r="EV385" s="208"/>
      <c r="EW385" s="208"/>
      <c r="EX385" s="208"/>
      <c r="EY385" s="208"/>
      <c r="EZ385" s="208">
        <v>0</v>
      </c>
      <c r="FA385" s="208">
        <v>0</v>
      </c>
      <c r="FB385" s="208">
        <v>0</v>
      </c>
      <c r="FC385" s="208"/>
      <c r="FD385" s="82"/>
      <c r="FE385" s="30"/>
    </row>
    <row r="386" spans="1:161" ht="15" hidden="1">
      <c r="A386" s="25" t="s">
        <v>147</v>
      </c>
      <c r="B386" s="224" t="s">
        <v>143</v>
      </c>
      <c r="C386" s="138"/>
      <c r="D386" s="221"/>
      <c r="E386" s="239">
        <v>770</v>
      </c>
      <c r="F386" s="95"/>
      <c r="G386" s="95"/>
      <c r="H386" s="147" t="s">
        <v>656</v>
      </c>
      <c r="I386" s="147"/>
      <c r="J386" s="135"/>
      <c r="K386" s="135"/>
      <c r="L386" s="139"/>
      <c r="M386" s="134"/>
      <c r="N386" s="134"/>
      <c r="O386" s="134"/>
      <c r="P386" s="134"/>
      <c r="Q386" s="134"/>
      <c r="R386" s="134"/>
      <c r="S386" s="139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3"/>
      <c r="BE386" s="83"/>
      <c r="BF386" s="83"/>
      <c r="BG386" s="82"/>
      <c r="BH386" s="81"/>
      <c r="BI386" s="80"/>
      <c r="BJ386" s="25"/>
      <c r="BK386" s="25"/>
      <c r="BL386" s="25"/>
      <c r="BM386" s="84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  <c r="CX386" s="25"/>
      <c r="CY386" s="25"/>
      <c r="CZ386" s="25"/>
      <c r="DA386" s="25"/>
      <c r="DB386" s="25"/>
      <c r="DC386" s="25"/>
      <c r="DD386" s="25"/>
      <c r="DE386" s="25"/>
      <c r="DF386" s="92"/>
      <c r="DG386" s="92"/>
      <c r="DH386" s="203"/>
      <c r="DI386" s="203"/>
      <c r="DJ386" s="203"/>
      <c r="DK386" s="203"/>
      <c r="DL386" s="203"/>
      <c r="DM386" s="203"/>
      <c r="DN386" s="203"/>
      <c r="DO386" s="203"/>
      <c r="DP386" s="208"/>
      <c r="DQ386" s="208"/>
      <c r="DR386" s="208"/>
      <c r="DS386" s="208"/>
      <c r="DT386" s="208"/>
      <c r="DU386" s="208"/>
      <c r="DV386" s="208"/>
      <c r="DW386" s="208"/>
      <c r="DX386" s="208"/>
      <c r="DY386" s="208"/>
      <c r="DZ386" s="208"/>
      <c r="EA386" s="208"/>
      <c r="EB386" s="208"/>
      <c r="EC386" s="208"/>
      <c r="ED386" s="208"/>
      <c r="EE386" s="208"/>
      <c r="EF386" s="208"/>
      <c r="EG386" s="208"/>
      <c r="EH386" s="208"/>
      <c r="EI386" s="208"/>
      <c r="EJ386" s="208"/>
      <c r="EK386" s="208"/>
      <c r="EL386" s="208"/>
      <c r="EM386" s="208"/>
      <c r="EN386" s="208"/>
      <c r="EO386" s="208"/>
      <c r="EP386" s="208"/>
      <c r="EQ386" s="208"/>
      <c r="ER386" s="208"/>
      <c r="ES386" s="208"/>
      <c r="ET386" s="208"/>
      <c r="EU386" s="208"/>
      <c r="EV386" s="208"/>
      <c r="EW386" s="208"/>
      <c r="EX386" s="208"/>
      <c r="EY386" s="208"/>
      <c r="EZ386" s="208">
        <v>0</v>
      </c>
      <c r="FA386" s="208">
        <v>0</v>
      </c>
      <c r="FB386" s="208">
        <v>0</v>
      </c>
      <c r="FC386" s="208"/>
      <c r="FD386" s="82"/>
      <c r="FE386" s="30"/>
    </row>
    <row r="387" spans="1:161" ht="15" hidden="1">
      <c r="A387" s="25" t="s">
        <v>367</v>
      </c>
      <c r="B387" s="224" t="s">
        <v>143</v>
      </c>
      <c r="C387" s="138"/>
      <c r="D387" s="221"/>
      <c r="E387" s="239">
        <v>770</v>
      </c>
      <c r="F387" s="95"/>
      <c r="G387" s="95"/>
      <c r="H387" s="147" t="s">
        <v>656</v>
      </c>
      <c r="I387" s="147"/>
      <c r="J387" s="135"/>
      <c r="K387" s="135"/>
      <c r="L387" s="139"/>
      <c r="M387" s="134"/>
      <c r="N387" s="134"/>
      <c r="O387" s="134"/>
      <c r="P387" s="134"/>
      <c r="Q387" s="134"/>
      <c r="R387" s="134"/>
      <c r="S387" s="139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3"/>
      <c r="BE387" s="83"/>
      <c r="BF387" s="83"/>
      <c r="BG387" s="82"/>
      <c r="BH387" s="81"/>
      <c r="BI387" s="80"/>
      <c r="BJ387" s="25"/>
      <c r="BK387" s="25"/>
      <c r="BL387" s="25"/>
      <c r="BM387" s="84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  <c r="CX387" s="25"/>
      <c r="CY387" s="25"/>
      <c r="CZ387" s="25"/>
      <c r="DA387" s="25"/>
      <c r="DB387" s="25"/>
      <c r="DC387" s="25"/>
      <c r="DD387" s="25"/>
      <c r="DE387" s="25"/>
      <c r="DF387" s="92"/>
      <c r="DG387" s="92"/>
      <c r="DH387" s="203"/>
      <c r="DI387" s="203"/>
      <c r="DJ387" s="203"/>
      <c r="DK387" s="203"/>
      <c r="DL387" s="203"/>
      <c r="DM387" s="203"/>
      <c r="DN387" s="203"/>
      <c r="DO387" s="203"/>
      <c r="DP387" s="208"/>
      <c r="DQ387" s="208"/>
      <c r="DR387" s="208"/>
      <c r="DS387" s="208"/>
      <c r="DT387" s="208"/>
      <c r="DU387" s="208"/>
      <c r="DV387" s="208"/>
      <c r="DW387" s="208"/>
      <c r="DX387" s="208"/>
      <c r="DY387" s="208"/>
      <c r="DZ387" s="208"/>
      <c r="EA387" s="208"/>
      <c r="EB387" s="208"/>
      <c r="EC387" s="208"/>
      <c r="ED387" s="208"/>
      <c r="EE387" s="208"/>
      <c r="EF387" s="208"/>
      <c r="EG387" s="208"/>
      <c r="EH387" s="208"/>
      <c r="EI387" s="208"/>
      <c r="EJ387" s="208"/>
      <c r="EK387" s="208"/>
      <c r="EL387" s="208"/>
      <c r="EM387" s="208"/>
      <c r="EN387" s="208"/>
      <c r="EO387" s="208"/>
      <c r="EP387" s="208"/>
      <c r="EQ387" s="208"/>
      <c r="ER387" s="208"/>
      <c r="ES387" s="208"/>
      <c r="ET387" s="208"/>
      <c r="EU387" s="208"/>
      <c r="EV387" s="208"/>
      <c r="EW387" s="208"/>
      <c r="EX387" s="208"/>
      <c r="EY387" s="208"/>
      <c r="EZ387" s="208">
        <v>0</v>
      </c>
      <c r="FA387" s="208">
        <v>0</v>
      </c>
      <c r="FB387" s="208">
        <v>0</v>
      </c>
      <c r="FC387" s="208"/>
      <c r="FD387" s="82"/>
      <c r="FE387" s="30"/>
    </row>
    <row r="388" spans="1:161" ht="15" hidden="1">
      <c r="A388" s="25" t="s">
        <v>354</v>
      </c>
      <c r="B388" s="224" t="s">
        <v>143</v>
      </c>
      <c r="C388" s="138"/>
      <c r="D388" s="221"/>
      <c r="E388" s="239">
        <v>770</v>
      </c>
      <c r="F388" s="95"/>
      <c r="G388" s="95"/>
      <c r="H388" s="147" t="s">
        <v>656</v>
      </c>
      <c r="I388" s="147"/>
      <c r="J388" s="135"/>
      <c r="K388" s="135"/>
      <c r="L388" s="139"/>
      <c r="M388" s="134"/>
      <c r="N388" s="134"/>
      <c r="O388" s="134"/>
      <c r="P388" s="134"/>
      <c r="Q388" s="134"/>
      <c r="R388" s="134"/>
      <c r="S388" s="139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3"/>
      <c r="BE388" s="83"/>
      <c r="BF388" s="83"/>
      <c r="BG388" s="82"/>
      <c r="BH388" s="81"/>
      <c r="BI388" s="80"/>
      <c r="BJ388" s="25"/>
      <c r="BK388" s="25"/>
      <c r="BL388" s="25"/>
      <c r="BM388" s="84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  <c r="CX388" s="25"/>
      <c r="CY388" s="25"/>
      <c r="CZ388" s="25"/>
      <c r="DA388" s="25"/>
      <c r="DB388" s="25"/>
      <c r="DC388" s="25"/>
      <c r="DD388" s="25"/>
      <c r="DE388" s="25"/>
      <c r="DF388" s="92"/>
      <c r="DG388" s="92"/>
      <c r="DH388" s="203"/>
      <c r="DI388" s="203"/>
      <c r="DJ388" s="203"/>
      <c r="DK388" s="203"/>
      <c r="DL388" s="203"/>
      <c r="DM388" s="203"/>
      <c r="DN388" s="203"/>
      <c r="DO388" s="203"/>
      <c r="DP388" s="208"/>
      <c r="DQ388" s="208"/>
      <c r="DR388" s="208"/>
      <c r="DS388" s="208"/>
      <c r="DT388" s="208"/>
      <c r="DU388" s="208"/>
      <c r="DV388" s="208"/>
      <c r="DW388" s="208"/>
      <c r="DX388" s="208"/>
      <c r="DY388" s="208"/>
      <c r="DZ388" s="208"/>
      <c r="EA388" s="208"/>
      <c r="EB388" s="208"/>
      <c r="EC388" s="208"/>
      <c r="ED388" s="208"/>
      <c r="EE388" s="208"/>
      <c r="EF388" s="208"/>
      <c r="EG388" s="208"/>
      <c r="EH388" s="208"/>
      <c r="EI388" s="208"/>
      <c r="EJ388" s="208"/>
      <c r="EK388" s="208"/>
      <c r="EL388" s="208"/>
      <c r="EM388" s="208"/>
      <c r="EN388" s="208"/>
      <c r="EO388" s="208"/>
      <c r="EP388" s="208"/>
      <c r="EQ388" s="208"/>
      <c r="ER388" s="208"/>
      <c r="ES388" s="208"/>
      <c r="ET388" s="208"/>
      <c r="EU388" s="208"/>
      <c r="EV388" s="208"/>
      <c r="EW388" s="208"/>
      <c r="EX388" s="208"/>
      <c r="EY388" s="208"/>
      <c r="EZ388" s="208">
        <v>0</v>
      </c>
      <c r="FA388" s="208">
        <v>0</v>
      </c>
      <c r="FB388" s="208">
        <v>0</v>
      </c>
      <c r="FC388" s="208"/>
      <c r="FD388" s="82"/>
      <c r="FE388" s="30"/>
    </row>
    <row r="389" spans="1:161" ht="15" hidden="1">
      <c r="A389" s="25" t="s">
        <v>368</v>
      </c>
      <c r="B389" s="212" t="s">
        <v>143</v>
      </c>
      <c r="C389" s="138"/>
      <c r="D389" s="221"/>
      <c r="E389" s="239">
        <v>770</v>
      </c>
      <c r="F389" s="95"/>
      <c r="G389" s="95"/>
      <c r="H389" s="147" t="s">
        <v>656</v>
      </c>
      <c r="I389" s="147"/>
      <c r="J389" s="135"/>
      <c r="K389" s="135"/>
      <c r="L389" s="139"/>
      <c r="M389" s="134"/>
      <c r="N389" s="134"/>
      <c r="O389" s="134"/>
      <c r="P389" s="134"/>
      <c r="Q389" s="134"/>
      <c r="R389" s="134"/>
      <c r="S389" s="139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3"/>
      <c r="BE389" s="83"/>
      <c r="BF389" s="83"/>
      <c r="BG389" s="82"/>
      <c r="BH389" s="81"/>
      <c r="BI389" s="80"/>
      <c r="BJ389" s="25"/>
      <c r="BK389" s="25"/>
      <c r="BL389" s="25"/>
      <c r="BM389" s="84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  <c r="CX389" s="25"/>
      <c r="CY389" s="25"/>
      <c r="CZ389" s="25"/>
      <c r="DA389" s="25"/>
      <c r="DB389" s="25"/>
      <c r="DC389" s="25"/>
      <c r="DD389" s="25"/>
      <c r="DE389" s="25"/>
      <c r="DF389" s="92"/>
      <c r="DG389" s="92"/>
      <c r="DH389" s="203"/>
      <c r="DI389" s="203"/>
      <c r="DJ389" s="203"/>
      <c r="DK389" s="203"/>
      <c r="DL389" s="203"/>
      <c r="DM389" s="203"/>
      <c r="DN389" s="203"/>
      <c r="DO389" s="203"/>
      <c r="DP389" s="208"/>
      <c r="DQ389" s="208"/>
      <c r="DR389" s="208"/>
      <c r="DS389" s="208"/>
      <c r="DT389" s="208"/>
      <c r="DU389" s="208"/>
      <c r="DV389" s="208"/>
      <c r="DW389" s="208"/>
      <c r="DX389" s="208"/>
      <c r="DY389" s="208"/>
      <c r="DZ389" s="208"/>
      <c r="EA389" s="208"/>
      <c r="EB389" s="208"/>
      <c r="EC389" s="208"/>
      <c r="ED389" s="208"/>
      <c r="EE389" s="208"/>
      <c r="EF389" s="208"/>
      <c r="EG389" s="208"/>
      <c r="EH389" s="208"/>
      <c r="EI389" s="208"/>
      <c r="EJ389" s="208"/>
      <c r="EK389" s="208"/>
      <c r="EL389" s="208"/>
      <c r="EM389" s="208"/>
      <c r="EN389" s="208"/>
      <c r="EO389" s="208"/>
      <c r="EP389" s="208"/>
      <c r="EQ389" s="208"/>
      <c r="ER389" s="208"/>
      <c r="ES389" s="208"/>
      <c r="ET389" s="208"/>
      <c r="EU389" s="208"/>
      <c r="EV389" s="208"/>
      <c r="EW389" s="208"/>
      <c r="EX389" s="208"/>
      <c r="EY389" s="208"/>
      <c r="EZ389" s="208">
        <v>0</v>
      </c>
      <c r="FA389" s="208">
        <v>0</v>
      </c>
      <c r="FB389" s="208">
        <v>0</v>
      </c>
      <c r="FC389" s="208"/>
      <c r="FD389" s="82"/>
      <c r="FE389" s="30"/>
    </row>
    <row r="390" spans="1:161" ht="15" hidden="1">
      <c r="A390" s="25" t="s">
        <v>369</v>
      </c>
      <c r="B390" s="212" t="s">
        <v>143</v>
      </c>
      <c r="C390" s="138"/>
      <c r="D390" s="221"/>
      <c r="E390" s="239">
        <v>770</v>
      </c>
      <c r="F390" s="95"/>
      <c r="G390" s="95"/>
      <c r="H390" s="147" t="s">
        <v>656</v>
      </c>
      <c r="I390" s="147"/>
      <c r="J390" s="135"/>
      <c r="K390" s="135"/>
      <c r="L390" s="139"/>
      <c r="M390" s="134"/>
      <c r="N390" s="134"/>
      <c r="O390" s="134"/>
      <c r="P390" s="134"/>
      <c r="Q390" s="134"/>
      <c r="R390" s="134"/>
      <c r="S390" s="139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3"/>
      <c r="BE390" s="83"/>
      <c r="BF390" s="83"/>
      <c r="BG390" s="82"/>
      <c r="BH390" s="81"/>
      <c r="BI390" s="80"/>
      <c r="BJ390" s="25"/>
      <c r="BK390" s="25"/>
      <c r="BL390" s="25"/>
      <c r="BM390" s="84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  <c r="CX390" s="25"/>
      <c r="CY390" s="25"/>
      <c r="CZ390" s="25"/>
      <c r="DA390" s="25"/>
      <c r="DB390" s="25"/>
      <c r="DC390" s="25"/>
      <c r="DD390" s="25"/>
      <c r="DE390" s="25"/>
      <c r="DF390" s="92"/>
      <c r="DG390" s="92"/>
      <c r="DH390" s="203"/>
      <c r="DI390" s="203"/>
      <c r="DJ390" s="203"/>
      <c r="DK390" s="203"/>
      <c r="DL390" s="203"/>
      <c r="DM390" s="203"/>
      <c r="DN390" s="203"/>
      <c r="DO390" s="203"/>
      <c r="DP390" s="208"/>
      <c r="DQ390" s="208"/>
      <c r="DR390" s="208"/>
      <c r="DS390" s="208"/>
      <c r="DT390" s="208"/>
      <c r="DU390" s="208"/>
      <c r="DV390" s="208"/>
      <c r="DW390" s="208"/>
      <c r="DX390" s="208"/>
      <c r="DY390" s="208"/>
      <c r="DZ390" s="208"/>
      <c r="EA390" s="208"/>
      <c r="EB390" s="208"/>
      <c r="EC390" s="208"/>
      <c r="ED390" s="208"/>
      <c r="EE390" s="208"/>
      <c r="EF390" s="208"/>
      <c r="EG390" s="208"/>
      <c r="EH390" s="208"/>
      <c r="EI390" s="208"/>
      <c r="EJ390" s="208"/>
      <c r="EK390" s="208"/>
      <c r="EL390" s="208"/>
      <c r="EM390" s="208"/>
      <c r="EN390" s="208"/>
      <c r="EO390" s="208"/>
      <c r="EP390" s="208"/>
      <c r="EQ390" s="208"/>
      <c r="ER390" s="208"/>
      <c r="ES390" s="208"/>
      <c r="ET390" s="208"/>
      <c r="EU390" s="208"/>
      <c r="EV390" s="208"/>
      <c r="EW390" s="208"/>
      <c r="EX390" s="208"/>
      <c r="EY390" s="208"/>
      <c r="EZ390" s="208">
        <v>0</v>
      </c>
      <c r="FA390" s="208">
        <v>0</v>
      </c>
      <c r="FB390" s="208">
        <v>0</v>
      </c>
      <c r="FC390" s="208"/>
      <c r="FD390" s="82"/>
      <c r="FE390" s="30"/>
    </row>
    <row r="391" spans="1:161" ht="15" hidden="1">
      <c r="A391" s="25" t="s">
        <v>370</v>
      </c>
      <c r="B391" s="212" t="s">
        <v>143</v>
      </c>
      <c r="C391" s="138"/>
      <c r="D391" s="221"/>
      <c r="E391" s="239">
        <v>770</v>
      </c>
      <c r="F391" s="95"/>
      <c r="G391" s="95"/>
      <c r="H391" s="147" t="s">
        <v>656</v>
      </c>
      <c r="I391" s="147"/>
      <c r="J391" s="135"/>
      <c r="K391" s="135"/>
      <c r="L391" s="139"/>
      <c r="M391" s="134"/>
      <c r="N391" s="134"/>
      <c r="O391" s="134"/>
      <c r="P391" s="134"/>
      <c r="Q391" s="134"/>
      <c r="R391" s="134"/>
      <c r="S391" s="139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3"/>
      <c r="BE391" s="83"/>
      <c r="BF391" s="83"/>
      <c r="BG391" s="82"/>
      <c r="BH391" s="81"/>
      <c r="BI391" s="80"/>
      <c r="BJ391" s="25"/>
      <c r="BK391" s="25"/>
      <c r="BL391" s="25"/>
      <c r="BM391" s="84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  <c r="CX391" s="25"/>
      <c r="CY391" s="25"/>
      <c r="CZ391" s="25"/>
      <c r="DA391" s="25"/>
      <c r="DB391" s="25"/>
      <c r="DC391" s="25"/>
      <c r="DD391" s="25"/>
      <c r="DE391" s="25"/>
      <c r="DF391" s="92"/>
      <c r="DG391" s="92"/>
      <c r="DH391" s="203"/>
      <c r="DI391" s="203"/>
      <c r="DJ391" s="203"/>
      <c r="DK391" s="203"/>
      <c r="DL391" s="203"/>
      <c r="DM391" s="203"/>
      <c r="DN391" s="203"/>
      <c r="DO391" s="203"/>
      <c r="DP391" s="208"/>
      <c r="DQ391" s="208"/>
      <c r="DR391" s="208"/>
      <c r="DS391" s="208"/>
      <c r="DT391" s="208"/>
      <c r="DU391" s="208"/>
      <c r="DV391" s="208"/>
      <c r="DW391" s="208"/>
      <c r="DX391" s="208"/>
      <c r="DY391" s="208"/>
      <c r="DZ391" s="208"/>
      <c r="EA391" s="208"/>
      <c r="EB391" s="208"/>
      <c r="EC391" s="208"/>
      <c r="ED391" s="208"/>
      <c r="EE391" s="208"/>
      <c r="EF391" s="208"/>
      <c r="EG391" s="208"/>
      <c r="EH391" s="208"/>
      <c r="EI391" s="208"/>
      <c r="EJ391" s="208"/>
      <c r="EK391" s="208"/>
      <c r="EL391" s="208"/>
      <c r="EM391" s="208"/>
      <c r="EN391" s="208"/>
      <c r="EO391" s="208"/>
      <c r="EP391" s="208"/>
      <c r="EQ391" s="208"/>
      <c r="ER391" s="208"/>
      <c r="ES391" s="208"/>
      <c r="ET391" s="208"/>
      <c r="EU391" s="208"/>
      <c r="EV391" s="208"/>
      <c r="EW391" s="208"/>
      <c r="EX391" s="208"/>
      <c r="EY391" s="208"/>
      <c r="EZ391" s="208">
        <v>0</v>
      </c>
      <c r="FA391" s="208">
        <v>0</v>
      </c>
      <c r="FB391" s="208">
        <v>0</v>
      </c>
      <c r="FC391" s="208"/>
      <c r="FD391" s="82"/>
      <c r="FE391" s="30"/>
    </row>
    <row r="392" spans="1:161" ht="15" hidden="1">
      <c r="A392" s="25" t="s">
        <v>390</v>
      </c>
      <c r="B392" s="212" t="s">
        <v>143</v>
      </c>
      <c r="C392" s="138"/>
      <c r="D392" s="221"/>
      <c r="E392" s="239">
        <v>970</v>
      </c>
      <c r="F392" s="95"/>
      <c r="G392" s="95"/>
      <c r="H392" s="147" t="s">
        <v>656</v>
      </c>
      <c r="I392" s="147"/>
      <c r="J392" s="135"/>
      <c r="K392" s="135"/>
      <c r="L392" s="139"/>
      <c r="M392" s="134"/>
      <c r="N392" s="134"/>
      <c r="O392" s="134"/>
      <c r="P392" s="134"/>
      <c r="Q392" s="134"/>
      <c r="R392" s="134"/>
      <c r="S392" s="139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3"/>
      <c r="BE392" s="83"/>
      <c r="BF392" s="83"/>
      <c r="BG392" s="82"/>
      <c r="BH392" s="81"/>
      <c r="BI392" s="80"/>
      <c r="BJ392" s="25"/>
      <c r="BK392" s="25"/>
      <c r="BL392" s="25"/>
      <c r="BM392" s="84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  <c r="CR392" s="25"/>
      <c r="CS392" s="25"/>
      <c r="CT392" s="25"/>
      <c r="CU392" s="25"/>
      <c r="CV392" s="25"/>
      <c r="CW392" s="25"/>
      <c r="CX392" s="25"/>
      <c r="CY392" s="25"/>
      <c r="CZ392" s="25"/>
      <c r="DA392" s="25"/>
      <c r="DB392" s="25"/>
      <c r="DC392" s="25"/>
      <c r="DD392" s="25"/>
      <c r="DE392" s="25"/>
      <c r="DF392" s="92"/>
      <c r="DG392" s="92"/>
      <c r="DH392" s="203"/>
      <c r="DI392" s="203"/>
      <c r="DJ392" s="203"/>
      <c r="DK392" s="203"/>
      <c r="DL392" s="203"/>
      <c r="DM392" s="203"/>
      <c r="DN392" s="203"/>
      <c r="DO392" s="203"/>
      <c r="DP392" s="208"/>
      <c r="DQ392" s="208"/>
      <c r="DR392" s="208"/>
      <c r="DS392" s="208"/>
      <c r="DT392" s="208"/>
      <c r="DU392" s="208"/>
      <c r="DV392" s="208"/>
      <c r="DW392" s="208"/>
      <c r="DX392" s="208"/>
      <c r="DY392" s="208"/>
      <c r="DZ392" s="208"/>
      <c r="EA392" s="208"/>
      <c r="EB392" s="208"/>
      <c r="EC392" s="208"/>
      <c r="ED392" s="208"/>
      <c r="EE392" s="208"/>
      <c r="EF392" s="208"/>
      <c r="EG392" s="208"/>
      <c r="EH392" s="208"/>
      <c r="EI392" s="208"/>
      <c r="EJ392" s="208"/>
      <c r="EK392" s="208"/>
      <c r="EL392" s="208"/>
      <c r="EM392" s="208"/>
      <c r="EN392" s="208"/>
      <c r="EO392" s="208"/>
      <c r="EP392" s="208"/>
      <c r="EQ392" s="208"/>
      <c r="ER392" s="208"/>
      <c r="ES392" s="208"/>
      <c r="ET392" s="208"/>
      <c r="EU392" s="208"/>
      <c r="EV392" s="208"/>
      <c r="EW392" s="208"/>
      <c r="EX392" s="208"/>
      <c r="EY392" s="208"/>
      <c r="EZ392" s="208">
        <v>0</v>
      </c>
      <c r="FA392" s="208">
        <v>0</v>
      </c>
      <c r="FB392" s="208">
        <v>0</v>
      </c>
      <c r="FC392" s="208"/>
      <c r="FD392" s="82"/>
      <c r="FE392" s="30"/>
    </row>
    <row r="393" spans="1:161" ht="15" hidden="1">
      <c r="A393" s="25" t="s">
        <v>391</v>
      </c>
      <c r="B393" s="212" t="s">
        <v>143</v>
      </c>
      <c r="C393" s="138"/>
      <c r="D393" s="221"/>
      <c r="E393" s="239">
        <v>970</v>
      </c>
      <c r="F393" s="95"/>
      <c r="G393" s="95"/>
      <c r="H393" s="147" t="s">
        <v>656</v>
      </c>
      <c r="I393" s="147"/>
      <c r="J393" s="135"/>
      <c r="K393" s="135"/>
      <c r="L393" s="139"/>
      <c r="M393" s="134"/>
      <c r="N393" s="134"/>
      <c r="O393" s="134"/>
      <c r="P393" s="134"/>
      <c r="Q393" s="134"/>
      <c r="R393" s="134"/>
      <c r="S393" s="139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3"/>
      <c r="BE393" s="83"/>
      <c r="BF393" s="83"/>
      <c r="BG393" s="82"/>
      <c r="BH393" s="81"/>
      <c r="BI393" s="80"/>
      <c r="BJ393" s="25"/>
      <c r="BK393" s="25"/>
      <c r="BL393" s="25"/>
      <c r="BM393" s="84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  <c r="CR393" s="25"/>
      <c r="CS393" s="25"/>
      <c r="CT393" s="25"/>
      <c r="CU393" s="25"/>
      <c r="CV393" s="25"/>
      <c r="CW393" s="25"/>
      <c r="CX393" s="25"/>
      <c r="CY393" s="25"/>
      <c r="CZ393" s="25"/>
      <c r="DA393" s="25"/>
      <c r="DB393" s="25"/>
      <c r="DC393" s="25"/>
      <c r="DD393" s="25"/>
      <c r="DE393" s="25"/>
      <c r="DF393" s="92"/>
      <c r="DG393" s="92"/>
      <c r="DH393" s="203"/>
      <c r="DI393" s="203"/>
      <c r="DJ393" s="203"/>
      <c r="DK393" s="203"/>
      <c r="DL393" s="203"/>
      <c r="DM393" s="203"/>
      <c r="DN393" s="203"/>
      <c r="DO393" s="203"/>
      <c r="DP393" s="208"/>
      <c r="DQ393" s="208"/>
      <c r="DR393" s="208"/>
      <c r="DS393" s="208"/>
      <c r="DT393" s="208"/>
      <c r="DU393" s="208"/>
      <c r="DV393" s="208"/>
      <c r="DW393" s="208"/>
      <c r="DX393" s="208"/>
      <c r="DY393" s="208"/>
      <c r="DZ393" s="208"/>
      <c r="EA393" s="208"/>
      <c r="EB393" s="208"/>
      <c r="EC393" s="208"/>
      <c r="ED393" s="208"/>
      <c r="EE393" s="208"/>
      <c r="EF393" s="208"/>
      <c r="EG393" s="208"/>
      <c r="EH393" s="208"/>
      <c r="EI393" s="208"/>
      <c r="EJ393" s="208"/>
      <c r="EK393" s="208"/>
      <c r="EL393" s="208"/>
      <c r="EM393" s="208"/>
      <c r="EN393" s="208"/>
      <c r="EO393" s="208"/>
      <c r="EP393" s="208"/>
      <c r="EQ393" s="208"/>
      <c r="ER393" s="208"/>
      <c r="ES393" s="208"/>
      <c r="ET393" s="208"/>
      <c r="EU393" s="208"/>
      <c r="EV393" s="208"/>
      <c r="EW393" s="208"/>
      <c r="EX393" s="208"/>
      <c r="EY393" s="208"/>
      <c r="EZ393" s="208">
        <v>0</v>
      </c>
      <c r="FA393" s="208">
        <v>0</v>
      </c>
      <c r="FB393" s="208">
        <v>0</v>
      </c>
      <c r="FC393" s="208"/>
      <c r="FD393" s="82"/>
      <c r="FE393" s="30"/>
    </row>
    <row r="394" spans="1:161" ht="15" hidden="1">
      <c r="A394" s="25" t="s">
        <v>371</v>
      </c>
      <c r="B394" s="212" t="s">
        <v>143</v>
      </c>
      <c r="C394" s="138"/>
      <c r="D394" s="221"/>
      <c r="E394" s="239">
        <v>770</v>
      </c>
      <c r="F394" s="95"/>
      <c r="G394" s="95"/>
      <c r="H394" s="147" t="s">
        <v>656</v>
      </c>
      <c r="I394" s="147"/>
      <c r="J394" s="135"/>
      <c r="K394" s="135"/>
      <c r="L394" s="139"/>
      <c r="M394" s="134"/>
      <c r="N394" s="134"/>
      <c r="O394" s="134"/>
      <c r="P394" s="134"/>
      <c r="Q394" s="134"/>
      <c r="R394" s="134"/>
      <c r="S394" s="139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3"/>
      <c r="BE394" s="83"/>
      <c r="BF394" s="83"/>
      <c r="BG394" s="82"/>
      <c r="BH394" s="81"/>
      <c r="BI394" s="80"/>
      <c r="BJ394" s="25"/>
      <c r="BK394" s="25"/>
      <c r="BL394" s="25"/>
      <c r="BM394" s="84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  <c r="CR394" s="25"/>
      <c r="CS394" s="25"/>
      <c r="CT394" s="25"/>
      <c r="CU394" s="25"/>
      <c r="CV394" s="25"/>
      <c r="CW394" s="25"/>
      <c r="CX394" s="25"/>
      <c r="CY394" s="25"/>
      <c r="CZ394" s="25"/>
      <c r="DA394" s="25"/>
      <c r="DB394" s="25"/>
      <c r="DC394" s="25"/>
      <c r="DD394" s="25"/>
      <c r="DE394" s="25"/>
      <c r="DF394" s="92"/>
      <c r="DG394" s="92"/>
      <c r="DH394" s="203"/>
      <c r="DI394" s="203"/>
      <c r="DJ394" s="203"/>
      <c r="DK394" s="203"/>
      <c r="DL394" s="203"/>
      <c r="DM394" s="203"/>
      <c r="DN394" s="203"/>
      <c r="DO394" s="203"/>
      <c r="DP394" s="208"/>
      <c r="DQ394" s="208"/>
      <c r="DR394" s="208"/>
      <c r="DS394" s="208"/>
      <c r="DT394" s="208"/>
      <c r="DU394" s="208"/>
      <c r="DV394" s="208"/>
      <c r="DW394" s="208"/>
      <c r="DX394" s="208"/>
      <c r="DY394" s="208"/>
      <c r="DZ394" s="208"/>
      <c r="EA394" s="208"/>
      <c r="EB394" s="208"/>
      <c r="EC394" s="208"/>
      <c r="ED394" s="208"/>
      <c r="EE394" s="208"/>
      <c r="EF394" s="208"/>
      <c r="EG394" s="208"/>
      <c r="EH394" s="208"/>
      <c r="EI394" s="208"/>
      <c r="EJ394" s="208"/>
      <c r="EK394" s="208"/>
      <c r="EL394" s="208"/>
      <c r="EM394" s="208"/>
      <c r="EN394" s="208"/>
      <c r="EO394" s="208"/>
      <c r="EP394" s="208"/>
      <c r="EQ394" s="208"/>
      <c r="ER394" s="208"/>
      <c r="ES394" s="208"/>
      <c r="ET394" s="208"/>
      <c r="EU394" s="208"/>
      <c r="EV394" s="208"/>
      <c r="EW394" s="208"/>
      <c r="EX394" s="208"/>
      <c r="EY394" s="208"/>
      <c r="EZ394" s="208">
        <v>0</v>
      </c>
      <c r="FA394" s="208">
        <v>0</v>
      </c>
      <c r="FB394" s="208">
        <v>0</v>
      </c>
      <c r="FC394" s="208"/>
      <c r="FD394" s="82"/>
      <c r="FE394" s="30"/>
    </row>
    <row r="395" spans="1:161" ht="15" hidden="1">
      <c r="A395" s="25" t="s">
        <v>372</v>
      </c>
      <c r="B395" s="212" t="s">
        <v>143</v>
      </c>
      <c r="C395" s="138"/>
      <c r="D395" s="221"/>
      <c r="E395" s="239">
        <v>770</v>
      </c>
      <c r="F395" s="95"/>
      <c r="G395" s="95"/>
      <c r="H395" s="147" t="s">
        <v>656</v>
      </c>
      <c r="I395" s="147"/>
      <c r="J395" s="135"/>
      <c r="K395" s="135"/>
      <c r="L395" s="139"/>
      <c r="M395" s="134"/>
      <c r="N395" s="134"/>
      <c r="O395" s="134"/>
      <c r="P395" s="134"/>
      <c r="Q395" s="134"/>
      <c r="R395" s="134"/>
      <c r="S395" s="139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3"/>
      <c r="BE395" s="83"/>
      <c r="BF395" s="83"/>
      <c r="BG395" s="82"/>
      <c r="BH395" s="81"/>
      <c r="BI395" s="80"/>
      <c r="BJ395" s="25"/>
      <c r="BK395" s="25"/>
      <c r="BL395" s="25"/>
      <c r="BM395" s="84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  <c r="CC395" s="25"/>
      <c r="CD395" s="25"/>
      <c r="CE395" s="25"/>
      <c r="CF395" s="25"/>
      <c r="CG395" s="25"/>
      <c r="CH395" s="25"/>
      <c r="CI395" s="25"/>
      <c r="CJ395" s="25"/>
      <c r="CK395" s="25"/>
      <c r="CL395" s="25"/>
      <c r="CM395" s="25"/>
      <c r="CN395" s="25"/>
      <c r="CO395" s="25"/>
      <c r="CP395" s="25"/>
      <c r="CQ395" s="25"/>
      <c r="CR395" s="25"/>
      <c r="CS395" s="25"/>
      <c r="CT395" s="25"/>
      <c r="CU395" s="25"/>
      <c r="CV395" s="25"/>
      <c r="CW395" s="25"/>
      <c r="CX395" s="25"/>
      <c r="CY395" s="25"/>
      <c r="CZ395" s="25"/>
      <c r="DA395" s="25"/>
      <c r="DB395" s="25"/>
      <c r="DC395" s="25"/>
      <c r="DD395" s="25"/>
      <c r="DE395" s="25"/>
      <c r="DF395" s="92"/>
      <c r="DG395" s="92"/>
      <c r="DH395" s="203"/>
      <c r="DI395" s="203"/>
      <c r="DJ395" s="203"/>
      <c r="DK395" s="203"/>
      <c r="DL395" s="203"/>
      <c r="DM395" s="203"/>
      <c r="DN395" s="203"/>
      <c r="DO395" s="203"/>
      <c r="DP395" s="208"/>
      <c r="DQ395" s="208"/>
      <c r="DR395" s="208"/>
      <c r="DS395" s="208"/>
      <c r="DT395" s="208"/>
      <c r="DU395" s="208"/>
      <c r="DV395" s="208"/>
      <c r="DW395" s="208"/>
      <c r="DX395" s="208"/>
      <c r="DY395" s="208"/>
      <c r="DZ395" s="208"/>
      <c r="EA395" s="208"/>
      <c r="EB395" s="208"/>
      <c r="EC395" s="208"/>
      <c r="ED395" s="208"/>
      <c r="EE395" s="208"/>
      <c r="EF395" s="208"/>
      <c r="EG395" s="208"/>
      <c r="EH395" s="208"/>
      <c r="EI395" s="208"/>
      <c r="EJ395" s="208"/>
      <c r="EK395" s="208"/>
      <c r="EL395" s="208"/>
      <c r="EM395" s="208"/>
      <c r="EN395" s="208"/>
      <c r="EO395" s="208"/>
      <c r="EP395" s="208"/>
      <c r="EQ395" s="208"/>
      <c r="ER395" s="208"/>
      <c r="ES395" s="208"/>
      <c r="ET395" s="208"/>
      <c r="EU395" s="208"/>
      <c r="EV395" s="208"/>
      <c r="EW395" s="208"/>
      <c r="EX395" s="208"/>
      <c r="EY395" s="208"/>
      <c r="EZ395" s="208">
        <v>0</v>
      </c>
      <c r="FA395" s="208">
        <v>0</v>
      </c>
      <c r="FB395" s="208">
        <v>0</v>
      </c>
      <c r="FC395" s="208"/>
      <c r="FD395" s="82"/>
      <c r="FE395" s="30"/>
    </row>
    <row r="396" spans="1:161" ht="15" hidden="1">
      <c r="A396" s="25" t="s">
        <v>373</v>
      </c>
      <c r="B396" s="212" t="s">
        <v>143</v>
      </c>
      <c r="C396" s="138"/>
      <c r="D396" s="221"/>
      <c r="E396" s="239">
        <v>770</v>
      </c>
      <c r="F396" s="95"/>
      <c r="G396" s="95"/>
      <c r="H396" s="147" t="s">
        <v>656</v>
      </c>
      <c r="I396" s="147"/>
      <c r="J396" s="135"/>
      <c r="K396" s="135"/>
      <c r="L396" s="139"/>
      <c r="M396" s="134"/>
      <c r="N396" s="134"/>
      <c r="O396" s="134"/>
      <c r="P396" s="134"/>
      <c r="Q396" s="134"/>
      <c r="R396" s="134"/>
      <c r="S396" s="139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3"/>
      <c r="BE396" s="83"/>
      <c r="BF396" s="83"/>
      <c r="BG396" s="82"/>
      <c r="BH396" s="81"/>
      <c r="BI396" s="80"/>
      <c r="BJ396" s="25"/>
      <c r="BK396" s="25"/>
      <c r="BL396" s="25"/>
      <c r="BM396" s="84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  <c r="CC396" s="25"/>
      <c r="CD396" s="25"/>
      <c r="CE396" s="25"/>
      <c r="CF396" s="25"/>
      <c r="CG396" s="25"/>
      <c r="CH396" s="25"/>
      <c r="CI396" s="25"/>
      <c r="CJ396" s="25"/>
      <c r="CK396" s="25"/>
      <c r="CL396" s="25"/>
      <c r="CM396" s="25"/>
      <c r="CN396" s="25"/>
      <c r="CO396" s="25"/>
      <c r="CP396" s="25"/>
      <c r="CQ396" s="25"/>
      <c r="CR396" s="25"/>
      <c r="CS396" s="25"/>
      <c r="CT396" s="25"/>
      <c r="CU396" s="25"/>
      <c r="CV396" s="25"/>
      <c r="CW396" s="25"/>
      <c r="CX396" s="25"/>
      <c r="CY396" s="25"/>
      <c r="CZ396" s="25"/>
      <c r="DA396" s="25"/>
      <c r="DB396" s="25"/>
      <c r="DC396" s="25"/>
      <c r="DD396" s="25"/>
      <c r="DE396" s="25"/>
      <c r="DF396" s="92"/>
      <c r="DG396" s="92"/>
      <c r="DH396" s="203"/>
      <c r="DI396" s="203"/>
      <c r="DJ396" s="203"/>
      <c r="DK396" s="203"/>
      <c r="DL396" s="203"/>
      <c r="DM396" s="203"/>
      <c r="DN396" s="203"/>
      <c r="DO396" s="203"/>
      <c r="DP396" s="208"/>
      <c r="DQ396" s="208"/>
      <c r="DR396" s="208"/>
      <c r="DS396" s="208"/>
      <c r="DT396" s="208"/>
      <c r="DU396" s="208"/>
      <c r="DV396" s="208"/>
      <c r="DW396" s="208"/>
      <c r="DX396" s="208"/>
      <c r="DY396" s="208"/>
      <c r="DZ396" s="208"/>
      <c r="EA396" s="208"/>
      <c r="EB396" s="208"/>
      <c r="EC396" s="208"/>
      <c r="ED396" s="208"/>
      <c r="EE396" s="208"/>
      <c r="EF396" s="208"/>
      <c r="EG396" s="208"/>
      <c r="EH396" s="208"/>
      <c r="EI396" s="208"/>
      <c r="EJ396" s="208"/>
      <c r="EK396" s="208"/>
      <c r="EL396" s="208"/>
      <c r="EM396" s="208"/>
      <c r="EN396" s="208"/>
      <c r="EO396" s="208"/>
      <c r="EP396" s="208"/>
      <c r="EQ396" s="208"/>
      <c r="ER396" s="208"/>
      <c r="ES396" s="208"/>
      <c r="ET396" s="208"/>
      <c r="EU396" s="208"/>
      <c r="EV396" s="208"/>
      <c r="EW396" s="208"/>
      <c r="EX396" s="208"/>
      <c r="EY396" s="208"/>
      <c r="EZ396" s="208">
        <v>0</v>
      </c>
      <c r="FA396" s="208">
        <v>0</v>
      </c>
      <c r="FB396" s="208">
        <v>0</v>
      </c>
      <c r="FC396" s="208"/>
      <c r="FD396" s="82"/>
      <c r="FE396" s="30"/>
    </row>
    <row r="397" spans="1:161" ht="15" hidden="1">
      <c r="A397" s="25" t="s">
        <v>374</v>
      </c>
      <c r="B397" s="212" t="s">
        <v>143</v>
      </c>
      <c r="C397" s="138"/>
      <c r="D397" s="221"/>
      <c r="E397" s="239">
        <v>770</v>
      </c>
      <c r="F397" s="95"/>
      <c r="G397" s="95"/>
      <c r="H397" s="147" t="s">
        <v>656</v>
      </c>
      <c r="I397" s="147"/>
      <c r="J397" s="135"/>
      <c r="K397" s="135"/>
      <c r="L397" s="139"/>
      <c r="M397" s="134"/>
      <c r="N397" s="134"/>
      <c r="O397" s="134"/>
      <c r="P397" s="134"/>
      <c r="Q397" s="134"/>
      <c r="R397" s="134"/>
      <c r="S397" s="139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3"/>
      <c r="BE397" s="83"/>
      <c r="BF397" s="83"/>
      <c r="BG397" s="82"/>
      <c r="BH397" s="81"/>
      <c r="BI397" s="80"/>
      <c r="BJ397" s="25"/>
      <c r="BK397" s="25"/>
      <c r="BL397" s="25"/>
      <c r="BM397" s="84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  <c r="CC397" s="25"/>
      <c r="CD397" s="25"/>
      <c r="CE397" s="25"/>
      <c r="CF397" s="25"/>
      <c r="CG397" s="25"/>
      <c r="CH397" s="25"/>
      <c r="CI397" s="25"/>
      <c r="CJ397" s="25"/>
      <c r="CK397" s="25"/>
      <c r="CL397" s="25"/>
      <c r="CM397" s="25"/>
      <c r="CN397" s="25"/>
      <c r="CO397" s="25"/>
      <c r="CP397" s="25"/>
      <c r="CQ397" s="25"/>
      <c r="CR397" s="25"/>
      <c r="CS397" s="25"/>
      <c r="CT397" s="25"/>
      <c r="CU397" s="25"/>
      <c r="CV397" s="25"/>
      <c r="CW397" s="25"/>
      <c r="CX397" s="25"/>
      <c r="CY397" s="25"/>
      <c r="CZ397" s="25"/>
      <c r="DA397" s="25"/>
      <c r="DB397" s="25"/>
      <c r="DC397" s="25"/>
      <c r="DD397" s="25"/>
      <c r="DE397" s="25"/>
      <c r="DF397" s="92"/>
      <c r="DG397" s="92"/>
      <c r="DH397" s="203"/>
      <c r="DI397" s="203"/>
      <c r="DJ397" s="203"/>
      <c r="DK397" s="203"/>
      <c r="DL397" s="203"/>
      <c r="DM397" s="203"/>
      <c r="DN397" s="203"/>
      <c r="DO397" s="203"/>
      <c r="DP397" s="208"/>
      <c r="DQ397" s="208"/>
      <c r="DR397" s="208"/>
      <c r="DS397" s="208"/>
      <c r="DT397" s="208"/>
      <c r="DU397" s="208"/>
      <c r="DV397" s="208"/>
      <c r="DW397" s="208"/>
      <c r="DX397" s="208"/>
      <c r="DY397" s="208"/>
      <c r="DZ397" s="208"/>
      <c r="EA397" s="208"/>
      <c r="EB397" s="208"/>
      <c r="EC397" s="208"/>
      <c r="ED397" s="208"/>
      <c r="EE397" s="208"/>
      <c r="EF397" s="208"/>
      <c r="EG397" s="208"/>
      <c r="EH397" s="208"/>
      <c r="EI397" s="208"/>
      <c r="EJ397" s="208"/>
      <c r="EK397" s="208"/>
      <c r="EL397" s="208"/>
      <c r="EM397" s="208"/>
      <c r="EN397" s="208"/>
      <c r="EO397" s="208"/>
      <c r="EP397" s="208"/>
      <c r="EQ397" s="208"/>
      <c r="ER397" s="208"/>
      <c r="ES397" s="208"/>
      <c r="ET397" s="208"/>
      <c r="EU397" s="208"/>
      <c r="EV397" s="208"/>
      <c r="EW397" s="208"/>
      <c r="EX397" s="208"/>
      <c r="EY397" s="208"/>
      <c r="EZ397" s="208">
        <v>0</v>
      </c>
      <c r="FA397" s="208">
        <v>0</v>
      </c>
      <c r="FB397" s="208">
        <v>0</v>
      </c>
      <c r="FC397" s="208"/>
      <c r="FD397" s="82"/>
      <c r="FE397" s="30"/>
    </row>
    <row r="398" spans="1:161" ht="15" hidden="1">
      <c r="A398" s="25" t="s">
        <v>375</v>
      </c>
      <c r="B398" s="212" t="s">
        <v>143</v>
      </c>
      <c r="C398" s="138"/>
      <c r="D398" s="221"/>
      <c r="E398" s="239">
        <v>770</v>
      </c>
      <c r="F398" s="95"/>
      <c r="G398" s="95"/>
      <c r="H398" s="147" t="s">
        <v>656</v>
      </c>
      <c r="I398" s="147"/>
      <c r="J398" s="135"/>
      <c r="K398" s="135"/>
      <c r="L398" s="139"/>
      <c r="M398" s="134"/>
      <c r="N398" s="134"/>
      <c r="O398" s="134"/>
      <c r="P398" s="134"/>
      <c r="Q398" s="134"/>
      <c r="R398" s="134"/>
      <c r="S398" s="139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3"/>
      <c r="BE398" s="83"/>
      <c r="BF398" s="83"/>
      <c r="BG398" s="82"/>
      <c r="BH398" s="81"/>
      <c r="BI398" s="80"/>
      <c r="BJ398" s="25"/>
      <c r="BK398" s="25"/>
      <c r="BL398" s="25"/>
      <c r="BM398" s="84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  <c r="CC398" s="25"/>
      <c r="CD398" s="25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  <c r="CR398" s="25"/>
      <c r="CS398" s="25"/>
      <c r="CT398" s="25"/>
      <c r="CU398" s="25"/>
      <c r="CV398" s="25"/>
      <c r="CW398" s="25"/>
      <c r="CX398" s="25"/>
      <c r="CY398" s="25"/>
      <c r="CZ398" s="25"/>
      <c r="DA398" s="25"/>
      <c r="DB398" s="25"/>
      <c r="DC398" s="25"/>
      <c r="DD398" s="25"/>
      <c r="DE398" s="25"/>
      <c r="DF398" s="92"/>
      <c r="DG398" s="92"/>
      <c r="DH398" s="203"/>
      <c r="DI398" s="203"/>
      <c r="DJ398" s="203"/>
      <c r="DK398" s="203"/>
      <c r="DL398" s="203"/>
      <c r="DM398" s="203"/>
      <c r="DN398" s="203"/>
      <c r="DO398" s="203"/>
      <c r="DP398" s="208"/>
      <c r="DQ398" s="208"/>
      <c r="DR398" s="208"/>
      <c r="DS398" s="208"/>
      <c r="DT398" s="208"/>
      <c r="DU398" s="208"/>
      <c r="DV398" s="208"/>
      <c r="DW398" s="208"/>
      <c r="DX398" s="208"/>
      <c r="DY398" s="208"/>
      <c r="DZ398" s="208"/>
      <c r="EA398" s="208"/>
      <c r="EB398" s="208"/>
      <c r="EC398" s="208"/>
      <c r="ED398" s="208"/>
      <c r="EE398" s="208"/>
      <c r="EF398" s="208"/>
      <c r="EG398" s="208"/>
      <c r="EH398" s="208"/>
      <c r="EI398" s="208"/>
      <c r="EJ398" s="208"/>
      <c r="EK398" s="208"/>
      <c r="EL398" s="208"/>
      <c r="EM398" s="208"/>
      <c r="EN398" s="208"/>
      <c r="EO398" s="208"/>
      <c r="EP398" s="208"/>
      <c r="EQ398" s="208"/>
      <c r="ER398" s="208"/>
      <c r="ES398" s="208"/>
      <c r="ET398" s="208"/>
      <c r="EU398" s="208"/>
      <c r="EV398" s="208"/>
      <c r="EW398" s="208"/>
      <c r="EX398" s="208"/>
      <c r="EY398" s="208"/>
      <c r="EZ398" s="208">
        <v>0</v>
      </c>
      <c r="FA398" s="208">
        <v>0</v>
      </c>
      <c r="FB398" s="208">
        <v>0</v>
      </c>
      <c r="FC398" s="208"/>
      <c r="FD398" s="82"/>
      <c r="FE398" s="30"/>
    </row>
    <row r="399" spans="1:161" ht="15" hidden="1">
      <c r="A399" s="25" t="s">
        <v>376</v>
      </c>
      <c r="B399" s="212" t="s">
        <v>143</v>
      </c>
      <c r="C399" s="138"/>
      <c r="D399" s="221"/>
      <c r="E399" s="239">
        <v>770</v>
      </c>
      <c r="F399" s="95"/>
      <c r="G399" s="95"/>
      <c r="H399" s="147" t="s">
        <v>656</v>
      </c>
      <c r="I399" s="147"/>
      <c r="J399" s="135"/>
      <c r="K399" s="135"/>
      <c r="L399" s="139"/>
      <c r="M399" s="134"/>
      <c r="N399" s="134"/>
      <c r="O399" s="134"/>
      <c r="P399" s="134"/>
      <c r="Q399" s="134"/>
      <c r="R399" s="134"/>
      <c r="S399" s="139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3"/>
      <c r="BE399" s="83"/>
      <c r="BF399" s="83"/>
      <c r="BG399" s="82"/>
      <c r="BH399" s="81"/>
      <c r="BI399" s="80"/>
      <c r="BJ399" s="25"/>
      <c r="BK399" s="25"/>
      <c r="BL399" s="25"/>
      <c r="BM399" s="84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  <c r="CC399" s="25"/>
      <c r="CD399" s="25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  <c r="CR399" s="25"/>
      <c r="CS399" s="25"/>
      <c r="CT399" s="25"/>
      <c r="CU399" s="25"/>
      <c r="CV399" s="25"/>
      <c r="CW399" s="25"/>
      <c r="CX399" s="25"/>
      <c r="CY399" s="25"/>
      <c r="CZ399" s="25"/>
      <c r="DA399" s="25"/>
      <c r="DB399" s="25"/>
      <c r="DC399" s="25"/>
      <c r="DD399" s="25"/>
      <c r="DE399" s="25"/>
      <c r="DF399" s="92"/>
      <c r="DG399" s="92"/>
      <c r="DH399" s="203"/>
      <c r="DI399" s="203"/>
      <c r="DJ399" s="203"/>
      <c r="DK399" s="203"/>
      <c r="DL399" s="203"/>
      <c r="DM399" s="203"/>
      <c r="DN399" s="203"/>
      <c r="DO399" s="203"/>
      <c r="DP399" s="208"/>
      <c r="DQ399" s="208"/>
      <c r="DR399" s="208"/>
      <c r="DS399" s="208"/>
      <c r="DT399" s="208"/>
      <c r="DU399" s="208"/>
      <c r="DV399" s="208"/>
      <c r="DW399" s="208"/>
      <c r="DX399" s="208"/>
      <c r="DY399" s="208"/>
      <c r="DZ399" s="208"/>
      <c r="EA399" s="208"/>
      <c r="EB399" s="208"/>
      <c r="EC399" s="208"/>
      <c r="ED399" s="208"/>
      <c r="EE399" s="208"/>
      <c r="EF399" s="208"/>
      <c r="EG399" s="208"/>
      <c r="EH399" s="208"/>
      <c r="EI399" s="208"/>
      <c r="EJ399" s="208"/>
      <c r="EK399" s="208"/>
      <c r="EL399" s="208"/>
      <c r="EM399" s="208"/>
      <c r="EN399" s="208"/>
      <c r="EO399" s="208"/>
      <c r="EP399" s="208"/>
      <c r="EQ399" s="208"/>
      <c r="ER399" s="208"/>
      <c r="ES399" s="208"/>
      <c r="ET399" s="208"/>
      <c r="EU399" s="208"/>
      <c r="EV399" s="208"/>
      <c r="EW399" s="208"/>
      <c r="EX399" s="208"/>
      <c r="EY399" s="208"/>
      <c r="EZ399" s="208">
        <v>0</v>
      </c>
      <c r="FA399" s="208">
        <v>0</v>
      </c>
      <c r="FB399" s="208">
        <v>0</v>
      </c>
      <c r="FC399" s="208"/>
      <c r="FD399" s="82"/>
      <c r="FE399" s="30"/>
    </row>
    <row r="400" spans="1:161" ht="15" hidden="1">
      <c r="A400" s="25" t="s">
        <v>394</v>
      </c>
      <c r="B400" s="212" t="s">
        <v>143</v>
      </c>
      <c r="C400" s="138"/>
      <c r="D400" s="221"/>
      <c r="E400" s="239">
        <v>970</v>
      </c>
      <c r="F400" s="95"/>
      <c r="G400" s="95"/>
      <c r="H400" s="147" t="s">
        <v>656</v>
      </c>
      <c r="I400" s="147"/>
      <c r="J400" s="135"/>
      <c r="K400" s="135"/>
      <c r="L400" s="139"/>
      <c r="M400" s="134"/>
      <c r="N400" s="134"/>
      <c r="O400" s="134"/>
      <c r="P400" s="134"/>
      <c r="Q400" s="134"/>
      <c r="R400" s="134"/>
      <c r="S400" s="139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3"/>
      <c r="BE400" s="83"/>
      <c r="BF400" s="83"/>
      <c r="BG400" s="82"/>
      <c r="BH400" s="81"/>
      <c r="BI400" s="80"/>
      <c r="BJ400" s="25"/>
      <c r="BK400" s="25"/>
      <c r="BL400" s="25"/>
      <c r="BM400" s="84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  <c r="CC400" s="25"/>
      <c r="CD400" s="25"/>
      <c r="CE400" s="25"/>
      <c r="CF400" s="25"/>
      <c r="CG400" s="25"/>
      <c r="CH400" s="25"/>
      <c r="CI400" s="25"/>
      <c r="CJ400" s="25"/>
      <c r="CK400" s="25"/>
      <c r="CL400" s="25"/>
      <c r="CM400" s="25"/>
      <c r="CN400" s="25"/>
      <c r="CO400" s="25"/>
      <c r="CP400" s="25"/>
      <c r="CQ400" s="25"/>
      <c r="CR400" s="25"/>
      <c r="CS400" s="25"/>
      <c r="CT400" s="25"/>
      <c r="CU400" s="25"/>
      <c r="CV400" s="25"/>
      <c r="CW400" s="25"/>
      <c r="CX400" s="25"/>
      <c r="CY400" s="25"/>
      <c r="CZ400" s="25"/>
      <c r="DA400" s="25"/>
      <c r="DB400" s="25"/>
      <c r="DC400" s="25"/>
      <c r="DD400" s="25"/>
      <c r="DE400" s="25"/>
      <c r="DF400" s="92"/>
      <c r="DG400" s="92"/>
      <c r="DH400" s="203"/>
      <c r="DI400" s="203"/>
      <c r="DJ400" s="203"/>
      <c r="DK400" s="203"/>
      <c r="DL400" s="203"/>
      <c r="DM400" s="203"/>
      <c r="DN400" s="203"/>
      <c r="DO400" s="203"/>
      <c r="DP400" s="208"/>
      <c r="DQ400" s="208"/>
      <c r="DR400" s="208"/>
      <c r="DS400" s="208"/>
      <c r="DT400" s="208"/>
      <c r="DU400" s="208"/>
      <c r="DV400" s="208"/>
      <c r="DW400" s="208"/>
      <c r="DX400" s="208"/>
      <c r="DY400" s="208"/>
      <c r="DZ400" s="208"/>
      <c r="EA400" s="208"/>
      <c r="EB400" s="208"/>
      <c r="EC400" s="208"/>
      <c r="ED400" s="208"/>
      <c r="EE400" s="208"/>
      <c r="EF400" s="208"/>
      <c r="EG400" s="208"/>
      <c r="EH400" s="208"/>
      <c r="EI400" s="208"/>
      <c r="EJ400" s="208"/>
      <c r="EK400" s="208"/>
      <c r="EL400" s="208"/>
      <c r="EM400" s="208"/>
      <c r="EN400" s="208"/>
      <c r="EO400" s="208"/>
      <c r="EP400" s="208"/>
      <c r="EQ400" s="208"/>
      <c r="ER400" s="208"/>
      <c r="ES400" s="208"/>
      <c r="ET400" s="208"/>
      <c r="EU400" s="208"/>
      <c r="EV400" s="208"/>
      <c r="EW400" s="208"/>
      <c r="EX400" s="208"/>
      <c r="EY400" s="208"/>
      <c r="EZ400" s="208">
        <v>0</v>
      </c>
      <c r="FA400" s="208">
        <v>0</v>
      </c>
      <c r="FB400" s="208">
        <v>0</v>
      </c>
      <c r="FC400" s="208"/>
      <c r="FD400" s="82"/>
      <c r="FE400" s="30"/>
    </row>
    <row r="401" spans="1:161" ht="15" hidden="1">
      <c r="A401" s="25" t="s">
        <v>395</v>
      </c>
      <c r="B401" s="212" t="s">
        <v>143</v>
      </c>
      <c r="C401" s="138"/>
      <c r="D401" s="221"/>
      <c r="E401" s="239">
        <v>970</v>
      </c>
      <c r="F401" s="95"/>
      <c r="G401" s="95"/>
      <c r="H401" s="147" t="s">
        <v>656</v>
      </c>
      <c r="I401" s="147"/>
      <c r="J401" s="135"/>
      <c r="K401" s="135"/>
      <c r="L401" s="139"/>
      <c r="M401" s="134"/>
      <c r="N401" s="134"/>
      <c r="O401" s="134"/>
      <c r="P401" s="134"/>
      <c r="Q401" s="134"/>
      <c r="R401" s="134"/>
      <c r="S401" s="139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3"/>
      <c r="BE401" s="83"/>
      <c r="BF401" s="83"/>
      <c r="BG401" s="82"/>
      <c r="BH401" s="81"/>
      <c r="BI401" s="80"/>
      <c r="BJ401" s="25"/>
      <c r="BK401" s="25"/>
      <c r="BL401" s="25"/>
      <c r="BM401" s="84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  <c r="CC401" s="25"/>
      <c r="CD401" s="25"/>
      <c r="CE401" s="25"/>
      <c r="CF401" s="25"/>
      <c r="CG401" s="25"/>
      <c r="CH401" s="25"/>
      <c r="CI401" s="25"/>
      <c r="CJ401" s="25"/>
      <c r="CK401" s="25"/>
      <c r="CL401" s="25"/>
      <c r="CM401" s="25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  <c r="CX401" s="25"/>
      <c r="CY401" s="25"/>
      <c r="CZ401" s="25"/>
      <c r="DA401" s="25"/>
      <c r="DB401" s="25"/>
      <c r="DC401" s="25"/>
      <c r="DD401" s="25"/>
      <c r="DE401" s="25"/>
      <c r="DF401" s="92"/>
      <c r="DG401" s="92"/>
      <c r="DH401" s="203"/>
      <c r="DI401" s="203"/>
      <c r="DJ401" s="203"/>
      <c r="DK401" s="203"/>
      <c r="DL401" s="203"/>
      <c r="DM401" s="203"/>
      <c r="DN401" s="203"/>
      <c r="DO401" s="203"/>
      <c r="DP401" s="208"/>
      <c r="DQ401" s="208"/>
      <c r="DR401" s="208"/>
      <c r="DS401" s="208"/>
      <c r="DT401" s="208"/>
      <c r="DU401" s="208"/>
      <c r="DV401" s="208"/>
      <c r="DW401" s="208"/>
      <c r="DX401" s="208"/>
      <c r="DY401" s="208"/>
      <c r="DZ401" s="208"/>
      <c r="EA401" s="208"/>
      <c r="EB401" s="208"/>
      <c r="EC401" s="208"/>
      <c r="ED401" s="208"/>
      <c r="EE401" s="208"/>
      <c r="EF401" s="208"/>
      <c r="EG401" s="208"/>
      <c r="EH401" s="208"/>
      <c r="EI401" s="208"/>
      <c r="EJ401" s="208"/>
      <c r="EK401" s="208"/>
      <c r="EL401" s="208"/>
      <c r="EM401" s="208"/>
      <c r="EN401" s="208"/>
      <c r="EO401" s="208"/>
      <c r="EP401" s="208"/>
      <c r="EQ401" s="208"/>
      <c r="ER401" s="208"/>
      <c r="ES401" s="208"/>
      <c r="ET401" s="208"/>
      <c r="EU401" s="208"/>
      <c r="EV401" s="208"/>
      <c r="EW401" s="208"/>
      <c r="EX401" s="208"/>
      <c r="EY401" s="208"/>
      <c r="EZ401" s="208">
        <v>0</v>
      </c>
      <c r="FA401" s="208">
        <v>0</v>
      </c>
      <c r="FB401" s="208">
        <v>0</v>
      </c>
      <c r="FC401" s="208"/>
      <c r="FD401" s="82"/>
      <c r="FE401" s="30"/>
    </row>
    <row r="402" spans="1:161" ht="15" hidden="1">
      <c r="A402" s="25" t="s">
        <v>396</v>
      </c>
      <c r="B402" s="212" t="s">
        <v>143</v>
      </c>
      <c r="C402" s="138"/>
      <c r="D402" s="221"/>
      <c r="E402" s="239">
        <v>970</v>
      </c>
      <c r="F402" s="95"/>
      <c r="G402" s="95"/>
      <c r="H402" s="147" t="s">
        <v>656</v>
      </c>
      <c r="I402" s="147"/>
      <c r="J402" s="135"/>
      <c r="K402" s="135"/>
      <c r="L402" s="139"/>
      <c r="M402" s="134"/>
      <c r="N402" s="134"/>
      <c r="O402" s="134"/>
      <c r="P402" s="134"/>
      <c r="Q402" s="134"/>
      <c r="R402" s="134"/>
      <c r="S402" s="139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3"/>
      <c r="BE402" s="83"/>
      <c r="BF402" s="83"/>
      <c r="BG402" s="82"/>
      <c r="BH402" s="81"/>
      <c r="BI402" s="80"/>
      <c r="BJ402" s="25"/>
      <c r="BK402" s="25"/>
      <c r="BL402" s="25"/>
      <c r="BM402" s="84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  <c r="CC402" s="25"/>
      <c r="CD402" s="25"/>
      <c r="CE402" s="25"/>
      <c r="CF402" s="25"/>
      <c r="CG402" s="25"/>
      <c r="CH402" s="25"/>
      <c r="CI402" s="25"/>
      <c r="CJ402" s="25"/>
      <c r="CK402" s="25"/>
      <c r="CL402" s="25"/>
      <c r="CM402" s="25"/>
      <c r="CN402" s="25"/>
      <c r="CO402" s="25"/>
      <c r="CP402" s="25"/>
      <c r="CQ402" s="25"/>
      <c r="CR402" s="25"/>
      <c r="CS402" s="25"/>
      <c r="CT402" s="25"/>
      <c r="CU402" s="25"/>
      <c r="CV402" s="25"/>
      <c r="CW402" s="25"/>
      <c r="CX402" s="25"/>
      <c r="CY402" s="25"/>
      <c r="CZ402" s="25"/>
      <c r="DA402" s="25"/>
      <c r="DB402" s="25"/>
      <c r="DC402" s="25"/>
      <c r="DD402" s="25"/>
      <c r="DE402" s="25"/>
      <c r="DF402" s="92"/>
      <c r="DG402" s="92"/>
      <c r="DH402" s="203"/>
      <c r="DI402" s="203"/>
      <c r="DJ402" s="203"/>
      <c r="DK402" s="203"/>
      <c r="DL402" s="203"/>
      <c r="DM402" s="203"/>
      <c r="DN402" s="203"/>
      <c r="DO402" s="203"/>
      <c r="DP402" s="208"/>
      <c r="DQ402" s="208"/>
      <c r="DR402" s="208"/>
      <c r="DS402" s="208"/>
      <c r="DT402" s="208"/>
      <c r="DU402" s="208"/>
      <c r="DV402" s="208"/>
      <c r="DW402" s="208"/>
      <c r="DX402" s="208"/>
      <c r="DY402" s="208"/>
      <c r="DZ402" s="208"/>
      <c r="EA402" s="208"/>
      <c r="EB402" s="208"/>
      <c r="EC402" s="208"/>
      <c r="ED402" s="208"/>
      <c r="EE402" s="208"/>
      <c r="EF402" s="208"/>
      <c r="EG402" s="208"/>
      <c r="EH402" s="208"/>
      <c r="EI402" s="208"/>
      <c r="EJ402" s="208"/>
      <c r="EK402" s="208"/>
      <c r="EL402" s="208"/>
      <c r="EM402" s="208"/>
      <c r="EN402" s="208"/>
      <c r="EO402" s="208"/>
      <c r="EP402" s="208"/>
      <c r="EQ402" s="208"/>
      <c r="ER402" s="208"/>
      <c r="ES402" s="208"/>
      <c r="ET402" s="208"/>
      <c r="EU402" s="208"/>
      <c r="EV402" s="208"/>
      <c r="EW402" s="208"/>
      <c r="EX402" s="208"/>
      <c r="EY402" s="208"/>
      <c r="EZ402" s="208">
        <v>0</v>
      </c>
      <c r="FA402" s="208">
        <v>0</v>
      </c>
      <c r="FB402" s="208">
        <v>0</v>
      </c>
      <c r="FC402" s="208"/>
      <c r="FD402" s="82"/>
      <c r="FE402" s="30"/>
    </row>
    <row r="403" spans="1:161" ht="15" hidden="1">
      <c r="A403" s="25" t="s">
        <v>397</v>
      </c>
      <c r="B403" s="212" t="s">
        <v>143</v>
      </c>
      <c r="C403" s="138"/>
      <c r="D403" s="221"/>
      <c r="E403" s="239">
        <v>970</v>
      </c>
      <c r="F403" s="95"/>
      <c r="G403" s="95"/>
      <c r="H403" s="147" t="s">
        <v>656</v>
      </c>
      <c r="I403" s="147"/>
      <c r="J403" s="135"/>
      <c r="K403" s="135"/>
      <c r="L403" s="139"/>
      <c r="M403" s="134"/>
      <c r="N403" s="134"/>
      <c r="O403" s="134"/>
      <c r="P403" s="134"/>
      <c r="Q403" s="134"/>
      <c r="R403" s="134"/>
      <c r="S403" s="139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3"/>
      <c r="BE403" s="83"/>
      <c r="BF403" s="83"/>
      <c r="BG403" s="82"/>
      <c r="BH403" s="81"/>
      <c r="BI403" s="80"/>
      <c r="BJ403" s="25"/>
      <c r="BK403" s="25"/>
      <c r="BL403" s="25"/>
      <c r="BM403" s="84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  <c r="CR403" s="25"/>
      <c r="CS403" s="25"/>
      <c r="CT403" s="25"/>
      <c r="CU403" s="25"/>
      <c r="CV403" s="25"/>
      <c r="CW403" s="25"/>
      <c r="CX403" s="25"/>
      <c r="CY403" s="25"/>
      <c r="CZ403" s="25"/>
      <c r="DA403" s="25"/>
      <c r="DB403" s="25"/>
      <c r="DC403" s="25"/>
      <c r="DD403" s="25"/>
      <c r="DE403" s="25"/>
      <c r="DF403" s="92"/>
      <c r="DG403" s="92"/>
      <c r="DH403" s="203"/>
      <c r="DI403" s="203"/>
      <c r="DJ403" s="203"/>
      <c r="DK403" s="203"/>
      <c r="DL403" s="203"/>
      <c r="DM403" s="203"/>
      <c r="DN403" s="203"/>
      <c r="DO403" s="203"/>
      <c r="DP403" s="208"/>
      <c r="DQ403" s="208"/>
      <c r="DR403" s="208"/>
      <c r="DS403" s="208"/>
      <c r="DT403" s="208"/>
      <c r="DU403" s="208"/>
      <c r="DV403" s="208"/>
      <c r="DW403" s="208"/>
      <c r="DX403" s="208"/>
      <c r="DY403" s="208"/>
      <c r="DZ403" s="208"/>
      <c r="EA403" s="208"/>
      <c r="EB403" s="208"/>
      <c r="EC403" s="208"/>
      <c r="ED403" s="208"/>
      <c r="EE403" s="208"/>
      <c r="EF403" s="208"/>
      <c r="EG403" s="208"/>
      <c r="EH403" s="208"/>
      <c r="EI403" s="208"/>
      <c r="EJ403" s="208"/>
      <c r="EK403" s="208"/>
      <c r="EL403" s="208"/>
      <c r="EM403" s="208"/>
      <c r="EN403" s="208"/>
      <c r="EO403" s="208"/>
      <c r="EP403" s="208"/>
      <c r="EQ403" s="208"/>
      <c r="ER403" s="208"/>
      <c r="ES403" s="208"/>
      <c r="ET403" s="208"/>
      <c r="EU403" s="208"/>
      <c r="EV403" s="208"/>
      <c r="EW403" s="208"/>
      <c r="EX403" s="208"/>
      <c r="EY403" s="208"/>
      <c r="EZ403" s="208">
        <v>0</v>
      </c>
      <c r="FA403" s="208">
        <v>0</v>
      </c>
      <c r="FB403" s="208">
        <v>0</v>
      </c>
      <c r="FC403" s="208"/>
      <c r="FD403" s="82"/>
      <c r="FE403" s="30"/>
    </row>
    <row r="404" spans="1:161" ht="15" hidden="1">
      <c r="A404" s="25" t="s">
        <v>377</v>
      </c>
      <c r="B404" s="212" t="s">
        <v>143</v>
      </c>
      <c r="C404" s="138"/>
      <c r="D404" s="221"/>
      <c r="E404" s="239">
        <v>770</v>
      </c>
      <c r="F404" s="95"/>
      <c r="G404" s="95"/>
      <c r="H404" s="147" t="s">
        <v>656</v>
      </c>
      <c r="I404" s="147"/>
      <c r="J404" s="135"/>
      <c r="K404" s="135"/>
      <c r="L404" s="139"/>
      <c r="M404" s="134"/>
      <c r="N404" s="134"/>
      <c r="O404" s="134"/>
      <c r="P404" s="134"/>
      <c r="Q404" s="134"/>
      <c r="R404" s="134"/>
      <c r="S404" s="139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3"/>
      <c r="BE404" s="83"/>
      <c r="BF404" s="83"/>
      <c r="BG404" s="82"/>
      <c r="BH404" s="81"/>
      <c r="BI404" s="80"/>
      <c r="BJ404" s="25"/>
      <c r="BK404" s="25"/>
      <c r="BL404" s="25"/>
      <c r="BM404" s="84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  <c r="CR404" s="25"/>
      <c r="CS404" s="25"/>
      <c r="CT404" s="25"/>
      <c r="CU404" s="25"/>
      <c r="CV404" s="25"/>
      <c r="CW404" s="25"/>
      <c r="CX404" s="25"/>
      <c r="CY404" s="25"/>
      <c r="CZ404" s="25"/>
      <c r="DA404" s="25"/>
      <c r="DB404" s="25"/>
      <c r="DC404" s="25"/>
      <c r="DD404" s="25"/>
      <c r="DE404" s="25"/>
      <c r="DF404" s="92"/>
      <c r="DG404" s="92"/>
      <c r="DH404" s="203"/>
      <c r="DI404" s="203"/>
      <c r="DJ404" s="203"/>
      <c r="DK404" s="203"/>
      <c r="DL404" s="203"/>
      <c r="DM404" s="203"/>
      <c r="DN404" s="203"/>
      <c r="DO404" s="203"/>
      <c r="DP404" s="208"/>
      <c r="DQ404" s="208"/>
      <c r="DR404" s="208"/>
      <c r="DS404" s="208"/>
      <c r="DT404" s="208"/>
      <c r="DU404" s="208"/>
      <c r="DV404" s="208"/>
      <c r="DW404" s="208"/>
      <c r="DX404" s="208"/>
      <c r="DY404" s="208"/>
      <c r="DZ404" s="208"/>
      <c r="EA404" s="208"/>
      <c r="EB404" s="208"/>
      <c r="EC404" s="208"/>
      <c r="ED404" s="208"/>
      <c r="EE404" s="208"/>
      <c r="EF404" s="208"/>
      <c r="EG404" s="208"/>
      <c r="EH404" s="208"/>
      <c r="EI404" s="208"/>
      <c r="EJ404" s="208"/>
      <c r="EK404" s="208"/>
      <c r="EL404" s="208"/>
      <c r="EM404" s="208"/>
      <c r="EN404" s="208"/>
      <c r="EO404" s="208"/>
      <c r="EP404" s="208"/>
      <c r="EQ404" s="208"/>
      <c r="ER404" s="208"/>
      <c r="ES404" s="208"/>
      <c r="ET404" s="208"/>
      <c r="EU404" s="208"/>
      <c r="EV404" s="208"/>
      <c r="EW404" s="208"/>
      <c r="EX404" s="208"/>
      <c r="EY404" s="208"/>
      <c r="EZ404" s="208">
        <v>0</v>
      </c>
      <c r="FA404" s="208">
        <v>0</v>
      </c>
      <c r="FB404" s="208">
        <v>0</v>
      </c>
      <c r="FC404" s="208"/>
      <c r="FD404" s="82"/>
      <c r="FE404" s="30"/>
    </row>
    <row r="405" spans="1:161" ht="15" hidden="1">
      <c r="A405" s="25" t="s">
        <v>378</v>
      </c>
      <c r="B405" s="212" t="s">
        <v>143</v>
      </c>
      <c r="C405" s="138"/>
      <c r="D405" s="221"/>
      <c r="E405" s="239">
        <v>770</v>
      </c>
      <c r="F405" s="95"/>
      <c r="G405" s="95"/>
      <c r="H405" s="147" t="s">
        <v>656</v>
      </c>
      <c r="I405" s="147"/>
      <c r="J405" s="135"/>
      <c r="K405" s="135"/>
      <c r="L405" s="139"/>
      <c r="M405" s="134"/>
      <c r="N405" s="134"/>
      <c r="O405" s="134"/>
      <c r="P405" s="134"/>
      <c r="Q405" s="134"/>
      <c r="R405" s="134"/>
      <c r="S405" s="139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3"/>
      <c r="BE405" s="83"/>
      <c r="BF405" s="83"/>
      <c r="BG405" s="82"/>
      <c r="BH405" s="81"/>
      <c r="BI405" s="80"/>
      <c r="BJ405" s="25"/>
      <c r="BK405" s="25"/>
      <c r="BL405" s="25"/>
      <c r="BM405" s="84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  <c r="CR405" s="25"/>
      <c r="CS405" s="25"/>
      <c r="CT405" s="25"/>
      <c r="CU405" s="25"/>
      <c r="CV405" s="25"/>
      <c r="CW405" s="25"/>
      <c r="CX405" s="25"/>
      <c r="CY405" s="25"/>
      <c r="CZ405" s="25"/>
      <c r="DA405" s="25"/>
      <c r="DB405" s="25"/>
      <c r="DC405" s="25"/>
      <c r="DD405" s="25"/>
      <c r="DE405" s="25"/>
      <c r="DF405" s="92"/>
      <c r="DG405" s="92"/>
      <c r="DH405" s="203"/>
      <c r="DI405" s="203"/>
      <c r="DJ405" s="203"/>
      <c r="DK405" s="203"/>
      <c r="DL405" s="203"/>
      <c r="DM405" s="203"/>
      <c r="DN405" s="203"/>
      <c r="DO405" s="203"/>
      <c r="DP405" s="208"/>
      <c r="DQ405" s="208"/>
      <c r="DR405" s="208"/>
      <c r="DS405" s="208"/>
      <c r="DT405" s="208"/>
      <c r="DU405" s="208"/>
      <c r="DV405" s="208"/>
      <c r="DW405" s="208"/>
      <c r="DX405" s="208"/>
      <c r="DY405" s="208"/>
      <c r="DZ405" s="208"/>
      <c r="EA405" s="208"/>
      <c r="EB405" s="208"/>
      <c r="EC405" s="208"/>
      <c r="ED405" s="208"/>
      <c r="EE405" s="208"/>
      <c r="EF405" s="208"/>
      <c r="EG405" s="208"/>
      <c r="EH405" s="208"/>
      <c r="EI405" s="208"/>
      <c r="EJ405" s="208"/>
      <c r="EK405" s="208"/>
      <c r="EL405" s="208"/>
      <c r="EM405" s="208"/>
      <c r="EN405" s="208"/>
      <c r="EO405" s="208"/>
      <c r="EP405" s="208"/>
      <c r="EQ405" s="208"/>
      <c r="ER405" s="208"/>
      <c r="ES405" s="208"/>
      <c r="ET405" s="208"/>
      <c r="EU405" s="208"/>
      <c r="EV405" s="208"/>
      <c r="EW405" s="208"/>
      <c r="EX405" s="208"/>
      <c r="EY405" s="208"/>
      <c r="EZ405" s="208">
        <v>0</v>
      </c>
      <c r="FA405" s="208">
        <v>0</v>
      </c>
      <c r="FB405" s="208">
        <v>0</v>
      </c>
      <c r="FC405" s="208"/>
      <c r="FD405" s="82"/>
      <c r="FE405" s="30"/>
    </row>
    <row r="406" spans="1:161" ht="15" hidden="1">
      <c r="A406" s="25" t="s">
        <v>379</v>
      </c>
      <c r="B406" s="212" t="s">
        <v>143</v>
      </c>
      <c r="C406" s="138"/>
      <c r="D406" s="221"/>
      <c r="E406" s="239">
        <v>770</v>
      </c>
      <c r="F406" s="95"/>
      <c r="G406" s="95"/>
      <c r="H406" s="147" t="s">
        <v>656</v>
      </c>
      <c r="I406" s="147"/>
      <c r="J406" s="135"/>
      <c r="K406" s="135"/>
      <c r="L406" s="139"/>
      <c r="M406" s="134"/>
      <c r="N406" s="134"/>
      <c r="O406" s="134"/>
      <c r="P406" s="134"/>
      <c r="Q406" s="134"/>
      <c r="R406" s="134"/>
      <c r="S406" s="139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3"/>
      <c r="BE406" s="83"/>
      <c r="BF406" s="83"/>
      <c r="BG406" s="82"/>
      <c r="BH406" s="81"/>
      <c r="BI406" s="80"/>
      <c r="BJ406" s="25"/>
      <c r="BK406" s="25"/>
      <c r="BL406" s="25"/>
      <c r="BM406" s="84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  <c r="CC406" s="25"/>
      <c r="CD406" s="25"/>
      <c r="CE406" s="25"/>
      <c r="CF406" s="25"/>
      <c r="CG406" s="25"/>
      <c r="CH406" s="25"/>
      <c r="CI406" s="25"/>
      <c r="CJ406" s="25"/>
      <c r="CK406" s="25"/>
      <c r="CL406" s="25"/>
      <c r="CM406" s="25"/>
      <c r="CN406" s="25"/>
      <c r="CO406" s="25"/>
      <c r="CP406" s="25"/>
      <c r="CQ406" s="25"/>
      <c r="CR406" s="25"/>
      <c r="CS406" s="25"/>
      <c r="CT406" s="25"/>
      <c r="CU406" s="25"/>
      <c r="CV406" s="25"/>
      <c r="CW406" s="25"/>
      <c r="CX406" s="25"/>
      <c r="CY406" s="25"/>
      <c r="CZ406" s="25"/>
      <c r="DA406" s="25"/>
      <c r="DB406" s="25"/>
      <c r="DC406" s="25"/>
      <c r="DD406" s="25"/>
      <c r="DE406" s="25"/>
      <c r="DF406" s="92"/>
      <c r="DG406" s="92"/>
      <c r="DH406" s="203"/>
      <c r="DI406" s="203"/>
      <c r="DJ406" s="203"/>
      <c r="DK406" s="203"/>
      <c r="DL406" s="203"/>
      <c r="DM406" s="203"/>
      <c r="DN406" s="203"/>
      <c r="DO406" s="203"/>
      <c r="DP406" s="208"/>
      <c r="DQ406" s="208"/>
      <c r="DR406" s="208"/>
      <c r="DS406" s="208"/>
      <c r="DT406" s="208"/>
      <c r="DU406" s="208"/>
      <c r="DV406" s="208"/>
      <c r="DW406" s="208"/>
      <c r="DX406" s="208"/>
      <c r="DY406" s="208"/>
      <c r="DZ406" s="208"/>
      <c r="EA406" s="208"/>
      <c r="EB406" s="208"/>
      <c r="EC406" s="208"/>
      <c r="ED406" s="208"/>
      <c r="EE406" s="208"/>
      <c r="EF406" s="208"/>
      <c r="EG406" s="208"/>
      <c r="EH406" s="208"/>
      <c r="EI406" s="208"/>
      <c r="EJ406" s="208"/>
      <c r="EK406" s="208"/>
      <c r="EL406" s="208"/>
      <c r="EM406" s="208"/>
      <c r="EN406" s="208"/>
      <c r="EO406" s="208"/>
      <c r="EP406" s="208"/>
      <c r="EQ406" s="208"/>
      <c r="ER406" s="208"/>
      <c r="ES406" s="208"/>
      <c r="ET406" s="208"/>
      <c r="EU406" s="208"/>
      <c r="EV406" s="208"/>
      <c r="EW406" s="208"/>
      <c r="EX406" s="208"/>
      <c r="EY406" s="208"/>
      <c r="EZ406" s="208">
        <v>0</v>
      </c>
      <c r="FA406" s="208">
        <v>0</v>
      </c>
      <c r="FB406" s="208">
        <v>0</v>
      </c>
      <c r="FC406" s="208"/>
      <c r="FD406" s="82"/>
      <c r="FE406" s="30"/>
    </row>
    <row r="407" spans="1:161" ht="15" hidden="1">
      <c r="A407" s="25" t="s">
        <v>380</v>
      </c>
      <c r="B407" s="212" t="s">
        <v>143</v>
      </c>
      <c r="C407" s="138"/>
      <c r="D407" s="221"/>
      <c r="E407" s="239">
        <v>770</v>
      </c>
      <c r="F407" s="95"/>
      <c r="G407" s="95"/>
      <c r="H407" s="147" t="s">
        <v>656</v>
      </c>
      <c r="I407" s="147"/>
      <c r="J407" s="135"/>
      <c r="K407" s="135"/>
      <c r="L407" s="139"/>
      <c r="M407" s="134"/>
      <c r="N407" s="134"/>
      <c r="O407" s="134"/>
      <c r="P407" s="134"/>
      <c r="Q407" s="134"/>
      <c r="R407" s="134"/>
      <c r="S407" s="139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3"/>
      <c r="BE407" s="83"/>
      <c r="BF407" s="83"/>
      <c r="BG407" s="82"/>
      <c r="BH407" s="81"/>
      <c r="BI407" s="80"/>
      <c r="BJ407" s="25"/>
      <c r="BK407" s="25"/>
      <c r="BL407" s="25"/>
      <c r="BM407" s="84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  <c r="CR407" s="25"/>
      <c r="CS407" s="25"/>
      <c r="CT407" s="25"/>
      <c r="CU407" s="25"/>
      <c r="CV407" s="25"/>
      <c r="CW407" s="25"/>
      <c r="CX407" s="25"/>
      <c r="CY407" s="25"/>
      <c r="CZ407" s="25"/>
      <c r="DA407" s="25"/>
      <c r="DB407" s="25"/>
      <c r="DC407" s="25"/>
      <c r="DD407" s="25"/>
      <c r="DE407" s="25"/>
      <c r="DF407" s="92"/>
      <c r="DG407" s="92"/>
      <c r="DH407" s="203"/>
      <c r="DI407" s="203"/>
      <c r="DJ407" s="203"/>
      <c r="DK407" s="203"/>
      <c r="DL407" s="203"/>
      <c r="DM407" s="203"/>
      <c r="DN407" s="203"/>
      <c r="DO407" s="203"/>
      <c r="DP407" s="208"/>
      <c r="DQ407" s="208"/>
      <c r="DR407" s="208"/>
      <c r="DS407" s="208"/>
      <c r="DT407" s="208"/>
      <c r="DU407" s="208"/>
      <c r="DV407" s="208"/>
      <c r="DW407" s="208"/>
      <c r="DX407" s="208"/>
      <c r="DY407" s="208"/>
      <c r="DZ407" s="208"/>
      <c r="EA407" s="208"/>
      <c r="EB407" s="208"/>
      <c r="EC407" s="208"/>
      <c r="ED407" s="208"/>
      <c r="EE407" s="208"/>
      <c r="EF407" s="208"/>
      <c r="EG407" s="208"/>
      <c r="EH407" s="208"/>
      <c r="EI407" s="208"/>
      <c r="EJ407" s="208"/>
      <c r="EK407" s="208"/>
      <c r="EL407" s="208"/>
      <c r="EM407" s="208"/>
      <c r="EN407" s="208"/>
      <c r="EO407" s="208"/>
      <c r="EP407" s="208"/>
      <c r="EQ407" s="208"/>
      <c r="ER407" s="208"/>
      <c r="ES407" s="208"/>
      <c r="ET407" s="208"/>
      <c r="EU407" s="208"/>
      <c r="EV407" s="208"/>
      <c r="EW407" s="208"/>
      <c r="EX407" s="208"/>
      <c r="EY407" s="208"/>
      <c r="EZ407" s="208">
        <v>0</v>
      </c>
      <c r="FA407" s="208">
        <v>0</v>
      </c>
      <c r="FB407" s="208">
        <v>0</v>
      </c>
      <c r="FC407" s="208"/>
      <c r="FD407" s="82"/>
      <c r="FE407" s="30"/>
    </row>
    <row r="408" spans="1:161" ht="15" hidden="1">
      <c r="A408" s="25" t="s">
        <v>381</v>
      </c>
      <c r="B408" s="212" t="s">
        <v>143</v>
      </c>
      <c r="C408" s="138"/>
      <c r="D408" s="221"/>
      <c r="E408" s="239">
        <v>770</v>
      </c>
      <c r="F408" s="95"/>
      <c r="G408" s="95"/>
      <c r="H408" s="147" t="s">
        <v>656</v>
      </c>
      <c r="I408" s="147"/>
      <c r="J408" s="135"/>
      <c r="K408" s="135"/>
      <c r="L408" s="139"/>
      <c r="M408" s="134"/>
      <c r="N408" s="134"/>
      <c r="O408" s="134"/>
      <c r="P408" s="134"/>
      <c r="Q408" s="134"/>
      <c r="R408" s="134"/>
      <c r="S408" s="139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3"/>
      <c r="BE408" s="83"/>
      <c r="BF408" s="83"/>
      <c r="BG408" s="82"/>
      <c r="BH408" s="81"/>
      <c r="BI408" s="80"/>
      <c r="BJ408" s="25"/>
      <c r="BK408" s="25"/>
      <c r="BL408" s="25"/>
      <c r="BM408" s="84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  <c r="CC408" s="25"/>
      <c r="CD408" s="25"/>
      <c r="CE408" s="25"/>
      <c r="CF408" s="25"/>
      <c r="CG408" s="25"/>
      <c r="CH408" s="25"/>
      <c r="CI408" s="25"/>
      <c r="CJ408" s="25"/>
      <c r="CK408" s="25"/>
      <c r="CL408" s="25"/>
      <c r="CM408" s="25"/>
      <c r="CN408" s="25"/>
      <c r="CO408" s="25"/>
      <c r="CP408" s="25"/>
      <c r="CQ408" s="25"/>
      <c r="CR408" s="25"/>
      <c r="CS408" s="25"/>
      <c r="CT408" s="25"/>
      <c r="CU408" s="25"/>
      <c r="CV408" s="25"/>
      <c r="CW408" s="25"/>
      <c r="CX408" s="25"/>
      <c r="CY408" s="25"/>
      <c r="CZ408" s="25"/>
      <c r="DA408" s="25"/>
      <c r="DB408" s="25"/>
      <c r="DC408" s="25"/>
      <c r="DD408" s="25"/>
      <c r="DE408" s="25"/>
      <c r="DF408" s="92"/>
      <c r="DG408" s="92"/>
      <c r="DH408" s="203"/>
      <c r="DI408" s="203"/>
      <c r="DJ408" s="203"/>
      <c r="DK408" s="203"/>
      <c r="DL408" s="203"/>
      <c r="DM408" s="203"/>
      <c r="DN408" s="203"/>
      <c r="DO408" s="203"/>
      <c r="DP408" s="208"/>
      <c r="DQ408" s="208"/>
      <c r="DR408" s="208"/>
      <c r="DS408" s="208"/>
      <c r="DT408" s="208"/>
      <c r="DU408" s="208"/>
      <c r="DV408" s="208"/>
      <c r="DW408" s="208"/>
      <c r="DX408" s="208"/>
      <c r="DY408" s="208"/>
      <c r="DZ408" s="208"/>
      <c r="EA408" s="208"/>
      <c r="EB408" s="208"/>
      <c r="EC408" s="208"/>
      <c r="ED408" s="208"/>
      <c r="EE408" s="208"/>
      <c r="EF408" s="208"/>
      <c r="EG408" s="208"/>
      <c r="EH408" s="208"/>
      <c r="EI408" s="208"/>
      <c r="EJ408" s="208"/>
      <c r="EK408" s="208"/>
      <c r="EL408" s="208"/>
      <c r="EM408" s="208"/>
      <c r="EN408" s="208"/>
      <c r="EO408" s="208"/>
      <c r="EP408" s="208"/>
      <c r="EQ408" s="208"/>
      <c r="ER408" s="208"/>
      <c r="ES408" s="208"/>
      <c r="ET408" s="208"/>
      <c r="EU408" s="208"/>
      <c r="EV408" s="208"/>
      <c r="EW408" s="208"/>
      <c r="EX408" s="208"/>
      <c r="EY408" s="208"/>
      <c r="EZ408" s="208">
        <v>0</v>
      </c>
      <c r="FA408" s="208">
        <v>0</v>
      </c>
      <c r="FB408" s="208">
        <v>0</v>
      </c>
      <c r="FC408" s="208"/>
      <c r="FD408" s="82"/>
      <c r="FE408" s="30"/>
    </row>
    <row r="409" spans="1:161" ht="15" hidden="1">
      <c r="A409" s="25" t="s">
        <v>382</v>
      </c>
      <c r="B409" s="212" t="s">
        <v>143</v>
      </c>
      <c r="C409" s="138"/>
      <c r="D409" s="221"/>
      <c r="E409" s="239">
        <v>770</v>
      </c>
      <c r="F409" s="95"/>
      <c r="G409" s="95"/>
      <c r="H409" s="147" t="s">
        <v>656</v>
      </c>
      <c r="I409" s="147"/>
      <c r="J409" s="135"/>
      <c r="K409" s="135"/>
      <c r="L409" s="139"/>
      <c r="M409" s="134"/>
      <c r="N409" s="134"/>
      <c r="O409" s="134"/>
      <c r="P409" s="134"/>
      <c r="Q409" s="134"/>
      <c r="R409" s="134"/>
      <c r="S409" s="139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3"/>
      <c r="BE409" s="83"/>
      <c r="BF409" s="83"/>
      <c r="BG409" s="82"/>
      <c r="BH409" s="81"/>
      <c r="BI409" s="80"/>
      <c r="BJ409" s="25"/>
      <c r="BK409" s="25"/>
      <c r="BL409" s="25"/>
      <c r="BM409" s="84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  <c r="CU409" s="25"/>
      <c r="CV409" s="25"/>
      <c r="CW409" s="25"/>
      <c r="CX409" s="25"/>
      <c r="CY409" s="25"/>
      <c r="CZ409" s="25"/>
      <c r="DA409" s="25"/>
      <c r="DB409" s="25"/>
      <c r="DC409" s="25"/>
      <c r="DD409" s="25"/>
      <c r="DE409" s="25"/>
      <c r="DF409" s="92"/>
      <c r="DG409" s="92"/>
      <c r="DH409" s="203"/>
      <c r="DI409" s="203"/>
      <c r="DJ409" s="203"/>
      <c r="DK409" s="203"/>
      <c r="DL409" s="203"/>
      <c r="DM409" s="203"/>
      <c r="DN409" s="203"/>
      <c r="DO409" s="203"/>
      <c r="DP409" s="208"/>
      <c r="DQ409" s="208"/>
      <c r="DR409" s="208"/>
      <c r="DS409" s="208"/>
      <c r="DT409" s="208"/>
      <c r="DU409" s="208"/>
      <c r="DV409" s="208"/>
      <c r="DW409" s="208"/>
      <c r="DX409" s="208"/>
      <c r="DY409" s="208"/>
      <c r="DZ409" s="208"/>
      <c r="EA409" s="208"/>
      <c r="EB409" s="208"/>
      <c r="EC409" s="208"/>
      <c r="ED409" s="208"/>
      <c r="EE409" s="208"/>
      <c r="EF409" s="208"/>
      <c r="EG409" s="208"/>
      <c r="EH409" s="208"/>
      <c r="EI409" s="208"/>
      <c r="EJ409" s="208"/>
      <c r="EK409" s="208"/>
      <c r="EL409" s="208"/>
      <c r="EM409" s="208"/>
      <c r="EN409" s="208"/>
      <c r="EO409" s="208"/>
      <c r="EP409" s="208"/>
      <c r="EQ409" s="208"/>
      <c r="ER409" s="208"/>
      <c r="ES409" s="208"/>
      <c r="ET409" s="208"/>
      <c r="EU409" s="208"/>
      <c r="EV409" s="208"/>
      <c r="EW409" s="208"/>
      <c r="EX409" s="208"/>
      <c r="EY409" s="208"/>
      <c r="EZ409" s="208">
        <v>0</v>
      </c>
      <c r="FA409" s="208">
        <v>0</v>
      </c>
      <c r="FB409" s="208">
        <v>0</v>
      </c>
      <c r="FC409" s="208"/>
      <c r="FD409" s="82"/>
      <c r="FE409" s="30"/>
    </row>
    <row r="410" spans="1:161" ht="15" hidden="1">
      <c r="A410" s="25" t="s">
        <v>383</v>
      </c>
      <c r="B410" s="212" t="s">
        <v>143</v>
      </c>
      <c r="C410" s="138"/>
      <c r="D410" s="221"/>
      <c r="E410" s="239">
        <v>770</v>
      </c>
      <c r="F410" s="95"/>
      <c r="G410" s="95"/>
      <c r="H410" s="147" t="s">
        <v>656</v>
      </c>
      <c r="I410" s="147"/>
      <c r="J410" s="135"/>
      <c r="K410" s="135"/>
      <c r="L410" s="139"/>
      <c r="M410" s="134"/>
      <c r="N410" s="134"/>
      <c r="O410" s="134"/>
      <c r="P410" s="134"/>
      <c r="Q410" s="134"/>
      <c r="R410" s="134"/>
      <c r="S410" s="139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3"/>
      <c r="BE410" s="83"/>
      <c r="BF410" s="83"/>
      <c r="BG410" s="82"/>
      <c r="BH410" s="81"/>
      <c r="BI410" s="80"/>
      <c r="BJ410" s="25"/>
      <c r="BK410" s="25"/>
      <c r="BL410" s="25"/>
      <c r="BM410" s="84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  <c r="CR410" s="25"/>
      <c r="CS410" s="25"/>
      <c r="CT410" s="25"/>
      <c r="CU410" s="25"/>
      <c r="CV410" s="25"/>
      <c r="CW410" s="25"/>
      <c r="CX410" s="25"/>
      <c r="CY410" s="25"/>
      <c r="CZ410" s="25"/>
      <c r="DA410" s="25"/>
      <c r="DB410" s="25"/>
      <c r="DC410" s="25"/>
      <c r="DD410" s="25"/>
      <c r="DE410" s="25"/>
      <c r="DF410" s="92"/>
      <c r="DG410" s="92"/>
      <c r="DH410" s="203"/>
      <c r="DI410" s="203"/>
      <c r="DJ410" s="203"/>
      <c r="DK410" s="203"/>
      <c r="DL410" s="203"/>
      <c r="DM410" s="203"/>
      <c r="DN410" s="203"/>
      <c r="DO410" s="203"/>
      <c r="DP410" s="208"/>
      <c r="DQ410" s="208"/>
      <c r="DR410" s="208"/>
      <c r="DS410" s="208"/>
      <c r="DT410" s="208"/>
      <c r="DU410" s="208"/>
      <c r="DV410" s="208"/>
      <c r="DW410" s="208"/>
      <c r="DX410" s="208"/>
      <c r="DY410" s="208"/>
      <c r="DZ410" s="208"/>
      <c r="EA410" s="208"/>
      <c r="EB410" s="208"/>
      <c r="EC410" s="208"/>
      <c r="ED410" s="208"/>
      <c r="EE410" s="208"/>
      <c r="EF410" s="208"/>
      <c r="EG410" s="208"/>
      <c r="EH410" s="208"/>
      <c r="EI410" s="208"/>
      <c r="EJ410" s="208"/>
      <c r="EK410" s="208"/>
      <c r="EL410" s="208"/>
      <c r="EM410" s="208"/>
      <c r="EN410" s="208"/>
      <c r="EO410" s="208"/>
      <c r="EP410" s="208"/>
      <c r="EQ410" s="208"/>
      <c r="ER410" s="208"/>
      <c r="ES410" s="208"/>
      <c r="ET410" s="208"/>
      <c r="EU410" s="208"/>
      <c r="EV410" s="208"/>
      <c r="EW410" s="208"/>
      <c r="EX410" s="208"/>
      <c r="EY410" s="208"/>
      <c r="EZ410" s="208">
        <v>0</v>
      </c>
      <c r="FA410" s="208">
        <v>0</v>
      </c>
      <c r="FB410" s="208">
        <v>0</v>
      </c>
      <c r="FC410" s="208"/>
      <c r="FD410" s="82"/>
      <c r="FE410" s="30"/>
    </row>
    <row r="411" spans="1:161" ht="15" hidden="1">
      <c r="A411" s="25" t="s">
        <v>384</v>
      </c>
      <c r="B411" s="212" t="s">
        <v>143</v>
      </c>
      <c r="C411" s="138"/>
      <c r="D411" s="221"/>
      <c r="E411" s="239">
        <v>770</v>
      </c>
      <c r="F411" s="95"/>
      <c r="G411" s="95"/>
      <c r="H411" s="147" t="s">
        <v>656</v>
      </c>
      <c r="I411" s="147"/>
      <c r="J411" s="135"/>
      <c r="K411" s="135"/>
      <c r="L411" s="139"/>
      <c r="M411" s="134"/>
      <c r="N411" s="134"/>
      <c r="O411" s="134"/>
      <c r="P411" s="134"/>
      <c r="Q411" s="134"/>
      <c r="R411" s="134"/>
      <c r="S411" s="139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3"/>
      <c r="BE411" s="83"/>
      <c r="BF411" s="83"/>
      <c r="BG411" s="82"/>
      <c r="BH411" s="81"/>
      <c r="BI411" s="80"/>
      <c r="BJ411" s="25"/>
      <c r="BK411" s="25"/>
      <c r="BL411" s="25"/>
      <c r="BM411" s="84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  <c r="CC411" s="25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  <c r="CR411" s="25"/>
      <c r="CS411" s="25"/>
      <c r="CT411" s="25"/>
      <c r="CU411" s="25"/>
      <c r="CV411" s="25"/>
      <c r="CW411" s="25"/>
      <c r="CX411" s="25"/>
      <c r="CY411" s="25"/>
      <c r="CZ411" s="25"/>
      <c r="DA411" s="25"/>
      <c r="DB411" s="25"/>
      <c r="DC411" s="25"/>
      <c r="DD411" s="25"/>
      <c r="DE411" s="25"/>
      <c r="DF411" s="92"/>
      <c r="DG411" s="92"/>
      <c r="DH411" s="203"/>
      <c r="DI411" s="203"/>
      <c r="DJ411" s="203"/>
      <c r="DK411" s="203"/>
      <c r="DL411" s="203"/>
      <c r="DM411" s="203"/>
      <c r="DN411" s="203"/>
      <c r="DO411" s="203"/>
      <c r="DP411" s="208"/>
      <c r="DQ411" s="208"/>
      <c r="DR411" s="208"/>
      <c r="DS411" s="208"/>
      <c r="DT411" s="208"/>
      <c r="DU411" s="208"/>
      <c r="DV411" s="208"/>
      <c r="DW411" s="208"/>
      <c r="DX411" s="208"/>
      <c r="DY411" s="208"/>
      <c r="DZ411" s="208"/>
      <c r="EA411" s="208"/>
      <c r="EB411" s="208"/>
      <c r="EC411" s="208"/>
      <c r="ED411" s="208"/>
      <c r="EE411" s="208"/>
      <c r="EF411" s="208"/>
      <c r="EG411" s="208"/>
      <c r="EH411" s="208"/>
      <c r="EI411" s="208"/>
      <c r="EJ411" s="208"/>
      <c r="EK411" s="208"/>
      <c r="EL411" s="208"/>
      <c r="EM411" s="208"/>
      <c r="EN411" s="208"/>
      <c r="EO411" s="208"/>
      <c r="EP411" s="208"/>
      <c r="EQ411" s="208"/>
      <c r="ER411" s="208"/>
      <c r="ES411" s="208"/>
      <c r="ET411" s="208"/>
      <c r="EU411" s="208"/>
      <c r="EV411" s="208"/>
      <c r="EW411" s="208"/>
      <c r="EX411" s="208"/>
      <c r="EY411" s="208"/>
      <c r="EZ411" s="208">
        <v>0</v>
      </c>
      <c r="FA411" s="208">
        <v>0</v>
      </c>
      <c r="FB411" s="208">
        <v>0</v>
      </c>
      <c r="FC411" s="208"/>
      <c r="FD411" s="82"/>
      <c r="FE411" s="30"/>
    </row>
    <row r="412" spans="1:161" ht="15" hidden="1">
      <c r="A412" s="25" t="s">
        <v>385</v>
      </c>
      <c r="B412" s="212" t="s">
        <v>143</v>
      </c>
      <c r="C412" s="138"/>
      <c r="D412" s="221"/>
      <c r="E412" s="239">
        <v>770</v>
      </c>
      <c r="F412" s="95"/>
      <c r="G412" s="95"/>
      <c r="H412" s="147" t="s">
        <v>656</v>
      </c>
      <c r="I412" s="147"/>
      <c r="J412" s="135"/>
      <c r="K412" s="135"/>
      <c r="L412" s="139"/>
      <c r="M412" s="134"/>
      <c r="N412" s="134"/>
      <c r="O412" s="134"/>
      <c r="P412" s="134"/>
      <c r="Q412" s="134"/>
      <c r="R412" s="134"/>
      <c r="S412" s="139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3"/>
      <c r="BE412" s="83"/>
      <c r="BF412" s="83"/>
      <c r="BG412" s="82"/>
      <c r="BH412" s="81"/>
      <c r="BI412" s="80"/>
      <c r="BJ412" s="25"/>
      <c r="BK412" s="25"/>
      <c r="BL412" s="25"/>
      <c r="BM412" s="84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  <c r="CC412" s="25"/>
      <c r="CD412" s="25"/>
      <c r="CE412" s="25"/>
      <c r="CF412" s="25"/>
      <c r="CG412" s="25"/>
      <c r="CH412" s="25"/>
      <c r="CI412" s="25"/>
      <c r="CJ412" s="25"/>
      <c r="CK412" s="25"/>
      <c r="CL412" s="25"/>
      <c r="CM412" s="25"/>
      <c r="CN412" s="25"/>
      <c r="CO412" s="25"/>
      <c r="CP412" s="25"/>
      <c r="CQ412" s="25"/>
      <c r="CR412" s="25"/>
      <c r="CS412" s="25"/>
      <c r="CT412" s="25"/>
      <c r="CU412" s="25"/>
      <c r="CV412" s="25"/>
      <c r="CW412" s="25"/>
      <c r="CX412" s="25"/>
      <c r="CY412" s="25"/>
      <c r="CZ412" s="25"/>
      <c r="DA412" s="25"/>
      <c r="DB412" s="25"/>
      <c r="DC412" s="25"/>
      <c r="DD412" s="25"/>
      <c r="DE412" s="25"/>
      <c r="DF412" s="92"/>
      <c r="DG412" s="92"/>
      <c r="DH412" s="203"/>
      <c r="DI412" s="203"/>
      <c r="DJ412" s="203"/>
      <c r="DK412" s="203"/>
      <c r="DL412" s="203"/>
      <c r="DM412" s="203"/>
      <c r="DN412" s="203"/>
      <c r="DO412" s="203"/>
      <c r="DP412" s="208"/>
      <c r="DQ412" s="208"/>
      <c r="DR412" s="208"/>
      <c r="DS412" s="208"/>
      <c r="DT412" s="208"/>
      <c r="DU412" s="208"/>
      <c r="DV412" s="208"/>
      <c r="DW412" s="208"/>
      <c r="DX412" s="208"/>
      <c r="DY412" s="208"/>
      <c r="DZ412" s="208"/>
      <c r="EA412" s="208"/>
      <c r="EB412" s="208"/>
      <c r="EC412" s="208"/>
      <c r="ED412" s="208"/>
      <c r="EE412" s="208"/>
      <c r="EF412" s="208"/>
      <c r="EG412" s="208"/>
      <c r="EH412" s="208"/>
      <c r="EI412" s="208"/>
      <c r="EJ412" s="208"/>
      <c r="EK412" s="208"/>
      <c r="EL412" s="208"/>
      <c r="EM412" s="208"/>
      <c r="EN412" s="208"/>
      <c r="EO412" s="208"/>
      <c r="EP412" s="208"/>
      <c r="EQ412" s="208"/>
      <c r="ER412" s="208"/>
      <c r="ES412" s="208"/>
      <c r="ET412" s="208"/>
      <c r="EU412" s="208"/>
      <c r="EV412" s="208"/>
      <c r="EW412" s="208"/>
      <c r="EX412" s="208"/>
      <c r="EY412" s="208"/>
      <c r="EZ412" s="208">
        <v>0</v>
      </c>
      <c r="FA412" s="208">
        <v>0</v>
      </c>
      <c r="FB412" s="208">
        <v>0</v>
      </c>
      <c r="FC412" s="208"/>
      <c r="FD412" s="82"/>
      <c r="FE412" s="30"/>
    </row>
    <row r="413" spans="1:161" ht="15" hidden="1">
      <c r="A413" s="25" t="s">
        <v>386</v>
      </c>
      <c r="B413" s="212" t="s">
        <v>143</v>
      </c>
      <c r="C413" s="138"/>
      <c r="D413" s="221"/>
      <c r="E413" s="239">
        <v>770</v>
      </c>
      <c r="F413" s="95"/>
      <c r="G413" s="95"/>
      <c r="H413" s="147" t="s">
        <v>656</v>
      </c>
      <c r="I413" s="147"/>
      <c r="J413" s="135"/>
      <c r="K413" s="135"/>
      <c r="L413" s="139"/>
      <c r="M413" s="134"/>
      <c r="N413" s="134"/>
      <c r="O413" s="134"/>
      <c r="P413" s="134"/>
      <c r="Q413" s="134"/>
      <c r="R413" s="134"/>
      <c r="S413" s="139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3"/>
      <c r="BE413" s="83"/>
      <c r="BF413" s="83"/>
      <c r="BG413" s="82"/>
      <c r="BH413" s="81"/>
      <c r="BI413" s="80"/>
      <c r="BJ413" s="25"/>
      <c r="BK413" s="25"/>
      <c r="BL413" s="25"/>
      <c r="BM413" s="84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  <c r="CC413" s="25"/>
      <c r="CD413" s="25"/>
      <c r="CE413" s="25"/>
      <c r="CF413" s="25"/>
      <c r="CG413" s="25"/>
      <c r="CH413" s="25"/>
      <c r="CI413" s="25"/>
      <c r="CJ413" s="25"/>
      <c r="CK413" s="25"/>
      <c r="CL413" s="25"/>
      <c r="CM413" s="25"/>
      <c r="CN413" s="25"/>
      <c r="CO413" s="25"/>
      <c r="CP413" s="25"/>
      <c r="CQ413" s="25"/>
      <c r="CR413" s="25"/>
      <c r="CS413" s="25"/>
      <c r="CT413" s="25"/>
      <c r="CU413" s="25"/>
      <c r="CV413" s="25"/>
      <c r="CW413" s="25"/>
      <c r="CX413" s="25"/>
      <c r="CY413" s="25"/>
      <c r="CZ413" s="25"/>
      <c r="DA413" s="25"/>
      <c r="DB413" s="25"/>
      <c r="DC413" s="25"/>
      <c r="DD413" s="25"/>
      <c r="DE413" s="25"/>
      <c r="DF413" s="92"/>
      <c r="DG413" s="92"/>
      <c r="DH413" s="203"/>
      <c r="DI413" s="203"/>
      <c r="DJ413" s="203"/>
      <c r="DK413" s="203"/>
      <c r="DL413" s="203"/>
      <c r="DM413" s="203"/>
      <c r="DN413" s="203"/>
      <c r="DO413" s="203"/>
      <c r="DP413" s="208"/>
      <c r="DQ413" s="208"/>
      <c r="DR413" s="208"/>
      <c r="DS413" s="208"/>
      <c r="DT413" s="208"/>
      <c r="DU413" s="208"/>
      <c r="DV413" s="208"/>
      <c r="DW413" s="208"/>
      <c r="DX413" s="208"/>
      <c r="DY413" s="208"/>
      <c r="DZ413" s="208"/>
      <c r="EA413" s="208"/>
      <c r="EB413" s="208"/>
      <c r="EC413" s="208"/>
      <c r="ED413" s="208"/>
      <c r="EE413" s="208"/>
      <c r="EF413" s="208"/>
      <c r="EG413" s="208"/>
      <c r="EH413" s="208"/>
      <c r="EI413" s="208"/>
      <c r="EJ413" s="208"/>
      <c r="EK413" s="208"/>
      <c r="EL413" s="208"/>
      <c r="EM413" s="208"/>
      <c r="EN413" s="208"/>
      <c r="EO413" s="208"/>
      <c r="EP413" s="208"/>
      <c r="EQ413" s="208"/>
      <c r="ER413" s="208"/>
      <c r="ES413" s="208"/>
      <c r="ET413" s="208"/>
      <c r="EU413" s="208"/>
      <c r="EV413" s="208"/>
      <c r="EW413" s="208"/>
      <c r="EX413" s="208"/>
      <c r="EY413" s="208"/>
      <c r="EZ413" s="208">
        <v>0</v>
      </c>
      <c r="FA413" s="208">
        <v>0</v>
      </c>
      <c r="FB413" s="208">
        <v>0</v>
      </c>
      <c r="FC413" s="208"/>
      <c r="FD413" s="82"/>
      <c r="FE413" s="30"/>
    </row>
    <row r="414" spans="1:161" ht="15" hidden="1">
      <c r="A414" s="25" t="s">
        <v>387</v>
      </c>
      <c r="B414" s="212" t="s">
        <v>143</v>
      </c>
      <c r="C414" s="138"/>
      <c r="D414" s="221"/>
      <c r="E414" s="239">
        <v>770</v>
      </c>
      <c r="F414" s="95"/>
      <c r="G414" s="95"/>
      <c r="H414" s="147" t="s">
        <v>656</v>
      </c>
      <c r="I414" s="147"/>
      <c r="J414" s="135"/>
      <c r="K414" s="135"/>
      <c r="L414" s="139"/>
      <c r="M414" s="134"/>
      <c r="N414" s="134"/>
      <c r="O414" s="134"/>
      <c r="P414" s="134"/>
      <c r="Q414" s="134"/>
      <c r="R414" s="134"/>
      <c r="S414" s="139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3"/>
      <c r="BE414" s="83"/>
      <c r="BF414" s="83"/>
      <c r="BG414" s="82"/>
      <c r="BH414" s="81"/>
      <c r="BI414" s="80"/>
      <c r="BJ414" s="25"/>
      <c r="BK414" s="25"/>
      <c r="BL414" s="25"/>
      <c r="BM414" s="84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  <c r="CR414" s="25"/>
      <c r="CS414" s="25"/>
      <c r="CT414" s="25"/>
      <c r="CU414" s="25"/>
      <c r="CV414" s="25"/>
      <c r="CW414" s="25"/>
      <c r="CX414" s="25"/>
      <c r="CY414" s="25"/>
      <c r="CZ414" s="25"/>
      <c r="DA414" s="25"/>
      <c r="DB414" s="25"/>
      <c r="DC414" s="25"/>
      <c r="DD414" s="25"/>
      <c r="DE414" s="25"/>
      <c r="DF414" s="92"/>
      <c r="DG414" s="92"/>
      <c r="DH414" s="203"/>
      <c r="DI414" s="203"/>
      <c r="DJ414" s="203"/>
      <c r="DK414" s="203"/>
      <c r="DL414" s="203"/>
      <c r="DM414" s="203"/>
      <c r="DN414" s="203"/>
      <c r="DO414" s="203"/>
      <c r="DP414" s="208"/>
      <c r="DQ414" s="208"/>
      <c r="DR414" s="208"/>
      <c r="DS414" s="208"/>
      <c r="DT414" s="208"/>
      <c r="DU414" s="208"/>
      <c r="DV414" s="208"/>
      <c r="DW414" s="208"/>
      <c r="DX414" s="208"/>
      <c r="DY414" s="208"/>
      <c r="DZ414" s="208"/>
      <c r="EA414" s="208"/>
      <c r="EB414" s="208"/>
      <c r="EC414" s="208"/>
      <c r="ED414" s="208"/>
      <c r="EE414" s="208"/>
      <c r="EF414" s="208"/>
      <c r="EG414" s="208"/>
      <c r="EH414" s="208"/>
      <c r="EI414" s="208"/>
      <c r="EJ414" s="208"/>
      <c r="EK414" s="208"/>
      <c r="EL414" s="208"/>
      <c r="EM414" s="208"/>
      <c r="EN414" s="208"/>
      <c r="EO414" s="208"/>
      <c r="EP414" s="208"/>
      <c r="EQ414" s="208"/>
      <c r="ER414" s="208"/>
      <c r="ES414" s="208"/>
      <c r="ET414" s="208"/>
      <c r="EU414" s="208"/>
      <c r="EV414" s="208"/>
      <c r="EW414" s="208"/>
      <c r="EX414" s="208"/>
      <c r="EY414" s="208"/>
      <c r="EZ414" s="208">
        <v>0</v>
      </c>
      <c r="FA414" s="208">
        <v>0</v>
      </c>
      <c r="FB414" s="208">
        <v>0</v>
      </c>
      <c r="FC414" s="208"/>
      <c r="FD414" s="82"/>
      <c r="FE414" s="30"/>
    </row>
    <row r="415" spans="1:161" ht="15" hidden="1">
      <c r="A415" s="25" t="s">
        <v>430</v>
      </c>
      <c r="B415" s="212" t="s">
        <v>657</v>
      </c>
      <c r="C415" s="138"/>
      <c r="D415" s="221"/>
      <c r="E415" s="239">
        <v>970</v>
      </c>
      <c r="F415" s="95"/>
      <c r="G415" s="95"/>
      <c r="H415" s="147" t="s">
        <v>656</v>
      </c>
      <c r="I415" s="147"/>
      <c r="J415" s="135"/>
      <c r="K415" s="135"/>
      <c r="L415" s="139"/>
      <c r="M415" s="134"/>
      <c r="N415" s="134"/>
      <c r="O415" s="134"/>
      <c r="P415" s="134"/>
      <c r="Q415" s="134"/>
      <c r="R415" s="134"/>
      <c r="S415" s="139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3"/>
      <c r="BE415" s="83"/>
      <c r="BF415" s="83"/>
      <c r="BG415" s="82"/>
      <c r="BH415" s="81"/>
      <c r="BI415" s="80"/>
      <c r="BJ415" s="25"/>
      <c r="BK415" s="25"/>
      <c r="BL415" s="25"/>
      <c r="BM415" s="84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  <c r="CC415" s="25"/>
      <c r="CD415" s="25"/>
      <c r="CE415" s="25"/>
      <c r="CF415" s="25"/>
      <c r="CG415" s="25"/>
      <c r="CH415" s="25"/>
      <c r="CI415" s="25"/>
      <c r="CJ415" s="25"/>
      <c r="CK415" s="25"/>
      <c r="CL415" s="25"/>
      <c r="CM415" s="25"/>
      <c r="CN415" s="25"/>
      <c r="CO415" s="25"/>
      <c r="CP415" s="25"/>
      <c r="CQ415" s="25"/>
      <c r="CR415" s="25"/>
      <c r="CS415" s="25"/>
      <c r="CT415" s="25"/>
      <c r="CU415" s="25"/>
      <c r="CV415" s="25"/>
      <c r="CW415" s="25"/>
      <c r="CX415" s="25"/>
      <c r="CY415" s="25"/>
      <c r="CZ415" s="25"/>
      <c r="DA415" s="25"/>
      <c r="DB415" s="25"/>
      <c r="DC415" s="25"/>
      <c r="DD415" s="25"/>
      <c r="DE415" s="25"/>
      <c r="DF415" s="92"/>
      <c r="DG415" s="92"/>
      <c r="DH415" s="203"/>
      <c r="DI415" s="203"/>
      <c r="DJ415" s="203"/>
      <c r="DK415" s="203"/>
      <c r="DL415" s="203"/>
      <c r="DM415" s="203"/>
      <c r="DN415" s="203"/>
      <c r="DO415" s="203"/>
      <c r="DP415" s="208"/>
      <c r="DQ415" s="208"/>
      <c r="DR415" s="208"/>
      <c r="DS415" s="208"/>
      <c r="DT415" s="208"/>
      <c r="DU415" s="208"/>
      <c r="DV415" s="208"/>
      <c r="DW415" s="208"/>
      <c r="DX415" s="208"/>
      <c r="DY415" s="208"/>
      <c r="DZ415" s="208"/>
      <c r="EA415" s="208"/>
      <c r="EB415" s="208"/>
      <c r="EC415" s="208"/>
      <c r="ED415" s="208"/>
      <c r="EE415" s="208"/>
      <c r="EF415" s="208"/>
      <c r="EG415" s="208"/>
      <c r="EH415" s="208"/>
      <c r="EI415" s="208"/>
      <c r="EJ415" s="208"/>
      <c r="EK415" s="208"/>
      <c r="EL415" s="208"/>
      <c r="EM415" s="208"/>
      <c r="EN415" s="208"/>
      <c r="EO415" s="208"/>
      <c r="EP415" s="208"/>
      <c r="EQ415" s="208"/>
      <c r="ER415" s="208"/>
      <c r="ES415" s="208"/>
      <c r="ET415" s="208"/>
      <c r="EU415" s="208"/>
      <c r="EV415" s="208"/>
      <c r="EW415" s="208"/>
      <c r="EX415" s="208"/>
      <c r="EY415" s="208"/>
      <c r="EZ415" s="208">
        <v>0</v>
      </c>
      <c r="FA415" s="208">
        <v>0</v>
      </c>
      <c r="FB415" s="208">
        <v>0</v>
      </c>
      <c r="FC415" s="208"/>
      <c r="FD415" s="82"/>
      <c r="FE415" s="30"/>
    </row>
    <row r="416" spans="1:161" ht="15" hidden="1">
      <c r="A416" s="25" t="s">
        <v>431</v>
      </c>
      <c r="B416" s="212" t="s">
        <v>657</v>
      </c>
      <c r="C416" s="138"/>
      <c r="D416" s="221"/>
      <c r="E416" s="239">
        <v>970</v>
      </c>
      <c r="F416" s="95"/>
      <c r="G416" s="95"/>
      <c r="H416" s="147" t="s">
        <v>656</v>
      </c>
      <c r="I416" s="147"/>
      <c r="J416" s="135"/>
      <c r="K416" s="135"/>
      <c r="L416" s="139"/>
      <c r="M416" s="134"/>
      <c r="N416" s="134"/>
      <c r="O416" s="134"/>
      <c r="P416" s="134"/>
      <c r="Q416" s="134"/>
      <c r="R416" s="134"/>
      <c r="S416" s="139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3"/>
      <c r="BE416" s="83"/>
      <c r="BF416" s="83"/>
      <c r="BG416" s="82"/>
      <c r="BH416" s="81"/>
      <c r="BI416" s="80"/>
      <c r="BJ416" s="25"/>
      <c r="BK416" s="25"/>
      <c r="BL416" s="25"/>
      <c r="BM416" s="84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  <c r="CC416" s="25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  <c r="CR416" s="25"/>
      <c r="CS416" s="25"/>
      <c r="CT416" s="25"/>
      <c r="CU416" s="25"/>
      <c r="CV416" s="25"/>
      <c r="CW416" s="25"/>
      <c r="CX416" s="25"/>
      <c r="CY416" s="25"/>
      <c r="CZ416" s="25"/>
      <c r="DA416" s="25"/>
      <c r="DB416" s="25"/>
      <c r="DC416" s="25"/>
      <c r="DD416" s="25"/>
      <c r="DE416" s="25"/>
      <c r="DF416" s="92"/>
      <c r="DG416" s="92"/>
      <c r="DH416" s="203"/>
      <c r="DI416" s="203"/>
      <c r="DJ416" s="203"/>
      <c r="DK416" s="203"/>
      <c r="DL416" s="203"/>
      <c r="DM416" s="203"/>
      <c r="DN416" s="203"/>
      <c r="DO416" s="203"/>
      <c r="DP416" s="208"/>
      <c r="DQ416" s="208"/>
      <c r="DR416" s="208"/>
      <c r="DS416" s="208"/>
      <c r="DT416" s="208"/>
      <c r="DU416" s="208"/>
      <c r="DV416" s="208"/>
      <c r="DW416" s="208"/>
      <c r="DX416" s="208"/>
      <c r="DY416" s="208"/>
      <c r="DZ416" s="208"/>
      <c r="EA416" s="208"/>
      <c r="EB416" s="208"/>
      <c r="EC416" s="208"/>
      <c r="ED416" s="208"/>
      <c r="EE416" s="208"/>
      <c r="EF416" s="208"/>
      <c r="EG416" s="208"/>
      <c r="EH416" s="208"/>
      <c r="EI416" s="208"/>
      <c r="EJ416" s="208"/>
      <c r="EK416" s="208"/>
      <c r="EL416" s="208"/>
      <c r="EM416" s="208"/>
      <c r="EN416" s="208"/>
      <c r="EO416" s="208"/>
      <c r="EP416" s="208"/>
      <c r="EQ416" s="208"/>
      <c r="ER416" s="208"/>
      <c r="ES416" s="208"/>
      <c r="ET416" s="208"/>
      <c r="EU416" s="208"/>
      <c r="EV416" s="208"/>
      <c r="EW416" s="208"/>
      <c r="EX416" s="208"/>
      <c r="EY416" s="208"/>
      <c r="EZ416" s="208">
        <v>0</v>
      </c>
      <c r="FA416" s="208">
        <v>0</v>
      </c>
      <c r="FB416" s="208">
        <v>0</v>
      </c>
      <c r="FC416" s="208"/>
      <c r="FD416" s="82"/>
      <c r="FE416" s="30"/>
    </row>
    <row r="417" spans="1:161" ht="15" hidden="1">
      <c r="A417" s="25" t="s">
        <v>433</v>
      </c>
      <c r="B417" s="212" t="s">
        <v>657</v>
      </c>
      <c r="C417" s="138"/>
      <c r="D417" s="221"/>
      <c r="E417" s="239">
        <v>970</v>
      </c>
      <c r="F417" s="95"/>
      <c r="G417" s="95"/>
      <c r="H417" s="147" t="s">
        <v>656</v>
      </c>
      <c r="I417" s="147"/>
      <c r="J417" s="135"/>
      <c r="K417" s="135"/>
      <c r="L417" s="139"/>
      <c r="M417" s="134"/>
      <c r="N417" s="134"/>
      <c r="O417" s="134"/>
      <c r="P417" s="134"/>
      <c r="Q417" s="134"/>
      <c r="R417" s="134"/>
      <c r="S417" s="139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3"/>
      <c r="BE417" s="83"/>
      <c r="BF417" s="83"/>
      <c r="BG417" s="82"/>
      <c r="BH417" s="81"/>
      <c r="BI417" s="80"/>
      <c r="BJ417" s="25"/>
      <c r="BK417" s="25"/>
      <c r="BL417" s="25"/>
      <c r="BM417" s="84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  <c r="CC417" s="25"/>
      <c r="CD417" s="25"/>
      <c r="CE417" s="25"/>
      <c r="CF417" s="25"/>
      <c r="CG417" s="25"/>
      <c r="CH417" s="25"/>
      <c r="CI417" s="25"/>
      <c r="CJ417" s="25"/>
      <c r="CK417" s="25"/>
      <c r="CL417" s="25"/>
      <c r="CM417" s="25"/>
      <c r="CN417" s="25"/>
      <c r="CO417" s="25"/>
      <c r="CP417" s="25"/>
      <c r="CQ417" s="25"/>
      <c r="CR417" s="25"/>
      <c r="CS417" s="25"/>
      <c r="CT417" s="25"/>
      <c r="CU417" s="25"/>
      <c r="CV417" s="25"/>
      <c r="CW417" s="25"/>
      <c r="CX417" s="25"/>
      <c r="CY417" s="25"/>
      <c r="CZ417" s="25"/>
      <c r="DA417" s="25"/>
      <c r="DB417" s="25"/>
      <c r="DC417" s="25"/>
      <c r="DD417" s="25"/>
      <c r="DE417" s="25"/>
      <c r="DF417" s="92"/>
      <c r="DG417" s="92"/>
      <c r="DH417" s="203"/>
      <c r="DI417" s="203"/>
      <c r="DJ417" s="203"/>
      <c r="DK417" s="203"/>
      <c r="DL417" s="203"/>
      <c r="DM417" s="203"/>
      <c r="DN417" s="203"/>
      <c r="DO417" s="203"/>
      <c r="DP417" s="208"/>
      <c r="DQ417" s="208"/>
      <c r="DR417" s="208"/>
      <c r="DS417" s="208"/>
      <c r="DT417" s="208"/>
      <c r="DU417" s="208"/>
      <c r="DV417" s="208"/>
      <c r="DW417" s="208"/>
      <c r="DX417" s="208"/>
      <c r="DY417" s="208"/>
      <c r="DZ417" s="208"/>
      <c r="EA417" s="208"/>
      <c r="EB417" s="208"/>
      <c r="EC417" s="208"/>
      <c r="ED417" s="208"/>
      <c r="EE417" s="208"/>
      <c r="EF417" s="208"/>
      <c r="EG417" s="208"/>
      <c r="EH417" s="208"/>
      <c r="EI417" s="208"/>
      <c r="EJ417" s="208"/>
      <c r="EK417" s="208"/>
      <c r="EL417" s="208"/>
      <c r="EM417" s="208"/>
      <c r="EN417" s="208"/>
      <c r="EO417" s="208"/>
      <c r="EP417" s="208"/>
      <c r="EQ417" s="208"/>
      <c r="ER417" s="208"/>
      <c r="ES417" s="208"/>
      <c r="ET417" s="208"/>
      <c r="EU417" s="208"/>
      <c r="EV417" s="208"/>
      <c r="EW417" s="208"/>
      <c r="EX417" s="208"/>
      <c r="EY417" s="208"/>
      <c r="EZ417" s="208">
        <v>0</v>
      </c>
      <c r="FA417" s="208">
        <v>0</v>
      </c>
      <c r="FB417" s="208">
        <v>0</v>
      </c>
      <c r="FC417" s="208"/>
      <c r="FD417" s="82"/>
      <c r="FE417" s="30"/>
    </row>
    <row r="418" spans="1:161" ht="15" hidden="1">
      <c r="A418" s="25" t="s">
        <v>434</v>
      </c>
      <c r="B418" s="212" t="s">
        <v>657</v>
      </c>
      <c r="C418" s="138"/>
      <c r="D418" s="221"/>
      <c r="E418" s="239">
        <v>970</v>
      </c>
      <c r="F418" s="95"/>
      <c r="G418" s="95"/>
      <c r="H418" s="147" t="s">
        <v>656</v>
      </c>
      <c r="I418" s="147"/>
      <c r="J418" s="135"/>
      <c r="K418" s="135"/>
      <c r="L418" s="139"/>
      <c r="M418" s="134"/>
      <c r="N418" s="134"/>
      <c r="O418" s="134"/>
      <c r="P418" s="134"/>
      <c r="Q418" s="134"/>
      <c r="R418" s="134"/>
      <c r="S418" s="139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3"/>
      <c r="BE418" s="83"/>
      <c r="BF418" s="83"/>
      <c r="BG418" s="82"/>
      <c r="BH418" s="81"/>
      <c r="BI418" s="80"/>
      <c r="BJ418" s="25"/>
      <c r="BK418" s="25"/>
      <c r="BL418" s="25"/>
      <c r="BM418" s="84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  <c r="CC418" s="25"/>
      <c r="CD418" s="25"/>
      <c r="CE418" s="25"/>
      <c r="CF418" s="25"/>
      <c r="CG418" s="25"/>
      <c r="CH418" s="25"/>
      <c r="CI418" s="25"/>
      <c r="CJ418" s="25"/>
      <c r="CK418" s="25"/>
      <c r="CL418" s="25"/>
      <c r="CM418" s="25"/>
      <c r="CN418" s="25"/>
      <c r="CO418" s="25"/>
      <c r="CP418" s="25"/>
      <c r="CQ418" s="25"/>
      <c r="CR418" s="25"/>
      <c r="CS418" s="25"/>
      <c r="CT418" s="25"/>
      <c r="CU418" s="25"/>
      <c r="CV418" s="25"/>
      <c r="CW418" s="25"/>
      <c r="CX418" s="25"/>
      <c r="CY418" s="25"/>
      <c r="CZ418" s="25"/>
      <c r="DA418" s="25"/>
      <c r="DB418" s="25"/>
      <c r="DC418" s="25"/>
      <c r="DD418" s="25"/>
      <c r="DE418" s="25"/>
      <c r="DF418" s="92"/>
      <c r="DG418" s="92"/>
      <c r="DH418" s="203"/>
      <c r="DI418" s="203"/>
      <c r="DJ418" s="203"/>
      <c r="DK418" s="203"/>
      <c r="DL418" s="203"/>
      <c r="DM418" s="203"/>
      <c r="DN418" s="203"/>
      <c r="DO418" s="203"/>
      <c r="DP418" s="208"/>
      <c r="DQ418" s="208"/>
      <c r="DR418" s="208"/>
      <c r="DS418" s="208"/>
      <c r="DT418" s="208"/>
      <c r="DU418" s="208"/>
      <c r="DV418" s="208"/>
      <c r="DW418" s="208"/>
      <c r="DX418" s="208"/>
      <c r="DY418" s="208"/>
      <c r="DZ418" s="208"/>
      <c r="EA418" s="208"/>
      <c r="EB418" s="208"/>
      <c r="EC418" s="208"/>
      <c r="ED418" s="208"/>
      <c r="EE418" s="208"/>
      <c r="EF418" s="208"/>
      <c r="EG418" s="208"/>
      <c r="EH418" s="208"/>
      <c r="EI418" s="208"/>
      <c r="EJ418" s="208"/>
      <c r="EK418" s="208"/>
      <c r="EL418" s="208"/>
      <c r="EM418" s="208"/>
      <c r="EN418" s="208"/>
      <c r="EO418" s="208"/>
      <c r="EP418" s="208"/>
      <c r="EQ418" s="208"/>
      <c r="ER418" s="208"/>
      <c r="ES418" s="208"/>
      <c r="ET418" s="208"/>
      <c r="EU418" s="208"/>
      <c r="EV418" s="208"/>
      <c r="EW418" s="208"/>
      <c r="EX418" s="208"/>
      <c r="EY418" s="208"/>
      <c r="EZ418" s="208">
        <v>0</v>
      </c>
      <c r="FA418" s="208">
        <v>0</v>
      </c>
      <c r="FB418" s="208">
        <v>0</v>
      </c>
      <c r="FC418" s="208"/>
      <c r="FD418" s="82"/>
      <c r="FE418" s="30"/>
    </row>
    <row r="419" spans="1:161" ht="15" hidden="1">
      <c r="A419" s="25" t="s">
        <v>435</v>
      </c>
      <c r="B419" s="212" t="s">
        <v>657</v>
      </c>
      <c r="C419" s="138"/>
      <c r="D419" s="221"/>
      <c r="E419" s="239">
        <v>970</v>
      </c>
      <c r="F419" s="95"/>
      <c r="G419" s="95"/>
      <c r="H419" s="147" t="s">
        <v>656</v>
      </c>
      <c r="I419" s="147"/>
      <c r="J419" s="135"/>
      <c r="K419" s="135"/>
      <c r="L419" s="139"/>
      <c r="M419" s="134"/>
      <c r="N419" s="134"/>
      <c r="O419" s="134"/>
      <c r="P419" s="134"/>
      <c r="Q419" s="134"/>
      <c r="R419" s="134"/>
      <c r="S419" s="139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3"/>
      <c r="BE419" s="83"/>
      <c r="BF419" s="83"/>
      <c r="BG419" s="82"/>
      <c r="BH419" s="81"/>
      <c r="BI419" s="80"/>
      <c r="BJ419" s="25"/>
      <c r="BK419" s="25"/>
      <c r="BL419" s="25"/>
      <c r="BM419" s="84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  <c r="CR419" s="25"/>
      <c r="CS419" s="25"/>
      <c r="CT419" s="25"/>
      <c r="CU419" s="25"/>
      <c r="CV419" s="25"/>
      <c r="CW419" s="25"/>
      <c r="CX419" s="25"/>
      <c r="CY419" s="25"/>
      <c r="CZ419" s="25"/>
      <c r="DA419" s="25"/>
      <c r="DB419" s="25"/>
      <c r="DC419" s="25"/>
      <c r="DD419" s="25"/>
      <c r="DE419" s="25"/>
      <c r="DF419" s="92"/>
      <c r="DG419" s="92"/>
      <c r="DH419" s="203"/>
      <c r="DI419" s="203"/>
      <c r="DJ419" s="203"/>
      <c r="DK419" s="203"/>
      <c r="DL419" s="203"/>
      <c r="DM419" s="203"/>
      <c r="DN419" s="203"/>
      <c r="DO419" s="203"/>
      <c r="DP419" s="208"/>
      <c r="DQ419" s="208"/>
      <c r="DR419" s="208"/>
      <c r="DS419" s="208"/>
      <c r="DT419" s="208"/>
      <c r="DU419" s="208"/>
      <c r="DV419" s="208"/>
      <c r="DW419" s="208"/>
      <c r="DX419" s="208"/>
      <c r="DY419" s="208"/>
      <c r="DZ419" s="208"/>
      <c r="EA419" s="208"/>
      <c r="EB419" s="208"/>
      <c r="EC419" s="208"/>
      <c r="ED419" s="208"/>
      <c r="EE419" s="208"/>
      <c r="EF419" s="208"/>
      <c r="EG419" s="208"/>
      <c r="EH419" s="208"/>
      <c r="EI419" s="208"/>
      <c r="EJ419" s="208"/>
      <c r="EK419" s="208"/>
      <c r="EL419" s="208"/>
      <c r="EM419" s="208"/>
      <c r="EN419" s="208"/>
      <c r="EO419" s="208"/>
      <c r="EP419" s="208"/>
      <c r="EQ419" s="208"/>
      <c r="ER419" s="208"/>
      <c r="ES419" s="208"/>
      <c r="ET419" s="208"/>
      <c r="EU419" s="208"/>
      <c r="EV419" s="208"/>
      <c r="EW419" s="208"/>
      <c r="EX419" s="208"/>
      <c r="EY419" s="208"/>
      <c r="EZ419" s="208">
        <v>0</v>
      </c>
      <c r="FA419" s="208">
        <v>0</v>
      </c>
      <c r="FB419" s="208">
        <v>0</v>
      </c>
      <c r="FC419" s="208"/>
      <c r="FD419" s="82"/>
      <c r="FE419" s="30"/>
    </row>
    <row r="420" spans="1:161" ht="15" hidden="1">
      <c r="A420" s="25" t="s">
        <v>401</v>
      </c>
      <c r="B420" s="212" t="s">
        <v>657</v>
      </c>
      <c r="C420" s="138"/>
      <c r="D420" s="221"/>
      <c r="E420" s="239">
        <v>970</v>
      </c>
      <c r="F420" s="95"/>
      <c r="G420" s="95"/>
      <c r="H420" s="147" t="s">
        <v>656</v>
      </c>
      <c r="I420" s="147"/>
      <c r="J420" s="135"/>
      <c r="K420" s="135"/>
      <c r="L420" s="139"/>
      <c r="M420" s="134"/>
      <c r="N420" s="134"/>
      <c r="O420" s="134"/>
      <c r="P420" s="134"/>
      <c r="Q420" s="134"/>
      <c r="R420" s="134"/>
      <c r="S420" s="139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3"/>
      <c r="BE420" s="83"/>
      <c r="BF420" s="83"/>
      <c r="BG420" s="82"/>
      <c r="BH420" s="81"/>
      <c r="BI420" s="80"/>
      <c r="BJ420" s="25"/>
      <c r="BK420" s="25"/>
      <c r="BL420" s="25"/>
      <c r="BM420" s="84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  <c r="CC420" s="25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  <c r="CX420" s="25"/>
      <c r="CY420" s="25"/>
      <c r="CZ420" s="25"/>
      <c r="DA420" s="25"/>
      <c r="DB420" s="25"/>
      <c r="DC420" s="25"/>
      <c r="DD420" s="25"/>
      <c r="DE420" s="25"/>
      <c r="DF420" s="92"/>
      <c r="DG420" s="92"/>
      <c r="DH420" s="203"/>
      <c r="DI420" s="203"/>
      <c r="DJ420" s="203"/>
      <c r="DK420" s="203"/>
      <c r="DL420" s="203"/>
      <c r="DM420" s="203"/>
      <c r="DN420" s="203"/>
      <c r="DO420" s="203"/>
      <c r="DP420" s="208"/>
      <c r="DQ420" s="208"/>
      <c r="DR420" s="208"/>
      <c r="DS420" s="208"/>
      <c r="DT420" s="208"/>
      <c r="DU420" s="208"/>
      <c r="DV420" s="208"/>
      <c r="DW420" s="208"/>
      <c r="DX420" s="208"/>
      <c r="DY420" s="208"/>
      <c r="DZ420" s="208"/>
      <c r="EA420" s="208"/>
      <c r="EB420" s="208"/>
      <c r="EC420" s="208"/>
      <c r="ED420" s="208"/>
      <c r="EE420" s="208"/>
      <c r="EF420" s="208"/>
      <c r="EG420" s="208"/>
      <c r="EH420" s="208"/>
      <c r="EI420" s="208"/>
      <c r="EJ420" s="208"/>
      <c r="EK420" s="208"/>
      <c r="EL420" s="208"/>
      <c r="EM420" s="208"/>
      <c r="EN420" s="208"/>
      <c r="EO420" s="208"/>
      <c r="EP420" s="208"/>
      <c r="EQ420" s="208"/>
      <c r="ER420" s="208"/>
      <c r="ES420" s="208"/>
      <c r="ET420" s="208"/>
      <c r="EU420" s="208"/>
      <c r="EV420" s="208"/>
      <c r="EW420" s="208"/>
      <c r="EX420" s="208"/>
      <c r="EY420" s="208"/>
      <c r="EZ420" s="208">
        <v>0</v>
      </c>
      <c r="FA420" s="208">
        <v>0</v>
      </c>
      <c r="FB420" s="208">
        <v>0</v>
      </c>
      <c r="FC420" s="208"/>
      <c r="FD420" s="82"/>
      <c r="FE420" s="30"/>
    </row>
    <row r="421" spans="1:161" ht="15" hidden="1">
      <c r="A421" s="25" t="s">
        <v>402</v>
      </c>
      <c r="B421" s="212" t="s">
        <v>657</v>
      </c>
      <c r="C421" s="138"/>
      <c r="D421" s="221"/>
      <c r="E421" s="239">
        <v>970</v>
      </c>
      <c r="F421" s="95"/>
      <c r="G421" s="95"/>
      <c r="H421" s="147" t="s">
        <v>656</v>
      </c>
      <c r="I421" s="147"/>
      <c r="J421" s="135"/>
      <c r="K421" s="135"/>
      <c r="L421" s="139"/>
      <c r="M421" s="134"/>
      <c r="N421" s="134"/>
      <c r="O421" s="134"/>
      <c r="P421" s="134"/>
      <c r="Q421" s="134"/>
      <c r="R421" s="134"/>
      <c r="S421" s="139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3"/>
      <c r="BE421" s="83"/>
      <c r="BF421" s="83"/>
      <c r="BG421" s="82"/>
      <c r="BH421" s="81"/>
      <c r="BI421" s="80"/>
      <c r="BJ421" s="25"/>
      <c r="BK421" s="25"/>
      <c r="BL421" s="25"/>
      <c r="BM421" s="84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  <c r="CC421" s="25"/>
      <c r="CD421" s="25"/>
      <c r="CE421" s="25"/>
      <c r="CF421" s="25"/>
      <c r="CG421" s="25"/>
      <c r="CH421" s="25"/>
      <c r="CI421" s="25"/>
      <c r="CJ421" s="25"/>
      <c r="CK421" s="25"/>
      <c r="CL421" s="25"/>
      <c r="CM421" s="25"/>
      <c r="CN421" s="25"/>
      <c r="CO421" s="25"/>
      <c r="CP421" s="25"/>
      <c r="CQ421" s="25"/>
      <c r="CR421" s="25"/>
      <c r="CS421" s="25"/>
      <c r="CT421" s="25"/>
      <c r="CU421" s="25"/>
      <c r="CV421" s="25"/>
      <c r="CW421" s="25"/>
      <c r="CX421" s="25"/>
      <c r="CY421" s="25"/>
      <c r="CZ421" s="25"/>
      <c r="DA421" s="25"/>
      <c r="DB421" s="25"/>
      <c r="DC421" s="25"/>
      <c r="DD421" s="25"/>
      <c r="DE421" s="25"/>
      <c r="DF421" s="92"/>
      <c r="DG421" s="92"/>
      <c r="DH421" s="203"/>
      <c r="DI421" s="203"/>
      <c r="DJ421" s="203"/>
      <c r="DK421" s="203"/>
      <c r="DL421" s="203"/>
      <c r="DM421" s="203"/>
      <c r="DN421" s="203"/>
      <c r="DO421" s="203"/>
      <c r="DP421" s="208"/>
      <c r="DQ421" s="208"/>
      <c r="DR421" s="208"/>
      <c r="DS421" s="208"/>
      <c r="DT421" s="208"/>
      <c r="DU421" s="208"/>
      <c r="DV421" s="208"/>
      <c r="DW421" s="208"/>
      <c r="DX421" s="208"/>
      <c r="DY421" s="208"/>
      <c r="DZ421" s="208"/>
      <c r="EA421" s="208"/>
      <c r="EB421" s="208"/>
      <c r="EC421" s="208"/>
      <c r="ED421" s="208"/>
      <c r="EE421" s="208"/>
      <c r="EF421" s="208"/>
      <c r="EG421" s="208"/>
      <c r="EH421" s="208"/>
      <c r="EI421" s="208"/>
      <c r="EJ421" s="208"/>
      <c r="EK421" s="208"/>
      <c r="EL421" s="208"/>
      <c r="EM421" s="208"/>
      <c r="EN421" s="208"/>
      <c r="EO421" s="208"/>
      <c r="EP421" s="208"/>
      <c r="EQ421" s="208"/>
      <c r="ER421" s="208"/>
      <c r="ES421" s="208"/>
      <c r="ET421" s="208"/>
      <c r="EU421" s="208"/>
      <c r="EV421" s="208"/>
      <c r="EW421" s="208"/>
      <c r="EX421" s="208"/>
      <c r="EY421" s="208"/>
      <c r="EZ421" s="208">
        <v>0</v>
      </c>
      <c r="FA421" s="208">
        <v>0</v>
      </c>
      <c r="FB421" s="208">
        <v>0</v>
      </c>
      <c r="FC421" s="208"/>
      <c r="FD421" s="82"/>
      <c r="FE421" s="30"/>
    </row>
    <row r="422" spans="1:161" ht="15" hidden="1">
      <c r="A422" s="25" t="s">
        <v>403</v>
      </c>
      <c r="B422" s="212" t="s">
        <v>657</v>
      </c>
      <c r="C422" s="138"/>
      <c r="D422" s="221"/>
      <c r="E422" s="239">
        <v>970</v>
      </c>
      <c r="F422" s="95"/>
      <c r="G422" s="95"/>
      <c r="H422" s="147" t="s">
        <v>656</v>
      </c>
      <c r="I422" s="147"/>
      <c r="J422" s="135"/>
      <c r="K422" s="135"/>
      <c r="L422" s="139"/>
      <c r="M422" s="134"/>
      <c r="N422" s="134"/>
      <c r="O422" s="134"/>
      <c r="P422" s="134"/>
      <c r="Q422" s="134"/>
      <c r="R422" s="134"/>
      <c r="S422" s="139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3"/>
      <c r="BE422" s="83"/>
      <c r="BF422" s="83"/>
      <c r="BG422" s="82"/>
      <c r="BH422" s="81"/>
      <c r="BI422" s="80"/>
      <c r="BJ422" s="25"/>
      <c r="BK422" s="25"/>
      <c r="BL422" s="25"/>
      <c r="BM422" s="84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  <c r="CC422" s="25"/>
      <c r="CD422" s="25"/>
      <c r="CE422" s="25"/>
      <c r="CF422" s="25"/>
      <c r="CG422" s="25"/>
      <c r="CH422" s="25"/>
      <c r="CI422" s="25"/>
      <c r="CJ422" s="25"/>
      <c r="CK422" s="25"/>
      <c r="CL422" s="25"/>
      <c r="CM422" s="25"/>
      <c r="CN422" s="25"/>
      <c r="CO422" s="25"/>
      <c r="CP422" s="25"/>
      <c r="CQ422" s="25"/>
      <c r="CR422" s="25"/>
      <c r="CS422" s="25"/>
      <c r="CT422" s="25"/>
      <c r="CU422" s="25"/>
      <c r="CV422" s="25"/>
      <c r="CW422" s="25"/>
      <c r="CX422" s="25"/>
      <c r="CY422" s="25"/>
      <c r="CZ422" s="25"/>
      <c r="DA422" s="25"/>
      <c r="DB422" s="25"/>
      <c r="DC422" s="25"/>
      <c r="DD422" s="25"/>
      <c r="DE422" s="25"/>
      <c r="DF422" s="92"/>
      <c r="DG422" s="92"/>
      <c r="DH422" s="203"/>
      <c r="DI422" s="203"/>
      <c r="DJ422" s="203"/>
      <c r="DK422" s="203"/>
      <c r="DL422" s="203"/>
      <c r="DM422" s="203"/>
      <c r="DN422" s="203"/>
      <c r="DO422" s="203"/>
      <c r="DP422" s="208"/>
      <c r="DQ422" s="208"/>
      <c r="DR422" s="208"/>
      <c r="DS422" s="208"/>
      <c r="DT422" s="208"/>
      <c r="DU422" s="208"/>
      <c r="DV422" s="208"/>
      <c r="DW422" s="208"/>
      <c r="DX422" s="208"/>
      <c r="DY422" s="208"/>
      <c r="DZ422" s="208"/>
      <c r="EA422" s="208"/>
      <c r="EB422" s="208"/>
      <c r="EC422" s="208"/>
      <c r="ED422" s="208"/>
      <c r="EE422" s="208"/>
      <c r="EF422" s="208"/>
      <c r="EG422" s="208"/>
      <c r="EH422" s="208"/>
      <c r="EI422" s="208"/>
      <c r="EJ422" s="208"/>
      <c r="EK422" s="208"/>
      <c r="EL422" s="208"/>
      <c r="EM422" s="208"/>
      <c r="EN422" s="208"/>
      <c r="EO422" s="208"/>
      <c r="EP422" s="208"/>
      <c r="EQ422" s="208"/>
      <c r="ER422" s="208"/>
      <c r="ES422" s="208"/>
      <c r="ET422" s="208"/>
      <c r="EU422" s="208"/>
      <c r="EV422" s="208"/>
      <c r="EW422" s="208"/>
      <c r="EX422" s="208"/>
      <c r="EY422" s="208"/>
      <c r="EZ422" s="208">
        <v>0</v>
      </c>
      <c r="FA422" s="208">
        <v>0</v>
      </c>
      <c r="FB422" s="208">
        <v>0</v>
      </c>
      <c r="FC422" s="208"/>
      <c r="FD422" s="82"/>
      <c r="FE422" s="30"/>
    </row>
    <row r="423" spans="1:161" ht="15" hidden="1">
      <c r="A423" s="25" t="s">
        <v>437</v>
      </c>
      <c r="B423" s="212" t="s">
        <v>657</v>
      </c>
      <c r="C423" s="138"/>
      <c r="D423" s="221"/>
      <c r="E423" s="239">
        <v>970</v>
      </c>
      <c r="F423" s="95"/>
      <c r="G423" s="95"/>
      <c r="H423" s="147" t="s">
        <v>656</v>
      </c>
      <c r="I423" s="147"/>
      <c r="J423" s="135"/>
      <c r="K423" s="135"/>
      <c r="L423" s="139"/>
      <c r="M423" s="134"/>
      <c r="N423" s="134"/>
      <c r="O423" s="134"/>
      <c r="P423" s="134"/>
      <c r="Q423" s="134"/>
      <c r="R423" s="134"/>
      <c r="S423" s="139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3"/>
      <c r="BE423" s="83"/>
      <c r="BF423" s="83"/>
      <c r="BG423" s="82"/>
      <c r="BH423" s="81"/>
      <c r="BI423" s="80"/>
      <c r="BJ423" s="25"/>
      <c r="BK423" s="25"/>
      <c r="BL423" s="25"/>
      <c r="BM423" s="84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  <c r="CC423" s="25"/>
      <c r="CD423" s="25"/>
      <c r="CE423" s="25"/>
      <c r="CF423" s="25"/>
      <c r="CG423" s="25"/>
      <c r="CH423" s="25"/>
      <c r="CI423" s="25"/>
      <c r="CJ423" s="25"/>
      <c r="CK423" s="25"/>
      <c r="CL423" s="25"/>
      <c r="CM423" s="25"/>
      <c r="CN423" s="25"/>
      <c r="CO423" s="25"/>
      <c r="CP423" s="25"/>
      <c r="CQ423" s="25"/>
      <c r="CR423" s="25"/>
      <c r="CS423" s="25"/>
      <c r="CT423" s="25"/>
      <c r="CU423" s="25"/>
      <c r="CV423" s="25"/>
      <c r="CW423" s="25"/>
      <c r="CX423" s="25"/>
      <c r="CY423" s="25"/>
      <c r="CZ423" s="25"/>
      <c r="DA423" s="25"/>
      <c r="DB423" s="25"/>
      <c r="DC423" s="25"/>
      <c r="DD423" s="25"/>
      <c r="DE423" s="25"/>
      <c r="DF423" s="92"/>
      <c r="DG423" s="92"/>
      <c r="DH423" s="203"/>
      <c r="DI423" s="203"/>
      <c r="DJ423" s="203"/>
      <c r="DK423" s="203"/>
      <c r="DL423" s="203"/>
      <c r="DM423" s="203"/>
      <c r="DN423" s="203"/>
      <c r="DO423" s="203"/>
      <c r="DP423" s="208"/>
      <c r="DQ423" s="208"/>
      <c r="DR423" s="208"/>
      <c r="DS423" s="208"/>
      <c r="DT423" s="208"/>
      <c r="DU423" s="208"/>
      <c r="DV423" s="208"/>
      <c r="DW423" s="208"/>
      <c r="DX423" s="208"/>
      <c r="DY423" s="208"/>
      <c r="DZ423" s="208"/>
      <c r="EA423" s="208"/>
      <c r="EB423" s="208"/>
      <c r="EC423" s="208"/>
      <c r="ED423" s="208"/>
      <c r="EE423" s="208"/>
      <c r="EF423" s="208"/>
      <c r="EG423" s="208"/>
      <c r="EH423" s="208"/>
      <c r="EI423" s="208"/>
      <c r="EJ423" s="208"/>
      <c r="EK423" s="208"/>
      <c r="EL423" s="208"/>
      <c r="EM423" s="208"/>
      <c r="EN423" s="208"/>
      <c r="EO423" s="208"/>
      <c r="EP423" s="208"/>
      <c r="EQ423" s="208"/>
      <c r="ER423" s="208"/>
      <c r="ES423" s="208"/>
      <c r="ET423" s="208"/>
      <c r="EU423" s="208"/>
      <c r="EV423" s="208"/>
      <c r="EW423" s="208"/>
      <c r="EX423" s="208"/>
      <c r="EY423" s="208"/>
      <c r="EZ423" s="208">
        <v>0</v>
      </c>
      <c r="FA423" s="208">
        <v>0</v>
      </c>
      <c r="FB423" s="208">
        <v>0</v>
      </c>
      <c r="FC423" s="208"/>
      <c r="FD423" s="82"/>
      <c r="FE423" s="30"/>
    </row>
    <row r="424" spans="1:161" ht="15" hidden="1">
      <c r="A424" s="25" t="s">
        <v>438</v>
      </c>
      <c r="B424" s="212" t="s">
        <v>657</v>
      </c>
      <c r="C424" s="138"/>
      <c r="D424" s="221"/>
      <c r="E424" s="239">
        <v>970</v>
      </c>
      <c r="F424" s="95"/>
      <c r="G424" s="95"/>
      <c r="H424" s="147" t="s">
        <v>656</v>
      </c>
      <c r="I424" s="147"/>
      <c r="J424" s="135"/>
      <c r="K424" s="135"/>
      <c r="L424" s="139"/>
      <c r="M424" s="134"/>
      <c r="N424" s="134"/>
      <c r="O424" s="134"/>
      <c r="P424" s="134"/>
      <c r="Q424" s="134"/>
      <c r="R424" s="134"/>
      <c r="S424" s="139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3"/>
      <c r="BE424" s="83"/>
      <c r="BF424" s="83"/>
      <c r="BG424" s="82"/>
      <c r="BH424" s="81"/>
      <c r="BI424" s="80"/>
      <c r="BJ424" s="25"/>
      <c r="BK424" s="25"/>
      <c r="BL424" s="25"/>
      <c r="BM424" s="84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  <c r="CC424" s="25"/>
      <c r="CD424" s="25"/>
      <c r="CE424" s="25"/>
      <c r="CF424" s="25"/>
      <c r="CG424" s="25"/>
      <c r="CH424" s="25"/>
      <c r="CI424" s="25"/>
      <c r="CJ424" s="25"/>
      <c r="CK424" s="25"/>
      <c r="CL424" s="25"/>
      <c r="CM424" s="25"/>
      <c r="CN424" s="25"/>
      <c r="CO424" s="25"/>
      <c r="CP424" s="25"/>
      <c r="CQ424" s="25"/>
      <c r="CR424" s="25"/>
      <c r="CS424" s="25"/>
      <c r="CT424" s="25"/>
      <c r="CU424" s="25"/>
      <c r="CV424" s="25"/>
      <c r="CW424" s="25"/>
      <c r="CX424" s="25"/>
      <c r="CY424" s="25"/>
      <c r="CZ424" s="25"/>
      <c r="DA424" s="25"/>
      <c r="DB424" s="25"/>
      <c r="DC424" s="25"/>
      <c r="DD424" s="25"/>
      <c r="DE424" s="25"/>
      <c r="DF424" s="92"/>
      <c r="DG424" s="92"/>
      <c r="DH424" s="203"/>
      <c r="DI424" s="203"/>
      <c r="DJ424" s="203"/>
      <c r="DK424" s="203"/>
      <c r="DL424" s="203"/>
      <c r="DM424" s="203"/>
      <c r="DN424" s="203"/>
      <c r="DO424" s="203"/>
      <c r="DP424" s="208"/>
      <c r="DQ424" s="208"/>
      <c r="DR424" s="208"/>
      <c r="DS424" s="208"/>
      <c r="DT424" s="208"/>
      <c r="DU424" s="208"/>
      <c r="DV424" s="208"/>
      <c r="DW424" s="208"/>
      <c r="DX424" s="208"/>
      <c r="DY424" s="208"/>
      <c r="DZ424" s="208"/>
      <c r="EA424" s="208"/>
      <c r="EB424" s="208"/>
      <c r="EC424" s="208"/>
      <c r="ED424" s="208"/>
      <c r="EE424" s="208"/>
      <c r="EF424" s="208"/>
      <c r="EG424" s="208"/>
      <c r="EH424" s="208"/>
      <c r="EI424" s="208"/>
      <c r="EJ424" s="208"/>
      <c r="EK424" s="208"/>
      <c r="EL424" s="208"/>
      <c r="EM424" s="208"/>
      <c r="EN424" s="208"/>
      <c r="EO424" s="208"/>
      <c r="EP424" s="208"/>
      <c r="EQ424" s="208"/>
      <c r="ER424" s="208"/>
      <c r="ES424" s="208"/>
      <c r="ET424" s="208"/>
      <c r="EU424" s="208"/>
      <c r="EV424" s="208"/>
      <c r="EW424" s="208"/>
      <c r="EX424" s="208"/>
      <c r="EY424" s="208"/>
      <c r="EZ424" s="208">
        <v>0</v>
      </c>
      <c r="FA424" s="208">
        <v>0</v>
      </c>
      <c r="FB424" s="208">
        <v>0</v>
      </c>
      <c r="FC424" s="208"/>
      <c r="FD424" s="82"/>
      <c r="FE424" s="30"/>
    </row>
    <row r="425" spans="1:161" ht="15" hidden="1">
      <c r="A425" s="25" t="s">
        <v>439</v>
      </c>
      <c r="B425" s="212" t="s">
        <v>657</v>
      </c>
      <c r="C425" s="138"/>
      <c r="D425" s="221"/>
      <c r="E425" s="239">
        <v>970</v>
      </c>
      <c r="F425" s="95"/>
      <c r="G425" s="95"/>
      <c r="H425" s="147" t="s">
        <v>656</v>
      </c>
      <c r="I425" s="147"/>
      <c r="J425" s="135"/>
      <c r="K425" s="135"/>
      <c r="L425" s="139"/>
      <c r="M425" s="134"/>
      <c r="N425" s="134"/>
      <c r="O425" s="134"/>
      <c r="P425" s="134"/>
      <c r="Q425" s="134"/>
      <c r="R425" s="134"/>
      <c r="S425" s="139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3"/>
      <c r="BE425" s="83"/>
      <c r="BF425" s="83"/>
      <c r="BG425" s="82"/>
      <c r="BH425" s="81"/>
      <c r="BI425" s="80"/>
      <c r="BJ425" s="25"/>
      <c r="BK425" s="25"/>
      <c r="BL425" s="25"/>
      <c r="BM425" s="84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  <c r="CC425" s="25"/>
      <c r="CD425" s="25"/>
      <c r="CE425" s="25"/>
      <c r="CF425" s="25"/>
      <c r="CG425" s="25"/>
      <c r="CH425" s="25"/>
      <c r="CI425" s="25"/>
      <c r="CJ425" s="25"/>
      <c r="CK425" s="25"/>
      <c r="CL425" s="25"/>
      <c r="CM425" s="25"/>
      <c r="CN425" s="25"/>
      <c r="CO425" s="25"/>
      <c r="CP425" s="25"/>
      <c r="CQ425" s="25"/>
      <c r="CR425" s="25"/>
      <c r="CS425" s="25"/>
      <c r="CT425" s="25"/>
      <c r="CU425" s="25"/>
      <c r="CV425" s="25"/>
      <c r="CW425" s="25"/>
      <c r="CX425" s="25"/>
      <c r="CY425" s="25"/>
      <c r="CZ425" s="25"/>
      <c r="DA425" s="25"/>
      <c r="DB425" s="25"/>
      <c r="DC425" s="25"/>
      <c r="DD425" s="25"/>
      <c r="DE425" s="25"/>
      <c r="DF425" s="92"/>
      <c r="DG425" s="92"/>
      <c r="DH425" s="203"/>
      <c r="DI425" s="203"/>
      <c r="DJ425" s="203"/>
      <c r="DK425" s="203"/>
      <c r="DL425" s="203"/>
      <c r="DM425" s="203"/>
      <c r="DN425" s="203"/>
      <c r="DO425" s="203"/>
      <c r="DP425" s="208"/>
      <c r="DQ425" s="208"/>
      <c r="DR425" s="208"/>
      <c r="DS425" s="208"/>
      <c r="DT425" s="208"/>
      <c r="DU425" s="208"/>
      <c r="DV425" s="208"/>
      <c r="DW425" s="208"/>
      <c r="DX425" s="208"/>
      <c r="DY425" s="208"/>
      <c r="DZ425" s="208"/>
      <c r="EA425" s="208"/>
      <c r="EB425" s="208"/>
      <c r="EC425" s="208"/>
      <c r="ED425" s="208"/>
      <c r="EE425" s="208"/>
      <c r="EF425" s="208"/>
      <c r="EG425" s="208"/>
      <c r="EH425" s="208"/>
      <c r="EI425" s="208"/>
      <c r="EJ425" s="208"/>
      <c r="EK425" s="208"/>
      <c r="EL425" s="208"/>
      <c r="EM425" s="208"/>
      <c r="EN425" s="208"/>
      <c r="EO425" s="208"/>
      <c r="EP425" s="208"/>
      <c r="EQ425" s="208"/>
      <c r="ER425" s="208"/>
      <c r="ES425" s="208"/>
      <c r="ET425" s="208"/>
      <c r="EU425" s="208"/>
      <c r="EV425" s="208"/>
      <c r="EW425" s="208"/>
      <c r="EX425" s="208"/>
      <c r="EY425" s="208"/>
      <c r="EZ425" s="208">
        <v>0</v>
      </c>
      <c r="FA425" s="208">
        <v>0</v>
      </c>
      <c r="FB425" s="208">
        <v>0</v>
      </c>
      <c r="FC425" s="208"/>
      <c r="FD425" s="82"/>
      <c r="FE425" s="30"/>
    </row>
    <row r="426" spans="1:161" ht="15" hidden="1">
      <c r="A426" s="25" t="s">
        <v>405</v>
      </c>
      <c r="B426" s="212" t="s">
        <v>657</v>
      </c>
      <c r="C426" s="138"/>
      <c r="D426" s="221"/>
      <c r="E426" s="239">
        <v>970</v>
      </c>
      <c r="F426" s="95"/>
      <c r="G426" s="95"/>
      <c r="H426" s="147" t="s">
        <v>656</v>
      </c>
      <c r="I426" s="147"/>
      <c r="J426" s="135"/>
      <c r="K426" s="135"/>
      <c r="L426" s="139"/>
      <c r="M426" s="134"/>
      <c r="N426" s="134"/>
      <c r="O426" s="134"/>
      <c r="P426" s="134"/>
      <c r="Q426" s="134"/>
      <c r="R426" s="134"/>
      <c r="S426" s="139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3"/>
      <c r="BE426" s="83"/>
      <c r="BF426" s="83"/>
      <c r="BG426" s="82"/>
      <c r="BH426" s="81"/>
      <c r="BI426" s="80"/>
      <c r="BJ426" s="25"/>
      <c r="BK426" s="25"/>
      <c r="BL426" s="25"/>
      <c r="BM426" s="84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  <c r="CC426" s="25"/>
      <c r="CD426" s="25"/>
      <c r="CE426" s="25"/>
      <c r="CF426" s="25"/>
      <c r="CG426" s="25"/>
      <c r="CH426" s="25"/>
      <c r="CI426" s="25"/>
      <c r="CJ426" s="25"/>
      <c r="CK426" s="25"/>
      <c r="CL426" s="25"/>
      <c r="CM426" s="25"/>
      <c r="CN426" s="25"/>
      <c r="CO426" s="25"/>
      <c r="CP426" s="25"/>
      <c r="CQ426" s="25"/>
      <c r="CR426" s="25"/>
      <c r="CS426" s="25"/>
      <c r="CT426" s="25"/>
      <c r="CU426" s="25"/>
      <c r="CV426" s="25"/>
      <c r="CW426" s="25"/>
      <c r="CX426" s="25"/>
      <c r="CY426" s="25"/>
      <c r="CZ426" s="25"/>
      <c r="DA426" s="25"/>
      <c r="DB426" s="25"/>
      <c r="DC426" s="25"/>
      <c r="DD426" s="25"/>
      <c r="DE426" s="25"/>
      <c r="DF426" s="92"/>
      <c r="DG426" s="92"/>
      <c r="DH426" s="203"/>
      <c r="DI426" s="203"/>
      <c r="DJ426" s="203"/>
      <c r="DK426" s="203"/>
      <c r="DL426" s="203"/>
      <c r="DM426" s="203"/>
      <c r="DN426" s="203"/>
      <c r="DO426" s="203"/>
      <c r="DP426" s="208"/>
      <c r="DQ426" s="208"/>
      <c r="DR426" s="208"/>
      <c r="DS426" s="208"/>
      <c r="DT426" s="208"/>
      <c r="DU426" s="208"/>
      <c r="DV426" s="208"/>
      <c r="DW426" s="208"/>
      <c r="DX426" s="208"/>
      <c r="DY426" s="208"/>
      <c r="DZ426" s="208"/>
      <c r="EA426" s="208"/>
      <c r="EB426" s="208"/>
      <c r="EC426" s="208"/>
      <c r="ED426" s="208"/>
      <c r="EE426" s="208"/>
      <c r="EF426" s="208"/>
      <c r="EG426" s="208"/>
      <c r="EH426" s="208"/>
      <c r="EI426" s="208"/>
      <c r="EJ426" s="208"/>
      <c r="EK426" s="208"/>
      <c r="EL426" s="208"/>
      <c r="EM426" s="208"/>
      <c r="EN426" s="208"/>
      <c r="EO426" s="208"/>
      <c r="EP426" s="208"/>
      <c r="EQ426" s="208"/>
      <c r="ER426" s="208"/>
      <c r="ES426" s="208"/>
      <c r="ET426" s="208"/>
      <c r="EU426" s="208"/>
      <c r="EV426" s="208"/>
      <c r="EW426" s="208"/>
      <c r="EX426" s="208"/>
      <c r="EY426" s="208"/>
      <c r="EZ426" s="208">
        <v>0</v>
      </c>
      <c r="FA426" s="208">
        <v>0</v>
      </c>
      <c r="FB426" s="208">
        <v>0</v>
      </c>
      <c r="FC426" s="208"/>
      <c r="FD426" s="82"/>
      <c r="FE426" s="30"/>
    </row>
    <row r="427" spans="1:161" ht="15" hidden="1">
      <c r="A427" s="25" t="s">
        <v>436</v>
      </c>
      <c r="B427" s="212" t="s">
        <v>657</v>
      </c>
      <c r="C427" s="138"/>
      <c r="D427" s="221"/>
      <c r="E427" s="239">
        <v>970</v>
      </c>
      <c r="F427" s="95"/>
      <c r="G427" s="95"/>
      <c r="H427" s="147" t="s">
        <v>656</v>
      </c>
      <c r="I427" s="147"/>
      <c r="J427" s="135"/>
      <c r="K427" s="135"/>
      <c r="L427" s="139"/>
      <c r="M427" s="134"/>
      <c r="N427" s="134"/>
      <c r="O427" s="134"/>
      <c r="P427" s="134"/>
      <c r="Q427" s="134"/>
      <c r="R427" s="134"/>
      <c r="S427" s="139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3"/>
      <c r="BE427" s="83"/>
      <c r="BF427" s="83"/>
      <c r="BG427" s="82"/>
      <c r="BH427" s="81"/>
      <c r="BI427" s="80"/>
      <c r="BJ427" s="25"/>
      <c r="BK427" s="25"/>
      <c r="BL427" s="25"/>
      <c r="BM427" s="84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  <c r="CC427" s="25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  <c r="CR427" s="25"/>
      <c r="CS427" s="25"/>
      <c r="CT427" s="25"/>
      <c r="CU427" s="25"/>
      <c r="CV427" s="25"/>
      <c r="CW427" s="25"/>
      <c r="CX427" s="25"/>
      <c r="CY427" s="25"/>
      <c r="CZ427" s="25"/>
      <c r="DA427" s="25"/>
      <c r="DB427" s="25"/>
      <c r="DC427" s="25"/>
      <c r="DD427" s="25"/>
      <c r="DE427" s="25"/>
      <c r="DF427" s="92"/>
      <c r="DG427" s="92"/>
      <c r="DH427" s="203"/>
      <c r="DI427" s="203"/>
      <c r="DJ427" s="203"/>
      <c r="DK427" s="203"/>
      <c r="DL427" s="203"/>
      <c r="DM427" s="203"/>
      <c r="DN427" s="203"/>
      <c r="DO427" s="203"/>
      <c r="DP427" s="208"/>
      <c r="DQ427" s="208"/>
      <c r="DR427" s="208"/>
      <c r="DS427" s="208"/>
      <c r="DT427" s="208"/>
      <c r="DU427" s="208"/>
      <c r="DV427" s="208"/>
      <c r="DW427" s="208"/>
      <c r="DX427" s="208"/>
      <c r="DY427" s="208"/>
      <c r="DZ427" s="208"/>
      <c r="EA427" s="208"/>
      <c r="EB427" s="208"/>
      <c r="EC427" s="208"/>
      <c r="ED427" s="208"/>
      <c r="EE427" s="208"/>
      <c r="EF427" s="208"/>
      <c r="EG427" s="208"/>
      <c r="EH427" s="208"/>
      <c r="EI427" s="208"/>
      <c r="EJ427" s="208"/>
      <c r="EK427" s="208"/>
      <c r="EL427" s="208"/>
      <c r="EM427" s="208"/>
      <c r="EN427" s="208"/>
      <c r="EO427" s="208"/>
      <c r="EP427" s="208"/>
      <c r="EQ427" s="208"/>
      <c r="ER427" s="208"/>
      <c r="ES427" s="208"/>
      <c r="ET427" s="208"/>
      <c r="EU427" s="208"/>
      <c r="EV427" s="208"/>
      <c r="EW427" s="208"/>
      <c r="EX427" s="208"/>
      <c r="EY427" s="208"/>
      <c r="EZ427" s="208">
        <v>0</v>
      </c>
      <c r="FA427" s="208">
        <v>0</v>
      </c>
      <c r="FB427" s="208">
        <v>0</v>
      </c>
      <c r="FC427" s="208"/>
      <c r="FD427" s="82"/>
      <c r="FE427" s="30"/>
    </row>
    <row r="428" spans="1:161" ht="15" hidden="1">
      <c r="A428" s="25" t="s">
        <v>453</v>
      </c>
      <c r="B428" s="212" t="s">
        <v>657</v>
      </c>
      <c r="C428" s="138"/>
      <c r="D428" s="221"/>
      <c r="E428" s="239">
        <v>970</v>
      </c>
      <c r="F428" s="95"/>
      <c r="G428" s="95"/>
      <c r="H428" s="147" t="s">
        <v>656</v>
      </c>
      <c r="I428" s="147"/>
      <c r="J428" s="135"/>
      <c r="K428" s="135"/>
      <c r="L428" s="139"/>
      <c r="M428" s="134"/>
      <c r="N428" s="134"/>
      <c r="O428" s="134"/>
      <c r="P428" s="134"/>
      <c r="Q428" s="134"/>
      <c r="R428" s="134"/>
      <c r="S428" s="139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3"/>
      <c r="BE428" s="83"/>
      <c r="BF428" s="83"/>
      <c r="BG428" s="82"/>
      <c r="BH428" s="81"/>
      <c r="BI428" s="80"/>
      <c r="BJ428" s="25"/>
      <c r="BK428" s="25"/>
      <c r="BL428" s="25"/>
      <c r="BM428" s="84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  <c r="CC428" s="25"/>
      <c r="CD428" s="25"/>
      <c r="CE428" s="25"/>
      <c r="CF428" s="25"/>
      <c r="CG428" s="25"/>
      <c r="CH428" s="25"/>
      <c r="CI428" s="25"/>
      <c r="CJ428" s="25"/>
      <c r="CK428" s="25"/>
      <c r="CL428" s="25"/>
      <c r="CM428" s="25"/>
      <c r="CN428" s="25"/>
      <c r="CO428" s="25"/>
      <c r="CP428" s="25"/>
      <c r="CQ428" s="25"/>
      <c r="CR428" s="25"/>
      <c r="CS428" s="25"/>
      <c r="CT428" s="25"/>
      <c r="CU428" s="25"/>
      <c r="CV428" s="25"/>
      <c r="CW428" s="25"/>
      <c r="CX428" s="25"/>
      <c r="CY428" s="25"/>
      <c r="CZ428" s="25"/>
      <c r="DA428" s="25"/>
      <c r="DB428" s="25"/>
      <c r="DC428" s="25"/>
      <c r="DD428" s="25"/>
      <c r="DE428" s="25"/>
      <c r="DF428" s="92"/>
      <c r="DG428" s="92"/>
      <c r="DH428" s="203"/>
      <c r="DI428" s="203"/>
      <c r="DJ428" s="203"/>
      <c r="DK428" s="203"/>
      <c r="DL428" s="203"/>
      <c r="DM428" s="203"/>
      <c r="DN428" s="203"/>
      <c r="DO428" s="203"/>
      <c r="DP428" s="208"/>
      <c r="DQ428" s="208"/>
      <c r="DR428" s="208"/>
      <c r="DS428" s="208"/>
      <c r="DT428" s="208"/>
      <c r="DU428" s="208"/>
      <c r="DV428" s="208"/>
      <c r="DW428" s="208"/>
      <c r="DX428" s="208"/>
      <c r="DY428" s="208"/>
      <c r="DZ428" s="208"/>
      <c r="EA428" s="208"/>
      <c r="EB428" s="208"/>
      <c r="EC428" s="208"/>
      <c r="ED428" s="208"/>
      <c r="EE428" s="208"/>
      <c r="EF428" s="208"/>
      <c r="EG428" s="208"/>
      <c r="EH428" s="208"/>
      <c r="EI428" s="208"/>
      <c r="EJ428" s="208"/>
      <c r="EK428" s="208"/>
      <c r="EL428" s="208"/>
      <c r="EM428" s="208"/>
      <c r="EN428" s="208"/>
      <c r="EO428" s="208"/>
      <c r="EP428" s="208"/>
      <c r="EQ428" s="208"/>
      <c r="ER428" s="208"/>
      <c r="ES428" s="208"/>
      <c r="ET428" s="208"/>
      <c r="EU428" s="208"/>
      <c r="EV428" s="208"/>
      <c r="EW428" s="208"/>
      <c r="EX428" s="208"/>
      <c r="EY428" s="208"/>
      <c r="EZ428" s="208">
        <v>0</v>
      </c>
      <c r="FA428" s="208">
        <v>0</v>
      </c>
      <c r="FB428" s="208">
        <v>0</v>
      </c>
      <c r="FC428" s="208"/>
      <c r="FD428" s="82"/>
      <c r="FE428" s="30"/>
    </row>
    <row r="429" spans="1:161" ht="15" hidden="1">
      <c r="A429" s="25" t="s">
        <v>414</v>
      </c>
      <c r="B429" s="212" t="s">
        <v>657</v>
      </c>
      <c r="C429" s="138"/>
      <c r="D429" s="221"/>
      <c r="E429" s="239">
        <v>970</v>
      </c>
      <c r="F429" s="95"/>
      <c r="G429" s="95"/>
      <c r="H429" s="147" t="s">
        <v>656</v>
      </c>
      <c r="I429" s="147"/>
      <c r="J429" s="135"/>
      <c r="K429" s="135"/>
      <c r="L429" s="139"/>
      <c r="M429" s="134"/>
      <c r="N429" s="134"/>
      <c r="O429" s="134"/>
      <c r="P429" s="134"/>
      <c r="Q429" s="134"/>
      <c r="R429" s="134"/>
      <c r="S429" s="139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3"/>
      <c r="BE429" s="83"/>
      <c r="BF429" s="83"/>
      <c r="BG429" s="82"/>
      <c r="BH429" s="81"/>
      <c r="BI429" s="80"/>
      <c r="BJ429" s="25"/>
      <c r="BK429" s="25"/>
      <c r="BL429" s="25"/>
      <c r="BM429" s="84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  <c r="CC429" s="25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  <c r="CR429" s="25"/>
      <c r="CS429" s="25"/>
      <c r="CT429" s="25"/>
      <c r="CU429" s="25"/>
      <c r="CV429" s="25"/>
      <c r="CW429" s="25"/>
      <c r="CX429" s="25"/>
      <c r="CY429" s="25"/>
      <c r="CZ429" s="25"/>
      <c r="DA429" s="25"/>
      <c r="DB429" s="25"/>
      <c r="DC429" s="25"/>
      <c r="DD429" s="25"/>
      <c r="DE429" s="25"/>
      <c r="DF429" s="92"/>
      <c r="DG429" s="92"/>
      <c r="DH429" s="203"/>
      <c r="DI429" s="203"/>
      <c r="DJ429" s="203"/>
      <c r="DK429" s="203"/>
      <c r="DL429" s="203"/>
      <c r="DM429" s="203"/>
      <c r="DN429" s="203"/>
      <c r="DO429" s="203"/>
      <c r="DP429" s="208"/>
      <c r="DQ429" s="208"/>
      <c r="DR429" s="208"/>
      <c r="DS429" s="208"/>
      <c r="DT429" s="208"/>
      <c r="DU429" s="208"/>
      <c r="DV429" s="208"/>
      <c r="DW429" s="208"/>
      <c r="DX429" s="208"/>
      <c r="DY429" s="208"/>
      <c r="DZ429" s="208"/>
      <c r="EA429" s="208"/>
      <c r="EB429" s="208"/>
      <c r="EC429" s="208"/>
      <c r="ED429" s="208"/>
      <c r="EE429" s="208"/>
      <c r="EF429" s="208"/>
      <c r="EG429" s="208"/>
      <c r="EH429" s="208"/>
      <c r="EI429" s="208"/>
      <c r="EJ429" s="208"/>
      <c r="EK429" s="208"/>
      <c r="EL429" s="208"/>
      <c r="EM429" s="208"/>
      <c r="EN429" s="208"/>
      <c r="EO429" s="208"/>
      <c r="EP429" s="208"/>
      <c r="EQ429" s="208"/>
      <c r="ER429" s="208"/>
      <c r="ES429" s="208"/>
      <c r="ET429" s="208"/>
      <c r="EU429" s="208"/>
      <c r="EV429" s="208"/>
      <c r="EW429" s="208"/>
      <c r="EX429" s="208"/>
      <c r="EY429" s="208"/>
      <c r="EZ429" s="208">
        <v>0</v>
      </c>
      <c r="FA429" s="208">
        <v>0</v>
      </c>
      <c r="FB429" s="208">
        <v>0</v>
      </c>
      <c r="FC429" s="208"/>
      <c r="FD429" s="82"/>
      <c r="FE429" s="30"/>
    </row>
    <row r="430" spans="1:161" ht="15" hidden="1">
      <c r="A430" s="25" t="s">
        <v>400</v>
      </c>
      <c r="B430" s="212" t="s">
        <v>657</v>
      </c>
      <c r="C430" s="138"/>
      <c r="D430" s="221"/>
      <c r="E430" s="239">
        <v>970</v>
      </c>
      <c r="F430" s="95"/>
      <c r="G430" s="95"/>
      <c r="H430" s="147" t="s">
        <v>656</v>
      </c>
      <c r="I430" s="147"/>
      <c r="J430" s="135"/>
      <c r="K430" s="135"/>
      <c r="L430" s="139"/>
      <c r="M430" s="134"/>
      <c r="N430" s="134"/>
      <c r="O430" s="134"/>
      <c r="P430" s="134"/>
      <c r="Q430" s="134"/>
      <c r="R430" s="134"/>
      <c r="S430" s="139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3"/>
      <c r="BE430" s="83"/>
      <c r="BF430" s="83"/>
      <c r="BG430" s="82"/>
      <c r="BH430" s="81"/>
      <c r="BI430" s="80"/>
      <c r="BJ430" s="25"/>
      <c r="BK430" s="25"/>
      <c r="BL430" s="25"/>
      <c r="BM430" s="84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  <c r="CC430" s="25"/>
      <c r="CD430" s="25"/>
      <c r="CE430" s="25"/>
      <c r="CF430" s="25"/>
      <c r="CG430" s="25"/>
      <c r="CH430" s="25"/>
      <c r="CI430" s="25"/>
      <c r="CJ430" s="25"/>
      <c r="CK430" s="25"/>
      <c r="CL430" s="25"/>
      <c r="CM430" s="25"/>
      <c r="CN430" s="25"/>
      <c r="CO430" s="25"/>
      <c r="CP430" s="25"/>
      <c r="CQ430" s="25"/>
      <c r="CR430" s="25"/>
      <c r="CS430" s="25"/>
      <c r="CT430" s="25"/>
      <c r="CU430" s="25"/>
      <c r="CV430" s="25"/>
      <c r="CW430" s="25"/>
      <c r="CX430" s="25"/>
      <c r="CY430" s="25"/>
      <c r="CZ430" s="25"/>
      <c r="DA430" s="25"/>
      <c r="DB430" s="25"/>
      <c r="DC430" s="25"/>
      <c r="DD430" s="25"/>
      <c r="DE430" s="25"/>
      <c r="DF430" s="92"/>
      <c r="DG430" s="92"/>
      <c r="DH430" s="203"/>
      <c r="DI430" s="203"/>
      <c r="DJ430" s="203"/>
      <c r="DK430" s="203"/>
      <c r="DL430" s="203"/>
      <c r="DM430" s="203"/>
      <c r="DN430" s="203"/>
      <c r="DO430" s="203"/>
      <c r="DP430" s="208"/>
      <c r="DQ430" s="208"/>
      <c r="DR430" s="208"/>
      <c r="DS430" s="208"/>
      <c r="DT430" s="208"/>
      <c r="DU430" s="208"/>
      <c r="DV430" s="208"/>
      <c r="DW430" s="208"/>
      <c r="DX430" s="208"/>
      <c r="DY430" s="208"/>
      <c r="DZ430" s="208"/>
      <c r="EA430" s="208"/>
      <c r="EB430" s="208"/>
      <c r="EC430" s="208"/>
      <c r="ED430" s="208"/>
      <c r="EE430" s="208"/>
      <c r="EF430" s="208"/>
      <c r="EG430" s="208"/>
      <c r="EH430" s="208"/>
      <c r="EI430" s="208"/>
      <c r="EJ430" s="208"/>
      <c r="EK430" s="208"/>
      <c r="EL430" s="208"/>
      <c r="EM430" s="208"/>
      <c r="EN430" s="208"/>
      <c r="EO430" s="208"/>
      <c r="EP430" s="208"/>
      <c r="EQ430" s="208"/>
      <c r="ER430" s="208"/>
      <c r="ES430" s="208"/>
      <c r="ET430" s="208"/>
      <c r="EU430" s="208"/>
      <c r="EV430" s="208"/>
      <c r="EW430" s="208"/>
      <c r="EX430" s="208"/>
      <c r="EY430" s="208"/>
      <c r="EZ430" s="208">
        <v>0</v>
      </c>
      <c r="FA430" s="208">
        <v>0</v>
      </c>
      <c r="FB430" s="208">
        <v>0</v>
      </c>
      <c r="FC430" s="208"/>
      <c r="FD430" s="82"/>
      <c r="FE430" s="30"/>
    </row>
    <row r="431" spans="1:161" ht="15" hidden="1">
      <c r="A431" s="25" t="s">
        <v>404</v>
      </c>
      <c r="B431" s="212" t="s">
        <v>657</v>
      </c>
      <c r="C431" s="138"/>
      <c r="D431" s="221"/>
      <c r="E431" s="239">
        <v>970</v>
      </c>
      <c r="F431" s="95"/>
      <c r="G431" s="95"/>
      <c r="H431" s="147" t="s">
        <v>656</v>
      </c>
      <c r="I431" s="147"/>
      <c r="J431" s="135"/>
      <c r="K431" s="135"/>
      <c r="L431" s="139"/>
      <c r="M431" s="134"/>
      <c r="N431" s="134"/>
      <c r="O431" s="134"/>
      <c r="P431" s="134"/>
      <c r="Q431" s="134"/>
      <c r="R431" s="134"/>
      <c r="S431" s="139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3"/>
      <c r="BE431" s="83"/>
      <c r="BF431" s="83"/>
      <c r="BG431" s="82"/>
      <c r="BH431" s="81"/>
      <c r="BI431" s="80"/>
      <c r="BJ431" s="25"/>
      <c r="BK431" s="25"/>
      <c r="BL431" s="25"/>
      <c r="BM431" s="84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  <c r="CR431" s="25"/>
      <c r="CS431" s="25"/>
      <c r="CT431" s="25"/>
      <c r="CU431" s="25"/>
      <c r="CV431" s="25"/>
      <c r="CW431" s="25"/>
      <c r="CX431" s="25"/>
      <c r="CY431" s="25"/>
      <c r="CZ431" s="25"/>
      <c r="DA431" s="25"/>
      <c r="DB431" s="25"/>
      <c r="DC431" s="25"/>
      <c r="DD431" s="25"/>
      <c r="DE431" s="25"/>
      <c r="DF431" s="92"/>
      <c r="DG431" s="92"/>
      <c r="DH431" s="203"/>
      <c r="DI431" s="203"/>
      <c r="DJ431" s="203"/>
      <c r="DK431" s="203"/>
      <c r="DL431" s="203"/>
      <c r="DM431" s="203"/>
      <c r="DN431" s="203"/>
      <c r="DO431" s="203"/>
      <c r="DP431" s="208"/>
      <c r="DQ431" s="208"/>
      <c r="DR431" s="208"/>
      <c r="DS431" s="208"/>
      <c r="DT431" s="208"/>
      <c r="DU431" s="208"/>
      <c r="DV431" s="208"/>
      <c r="DW431" s="208"/>
      <c r="DX431" s="208"/>
      <c r="DY431" s="208"/>
      <c r="DZ431" s="208"/>
      <c r="EA431" s="208"/>
      <c r="EB431" s="208"/>
      <c r="EC431" s="208"/>
      <c r="ED431" s="208"/>
      <c r="EE431" s="208"/>
      <c r="EF431" s="208"/>
      <c r="EG431" s="208"/>
      <c r="EH431" s="208"/>
      <c r="EI431" s="208"/>
      <c r="EJ431" s="208"/>
      <c r="EK431" s="208"/>
      <c r="EL431" s="208"/>
      <c r="EM431" s="208"/>
      <c r="EN431" s="208"/>
      <c r="EO431" s="208"/>
      <c r="EP431" s="208"/>
      <c r="EQ431" s="208"/>
      <c r="ER431" s="208"/>
      <c r="ES431" s="208"/>
      <c r="ET431" s="208"/>
      <c r="EU431" s="208"/>
      <c r="EV431" s="208"/>
      <c r="EW431" s="208"/>
      <c r="EX431" s="208"/>
      <c r="EY431" s="208"/>
      <c r="EZ431" s="208">
        <v>0</v>
      </c>
      <c r="FA431" s="208">
        <v>0</v>
      </c>
      <c r="FB431" s="208">
        <v>0</v>
      </c>
      <c r="FC431" s="208"/>
      <c r="FD431" s="82"/>
      <c r="FE431" s="30"/>
    </row>
    <row r="432" spans="1:161" ht="15" hidden="1">
      <c r="A432" s="25" t="s">
        <v>410</v>
      </c>
      <c r="B432" s="212" t="s">
        <v>657</v>
      </c>
      <c r="C432" s="138"/>
      <c r="D432" s="221"/>
      <c r="E432" s="239">
        <v>970</v>
      </c>
      <c r="F432" s="95"/>
      <c r="G432" s="95"/>
      <c r="H432" s="147" t="s">
        <v>656</v>
      </c>
      <c r="I432" s="147"/>
      <c r="J432" s="135"/>
      <c r="K432" s="135"/>
      <c r="L432" s="139"/>
      <c r="M432" s="134"/>
      <c r="N432" s="134"/>
      <c r="O432" s="134"/>
      <c r="P432" s="134"/>
      <c r="Q432" s="134"/>
      <c r="R432" s="134"/>
      <c r="S432" s="139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3"/>
      <c r="BE432" s="83"/>
      <c r="BF432" s="83"/>
      <c r="BG432" s="82"/>
      <c r="BH432" s="81"/>
      <c r="BI432" s="80"/>
      <c r="BJ432" s="25"/>
      <c r="BK432" s="25"/>
      <c r="BL432" s="25"/>
      <c r="BM432" s="84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  <c r="CC432" s="25"/>
      <c r="CD432" s="25"/>
      <c r="CE432" s="25"/>
      <c r="CF432" s="25"/>
      <c r="CG432" s="25"/>
      <c r="CH432" s="25"/>
      <c r="CI432" s="25"/>
      <c r="CJ432" s="25"/>
      <c r="CK432" s="25"/>
      <c r="CL432" s="25"/>
      <c r="CM432" s="25"/>
      <c r="CN432" s="25"/>
      <c r="CO432" s="25"/>
      <c r="CP432" s="25"/>
      <c r="CQ432" s="25"/>
      <c r="CR432" s="25"/>
      <c r="CS432" s="25"/>
      <c r="CT432" s="25"/>
      <c r="CU432" s="25"/>
      <c r="CV432" s="25"/>
      <c r="CW432" s="25"/>
      <c r="CX432" s="25"/>
      <c r="CY432" s="25"/>
      <c r="CZ432" s="25"/>
      <c r="DA432" s="25"/>
      <c r="DB432" s="25"/>
      <c r="DC432" s="25"/>
      <c r="DD432" s="25"/>
      <c r="DE432" s="25"/>
      <c r="DF432" s="92"/>
      <c r="DG432" s="92"/>
      <c r="DH432" s="203"/>
      <c r="DI432" s="203"/>
      <c r="DJ432" s="203"/>
      <c r="DK432" s="203"/>
      <c r="DL432" s="203"/>
      <c r="DM432" s="203"/>
      <c r="DN432" s="203"/>
      <c r="DO432" s="203"/>
      <c r="DP432" s="208"/>
      <c r="DQ432" s="208"/>
      <c r="DR432" s="208"/>
      <c r="DS432" s="208"/>
      <c r="DT432" s="208"/>
      <c r="DU432" s="208"/>
      <c r="DV432" s="208"/>
      <c r="DW432" s="208"/>
      <c r="DX432" s="208"/>
      <c r="DY432" s="208"/>
      <c r="DZ432" s="208"/>
      <c r="EA432" s="208"/>
      <c r="EB432" s="208"/>
      <c r="EC432" s="208"/>
      <c r="ED432" s="208"/>
      <c r="EE432" s="208"/>
      <c r="EF432" s="208"/>
      <c r="EG432" s="208"/>
      <c r="EH432" s="208"/>
      <c r="EI432" s="208"/>
      <c r="EJ432" s="208"/>
      <c r="EK432" s="208"/>
      <c r="EL432" s="208"/>
      <c r="EM432" s="208"/>
      <c r="EN432" s="208"/>
      <c r="EO432" s="208"/>
      <c r="EP432" s="208"/>
      <c r="EQ432" s="208"/>
      <c r="ER432" s="208"/>
      <c r="ES432" s="208"/>
      <c r="ET432" s="208"/>
      <c r="EU432" s="208"/>
      <c r="EV432" s="208"/>
      <c r="EW432" s="208"/>
      <c r="EX432" s="208"/>
      <c r="EY432" s="208"/>
      <c r="EZ432" s="208">
        <v>0</v>
      </c>
      <c r="FA432" s="208">
        <v>0</v>
      </c>
      <c r="FB432" s="208">
        <v>0</v>
      </c>
      <c r="FC432" s="208"/>
      <c r="FD432" s="82"/>
      <c r="FE432" s="30"/>
    </row>
    <row r="433" spans="1:161" ht="15" hidden="1">
      <c r="A433" s="25" t="s">
        <v>449</v>
      </c>
      <c r="B433" s="212" t="s">
        <v>657</v>
      </c>
      <c r="C433" s="138"/>
      <c r="D433" s="221"/>
      <c r="E433" s="239">
        <v>970</v>
      </c>
      <c r="F433" s="95"/>
      <c r="G433" s="95"/>
      <c r="H433" s="147" t="s">
        <v>656</v>
      </c>
      <c r="I433" s="147"/>
      <c r="J433" s="135"/>
      <c r="K433" s="135"/>
      <c r="L433" s="139"/>
      <c r="M433" s="134"/>
      <c r="N433" s="134"/>
      <c r="O433" s="134"/>
      <c r="P433" s="134"/>
      <c r="Q433" s="134"/>
      <c r="R433" s="134"/>
      <c r="S433" s="139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3"/>
      <c r="BE433" s="83"/>
      <c r="BF433" s="83"/>
      <c r="BG433" s="82"/>
      <c r="BH433" s="81"/>
      <c r="BI433" s="80"/>
      <c r="BJ433" s="25"/>
      <c r="BK433" s="25"/>
      <c r="BL433" s="25"/>
      <c r="BM433" s="84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  <c r="CC433" s="25"/>
      <c r="CD433" s="25"/>
      <c r="CE433" s="25"/>
      <c r="CF433" s="25"/>
      <c r="CG433" s="25"/>
      <c r="CH433" s="25"/>
      <c r="CI433" s="25"/>
      <c r="CJ433" s="25"/>
      <c r="CK433" s="25"/>
      <c r="CL433" s="25"/>
      <c r="CM433" s="25"/>
      <c r="CN433" s="25"/>
      <c r="CO433" s="25"/>
      <c r="CP433" s="25"/>
      <c r="CQ433" s="25"/>
      <c r="CR433" s="25"/>
      <c r="CS433" s="25"/>
      <c r="CT433" s="25"/>
      <c r="CU433" s="25"/>
      <c r="CV433" s="25"/>
      <c r="CW433" s="25"/>
      <c r="CX433" s="25"/>
      <c r="CY433" s="25"/>
      <c r="CZ433" s="25"/>
      <c r="DA433" s="25"/>
      <c r="DB433" s="25"/>
      <c r="DC433" s="25"/>
      <c r="DD433" s="25"/>
      <c r="DE433" s="25"/>
      <c r="DF433" s="92"/>
      <c r="DG433" s="92"/>
      <c r="DH433" s="203"/>
      <c r="DI433" s="203"/>
      <c r="DJ433" s="203"/>
      <c r="DK433" s="203"/>
      <c r="DL433" s="203"/>
      <c r="DM433" s="203"/>
      <c r="DN433" s="203"/>
      <c r="DO433" s="203"/>
      <c r="DP433" s="208"/>
      <c r="DQ433" s="208"/>
      <c r="DR433" s="208"/>
      <c r="DS433" s="208"/>
      <c r="DT433" s="208"/>
      <c r="DU433" s="208"/>
      <c r="DV433" s="208"/>
      <c r="DW433" s="208"/>
      <c r="DX433" s="208"/>
      <c r="DY433" s="208"/>
      <c r="DZ433" s="208"/>
      <c r="EA433" s="208"/>
      <c r="EB433" s="208"/>
      <c r="EC433" s="208"/>
      <c r="ED433" s="208"/>
      <c r="EE433" s="208"/>
      <c r="EF433" s="208"/>
      <c r="EG433" s="208"/>
      <c r="EH433" s="208"/>
      <c r="EI433" s="208"/>
      <c r="EJ433" s="208"/>
      <c r="EK433" s="208"/>
      <c r="EL433" s="208"/>
      <c r="EM433" s="208"/>
      <c r="EN433" s="208"/>
      <c r="EO433" s="208"/>
      <c r="EP433" s="208"/>
      <c r="EQ433" s="208"/>
      <c r="ER433" s="208"/>
      <c r="ES433" s="208"/>
      <c r="ET433" s="208"/>
      <c r="EU433" s="208"/>
      <c r="EV433" s="208"/>
      <c r="EW433" s="208"/>
      <c r="EX433" s="208"/>
      <c r="EY433" s="208"/>
      <c r="EZ433" s="208">
        <v>0</v>
      </c>
      <c r="FA433" s="208">
        <v>0</v>
      </c>
      <c r="FB433" s="208">
        <v>0</v>
      </c>
      <c r="FC433" s="208"/>
      <c r="FD433" s="82"/>
      <c r="FE433" s="30"/>
    </row>
    <row r="434" spans="1:161" ht="15" hidden="1">
      <c r="A434" s="25" t="s">
        <v>450</v>
      </c>
      <c r="B434" s="212" t="s">
        <v>657</v>
      </c>
      <c r="C434" s="138"/>
      <c r="D434" s="221"/>
      <c r="E434" s="239">
        <v>970</v>
      </c>
      <c r="F434" s="95"/>
      <c r="G434" s="95"/>
      <c r="H434" s="147" t="s">
        <v>656</v>
      </c>
      <c r="I434" s="147"/>
      <c r="J434" s="135"/>
      <c r="K434" s="135"/>
      <c r="L434" s="139"/>
      <c r="M434" s="134"/>
      <c r="N434" s="134"/>
      <c r="O434" s="134"/>
      <c r="P434" s="134"/>
      <c r="Q434" s="134"/>
      <c r="R434" s="134"/>
      <c r="S434" s="139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3"/>
      <c r="BE434" s="83"/>
      <c r="BF434" s="83"/>
      <c r="BG434" s="82"/>
      <c r="BH434" s="81"/>
      <c r="BI434" s="80"/>
      <c r="BJ434" s="25"/>
      <c r="BK434" s="25"/>
      <c r="BL434" s="25"/>
      <c r="BM434" s="84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  <c r="CC434" s="25"/>
      <c r="CD434" s="25"/>
      <c r="CE434" s="25"/>
      <c r="CF434" s="25"/>
      <c r="CG434" s="25"/>
      <c r="CH434" s="25"/>
      <c r="CI434" s="25"/>
      <c r="CJ434" s="25"/>
      <c r="CK434" s="25"/>
      <c r="CL434" s="25"/>
      <c r="CM434" s="25"/>
      <c r="CN434" s="25"/>
      <c r="CO434" s="25"/>
      <c r="CP434" s="25"/>
      <c r="CQ434" s="25"/>
      <c r="CR434" s="25"/>
      <c r="CS434" s="25"/>
      <c r="CT434" s="25"/>
      <c r="CU434" s="25"/>
      <c r="CV434" s="25"/>
      <c r="CW434" s="25"/>
      <c r="CX434" s="25"/>
      <c r="CY434" s="25"/>
      <c r="CZ434" s="25"/>
      <c r="DA434" s="25"/>
      <c r="DB434" s="25"/>
      <c r="DC434" s="25"/>
      <c r="DD434" s="25"/>
      <c r="DE434" s="25"/>
      <c r="DF434" s="92"/>
      <c r="DG434" s="92"/>
      <c r="DH434" s="203"/>
      <c r="DI434" s="203"/>
      <c r="DJ434" s="203"/>
      <c r="DK434" s="203"/>
      <c r="DL434" s="203"/>
      <c r="DM434" s="203"/>
      <c r="DN434" s="203"/>
      <c r="DO434" s="203"/>
      <c r="DP434" s="208"/>
      <c r="DQ434" s="208"/>
      <c r="DR434" s="208"/>
      <c r="DS434" s="208"/>
      <c r="DT434" s="208"/>
      <c r="DU434" s="208"/>
      <c r="DV434" s="208"/>
      <c r="DW434" s="208"/>
      <c r="DX434" s="208"/>
      <c r="DY434" s="208"/>
      <c r="DZ434" s="208"/>
      <c r="EA434" s="208"/>
      <c r="EB434" s="208"/>
      <c r="EC434" s="208"/>
      <c r="ED434" s="208"/>
      <c r="EE434" s="208"/>
      <c r="EF434" s="208"/>
      <c r="EG434" s="208"/>
      <c r="EH434" s="208"/>
      <c r="EI434" s="208"/>
      <c r="EJ434" s="208"/>
      <c r="EK434" s="208"/>
      <c r="EL434" s="208"/>
      <c r="EM434" s="208"/>
      <c r="EN434" s="208"/>
      <c r="EO434" s="208"/>
      <c r="EP434" s="208"/>
      <c r="EQ434" s="208"/>
      <c r="ER434" s="208"/>
      <c r="ES434" s="208"/>
      <c r="ET434" s="208"/>
      <c r="EU434" s="208"/>
      <c r="EV434" s="208"/>
      <c r="EW434" s="208"/>
      <c r="EX434" s="208"/>
      <c r="EY434" s="208"/>
      <c r="EZ434" s="208">
        <v>0</v>
      </c>
      <c r="FA434" s="208">
        <v>0</v>
      </c>
      <c r="FB434" s="208">
        <v>0</v>
      </c>
      <c r="FC434" s="208"/>
      <c r="FD434" s="82"/>
      <c r="FE434" s="30"/>
    </row>
    <row r="435" spans="1:161" ht="15" hidden="1">
      <c r="A435" s="25" t="s">
        <v>440</v>
      </c>
      <c r="B435" s="212" t="s">
        <v>657</v>
      </c>
      <c r="C435" s="138"/>
      <c r="D435" s="221"/>
      <c r="E435" s="239">
        <v>970</v>
      </c>
      <c r="F435" s="95"/>
      <c r="G435" s="95"/>
      <c r="H435" s="147" t="s">
        <v>656</v>
      </c>
      <c r="I435" s="147"/>
      <c r="J435" s="135"/>
      <c r="K435" s="135"/>
      <c r="L435" s="139"/>
      <c r="M435" s="134"/>
      <c r="N435" s="134"/>
      <c r="O435" s="134"/>
      <c r="P435" s="134"/>
      <c r="Q435" s="134"/>
      <c r="R435" s="134"/>
      <c r="S435" s="139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3"/>
      <c r="BE435" s="83"/>
      <c r="BF435" s="83"/>
      <c r="BG435" s="82"/>
      <c r="BH435" s="81"/>
      <c r="BI435" s="80"/>
      <c r="BJ435" s="25"/>
      <c r="BK435" s="25"/>
      <c r="BL435" s="25"/>
      <c r="BM435" s="84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  <c r="CC435" s="25"/>
      <c r="CD435" s="25"/>
      <c r="CE435" s="25"/>
      <c r="CF435" s="25"/>
      <c r="CG435" s="25"/>
      <c r="CH435" s="25"/>
      <c r="CI435" s="25"/>
      <c r="CJ435" s="25"/>
      <c r="CK435" s="25"/>
      <c r="CL435" s="25"/>
      <c r="CM435" s="25"/>
      <c r="CN435" s="25"/>
      <c r="CO435" s="25"/>
      <c r="CP435" s="25"/>
      <c r="CQ435" s="25"/>
      <c r="CR435" s="25"/>
      <c r="CS435" s="25"/>
      <c r="CT435" s="25"/>
      <c r="CU435" s="25"/>
      <c r="CV435" s="25"/>
      <c r="CW435" s="25"/>
      <c r="CX435" s="25"/>
      <c r="CY435" s="25"/>
      <c r="CZ435" s="25"/>
      <c r="DA435" s="25"/>
      <c r="DB435" s="25"/>
      <c r="DC435" s="25"/>
      <c r="DD435" s="25"/>
      <c r="DE435" s="25"/>
      <c r="DF435" s="92"/>
      <c r="DG435" s="92"/>
      <c r="DH435" s="203"/>
      <c r="DI435" s="203"/>
      <c r="DJ435" s="203"/>
      <c r="DK435" s="203"/>
      <c r="DL435" s="203"/>
      <c r="DM435" s="203"/>
      <c r="DN435" s="203"/>
      <c r="DO435" s="203"/>
      <c r="DP435" s="208"/>
      <c r="DQ435" s="208"/>
      <c r="DR435" s="208"/>
      <c r="DS435" s="208"/>
      <c r="DT435" s="208"/>
      <c r="DU435" s="208"/>
      <c r="DV435" s="208"/>
      <c r="DW435" s="208"/>
      <c r="DX435" s="208"/>
      <c r="DY435" s="208"/>
      <c r="DZ435" s="208"/>
      <c r="EA435" s="208"/>
      <c r="EB435" s="208"/>
      <c r="EC435" s="208"/>
      <c r="ED435" s="208"/>
      <c r="EE435" s="208"/>
      <c r="EF435" s="208"/>
      <c r="EG435" s="208"/>
      <c r="EH435" s="208"/>
      <c r="EI435" s="208"/>
      <c r="EJ435" s="208"/>
      <c r="EK435" s="208"/>
      <c r="EL435" s="208"/>
      <c r="EM435" s="208"/>
      <c r="EN435" s="208"/>
      <c r="EO435" s="208"/>
      <c r="EP435" s="208"/>
      <c r="EQ435" s="208"/>
      <c r="ER435" s="208"/>
      <c r="ES435" s="208"/>
      <c r="ET435" s="208"/>
      <c r="EU435" s="208"/>
      <c r="EV435" s="208"/>
      <c r="EW435" s="208"/>
      <c r="EX435" s="208"/>
      <c r="EY435" s="208"/>
      <c r="EZ435" s="208">
        <v>0</v>
      </c>
      <c r="FA435" s="208">
        <v>0</v>
      </c>
      <c r="FB435" s="208">
        <v>0</v>
      </c>
      <c r="FC435" s="208"/>
      <c r="FD435" s="82"/>
      <c r="FE435" s="30"/>
    </row>
    <row r="436" spans="1:161" ht="15" hidden="1">
      <c r="A436" s="25" t="s">
        <v>441</v>
      </c>
      <c r="B436" s="212" t="s">
        <v>657</v>
      </c>
      <c r="C436" s="138"/>
      <c r="D436" s="221"/>
      <c r="E436" s="239">
        <v>970</v>
      </c>
      <c r="F436" s="95"/>
      <c r="G436" s="95"/>
      <c r="H436" s="147" t="s">
        <v>656</v>
      </c>
      <c r="I436" s="147"/>
      <c r="J436" s="135"/>
      <c r="K436" s="135"/>
      <c r="L436" s="139"/>
      <c r="M436" s="134"/>
      <c r="N436" s="134"/>
      <c r="O436" s="134"/>
      <c r="P436" s="134"/>
      <c r="Q436" s="134"/>
      <c r="R436" s="134"/>
      <c r="S436" s="139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3"/>
      <c r="BE436" s="83"/>
      <c r="BF436" s="83"/>
      <c r="BG436" s="82"/>
      <c r="BH436" s="81"/>
      <c r="BI436" s="80"/>
      <c r="BJ436" s="25"/>
      <c r="BK436" s="25"/>
      <c r="BL436" s="25"/>
      <c r="BM436" s="84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  <c r="CC436" s="25"/>
      <c r="CD436" s="25"/>
      <c r="CE436" s="25"/>
      <c r="CF436" s="25"/>
      <c r="CG436" s="25"/>
      <c r="CH436" s="25"/>
      <c r="CI436" s="25"/>
      <c r="CJ436" s="25"/>
      <c r="CK436" s="25"/>
      <c r="CL436" s="25"/>
      <c r="CM436" s="25"/>
      <c r="CN436" s="25"/>
      <c r="CO436" s="25"/>
      <c r="CP436" s="25"/>
      <c r="CQ436" s="25"/>
      <c r="CR436" s="25"/>
      <c r="CS436" s="25"/>
      <c r="CT436" s="25"/>
      <c r="CU436" s="25"/>
      <c r="CV436" s="25"/>
      <c r="CW436" s="25"/>
      <c r="CX436" s="25"/>
      <c r="CY436" s="25"/>
      <c r="CZ436" s="25"/>
      <c r="DA436" s="25"/>
      <c r="DB436" s="25"/>
      <c r="DC436" s="25"/>
      <c r="DD436" s="25"/>
      <c r="DE436" s="25"/>
      <c r="DF436" s="92"/>
      <c r="DG436" s="92"/>
      <c r="DH436" s="203"/>
      <c r="DI436" s="203"/>
      <c r="DJ436" s="203"/>
      <c r="DK436" s="203"/>
      <c r="DL436" s="203"/>
      <c r="DM436" s="203"/>
      <c r="DN436" s="203"/>
      <c r="DO436" s="203"/>
      <c r="DP436" s="208"/>
      <c r="DQ436" s="208"/>
      <c r="DR436" s="208"/>
      <c r="DS436" s="208"/>
      <c r="DT436" s="208"/>
      <c r="DU436" s="208"/>
      <c r="DV436" s="208"/>
      <c r="DW436" s="208"/>
      <c r="DX436" s="208"/>
      <c r="DY436" s="208"/>
      <c r="DZ436" s="208"/>
      <c r="EA436" s="208"/>
      <c r="EB436" s="208"/>
      <c r="EC436" s="208"/>
      <c r="ED436" s="208"/>
      <c r="EE436" s="208"/>
      <c r="EF436" s="208"/>
      <c r="EG436" s="208"/>
      <c r="EH436" s="208"/>
      <c r="EI436" s="208"/>
      <c r="EJ436" s="208"/>
      <c r="EK436" s="208"/>
      <c r="EL436" s="208"/>
      <c r="EM436" s="208"/>
      <c r="EN436" s="208"/>
      <c r="EO436" s="208"/>
      <c r="EP436" s="208"/>
      <c r="EQ436" s="208"/>
      <c r="ER436" s="208"/>
      <c r="ES436" s="208"/>
      <c r="ET436" s="208"/>
      <c r="EU436" s="208"/>
      <c r="EV436" s="208"/>
      <c r="EW436" s="208"/>
      <c r="EX436" s="208"/>
      <c r="EY436" s="208"/>
      <c r="EZ436" s="208">
        <v>0</v>
      </c>
      <c r="FA436" s="208">
        <v>0</v>
      </c>
      <c r="FB436" s="208">
        <v>0</v>
      </c>
      <c r="FC436" s="208"/>
      <c r="FD436" s="82"/>
      <c r="FE436" s="30"/>
    </row>
    <row r="437" spans="1:161" ht="15" hidden="1">
      <c r="A437" s="25" t="s">
        <v>406</v>
      </c>
      <c r="B437" s="212" t="s">
        <v>657</v>
      </c>
      <c r="C437" s="138"/>
      <c r="D437" s="221"/>
      <c r="E437" s="239">
        <v>970</v>
      </c>
      <c r="F437" s="95"/>
      <c r="G437" s="95"/>
      <c r="H437" s="147" t="s">
        <v>656</v>
      </c>
      <c r="I437" s="147"/>
      <c r="J437" s="135"/>
      <c r="K437" s="135"/>
      <c r="L437" s="139"/>
      <c r="M437" s="134"/>
      <c r="N437" s="134"/>
      <c r="O437" s="134"/>
      <c r="P437" s="134"/>
      <c r="Q437" s="134"/>
      <c r="R437" s="134"/>
      <c r="S437" s="139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3"/>
      <c r="BE437" s="83"/>
      <c r="BF437" s="83"/>
      <c r="BG437" s="82"/>
      <c r="BH437" s="81"/>
      <c r="BI437" s="80"/>
      <c r="BJ437" s="25"/>
      <c r="BK437" s="25"/>
      <c r="BL437" s="25"/>
      <c r="BM437" s="84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  <c r="CR437" s="25"/>
      <c r="CS437" s="25"/>
      <c r="CT437" s="25"/>
      <c r="CU437" s="25"/>
      <c r="CV437" s="25"/>
      <c r="CW437" s="25"/>
      <c r="CX437" s="25"/>
      <c r="CY437" s="25"/>
      <c r="CZ437" s="25"/>
      <c r="DA437" s="25"/>
      <c r="DB437" s="25"/>
      <c r="DC437" s="25"/>
      <c r="DD437" s="25"/>
      <c r="DE437" s="25"/>
      <c r="DF437" s="92"/>
      <c r="DG437" s="92"/>
      <c r="DH437" s="203"/>
      <c r="DI437" s="203"/>
      <c r="DJ437" s="203"/>
      <c r="DK437" s="203"/>
      <c r="DL437" s="203"/>
      <c r="DM437" s="203"/>
      <c r="DN437" s="203"/>
      <c r="DO437" s="203"/>
      <c r="DP437" s="208"/>
      <c r="DQ437" s="208"/>
      <c r="DR437" s="208"/>
      <c r="DS437" s="208"/>
      <c r="DT437" s="208"/>
      <c r="DU437" s="208"/>
      <c r="DV437" s="208"/>
      <c r="DW437" s="208"/>
      <c r="DX437" s="208"/>
      <c r="DY437" s="208"/>
      <c r="DZ437" s="208"/>
      <c r="EA437" s="208"/>
      <c r="EB437" s="208"/>
      <c r="EC437" s="208"/>
      <c r="ED437" s="208"/>
      <c r="EE437" s="208"/>
      <c r="EF437" s="208"/>
      <c r="EG437" s="208"/>
      <c r="EH437" s="208"/>
      <c r="EI437" s="208"/>
      <c r="EJ437" s="208"/>
      <c r="EK437" s="208"/>
      <c r="EL437" s="208"/>
      <c r="EM437" s="208"/>
      <c r="EN437" s="208"/>
      <c r="EO437" s="208"/>
      <c r="EP437" s="208"/>
      <c r="EQ437" s="208"/>
      <c r="ER437" s="208"/>
      <c r="ES437" s="208"/>
      <c r="ET437" s="208"/>
      <c r="EU437" s="208"/>
      <c r="EV437" s="208"/>
      <c r="EW437" s="208"/>
      <c r="EX437" s="208"/>
      <c r="EY437" s="208"/>
      <c r="EZ437" s="208">
        <v>0</v>
      </c>
      <c r="FA437" s="208">
        <v>0</v>
      </c>
      <c r="FB437" s="208">
        <v>0</v>
      </c>
      <c r="FC437" s="208"/>
      <c r="FD437" s="82"/>
      <c r="FE437" s="30"/>
    </row>
    <row r="438" spans="1:161" ht="15" hidden="1">
      <c r="A438" s="25" t="s">
        <v>443</v>
      </c>
      <c r="B438" s="212" t="s">
        <v>657</v>
      </c>
      <c r="C438" s="138"/>
      <c r="D438" s="221"/>
      <c r="E438" s="239">
        <v>970</v>
      </c>
      <c r="F438" s="95"/>
      <c r="G438" s="95"/>
      <c r="H438" s="147" t="s">
        <v>656</v>
      </c>
      <c r="I438" s="147"/>
      <c r="J438" s="135"/>
      <c r="K438" s="135"/>
      <c r="L438" s="139"/>
      <c r="M438" s="134"/>
      <c r="N438" s="134"/>
      <c r="O438" s="134"/>
      <c r="P438" s="134"/>
      <c r="Q438" s="134"/>
      <c r="R438" s="134"/>
      <c r="S438" s="139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3"/>
      <c r="BE438" s="83"/>
      <c r="BF438" s="83"/>
      <c r="BG438" s="82"/>
      <c r="BH438" s="81"/>
      <c r="BI438" s="80"/>
      <c r="BJ438" s="25"/>
      <c r="BK438" s="25"/>
      <c r="BL438" s="25"/>
      <c r="BM438" s="84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  <c r="CC438" s="25"/>
      <c r="CD438" s="25"/>
      <c r="CE438" s="25"/>
      <c r="CF438" s="25"/>
      <c r="CG438" s="25"/>
      <c r="CH438" s="25"/>
      <c r="CI438" s="25"/>
      <c r="CJ438" s="25"/>
      <c r="CK438" s="25"/>
      <c r="CL438" s="25"/>
      <c r="CM438" s="25"/>
      <c r="CN438" s="25"/>
      <c r="CO438" s="25"/>
      <c r="CP438" s="25"/>
      <c r="CQ438" s="25"/>
      <c r="CR438" s="25"/>
      <c r="CS438" s="25"/>
      <c r="CT438" s="25"/>
      <c r="CU438" s="25"/>
      <c r="CV438" s="25"/>
      <c r="CW438" s="25"/>
      <c r="CX438" s="25"/>
      <c r="CY438" s="25"/>
      <c r="CZ438" s="25"/>
      <c r="DA438" s="25"/>
      <c r="DB438" s="25"/>
      <c r="DC438" s="25"/>
      <c r="DD438" s="25"/>
      <c r="DE438" s="25"/>
      <c r="DF438" s="92"/>
      <c r="DG438" s="92"/>
      <c r="DH438" s="203"/>
      <c r="DI438" s="203"/>
      <c r="DJ438" s="203"/>
      <c r="DK438" s="203"/>
      <c r="DL438" s="203"/>
      <c r="DM438" s="203"/>
      <c r="DN438" s="203"/>
      <c r="DO438" s="203"/>
      <c r="DP438" s="208"/>
      <c r="DQ438" s="208"/>
      <c r="DR438" s="208"/>
      <c r="DS438" s="208"/>
      <c r="DT438" s="208"/>
      <c r="DU438" s="208"/>
      <c r="DV438" s="208"/>
      <c r="DW438" s="208"/>
      <c r="DX438" s="208"/>
      <c r="DY438" s="208"/>
      <c r="DZ438" s="208"/>
      <c r="EA438" s="208"/>
      <c r="EB438" s="208"/>
      <c r="EC438" s="208"/>
      <c r="ED438" s="208"/>
      <c r="EE438" s="208"/>
      <c r="EF438" s="208"/>
      <c r="EG438" s="208"/>
      <c r="EH438" s="208"/>
      <c r="EI438" s="208"/>
      <c r="EJ438" s="208"/>
      <c r="EK438" s="208"/>
      <c r="EL438" s="208"/>
      <c r="EM438" s="208"/>
      <c r="EN438" s="208"/>
      <c r="EO438" s="208"/>
      <c r="EP438" s="208"/>
      <c r="EQ438" s="208"/>
      <c r="ER438" s="208"/>
      <c r="ES438" s="208"/>
      <c r="ET438" s="208"/>
      <c r="EU438" s="208"/>
      <c r="EV438" s="208"/>
      <c r="EW438" s="208"/>
      <c r="EX438" s="208"/>
      <c r="EY438" s="208"/>
      <c r="EZ438" s="208">
        <v>0</v>
      </c>
      <c r="FA438" s="208">
        <v>0</v>
      </c>
      <c r="FB438" s="208">
        <v>0</v>
      </c>
      <c r="FC438" s="208"/>
      <c r="FD438" s="82"/>
      <c r="FE438" s="30"/>
    </row>
    <row r="439" spans="1:161" ht="15" hidden="1">
      <c r="A439" s="25" t="s">
        <v>407</v>
      </c>
      <c r="B439" s="212" t="s">
        <v>657</v>
      </c>
      <c r="C439" s="138"/>
      <c r="D439" s="221"/>
      <c r="E439" s="239">
        <v>970</v>
      </c>
      <c r="F439" s="95"/>
      <c r="G439" s="95"/>
      <c r="H439" s="147" t="s">
        <v>656</v>
      </c>
      <c r="I439" s="147"/>
      <c r="J439" s="135"/>
      <c r="K439" s="135"/>
      <c r="L439" s="139"/>
      <c r="M439" s="134"/>
      <c r="N439" s="134"/>
      <c r="O439" s="134"/>
      <c r="P439" s="134"/>
      <c r="Q439" s="134"/>
      <c r="R439" s="134"/>
      <c r="S439" s="139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3"/>
      <c r="BE439" s="83"/>
      <c r="BF439" s="83"/>
      <c r="BG439" s="82"/>
      <c r="BH439" s="81"/>
      <c r="BI439" s="80"/>
      <c r="BJ439" s="25"/>
      <c r="BK439" s="25"/>
      <c r="BL439" s="25"/>
      <c r="BM439" s="84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  <c r="CR439" s="25"/>
      <c r="CS439" s="25"/>
      <c r="CT439" s="25"/>
      <c r="CU439" s="25"/>
      <c r="CV439" s="25"/>
      <c r="CW439" s="25"/>
      <c r="CX439" s="25"/>
      <c r="CY439" s="25"/>
      <c r="CZ439" s="25"/>
      <c r="DA439" s="25"/>
      <c r="DB439" s="25"/>
      <c r="DC439" s="25"/>
      <c r="DD439" s="25"/>
      <c r="DE439" s="25"/>
      <c r="DF439" s="92"/>
      <c r="DG439" s="92"/>
      <c r="DH439" s="203"/>
      <c r="DI439" s="203"/>
      <c r="DJ439" s="203"/>
      <c r="DK439" s="203"/>
      <c r="DL439" s="203"/>
      <c r="DM439" s="203"/>
      <c r="DN439" s="203"/>
      <c r="DO439" s="203"/>
      <c r="DP439" s="208"/>
      <c r="DQ439" s="208"/>
      <c r="DR439" s="208"/>
      <c r="DS439" s="208"/>
      <c r="DT439" s="208"/>
      <c r="DU439" s="208"/>
      <c r="DV439" s="208"/>
      <c r="DW439" s="208"/>
      <c r="DX439" s="208"/>
      <c r="DY439" s="208"/>
      <c r="DZ439" s="208"/>
      <c r="EA439" s="208"/>
      <c r="EB439" s="208"/>
      <c r="EC439" s="208"/>
      <c r="ED439" s="208"/>
      <c r="EE439" s="208"/>
      <c r="EF439" s="208"/>
      <c r="EG439" s="208"/>
      <c r="EH439" s="208"/>
      <c r="EI439" s="208"/>
      <c r="EJ439" s="208"/>
      <c r="EK439" s="208"/>
      <c r="EL439" s="208"/>
      <c r="EM439" s="208"/>
      <c r="EN439" s="208"/>
      <c r="EO439" s="208"/>
      <c r="EP439" s="208"/>
      <c r="EQ439" s="208"/>
      <c r="ER439" s="208"/>
      <c r="ES439" s="208"/>
      <c r="ET439" s="208"/>
      <c r="EU439" s="208"/>
      <c r="EV439" s="208"/>
      <c r="EW439" s="208"/>
      <c r="EX439" s="208"/>
      <c r="EY439" s="208"/>
      <c r="EZ439" s="208">
        <v>0</v>
      </c>
      <c r="FA439" s="208">
        <v>0</v>
      </c>
      <c r="FB439" s="208">
        <v>0</v>
      </c>
      <c r="FC439" s="208"/>
      <c r="FD439" s="82"/>
      <c r="FE439" s="30"/>
    </row>
    <row r="440" spans="1:161" ht="15" hidden="1">
      <c r="A440" s="25" t="s">
        <v>408</v>
      </c>
      <c r="B440" s="212" t="s">
        <v>657</v>
      </c>
      <c r="C440" s="138"/>
      <c r="D440" s="221"/>
      <c r="E440" s="239">
        <v>970</v>
      </c>
      <c r="F440" s="95"/>
      <c r="G440" s="95"/>
      <c r="H440" s="147" t="s">
        <v>656</v>
      </c>
      <c r="I440" s="147"/>
      <c r="J440" s="135"/>
      <c r="K440" s="135"/>
      <c r="L440" s="139"/>
      <c r="M440" s="134"/>
      <c r="N440" s="134"/>
      <c r="O440" s="134"/>
      <c r="P440" s="134"/>
      <c r="Q440" s="134"/>
      <c r="R440" s="134"/>
      <c r="S440" s="139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3"/>
      <c r="BE440" s="83"/>
      <c r="BF440" s="83"/>
      <c r="BG440" s="82"/>
      <c r="BH440" s="81"/>
      <c r="BI440" s="80"/>
      <c r="BJ440" s="25"/>
      <c r="BK440" s="25"/>
      <c r="BL440" s="25"/>
      <c r="BM440" s="84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/>
      <c r="CO440" s="25"/>
      <c r="CP440" s="25"/>
      <c r="CQ440" s="25"/>
      <c r="CR440" s="25"/>
      <c r="CS440" s="25"/>
      <c r="CT440" s="25"/>
      <c r="CU440" s="25"/>
      <c r="CV440" s="25"/>
      <c r="CW440" s="25"/>
      <c r="CX440" s="25"/>
      <c r="CY440" s="25"/>
      <c r="CZ440" s="25"/>
      <c r="DA440" s="25"/>
      <c r="DB440" s="25"/>
      <c r="DC440" s="25"/>
      <c r="DD440" s="25"/>
      <c r="DE440" s="25"/>
      <c r="DF440" s="92"/>
      <c r="DG440" s="92"/>
      <c r="DH440" s="203"/>
      <c r="DI440" s="203"/>
      <c r="DJ440" s="203"/>
      <c r="DK440" s="203"/>
      <c r="DL440" s="203"/>
      <c r="DM440" s="203"/>
      <c r="DN440" s="203"/>
      <c r="DO440" s="203"/>
      <c r="DP440" s="208"/>
      <c r="DQ440" s="208"/>
      <c r="DR440" s="208"/>
      <c r="DS440" s="208"/>
      <c r="DT440" s="208"/>
      <c r="DU440" s="208"/>
      <c r="DV440" s="208"/>
      <c r="DW440" s="208"/>
      <c r="DX440" s="208"/>
      <c r="DY440" s="208"/>
      <c r="DZ440" s="208"/>
      <c r="EA440" s="208"/>
      <c r="EB440" s="208"/>
      <c r="EC440" s="208"/>
      <c r="ED440" s="208"/>
      <c r="EE440" s="208"/>
      <c r="EF440" s="208"/>
      <c r="EG440" s="208"/>
      <c r="EH440" s="208"/>
      <c r="EI440" s="208"/>
      <c r="EJ440" s="208"/>
      <c r="EK440" s="208"/>
      <c r="EL440" s="208"/>
      <c r="EM440" s="208"/>
      <c r="EN440" s="208"/>
      <c r="EO440" s="208"/>
      <c r="EP440" s="208"/>
      <c r="EQ440" s="208"/>
      <c r="ER440" s="208"/>
      <c r="ES440" s="208"/>
      <c r="ET440" s="208"/>
      <c r="EU440" s="208"/>
      <c r="EV440" s="208"/>
      <c r="EW440" s="208"/>
      <c r="EX440" s="208"/>
      <c r="EY440" s="208"/>
      <c r="EZ440" s="208">
        <v>0</v>
      </c>
      <c r="FA440" s="208">
        <v>0</v>
      </c>
      <c r="FB440" s="208">
        <v>0</v>
      </c>
      <c r="FC440" s="208"/>
      <c r="FD440" s="82"/>
      <c r="FE440" s="30"/>
    </row>
    <row r="441" spans="1:161" ht="15" hidden="1">
      <c r="A441" s="25" t="s">
        <v>409</v>
      </c>
      <c r="B441" s="212" t="s">
        <v>657</v>
      </c>
      <c r="C441" s="138"/>
      <c r="D441" s="221"/>
      <c r="E441" s="239">
        <v>970</v>
      </c>
      <c r="F441" s="95"/>
      <c r="G441" s="95"/>
      <c r="H441" s="147" t="s">
        <v>656</v>
      </c>
      <c r="I441" s="147"/>
      <c r="J441" s="135"/>
      <c r="K441" s="135"/>
      <c r="L441" s="139"/>
      <c r="M441" s="134"/>
      <c r="N441" s="134"/>
      <c r="O441" s="134"/>
      <c r="P441" s="134"/>
      <c r="Q441" s="134"/>
      <c r="R441" s="134"/>
      <c r="S441" s="139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3"/>
      <c r="BE441" s="83"/>
      <c r="BF441" s="83"/>
      <c r="BG441" s="82"/>
      <c r="BH441" s="81"/>
      <c r="BI441" s="80"/>
      <c r="BJ441" s="25"/>
      <c r="BK441" s="25"/>
      <c r="BL441" s="25"/>
      <c r="BM441" s="84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  <c r="CC441" s="25"/>
      <c r="CD441" s="25"/>
      <c r="CE441" s="25"/>
      <c r="CF441" s="25"/>
      <c r="CG441" s="25"/>
      <c r="CH441" s="25"/>
      <c r="CI441" s="25"/>
      <c r="CJ441" s="25"/>
      <c r="CK441" s="25"/>
      <c r="CL441" s="25"/>
      <c r="CM441" s="25"/>
      <c r="CN441" s="25"/>
      <c r="CO441" s="25"/>
      <c r="CP441" s="25"/>
      <c r="CQ441" s="25"/>
      <c r="CR441" s="25"/>
      <c r="CS441" s="25"/>
      <c r="CT441" s="25"/>
      <c r="CU441" s="25"/>
      <c r="CV441" s="25"/>
      <c r="CW441" s="25"/>
      <c r="CX441" s="25"/>
      <c r="CY441" s="25"/>
      <c r="CZ441" s="25"/>
      <c r="DA441" s="25"/>
      <c r="DB441" s="25"/>
      <c r="DC441" s="25"/>
      <c r="DD441" s="25"/>
      <c r="DE441" s="25"/>
      <c r="DF441" s="92"/>
      <c r="DG441" s="92"/>
      <c r="DH441" s="203"/>
      <c r="DI441" s="203"/>
      <c r="DJ441" s="203"/>
      <c r="DK441" s="203"/>
      <c r="DL441" s="203"/>
      <c r="DM441" s="203"/>
      <c r="DN441" s="203"/>
      <c r="DO441" s="203"/>
      <c r="DP441" s="208"/>
      <c r="DQ441" s="208"/>
      <c r="DR441" s="208"/>
      <c r="DS441" s="208"/>
      <c r="DT441" s="208"/>
      <c r="DU441" s="208"/>
      <c r="DV441" s="208"/>
      <c r="DW441" s="208"/>
      <c r="DX441" s="208"/>
      <c r="DY441" s="208"/>
      <c r="DZ441" s="208"/>
      <c r="EA441" s="208"/>
      <c r="EB441" s="208"/>
      <c r="EC441" s="208"/>
      <c r="ED441" s="208"/>
      <c r="EE441" s="208"/>
      <c r="EF441" s="208"/>
      <c r="EG441" s="208"/>
      <c r="EH441" s="208"/>
      <c r="EI441" s="208"/>
      <c r="EJ441" s="208"/>
      <c r="EK441" s="208"/>
      <c r="EL441" s="208"/>
      <c r="EM441" s="208"/>
      <c r="EN441" s="208"/>
      <c r="EO441" s="208"/>
      <c r="EP441" s="208"/>
      <c r="EQ441" s="208"/>
      <c r="ER441" s="208"/>
      <c r="ES441" s="208"/>
      <c r="ET441" s="208"/>
      <c r="EU441" s="208"/>
      <c r="EV441" s="208"/>
      <c r="EW441" s="208"/>
      <c r="EX441" s="208"/>
      <c r="EY441" s="208"/>
      <c r="EZ441" s="208">
        <v>0</v>
      </c>
      <c r="FA441" s="208">
        <v>0</v>
      </c>
      <c r="FB441" s="208">
        <v>0</v>
      </c>
      <c r="FC441" s="208"/>
      <c r="FD441" s="82"/>
      <c r="FE441" s="30"/>
    </row>
    <row r="442" spans="1:161" ht="15" hidden="1">
      <c r="A442" s="25" t="s">
        <v>444</v>
      </c>
      <c r="B442" s="212" t="s">
        <v>657</v>
      </c>
      <c r="C442" s="138"/>
      <c r="D442" s="221"/>
      <c r="E442" s="239">
        <v>970</v>
      </c>
      <c r="F442" s="95"/>
      <c r="G442" s="95"/>
      <c r="H442" s="147" t="s">
        <v>656</v>
      </c>
      <c r="I442" s="147"/>
      <c r="J442" s="135"/>
      <c r="K442" s="135"/>
      <c r="L442" s="139"/>
      <c r="M442" s="134"/>
      <c r="N442" s="134"/>
      <c r="O442" s="134"/>
      <c r="P442" s="134"/>
      <c r="Q442" s="134"/>
      <c r="R442" s="134"/>
      <c r="S442" s="139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3"/>
      <c r="BE442" s="83"/>
      <c r="BF442" s="83"/>
      <c r="BG442" s="82"/>
      <c r="BH442" s="81"/>
      <c r="BI442" s="80"/>
      <c r="BJ442" s="25"/>
      <c r="BK442" s="25"/>
      <c r="BL442" s="25"/>
      <c r="BM442" s="84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  <c r="CR442" s="25"/>
      <c r="CS442" s="25"/>
      <c r="CT442" s="25"/>
      <c r="CU442" s="25"/>
      <c r="CV442" s="25"/>
      <c r="CW442" s="25"/>
      <c r="CX442" s="25"/>
      <c r="CY442" s="25"/>
      <c r="CZ442" s="25"/>
      <c r="DA442" s="25"/>
      <c r="DB442" s="25"/>
      <c r="DC442" s="25"/>
      <c r="DD442" s="25"/>
      <c r="DE442" s="25"/>
      <c r="DF442" s="92"/>
      <c r="DG442" s="92"/>
      <c r="DH442" s="203"/>
      <c r="DI442" s="203"/>
      <c r="DJ442" s="203"/>
      <c r="DK442" s="203"/>
      <c r="DL442" s="203"/>
      <c r="DM442" s="203"/>
      <c r="DN442" s="203"/>
      <c r="DO442" s="203"/>
      <c r="DP442" s="208"/>
      <c r="DQ442" s="208"/>
      <c r="DR442" s="208"/>
      <c r="DS442" s="208"/>
      <c r="DT442" s="208"/>
      <c r="DU442" s="208"/>
      <c r="DV442" s="208"/>
      <c r="DW442" s="208"/>
      <c r="DX442" s="208"/>
      <c r="DY442" s="208"/>
      <c r="DZ442" s="208"/>
      <c r="EA442" s="208"/>
      <c r="EB442" s="208"/>
      <c r="EC442" s="208"/>
      <c r="ED442" s="208"/>
      <c r="EE442" s="208"/>
      <c r="EF442" s="208"/>
      <c r="EG442" s="208"/>
      <c r="EH442" s="208"/>
      <c r="EI442" s="208"/>
      <c r="EJ442" s="208"/>
      <c r="EK442" s="208"/>
      <c r="EL442" s="208"/>
      <c r="EM442" s="208"/>
      <c r="EN442" s="208"/>
      <c r="EO442" s="208"/>
      <c r="EP442" s="208"/>
      <c r="EQ442" s="208"/>
      <c r="ER442" s="208"/>
      <c r="ES442" s="208"/>
      <c r="ET442" s="208"/>
      <c r="EU442" s="208"/>
      <c r="EV442" s="208"/>
      <c r="EW442" s="208"/>
      <c r="EX442" s="208"/>
      <c r="EY442" s="208"/>
      <c r="EZ442" s="208">
        <v>0</v>
      </c>
      <c r="FA442" s="208">
        <v>0</v>
      </c>
      <c r="FB442" s="208">
        <v>0</v>
      </c>
      <c r="FC442" s="208"/>
      <c r="FD442" s="82"/>
      <c r="FE442" s="30"/>
    </row>
    <row r="443" spans="1:161" ht="15" hidden="1">
      <c r="A443" s="25" t="s">
        <v>445</v>
      </c>
      <c r="B443" s="212" t="s">
        <v>657</v>
      </c>
      <c r="C443" s="138"/>
      <c r="D443" s="221"/>
      <c r="E443" s="239">
        <v>970</v>
      </c>
      <c r="F443" s="95"/>
      <c r="G443" s="95"/>
      <c r="H443" s="147" t="s">
        <v>656</v>
      </c>
      <c r="I443" s="147"/>
      <c r="J443" s="135"/>
      <c r="K443" s="135"/>
      <c r="L443" s="139"/>
      <c r="M443" s="134"/>
      <c r="N443" s="134"/>
      <c r="O443" s="134"/>
      <c r="P443" s="134"/>
      <c r="Q443" s="134"/>
      <c r="R443" s="134"/>
      <c r="S443" s="139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3"/>
      <c r="BE443" s="83"/>
      <c r="BF443" s="83"/>
      <c r="BG443" s="82"/>
      <c r="BH443" s="81"/>
      <c r="BI443" s="80"/>
      <c r="BJ443" s="25"/>
      <c r="BK443" s="25"/>
      <c r="BL443" s="25"/>
      <c r="BM443" s="84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  <c r="CC443" s="25"/>
      <c r="CD443" s="25"/>
      <c r="CE443" s="25"/>
      <c r="CF443" s="25"/>
      <c r="CG443" s="25"/>
      <c r="CH443" s="25"/>
      <c r="CI443" s="25"/>
      <c r="CJ443" s="25"/>
      <c r="CK443" s="25"/>
      <c r="CL443" s="25"/>
      <c r="CM443" s="25"/>
      <c r="CN443" s="25"/>
      <c r="CO443" s="25"/>
      <c r="CP443" s="25"/>
      <c r="CQ443" s="25"/>
      <c r="CR443" s="25"/>
      <c r="CS443" s="25"/>
      <c r="CT443" s="25"/>
      <c r="CU443" s="25"/>
      <c r="CV443" s="25"/>
      <c r="CW443" s="25"/>
      <c r="CX443" s="25"/>
      <c r="CY443" s="25"/>
      <c r="CZ443" s="25"/>
      <c r="DA443" s="25"/>
      <c r="DB443" s="25"/>
      <c r="DC443" s="25"/>
      <c r="DD443" s="25"/>
      <c r="DE443" s="25"/>
      <c r="DF443" s="92"/>
      <c r="DG443" s="92"/>
      <c r="DH443" s="203"/>
      <c r="DI443" s="203"/>
      <c r="DJ443" s="203"/>
      <c r="DK443" s="203"/>
      <c r="DL443" s="203"/>
      <c r="DM443" s="203"/>
      <c r="DN443" s="203"/>
      <c r="DO443" s="203"/>
      <c r="DP443" s="208"/>
      <c r="DQ443" s="208"/>
      <c r="DR443" s="208"/>
      <c r="DS443" s="208"/>
      <c r="DT443" s="208"/>
      <c r="DU443" s="208"/>
      <c r="DV443" s="208"/>
      <c r="DW443" s="208"/>
      <c r="DX443" s="208"/>
      <c r="DY443" s="208"/>
      <c r="DZ443" s="208"/>
      <c r="EA443" s="208"/>
      <c r="EB443" s="208"/>
      <c r="EC443" s="208"/>
      <c r="ED443" s="208"/>
      <c r="EE443" s="208"/>
      <c r="EF443" s="208"/>
      <c r="EG443" s="208"/>
      <c r="EH443" s="208"/>
      <c r="EI443" s="208"/>
      <c r="EJ443" s="208"/>
      <c r="EK443" s="208"/>
      <c r="EL443" s="208"/>
      <c r="EM443" s="208"/>
      <c r="EN443" s="208"/>
      <c r="EO443" s="208"/>
      <c r="EP443" s="208"/>
      <c r="EQ443" s="208"/>
      <c r="ER443" s="208"/>
      <c r="ES443" s="208"/>
      <c r="ET443" s="208"/>
      <c r="EU443" s="208"/>
      <c r="EV443" s="208"/>
      <c r="EW443" s="208"/>
      <c r="EX443" s="208"/>
      <c r="EY443" s="208"/>
      <c r="EZ443" s="208">
        <v>0</v>
      </c>
      <c r="FA443" s="208">
        <v>0</v>
      </c>
      <c r="FB443" s="208">
        <v>0</v>
      </c>
      <c r="FC443" s="208"/>
      <c r="FD443" s="82"/>
      <c r="FE443" s="30"/>
    </row>
    <row r="444" spans="1:161" ht="15" hidden="1">
      <c r="A444" s="25" t="s">
        <v>411</v>
      </c>
      <c r="B444" s="212" t="s">
        <v>657</v>
      </c>
      <c r="C444" s="138"/>
      <c r="D444" s="221"/>
      <c r="E444" s="239">
        <v>970</v>
      </c>
      <c r="F444" s="95"/>
      <c r="G444" s="95"/>
      <c r="H444" s="147" t="s">
        <v>656</v>
      </c>
      <c r="I444" s="147"/>
      <c r="J444" s="135"/>
      <c r="K444" s="135"/>
      <c r="L444" s="139"/>
      <c r="M444" s="134"/>
      <c r="N444" s="134"/>
      <c r="O444" s="134"/>
      <c r="P444" s="134"/>
      <c r="Q444" s="134"/>
      <c r="R444" s="134"/>
      <c r="S444" s="139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3"/>
      <c r="BE444" s="83"/>
      <c r="BF444" s="83"/>
      <c r="BG444" s="82"/>
      <c r="BH444" s="81"/>
      <c r="BI444" s="80"/>
      <c r="BJ444" s="25"/>
      <c r="BK444" s="25"/>
      <c r="BL444" s="25"/>
      <c r="BM444" s="84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  <c r="CC444" s="25"/>
      <c r="CD444" s="25"/>
      <c r="CE444" s="25"/>
      <c r="CF444" s="25"/>
      <c r="CG444" s="25"/>
      <c r="CH444" s="25"/>
      <c r="CI444" s="25"/>
      <c r="CJ444" s="25"/>
      <c r="CK444" s="25"/>
      <c r="CL444" s="25"/>
      <c r="CM444" s="25"/>
      <c r="CN444" s="25"/>
      <c r="CO444" s="25"/>
      <c r="CP444" s="25"/>
      <c r="CQ444" s="25"/>
      <c r="CR444" s="25"/>
      <c r="CS444" s="25"/>
      <c r="CT444" s="25"/>
      <c r="CU444" s="25"/>
      <c r="CV444" s="25"/>
      <c r="CW444" s="25"/>
      <c r="CX444" s="25"/>
      <c r="CY444" s="25"/>
      <c r="CZ444" s="25"/>
      <c r="DA444" s="25"/>
      <c r="DB444" s="25"/>
      <c r="DC444" s="25"/>
      <c r="DD444" s="25"/>
      <c r="DE444" s="25"/>
      <c r="DF444" s="92"/>
      <c r="DG444" s="92"/>
      <c r="DH444" s="203"/>
      <c r="DI444" s="203"/>
      <c r="DJ444" s="203"/>
      <c r="DK444" s="203"/>
      <c r="DL444" s="203"/>
      <c r="DM444" s="203"/>
      <c r="DN444" s="203"/>
      <c r="DO444" s="203"/>
      <c r="DP444" s="208"/>
      <c r="DQ444" s="208"/>
      <c r="DR444" s="208"/>
      <c r="DS444" s="208"/>
      <c r="DT444" s="208"/>
      <c r="DU444" s="208"/>
      <c r="DV444" s="208"/>
      <c r="DW444" s="208"/>
      <c r="DX444" s="208"/>
      <c r="DY444" s="208"/>
      <c r="DZ444" s="208"/>
      <c r="EA444" s="208"/>
      <c r="EB444" s="208"/>
      <c r="EC444" s="208"/>
      <c r="ED444" s="208"/>
      <c r="EE444" s="208"/>
      <c r="EF444" s="208"/>
      <c r="EG444" s="208"/>
      <c r="EH444" s="208"/>
      <c r="EI444" s="208"/>
      <c r="EJ444" s="208"/>
      <c r="EK444" s="208"/>
      <c r="EL444" s="208"/>
      <c r="EM444" s="208"/>
      <c r="EN444" s="208"/>
      <c r="EO444" s="208"/>
      <c r="EP444" s="208"/>
      <c r="EQ444" s="208"/>
      <c r="ER444" s="208"/>
      <c r="ES444" s="208"/>
      <c r="ET444" s="208"/>
      <c r="EU444" s="208"/>
      <c r="EV444" s="208"/>
      <c r="EW444" s="208"/>
      <c r="EX444" s="208"/>
      <c r="EY444" s="208"/>
      <c r="EZ444" s="208">
        <v>0</v>
      </c>
      <c r="FA444" s="208">
        <v>0</v>
      </c>
      <c r="FB444" s="208">
        <v>0</v>
      </c>
      <c r="FC444" s="208"/>
      <c r="FD444" s="82"/>
      <c r="FE444" s="30"/>
    </row>
    <row r="445" spans="1:161" ht="15" hidden="1">
      <c r="A445" s="25" t="s">
        <v>412</v>
      </c>
      <c r="B445" s="212" t="s">
        <v>657</v>
      </c>
      <c r="C445" s="138"/>
      <c r="D445" s="221"/>
      <c r="E445" s="239">
        <v>970</v>
      </c>
      <c r="F445" s="95"/>
      <c r="G445" s="95"/>
      <c r="H445" s="147" t="s">
        <v>656</v>
      </c>
      <c r="I445" s="147"/>
      <c r="J445" s="135"/>
      <c r="K445" s="135"/>
      <c r="L445" s="139"/>
      <c r="M445" s="134"/>
      <c r="N445" s="134"/>
      <c r="O445" s="134"/>
      <c r="P445" s="134"/>
      <c r="Q445" s="134"/>
      <c r="R445" s="134"/>
      <c r="S445" s="139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3"/>
      <c r="BE445" s="83"/>
      <c r="BF445" s="83"/>
      <c r="BG445" s="82"/>
      <c r="BH445" s="81"/>
      <c r="BI445" s="80"/>
      <c r="BJ445" s="25"/>
      <c r="BK445" s="25"/>
      <c r="BL445" s="25"/>
      <c r="BM445" s="84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  <c r="CC445" s="25"/>
      <c r="CD445" s="25"/>
      <c r="CE445" s="25"/>
      <c r="CF445" s="25"/>
      <c r="CG445" s="25"/>
      <c r="CH445" s="25"/>
      <c r="CI445" s="25"/>
      <c r="CJ445" s="25"/>
      <c r="CK445" s="25"/>
      <c r="CL445" s="25"/>
      <c r="CM445" s="25"/>
      <c r="CN445" s="25"/>
      <c r="CO445" s="25"/>
      <c r="CP445" s="25"/>
      <c r="CQ445" s="25"/>
      <c r="CR445" s="25"/>
      <c r="CS445" s="25"/>
      <c r="CT445" s="25"/>
      <c r="CU445" s="25"/>
      <c r="CV445" s="25"/>
      <c r="CW445" s="25"/>
      <c r="CX445" s="25"/>
      <c r="CY445" s="25"/>
      <c r="CZ445" s="25"/>
      <c r="DA445" s="25"/>
      <c r="DB445" s="25"/>
      <c r="DC445" s="25"/>
      <c r="DD445" s="25"/>
      <c r="DE445" s="25"/>
      <c r="DF445" s="92"/>
      <c r="DG445" s="92"/>
      <c r="DH445" s="203"/>
      <c r="DI445" s="203"/>
      <c r="DJ445" s="203"/>
      <c r="DK445" s="203"/>
      <c r="DL445" s="203"/>
      <c r="DM445" s="203"/>
      <c r="DN445" s="203"/>
      <c r="DO445" s="203"/>
      <c r="DP445" s="208"/>
      <c r="DQ445" s="208"/>
      <c r="DR445" s="208"/>
      <c r="DS445" s="208"/>
      <c r="DT445" s="208"/>
      <c r="DU445" s="208"/>
      <c r="DV445" s="208"/>
      <c r="DW445" s="208"/>
      <c r="DX445" s="208"/>
      <c r="DY445" s="208"/>
      <c r="DZ445" s="208"/>
      <c r="EA445" s="208"/>
      <c r="EB445" s="208"/>
      <c r="EC445" s="208"/>
      <c r="ED445" s="208"/>
      <c r="EE445" s="208"/>
      <c r="EF445" s="208"/>
      <c r="EG445" s="208"/>
      <c r="EH445" s="208"/>
      <c r="EI445" s="208"/>
      <c r="EJ445" s="208"/>
      <c r="EK445" s="208"/>
      <c r="EL445" s="208"/>
      <c r="EM445" s="208"/>
      <c r="EN445" s="208"/>
      <c r="EO445" s="208"/>
      <c r="EP445" s="208"/>
      <c r="EQ445" s="208"/>
      <c r="ER445" s="208"/>
      <c r="ES445" s="208"/>
      <c r="ET445" s="208"/>
      <c r="EU445" s="208"/>
      <c r="EV445" s="208"/>
      <c r="EW445" s="208"/>
      <c r="EX445" s="208"/>
      <c r="EY445" s="208"/>
      <c r="EZ445" s="208">
        <v>0</v>
      </c>
      <c r="FA445" s="208">
        <v>0</v>
      </c>
      <c r="FB445" s="208">
        <v>0</v>
      </c>
      <c r="FC445" s="208"/>
      <c r="FD445" s="82"/>
      <c r="FE445" s="30"/>
    </row>
    <row r="446" spans="1:161" ht="15" hidden="1">
      <c r="A446" s="25" t="s">
        <v>446</v>
      </c>
      <c r="B446" s="212" t="s">
        <v>657</v>
      </c>
      <c r="C446" s="138"/>
      <c r="D446" s="221"/>
      <c r="E446" s="239">
        <v>970</v>
      </c>
      <c r="F446" s="95"/>
      <c r="G446" s="95"/>
      <c r="H446" s="147" t="s">
        <v>656</v>
      </c>
      <c r="I446" s="147"/>
      <c r="J446" s="135"/>
      <c r="K446" s="135"/>
      <c r="L446" s="139"/>
      <c r="M446" s="134"/>
      <c r="N446" s="134"/>
      <c r="O446" s="134"/>
      <c r="P446" s="134"/>
      <c r="Q446" s="134"/>
      <c r="R446" s="134"/>
      <c r="S446" s="139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3"/>
      <c r="BE446" s="83"/>
      <c r="BF446" s="83"/>
      <c r="BG446" s="82"/>
      <c r="BH446" s="81"/>
      <c r="BI446" s="80"/>
      <c r="BJ446" s="25"/>
      <c r="BK446" s="25"/>
      <c r="BL446" s="25"/>
      <c r="BM446" s="84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  <c r="CC446" s="25"/>
      <c r="CD446" s="25"/>
      <c r="CE446" s="25"/>
      <c r="CF446" s="25"/>
      <c r="CG446" s="25"/>
      <c r="CH446" s="25"/>
      <c r="CI446" s="25"/>
      <c r="CJ446" s="25"/>
      <c r="CK446" s="25"/>
      <c r="CL446" s="25"/>
      <c r="CM446" s="25"/>
      <c r="CN446" s="25"/>
      <c r="CO446" s="25"/>
      <c r="CP446" s="25"/>
      <c r="CQ446" s="25"/>
      <c r="CR446" s="25"/>
      <c r="CS446" s="25"/>
      <c r="CT446" s="25"/>
      <c r="CU446" s="25"/>
      <c r="CV446" s="25"/>
      <c r="CW446" s="25"/>
      <c r="CX446" s="25"/>
      <c r="CY446" s="25"/>
      <c r="CZ446" s="25"/>
      <c r="DA446" s="25"/>
      <c r="DB446" s="25"/>
      <c r="DC446" s="25"/>
      <c r="DD446" s="25"/>
      <c r="DE446" s="25"/>
      <c r="DF446" s="92"/>
      <c r="DG446" s="92"/>
      <c r="DH446" s="203"/>
      <c r="DI446" s="203"/>
      <c r="DJ446" s="203"/>
      <c r="DK446" s="203"/>
      <c r="DL446" s="203"/>
      <c r="DM446" s="203"/>
      <c r="DN446" s="203"/>
      <c r="DO446" s="203"/>
      <c r="DP446" s="208"/>
      <c r="DQ446" s="208"/>
      <c r="DR446" s="208"/>
      <c r="DS446" s="208"/>
      <c r="DT446" s="208"/>
      <c r="DU446" s="208"/>
      <c r="DV446" s="208"/>
      <c r="DW446" s="208"/>
      <c r="DX446" s="208"/>
      <c r="DY446" s="208"/>
      <c r="DZ446" s="208"/>
      <c r="EA446" s="208"/>
      <c r="EB446" s="208"/>
      <c r="EC446" s="208"/>
      <c r="ED446" s="208"/>
      <c r="EE446" s="208"/>
      <c r="EF446" s="208"/>
      <c r="EG446" s="208"/>
      <c r="EH446" s="208"/>
      <c r="EI446" s="208"/>
      <c r="EJ446" s="208"/>
      <c r="EK446" s="208"/>
      <c r="EL446" s="208"/>
      <c r="EM446" s="208"/>
      <c r="EN446" s="208"/>
      <c r="EO446" s="208"/>
      <c r="EP446" s="208"/>
      <c r="EQ446" s="208"/>
      <c r="ER446" s="208"/>
      <c r="ES446" s="208"/>
      <c r="ET446" s="208"/>
      <c r="EU446" s="208"/>
      <c r="EV446" s="208"/>
      <c r="EW446" s="208"/>
      <c r="EX446" s="208"/>
      <c r="EY446" s="208"/>
      <c r="EZ446" s="208">
        <v>0</v>
      </c>
      <c r="FA446" s="208">
        <v>0</v>
      </c>
      <c r="FB446" s="208">
        <v>0</v>
      </c>
      <c r="FC446" s="208"/>
      <c r="FD446" s="82"/>
      <c r="FE446" s="30"/>
    </row>
    <row r="447" spans="1:161" ht="15" hidden="1">
      <c r="A447" s="25" t="s">
        <v>413</v>
      </c>
      <c r="B447" s="212" t="s">
        <v>657</v>
      </c>
      <c r="C447" s="138"/>
      <c r="D447" s="221"/>
      <c r="E447" s="239">
        <v>970</v>
      </c>
      <c r="F447" s="95"/>
      <c r="G447" s="95"/>
      <c r="H447" s="147" t="s">
        <v>656</v>
      </c>
      <c r="I447" s="147"/>
      <c r="J447" s="135"/>
      <c r="K447" s="135"/>
      <c r="L447" s="139"/>
      <c r="M447" s="134"/>
      <c r="N447" s="134"/>
      <c r="O447" s="134"/>
      <c r="P447" s="134"/>
      <c r="Q447" s="134"/>
      <c r="R447" s="134"/>
      <c r="S447" s="139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3"/>
      <c r="BE447" s="83"/>
      <c r="BF447" s="83"/>
      <c r="BG447" s="82"/>
      <c r="BH447" s="81"/>
      <c r="BI447" s="80"/>
      <c r="BJ447" s="25"/>
      <c r="BK447" s="25"/>
      <c r="BL447" s="25"/>
      <c r="BM447" s="84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  <c r="CC447" s="25"/>
      <c r="CD447" s="25"/>
      <c r="CE447" s="25"/>
      <c r="CF447" s="25"/>
      <c r="CG447" s="25"/>
      <c r="CH447" s="25"/>
      <c r="CI447" s="25"/>
      <c r="CJ447" s="25"/>
      <c r="CK447" s="25"/>
      <c r="CL447" s="25"/>
      <c r="CM447" s="25"/>
      <c r="CN447" s="25"/>
      <c r="CO447" s="25"/>
      <c r="CP447" s="25"/>
      <c r="CQ447" s="25"/>
      <c r="CR447" s="25"/>
      <c r="CS447" s="25"/>
      <c r="CT447" s="25"/>
      <c r="CU447" s="25"/>
      <c r="CV447" s="25"/>
      <c r="CW447" s="25"/>
      <c r="CX447" s="25"/>
      <c r="CY447" s="25"/>
      <c r="CZ447" s="25"/>
      <c r="DA447" s="25"/>
      <c r="DB447" s="25"/>
      <c r="DC447" s="25"/>
      <c r="DD447" s="25"/>
      <c r="DE447" s="25"/>
      <c r="DF447" s="92"/>
      <c r="DG447" s="92"/>
      <c r="DH447" s="203"/>
      <c r="DI447" s="203"/>
      <c r="DJ447" s="203"/>
      <c r="DK447" s="203"/>
      <c r="DL447" s="203"/>
      <c r="DM447" s="203"/>
      <c r="DN447" s="203"/>
      <c r="DO447" s="203"/>
      <c r="DP447" s="208"/>
      <c r="DQ447" s="208"/>
      <c r="DR447" s="208"/>
      <c r="DS447" s="208"/>
      <c r="DT447" s="208"/>
      <c r="DU447" s="208"/>
      <c r="DV447" s="208"/>
      <c r="DW447" s="208"/>
      <c r="DX447" s="208"/>
      <c r="DY447" s="208"/>
      <c r="DZ447" s="208"/>
      <c r="EA447" s="208"/>
      <c r="EB447" s="208"/>
      <c r="EC447" s="208"/>
      <c r="ED447" s="208"/>
      <c r="EE447" s="208"/>
      <c r="EF447" s="208"/>
      <c r="EG447" s="208"/>
      <c r="EH447" s="208"/>
      <c r="EI447" s="208"/>
      <c r="EJ447" s="208"/>
      <c r="EK447" s="208"/>
      <c r="EL447" s="208"/>
      <c r="EM447" s="208"/>
      <c r="EN447" s="208"/>
      <c r="EO447" s="208"/>
      <c r="EP447" s="208"/>
      <c r="EQ447" s="208"/>
      <c r="ER447" s="208"/>
      <c r="ES447" s="208"/>
      <c r="ET447" s="208"/>
      <c r="EU447" s="208"/>
      <c r="EV447" s="208"/>
      <c r="EW447" s="208"/>
      <c r="EX447" s="208"/>
      <c r="EY447" s="208"/>
      <c r="EZ447" s="208">
        <v>0</v>
      </c>
      <c r="FA447" s="208">
        <v>0</v>
      </c>
      <c r="FB447" s="208">
        <v>0</v>
      </c>
      <c r="FC447" s="208"/>
      <c r="FD447" s="82"/>
      <c r="FE447" s="30"/>
    </row>
    <row r="448" spans="1:161" ht="15" hidden="1">
      <c r="A448" s="25" t="s">
        <v>448</v>
      </c>
      <c r="B448" s="212" t="s">
        <v>657</v>
      </c>
      <c r="C448" s="138"/>
      <c r="D448" s="221"/>
      <c r="E448" s="239">
        <v>970</v>
      </c>
      <c r="F448" s="95"/>
      <c r="G448" s="95"/>
      <c r="H448" s="147" t="s">
        <v>656</v>
      </c>
      <c r="I448" s="147"/>
      <c r="J448" s="135"/>
      <c r="K448" s="135"/>
      <c r="L448" s="139"/>
      <c r="M448" s="134"/>
      <c r="N448" s="134"/>
      <c r="O448" s="134"/>
      <c r="P448" s="134"/>
      <c r="Q448" s="134"/>
      <c r="R448" s="134"/>
      <c r="S448" s="139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3"/>
      <c r="BE448" s="83"/>
      <c r="BF448" s="83"/>
      <c r="BG448" s="82"/>
      <c r="BH448" s="81"/>
      <c r="BI448" s="80"/>
      <c r="BJ448" s="25"/>
      <c r="BK448" s="25"/>
      <c r="BL448" s="25"/>
      <c r="BM448" s="84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  <c r="CR448" s="25"/>
      <c r="CS448" s="25"/>
      <c r="CT448" s="25"/>
      <c r="CU448" s="25"/>
      <c r="CV448" s="25"/>
      <c r="CW448" s="25"/>
      <c r="CX448" s="25"/>
      <c r="CY448" s="25"/>
      <c r="CZ448" s="25"/>
      <c r="DA448" s="25"/>
      <c r="DB448" s="25"/>
      <c r="DC448" s="25"/>
      <c r="DD448" s="25"/>
      <c r="DE448" s="25"/>
      <c r="DF448" s="92"/>
      <c r="DG448" s="92"/>
      <c r="DH448" s="203"/>
      <c r="DI448" s="203"/>
      <c r="DJ448" s="203"/>
      <c r="DK448" s="203"/>
      <c r="DL448" s="203"/>
      <c r="DM448" s="203"/>
      <c r="DN448" s="203"/>
      <c r="DO448" s="203"/>
      <c r="DP448" s="208"/>
      <c r="DQ448" s="208"/>
      <c r="DR448" s="208"/>
      <c r="DS448" s="208"/>
      <c r="DT448" s="208"/>
      <c r="DU448" s="208"/>
      <c r="DV448" s="208"/>
      <c r="DW448" s="208"/>
      <c r="DX448" s="208"/>
      <c r="DY448" s="208"/>
      <c r="DZ448" s="208"/>
      <c r="EA448" s="208"/>
      <c r="EB448" s="208"/>
      <c r="EC448" s="208"/>
      <c r="ED448" s="208"/>
      <c r="EE448" s="208"/>
      <c r="EF448" s="208"/>
      <c r="EG448" s="208"/>
      <c r="EH448" s="208"/>
      <c r="EI448" s="208"/>
      <c r="EJ448" s="208"/>
      <c r="EK448" s="208"/>
      <c r="EL448" s="208"/>
      <c r="EM448" s="208"/>
      <c r="EN448" s="208"/>
      <c r="EO448" s="208"/>
      <c r="EP448" s="208"/>
      <c r="EQ448" s="208"/>
      <c r="ER448" s="208"/>
      <c r="ES448" s="208"/>
      <c r="ET448" s="208"/>
      <c r="EU448" s="208"/>
      <c r="EV448" s="208"/>
      <c r="EW448" s="208"/>
      <c r="EX448" s="208"/>
      <c r="EY448" s="208"/>
      <c r="EZ448" s="208">
        <v>0</v>
      </c>
      <c r="FA448" s="208">
        <v>0</v>
      </c>
      <c r="FB448" s="208">
        <v>0</v>
      </c>
      <c r="FC448" s="208"/>
      <c r="FD448" s="82"/>
      <c r="FE448" s="30"/>
    </row>
    <row r="449" spans="1:161" ht="15" hidden="1">
      <c r="A449" s="25" t="s">
        <v>451</v>
      </c>
      <c r="B449" s="212" t="s">
        <v>657</v>
      </c>
      <c r="C449" s="138"/>
      <c r="D449" s="221"/>
      <c r="E449" s="239">
        <v>970</v>
      </c>
      <c r="F449" s="95"/>
      <c r="G449" s="95"/>
      <c r="H449" s="147" t="s">
        <v>656</v>
      </c>
      <c r="I449" s="147"/>
      <c r="J449" s="135"/>
      <c r="K449" s="135"/>
      <c r="L449" s="139"/>
      <c r="M449" s="134"/>
      <c r="N449" s="134"/>
      <c r="O449" s="134"/>
      <c r="P449" s="134"/>
      <c r="Q449" s="134"/>
      <c r="R449" s="134"/>
      <c r="S449" s="139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B449" s="82"/>
      <c r="BC449" s="82"/>
      <c r="BD449" s="83"/>
      <c r="BE449" s="83"/>
      <c r="BF449" s="83"/>
      <c r="BG449" s="82"/>
      <c r="BH449" s="81"/>
      <c r="BI449" s="80"/>
      <c r="BJ449" s="25"/>
      <c r="BK449" s="25"/>
      <c r="BL449" s="25"/>
      <c r="BM449" s="84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  <c r="CR449" s="25"/>
      <c r="CS449" s="25"/>
      <c r="CT449" s="25"/>
      <c r="CU449" s="25"/>
      <c r="CV449" s="25"/>
      <c r="CW449" s="25"/>
      <c r="CX449" s="25"/>
      <c r="CY449" s="25"/>
      <c r="CZ449" s="25"/>
      <c r="DA449" s="25"/>
      <c r="DB449" s="25"/>
      <c r="DC449" s="25"/>
      <c r="DD449" s="25"/>
      <c r="DE449" s="25"/>
      <c r="DF449" s="92"/>
      <c r="DG449" s="92"/>
      <c r="DH449" s="203"/>
      <c r="DI449" s="203"/>
      <c r="DJ449" s="203"/>
      <c r="DK449" s="203"/>
      <c r="DL449" s="203"/>
      <c r="DM449" s="203"/>
      <c r="DN449" s="203"/>
      <c r="DO449" s="203"/>
      <c r="DP449" s="208"/>
      <c r="DQ449" s="208"/>
      <c r="DR449" s="208"/>
      <c r="DS449" s="208"/>
      <c r="DT449" s="208"/>
      <c r="DU449" s="208"/>
      <c r="DV449" s="208"/>
      <c r="DW449" s="208"/>
      <c r="DX449" s="208"/>
      <c r="DY449" s="208"/>
      <c r="DZ449" s="208"/>
      <c r="EA449" s="208"/>
      <c r="EB449" s="208"/>
      <c r="EC449" s="208"/>
      <c r="ED449" s="208"/>
      <c r="EE449" s="208"/>
      <c r="EF449" s="208"/>
      <c r="EG449" s="208"/>
      <c r="EH449" s="208"/>
      <c r="EI449" s="208"/>
      <c r="EJ449" s="208"/>
      <c r="EK449" s="208"/>
      <c r="EL449" s="208"/>
      <c r="EM449" s="208"/>
      <c r="EN449" s="208"/>
      <c r="EO449" s="208"/>
      <c r="EP449" s="208"/>
      <c r="EQ449" s="208"/>
      <c r="ER449" s="208"/>
      <c r="ES449" s="208"/>
      <c r="ET449" s="208"/>
      <c r="EU449" s="208"/>
      <c r="EV449" s="208"/>
      <c r="EW449" s="208"/>
      <c r="EX449" s="208"/>
      <c r="EY449" s="208"/>
      <c r="EZ449" s="208">
        <v>0</v>
      </c>
      <c r="FA449" s="208">
        <v>0</v>
      </c>
      <c r="FB449" s="208">
        <v>0</v>
      </c>
      <c r="FC449" s="208"/>
      <c r="FD449" s="82"/>
      <c r="FE449" s="30"/>
    </row>
    <row r="450" spans="1:161" ht="15" hidden="1">
      <c r="A450" s="25" t="s">
        <v>452</v>
      </c>
      <c r="B450" s="212" t="s">
        <v>657</v>
      </c>
      <c r="C450" s="138"/>
      <c r="D450" s="221"/>
      <c r="E450" s="239">
        <v>970</v>
      </c>
      <c r="F450" s="95"/>
      <c r="G450" s="95"/>
      <c r="H450" s="147" t="s">
        <v>656</v>
      </c>
      <c r="I450" s="147"/>
      <c r="J450" s="135"/>
      <c r="K450" s="135"/>
      <c r="L450" s="139"/>
      <c r="M450" s="134"/>
      <c r="N450" s="134"/>
      <c r="O450" s="134"/>
      <c r="P450" s="134"/>
      <c r="Q450" s="134"/>
      <c r="R450" s="134"/>
      <c r="S450" s="139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  <c r="AY450" s="82"/>
      <c r="AZ450" s="82"/>
      <c r="BA450" s="82"/>
      <c r="BB450" s="82"/>
      <c r="BC450" s="82"/>
      <c r="BD450" s="83"/>
      <c r="BE450" s="83"/>
      <c r="BF450" s="83"/>
      <c r="BG450" s="82"/>
      <c r="BH450" s="81"/>
      <c r="BI450" s="80"/>
      <c r="BJ450" s="25"/>
      <c r="BK450" s="25"/>
      <c r="BL450" s="25"/>
      <c r="BM450" s="84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  <c r="CR450" s="25"/>
      <c r="CS450" s="25"/>
      <c r="CT450" s="25"/>
      <c r="CU450" s="25"/>
      <c r="CV450" s="25"/>
      <c r="CW450" s="25"/>
      <c r="CX450" s="25"/>
      <c r="CY450" s="25"/>
      <c r="CZ450" s="25"/>
      <c r="DA450" s="25"/>
      <c r="DB450" s="25"/>
      <c r="DC450" s="25"/>
      <c r="DD450" s="25"/>
      <c r="DE450" s="25"/>
      <c r="DF450" s="92"/>
      <c r="DG450" s="92"/>
      <c r="DH450" s="203"/>
      <c r="DI450" s="203"/>
      <c r="DJ450" s="203"/>
      <c r="DK450" s="203"/>
      <c r="DL450" s="203"/>
      <c r="DM450" s="203"/>
      <c r="DN450" s="203"/>
      <c r="DO450" s="203"/>
      <c r="DP450" s="208"/>
      <c r="DQ450" s="208"/>
      <c r="DR450" s="208"/>
      <c r="DS450" s="208"/>
      <c r="DT450" s="208"/>
      <c r="DU450" s="208"/>
      <c r="DV450" s="208"/>
      <c r="DW450" s="208"/>
      <c r="DX450" s="208"/>
      <c r="DY450" s="208"/>
      <c r="DZ450" s="208"/>
      <c r="EA450" s="208"/>
      <c r="EB450" s="208"/>
      <c r="EC450" s="208"/>
      <c r="ED450" s="208"/>
      <c r="EE450" s="208"/>
      <c r="EF450" s="208"/>
      <c r="EG450" s="208"/>
      <c r="EH450" s="208"/>
      <c r="EI450" s="208"/>
      <c r="EJ450" s="208"/>
      <c r="EK450" s="208"/>
      <c r="EL450" s="208"/>
      <c r="EM450" s="208"/>
      <c r="EN450" s="208"/>
      <c r="EO450" s="208"/>
      <c r="EP450" s="208"/>
      <c r="EQ450" s="208"/>
      <c r="ER450" s="208"/>
      <c r="ES450" s="208"/>
      <c r="ET450" s="208"/>
      <c r="EU450" s="208"/>
      <c r="EV450" s="208"/>
      <c r="EW450" s="208"/>
      <c r="EX450" s="208"/>
      <c r="EY450" s="208"/>
      <c r="EZ450" s="208">
        <v>0</v>
      </c>
      <c r="FA450" s="208">
        <v>0</v>
      </c>
      <c r="FB450" s="208">
        <v>0</v>
      </c>
      <c r="FC450" s="208"/>
      <c r="FD450" s="82"/>
      <c r="FE450" s="30"/>
    </row>
    <row r="451" spans="1:161" ht="15" hidden="1">
      <c r="A451" s="25" t="s">
        <v>416</v>
      </c>
      <c r="B451" s="212" t="s">
        <v>657</v>
      </c>
      <c r="C451" s="138"/>
      <c r="D451" s="221"/>
      <c r="E451" s="239">
        <v>970</v>
      </c>
      <c r="F451" s="95"/>
      <c r="G451" s="95"/>
      <c r="H451" s="147" t="s">
        <v>656</v>
      </c>
      <c r="I451" s="147"/>
      <c r="J451" s="135"/>
      <c r="K451" s="135"/>
      <c r="L451" s="139"/>
      <c r="M451" s="134"/>
      <c r="N451" s="134"/>
      <c r="O451" s="134"/>
      <c r="P451" s="134"/>
      <c r="Q451" s="134"/>
      <c r="R451" s="134"/>
      <c r="S451" s="139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  <c r="AY451" s="82"/>
      <c r="AZ451" s="82"/>
      <c r="BA451" s="82"/>
      <c r="BB451" s="82"/>
      <c r="BC451" s="82"/>
      <c r="BD451" s="83"/>
      <c r="BE451" s="83"/>
      <c r="BF451" s="83"/>
      <c r="BG451" s="82"/>
      <c r="BH451" s="81"/>
      <c r="BI451" s="80"/>
      <c r="BJ451" s="25"/>
      <c r="BK451" s="25"/>
      <c r="BL451" s="25"/>
      <c r="BM451" s="84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  <c r="CR451" s="25"/>
      <c r="CS451" s="25"/>
      <c r="CT451" s="25"/>
      <c r="CU451" s="25"/>
      <c r="CV451" s="25"/>
      <c r="CW451" s="25"/>
      <c r="CX451" s="25"/>
      <c r="CY451" s="25"/>
      <c r="CZ451" s="25"/>
      <c r="DA451" s="25"/>
      <c r="DB451" s="25"/>
      <c r="DC451" s="25"/>
      <c r="DD451" s="25"/>
      <c r="DE451" s="25"/>
      <c r="DF451" s="92"/>
      <c r="DG451" s="92"/>
      <c r="DH451" s="203"/>
      <c r="DI451" s="203"/>
      <c r="DJ451" s="203"/>
      <c r="DK451" s="203"/>
      <c r="DL451" s="203"/>
      <c r="DM451" s="203"/>
      <c r="DN451" s="203"/>
      <c r="DO451" s="203"/>
      <c r="DP451" s="208"/>
      <c r="DQ451" s="208"/>
      <c r="DR451" s="208"/>
      <c r="DS451" s="208"/>
      <c r="DT451" s="208"/>
      <c r="DU451" s="208"/>
      <c r="DV451" s="208"/>
      <c r="DW451" s="208"/>
      <c r="DX451" s="208"/>
      <c r="DY451" s="208"/>
      <c r="DZ451" s="208"/>
      <c r="EA451" s="208"/>
      <c r="EB451" s="208"/>
      <c r="EC451" s="208"/>
      <c r="ED451" s="208"/>
      <c r="EE451" s="208"/>
      <c r="EF451" s="208"/>
      <c r="EG451" s="208"/>
      <c r="EH451" s="208"/>
      <c r="EI451" s="208"/>
      <c r="EJ451" s="208"/>
      <c r="EK451" s="208"/>
      <c r="EL451" s="208"/>
      <c r="EM451" s="208"/>
      <c r="EN451" s="208"/>
      <c r="EO451" s="208"/>
      <c r="EP451" s="208"/>
      <c r="EQ451" s="208"/>
      <c r="ER451" s="208"/>
      <c r="ES451" s="208"/>
      <c r="ET451" s="208"/>
      <c r="EU451" s="208"/>
      <c r="EV451" s="208"/>
      <c r="EW451" s="208"/>
      <c r="EX451" s="208"/>
      <c r="EY451" s="208"/>
      <c r="EZ451" s="208">
        <v>0</v>
      </c>
      <c r="FA451" s="208">
        <v>0</v>
      </c>
      <c r="FB451" s="208">
        <v>0</v>
      </c>
      <c r="FC451" s="208"/>
      <c r="FD451" s="82"/>
      <c r="FE451" s="30"/>
    </row>
    <row r="452" spans="1:161" ht="15" hidden="1">
      <c r="A452" s="25" t="s">
        <v>399</v>
      </c>
      <c r="B452" s="212" t="s">
        <v>657</v>
      </c>
      <c r="C452" s="138"/>
      <c r="D452" s="221"/>
      <c r="E452" s="239">
        <v>970</v>
      </c>
      <c r="F452" s="95"/>
      <c r="G452" s="95"/>
      <c r="H452" s="147" t="s">
        <v>656</v>
      </c>
      <c r="I452" s="147"/>
      <c r="J452" s="135"/>
      <c r="K452" s="135"/>
      <c r="L452" s="139"/>
      <c r="M452" s="134"/>
      <c r="N452" s="134"/>
      <c r="O452" s="134"/>
      <c r="P452" s="134"/>
      <c r="Q452" s="134"/>
      <c r="R452" s="134"/>
      <c r="S452" s="139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82"/>
      <c r="BC452" s="82"/>
      <c r="BD452" s="83"/>
      <c r="BE452" s="83"/>
      <c r="BF452" s="83"/>
      <c r="BG452" s="82"/>
      <c r="BH452" s="81"/>
      <c r="BI452" s="80"/>
      <c r="BJ452" s="25"/>
      <c r="BK452" s="25"/>
      <c r="BL452" s="25"/>
      <c r="BM452" s="84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  <c r="CR452" s="25"/>
      <c r="CS452" s="25"/>
      <c r="CT452" s="25"/>
      <c r="CU452" s="25"/>
      <c r="CV452" s="25"/>
      <c r="CW452" s="25"/>
      <c r="CX452" s="25"/>
      <c r="CY452" s="25"/>
      <c r="CZ452" s="25"/>
      <c r="DA452" s="25"/>
      <c r="DB452" s="25"/>
      <c r="DC452" s="25"/>
      <c r="DD452" s="25"/>
      <c r="DE452" s="25"/>
      <c r="DF452" s="92"/>
      <c r="DG452" s="92"/>
      <c r="DH452" s="203"/>
      <c r="DI452" s="203"/>
      <c r="DJ452" s="203"/>
      <c r="DK452" s="203"/>
      <c r="DL452" s="203"/>
      <c r="DM452" s="203"/>
      <c r="DN452" s="203"/>
      <c r="DO452" s="203"/>
      <c r="DP452" s="208"/>
      <c r="DQ452" s="208"/>
      <c r="DR452" s="208"/>
      <c r="DS452" s="208"/>
      <c r="DT452" s="208"/>
      <c r="DU452" s="208"/>
      <c r="DV452" s="208"/>
      <c r="DW452" s="208"/>
      <c r="DX452" s="208"/>
      <c r="DY452" s="208"/>
      <c r="DZ452" s="208"/>
      <c r="EA452" s="208"/>
      <c r="EB452" s="208"/>
      <c r="EC452" s="208"/>
      <c r="ED452" s="208"/>
      <c r="EE452" s="208"/>
      <c r="EF452" s="208"/>
      <c r="EG452" s="208"/>
      <c r="EH452" s="208"/>
      <c r="EI452" s="208"/>
      <c r="EJ452" s="208"/>
      <c r="EK452" s="208"/>
      <c r="EL452" s="208"/>
      <c r="EM452" s="208"/>
      <c r="EN452" s="208"/>
      <c r="EO452" s="208"/>
      <c r="EP452" s="208"/>
      <c r="EQ452" s="208"/>
      <c r="ER452" s="208"/>
      <c r="ES452" s="208"/>
      <c r="ET452" s="208"/>
      <c r="EU452" s="208"/>
      <c r="EV452" s="208"/>
      <c r="EW452" s="208"/>
      <c r="EX452" s="208"/>
      <c r="EY452" s="208"/>
      <c r="EZ452" s="208">
        <v>0</v>
      </c>
      <c r="FA452" s="208">
        <v>0</v>
      </c>
      <c r="FB452" s="208">
        <v>0</v>
      </c>
      <c r="FC452" s="208"/>
      <c r="FD452" s="82"/>
      <c r="FE452" s="30"/>
    </row>
    <row r="453" spans="1:161" ht="15" hidden="1">
      <c r="A453" s="25" t="s">
        <v>415</v>
      </c>
      <c r="B453" s="212" t="s">
        <v>657</v>
      </c>
      <c r="C453" s="138"/>
      <c r="D453" s="221"/>
      <c r="E453" s="239">
        <v>970</v>
      </c>
      <c r="F453" s="95"/>
      <c r="G453" s="95"/>
      <c r="H453" s="147" t="s">
        <v>656</v>
      </c>
      <c r="I453" s="147"/>
      <c r="J453" s="135"/>
      <c r="K453" s="135"/>
      <c r="L453" s="139"/>
      <c r="M453" s="134"/>
      <c r="N453" s="134"/>
      <c r="O453" s="134"/>
      <c r="P453" s="134"/>
      <c r="Q453" s="134"/>
      <c r="R453" s="134"/>
      <c r="S453" s="139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82"/>
      <c r="BC453" s="82"/>
      <c r="BD453" s="83"/>
      <c r="BE453" s="83"/>
      <c r="BF453" s="83"/>
      <c r="BG453" s="82"/>
      <c r="BH453" s="81"/>
      <c r="BI453" s="80"/>
      <c r="BJ453" s="25"/>
      <c r="BK453" s="25"/>
      <c r="BL453" s="25"/>
      <c r="BM453" s="84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  <c r="CR453" s="25"/>
      <c r="CS453" s="25"/>
      <c r="CT453" s="25"/>
      <c r="CU453" s="25"/>
      <c r="CV453" s="25"/>
      <c r="CW453" s="25"/>
      <c r="CX453" s="25"/>
      <c r="CY453" s="25"/>
      <c r="CZ453" s="25"/>
      <c r="DA453" s="25"/>
      <c r="DB453" s="25"/>
      <c r="DC453" s="25"/>
      <c r="DD453" s="25"/>
      <c r="DE453" s="25"/>
      <c r="DF453" s="92"/>
      <c r="DG453" s="92"/>
      <c r="DH453" s="203"/>
      <c r="DI453" s="203"/>
      <c r="DJ453" s="203"/>
      <c r="DK453" s="203"/>
      <c r="DL453" s="203"/>
      <c r="DM453" s="203"/>
      <c r="DN453" s="203"/>
      <c r="DO453" s="203"/>
      <c r="DP453" s="208"/>
      <c r="DQ453" s="208"/>
      <c r="DR453" s="208"/>
      <c r="DS453" s="208"/>
      <c r="DT453" s="208"/>
      <c r="DU453" s="208"/>
      <c r="DV453" s="208"/>
      <c r="DW453" s="208"/>
      <c r="DX453" s="208"/>
      <c r="DY453" s="208"/>
      <c r="DZ453" s="208"/>
      <c r="EA453" s="208"/>
      <c r="EB453" s="208"/>
      <c r="EC453" s="208"/>
      <c r="ED453" s="208"/>
      <c r="EE453" s="208"/>
      <c r="EF453" s="208"/>
      <c r="EG453" s="208"/>
      <c r="EH453" s="208"/>
      <c r="EI453" s="208"/>
      <c r="EJ453" s="208"/>
      <c r="EK453" s="208"/>
      <c r="EL453" s="208"/>
      <c r="EM453" s="208"/>
      <c r="EN453" s="208"/>
      <c r="EO453" s="208"/>
      <c r="EP453" s="208"/>
      <c r="EQ453" s="208"/>
      <c r="ER453" s="208"/>
      <c r="ES453" s="208"/>
      <c r="ET453" s="208"/>
      <c r="EU453" s="208"/>
      <c r="EV453" s="208"/>
      <c r="EW453" s="208"/>
      <c r="EX453" s="208"/>
      <c r="EY453" s="208"/>
      <c r="EZ453" s="208">
        <v>0</v>
      </c>
      <c r="FA453" s="208">
        <v>0</v>
      </c>
      <c r="FB453" s="208">
        <v>0</v>
      </c>
      <c r="FC453" s="208"/>
      <c r="FD453" s="82"/>
      <c r="FE453" s="30"/>
    </row>
    <row r="454" spans="1:161" ht="15" hidden="1">
      <c r="A454" s="25" t="s">
        <v>417</v>
      </c>
      <c r="B454" s="212" t="s">
        <v>657</v>
      </c>
      <c r="C454" s="138"/>
      <c r="D454" s="221"/>
      <c r="E454" s="239">
        <v>970</v>
      </c>
      <c r="F454" s="95"/>
      <c r="G454" s="95"/>
      <c r="H454" s="147" t="s">
        <v>656</v>
      </c>
      <c r="I454" s="147"/>
      <c r="J454" s="135"/>
      <c r="K454" s="135"/>
      <c r="L454" s="139"/>
      <c r="M454" s="134"/>
      <c r="N454" s="134"/>
      <c r="O454" s="134"/>
      <c r="P454" s="134"/>
      <c r="Q454" s="134"/>
      <c r="R454" s="134"/>
      <c r="S454" s="139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82"/>
      <c r="BC454" s="82"/>
      <c r="BD454" s="83"/>
      <c r="BE454" s="83"/>
      <c r="BF454" s="83"/>
      <c r="BG454" s="82"/>
      <c r="BH454" s="81"/>
      <c r="BI454" s="80"/>
      <c r="BJ454" s="25"/>
      <c r="BK454" s="25"/>
      <c r="BL454" s="25"/>
      <c r="BM454" s="84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  <c r="CR454" s="25"/>
      <c r="CS454" s="25"/>
      <c r="CT454" s="25"/>
      <c r="CU454" s="25"/>
      <c r="CV454" s="25"/>
      <c r="CW454" s="25"/>
      <c r="CX454" s="25"/>
      <c r="CY454" s="25"/>
      <c r="CZ454" s="25"/>
      <c r="DA454" s="25"/>
      <c r="DB454" s="25"/>
      <c r="DC454" s="25"/>
      <c r="DD454" s="25"/>
      <c r="DE454" s="25"/>
      <c r="DF454" s="92"/>
      <c r="DG454" s="92"/>
      <c r="DH454" s="203"/>
      <c r="DI454" s="203"/>
      <c r="DJ454" s="203"/>
      <c r="DK454" s="203"/>
      <c r="DL454" s="203"/>
      <c r="DM454" s="203"/>
      <c r="DN454" s="203"/>
      <c r="DO454" s="203"/>
      <c r="DP454" s="208"/>
      <c r="DQ454" s="208"/>
      <c r="DR454" s="208"/>
      <c r="DS454" s="208"/>
      <c r="DT454" s="208"/>
      <c r="DU454" s="208"/>
      <c r="DV454" s="208"/>
      <c r="DW454" s="208"/>
      <c r="DX454" s="208"/>
      <c r="DY454" s="208"/>
      <c r="DZ454" s="208"/>
      <c r="EA454" s="208"/>
      <c r="EB454" s="208"/>
      <c r="EC454" s="208"/>
      <c r="ED454" s="208"/>
      <c r="EE454" s="208"/>
      <c r="EF454" s="208"/>
      <c r="EG454" s="208"/>
      <c r="EH454" s="208"/>
      <c r="EI454" s="208"/>
      <c r="EJ454" s="208"/>
      <c r="EK454" s="208"/>
      <c r="EL454" s="208"/>
      <c r="EM454" s="208"/>
      <c r="EN454" s="208"/>
      <c r="EO454" s="208"/>
      <c r="EP454" s="208"/>
      <c r="EQ454" s="208"/>
      <c r="ER454" s="208"/>
      <c r="ES454" s="208"/>
      <c r="ET454" s="208"/>
      <c r="EU454" s="208"/>
      <c r="EV454" s="208"/>
      <c r="EW454" s="208"/>
      <c r="EX454" s="208"/>
      <c r="EY454" s="208"/>
      <c r="EZ454" s="208">
        <v>0</v>
      </c>
      <c r="FA454" s="208">
        <v>0</v>
      </c>
      <c r="FB454" s="208">
        <v>0</v>
      </c>
      <c r="FC454" s="208"/>
      <c r="FD454" s="82"/>
      <c r="FE454" s="30"/>
    </row>
    <row r="455" spans="1:161" ht="15" hidden="1">
      <c r="A455" s="25" t="s">
        <v>461</v>
      </c>
      <c r="B455" s="212" t="s">
        <v>657</v>
      </c>
      <c r="C455" s="138"/>
      <c r="D455" s="221"/>
      <c r="E455" s="239">
        <v>970</v>
      </c>
      <c r="F455" s="95"/>
      <c r="G455" s="95"/>
      <c r="H455" s="147" t="s">
        <v>656</v>
      </c>
      <c r="I455" s="147"/>
      <c r="J455" s="135"/>
      <c r="K455" s="135"/>
      <c r="L455" s="139"/>
      <c r="M455" s="134"/>
      <c r="N455" s="134"/>
      <c r="O455" s="134"/>
      <c r="P455" s="134"/>
      <c r="Q455" s="134"/>
      <c r="R455" s="134"/>
      <c r="S455" s="139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82"/>
      <c r="BC455" s="82"/>
      <c r="BD455" s="83"/>
      <c r="BE455" s="83"/>
      <c r="BF455" s="83"/>
      <c r="BG455" s="82"/>
      <c r="BH455" s="81"/>
      <c r="BI455" s="80"/>
      <c r="BJ455" s="25"/>
      <c r="BK455" s="25"/>
      <c r="BL455" s="25"/>
      <c r="BM455" s="84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  <c r="CR455" s="25"/>
      <c r="CS455" s="25"/>
      <c r="CT455" s="25"/>
      <c r="CU455" s="25"/>
      <c r="CV455" s="25"/>
      <c r="CW455" s="25"/>
      <c r="CX455" s="25"/>
      <c r="CY455" s="25"/>
      <c r="CZ455" s="25"/>
      <c r="DA455" s="25"/>
      <c r="DB455" s="25"/>
      <c r="DC455" s="25"/>
      <c r="DD455" s="25"/>
      <c r="DE455" s="25"/>
      <c r="DF455" s="92"/>
      <c r="DG455" s="92"/>
      <c r="DH455" s="203"/>
      <c r="DI455" s="203"/>
      <c r="DJ455" s="203"/>
      <c r="DK455" s="203"/>
      <c r="DL455" s="203"/>
      <c r="DM455" s="203"/>
      <c r="DN455" s="203"/>
      <c r="DO455" s="203"/>
      <c r="DP455" s="208"/>
      <c r="DQ455" s="208"/>
      <c r="DR455" s="208"/>
      <c r="DS455" s="208"/>
      <c r="DT455" s="208"/>
      <c r="DU455" s="208"/>
      <c r="DV455" s="208"/>
      <c r="DW455" s="208"/>
      <c r="DX455" s="208"/>
      <c r="DY455" s="208"/>
      <c r="DZ455" s="208"/>
      <c r="EA455" s="208"/>
      <c r="EB455" s="208"/>
      <c r="EC455" s="208"/>
      <c r="ED455" s="208"/>
      <c r="EE455" s="208"/>
      <c r="EF455" s="208"/>
      <c r="EG455" s="208"/>
      <c r="EH455" s="208"/>
      <c r="EI455" s="208"/>
      <c r="EJ455" s="208"/>
      <c r="EK455" s="208"/>
      <c r="EL455" s="208"/>
      <c r="EM455" s="208"/>
      <c r="EN455" s="208"/>
      <c r="EO455" s="208"/>
      <c r="EP455" s="208"/>
      <c r="EQ455" s="208"/>
      <c r="ER455" s="208"/>
      <c r="ES455" s="208"/>
      <c r="ET455" s="208"/>
      <c r="EU455" s="208"/>
      <c r="EV455" s="208"/>
      <c r="EW455" s="208"/>
      <c r="EX455" s="208"/>
      <c r="EY455" s="208"/>
      <c r="EZ455" s="208">
        <v>0</v>
      </c>
      <c r="FA455" s="208">
        <v>0</v>
      </c>
      <c r="FB455" s="208">
        <v>0</v>
      </c>
      <c r="FC455" s="208"/>
      <c r="FD455" s="82"/>
      <c r="FE455" s="30"/>
    </row>
    <row r="456" spans="1:161" ht="15" hidden="1">
      <c r="A456" s="25" t="s">
        <v>442</v>
      </c>
      <c r="B456" s="212" t="s">
        <v>657</v>
      </c>
      <c r="C456" s="138"/>
      <c r="D456" s="221"/>
      <c r="E456" s="239">
        <v>970</v>
      </c>
      <c r="F456" s="95"/>
      <c r="G456" s="95"/>
      <c r="H456" s="147" t="s">
        <v>656</v>
      </c>
      <c r="I456" s="147"/>
      <c r="J456" s="135"/>
      <c r="K456" s="135"/>
      <c r="L456" s="139"/>
      <c r="M456" s="134"/>
      <c r="N456" s="134"/>
      <c r="O456" s="134"/>
      <c r="P456" s="134"/>
      <c r="Q456" s="134"/>
      <c r="R456" s="134"/>
      <c r="S456" s="139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  <c r="BC456" s="82"/>
      <c r="BD456" s="83"/>
      <c r="BE456" s="83"/>
      <c r="BF456" s="83"/>
      <c r="BG456" s="82"/>
      <c r="BH456" s="81"/>
      <c r="BI456" s="80"/>
      <c r="BJ456" s="25"/>
      <c r="BK456" s="25"/>
      <c r="BL456" s="25"/>
      <c r="BM456" s="84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  <c r="CR456" s="25"/>
      <c r="CS456" s="25"/>
      <c r="CT456" s="25"/>
      <c r="CU456" s="25"/>
      <c r="CV456" s="25"/>
      <c r="CW456" s="25"/>
      <c r="CX456" s="25"/>
      <c r="CY456" s="25"/>
      <c r="CZ456" s="25"/>
      <c r="DA456" s="25"/>
      <c r="DB456" s="25"/>
      <c r="DC456" s="25"/>
      <c r="DD456" s="25"/>
      <c r="DE456" s="25"/>
      <c r="DF456" s="92"/>
      <c r="DG456" s="92"/>
      <c r="DH456" s="203"/>
      <c r="DI456" s="203"/>
      <c r="DJ456" s="203"/>
      <c r="DK456" s="203"/>
      <c r="DL456" s="203"/>
      <c r="DM456" s="203"/>
      <c r="DN456" s="203"/>
      <c r="DO456" s="203"/>
      <c r="DP456" s="208"/>
      <c r="DQ456" s="208"/>
      <c r="DR456" s="208"/>
      <c r="DS456" s="208"/>
      <c r="DT456" s="208"/>
      <c r="DU456" s="208"/>
      <c r="DV456" s="208"/>
      <c r="DW456" s="208"/>
      <c r="DX456" s="208"/>
      <c r="DY456" s="208"/>
      <c r="DZ456" s="208"/>
      <c r="EA456" s="208"/>
      <c r="EB456" s="208"/>
      <c r="EC456" s="208"/>
      <c r="ED456" s="208"/>
      <c r="EE456" s="208"/>
      <c r="EF456" s="208"/>
      <c r="EG456" s="208"/>
      <c r="EH456" s="208"/>
      <c r="EI456" s="208"/>
      <c r="EJ456" s="208"/>
      <c r="EK456" s="208"/>
      <c r="EL456" s="208"/>
      <c r="EM456" s="208"/>
      <c r="EN456" s="208"/>
      <c r="EO456" s="208"/>
      <c r="EP456" s="208"/>
      <c r="EQ456" s="208"/>
      <c r="ER456" s="208"/>
      <c r="ES456" s="208"/>
      <c r="ET456" s="208"/>
      <c r="EU456" s="208"/>
      <c r="EV456" s="208"/>
      <c r="EW456" s="208"/>
      <c r="EX456" s="208"/>
      <c r="EY456" s="208"/>
      <c r="EZ456" s="208">
        <v>0</v>
      </c>
      <c r="FA456" s="208">
        <v>0</v>
      </c>
      <c r="FB456" s="208">
        <v>0</v>
      </c>
      <c r="FC456" s="208"/>
      <c r="FD456" s="82"/>
      <c r="FE456" s="30"/>
    </row>
    <row r="457" spans="1:161" ht="15" hidden="1">
      <c r="A457" s="25" t="s">
        <v>454</v>
      </c>
      <c r="B457" s="212" t="s">
        <v>657</v>
      </c>
      <c r="C457" s="138"/>
      <c r="D457" s="221"/>
      <c r="E457" s="239">
        <v>970</v>
      </c>
      <c r="F457" s="95"/>
      <c r="G457" s="95"/>
      <c r="H457" s="147" t="s">
        <v>656</v>
      </c>
      <c r="I457" s="147"/>
      <c r="J457" s="135"/>
      <c r="K457" s="135"/>
      <c r="L457" s="139"/>
      <c r="M457" s="134"/>
      <c r="N457" s="134"/>
      <c r="O457" s="134"/>
      <c r="P457" s="134"/>
      <c r="Q457" s="134"/>
      <c r="R457" s="134"/>
      <c r="S457" s="139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  <c r="BC457" s="82"/>
      <c r="BD457" s="83"/>
      <c r="BE457" s="83"/>
      <c r="BF457" s="83"/>
      <c r="BG457" s="82"/>
      <c r="BH457" s="81"/>
      <c r="BI457" s="80"/>
      <c r="BJ457" s="25"/>
      <c r="BK457" s="25"/>
      <c r="BL457" s="25"/>
      <c r="BM457" s="84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  <c r="CC457" s="25"/>
      <c r="CD457" s="25"/>
      <c r="CE457" s="25"/>
      <c r="CF457" s="25"/>
      <c r="CG457" s="25"/>
      <c r="CH457" s="25"/>
      <c r="CI457" s="25"/>
      <c r="CJ457" s="25"/>
      <c r="CK457" s="25"/>
      <c r="CL457" s="25"/>
      <c r="CM457" s="25"/>
      <c r="CN457" s="25"/>
      <c r="CO457" s="25"/>
      <c r="CP457" s="25"/>
      <c r="CQ457" s="25"/>
      <c r="CR457" s="25"/>
      <c r="CS457" s="25"/>
      <c r="CT457" s="25"/>
      <c r="CU457" s="25"/>
      <c r="CV457" s="25"/>
      <c r="CW457" s="25"/>
      <c r="CX457" s="25"/>
      <c r="CY457" s="25"/>
      <c r="CZ457" s="25"/>
      <c r="DA457" s="25"/>
      <c r="DB457" s="25"/>
      <c r="DC457" s="25"/>
      <c r="DD457" s="25"/>
      <c r="DE457" s="25"/>
      <c r="DF457" s="92"/>
      <c r="DG457" s="92"/>
      <c r="DH457" s="203"/>
      <c r="DI457" s="203"/>
      <c r="DJ457" s="203"/>
      <c r="DK457" s="203"/>
      <c r="DL457" s="203"/>
      <c r="DM457" s="203"/>
      <c r="DN457" s="203"/>
      <c r="DO457" s="203"/>
      <c r="DP457" s="208"/>
      <c r="DQ457" s="208"/>
      <c r="DR457" s="208"/>
      <c r="DS457" s="208"/>
      <c r="DT457" s="208"/>
      <c r="DU457" s="208"/>
      <c r="DV457" s="208"/>
      <c r="DW457" s="208"/>
      <c r="DX457" s="208"/>
      <c r="DY457" s="208"/>
      <c r="DZ457" s="208"/>
      <c r="EA457" s="208"/>
      <c r="EB457" s="208"/>
      <c r="EC457" s="208"/>
      <c r="ED457" s="208"/>
      <c r="EE457" s="208"/>
      <c r="EF457" s="208"/>
      <c r="EG457" s="208"/>
      <c r="EH457" s="208"/>
      <c r="EI457" s="208"/>
      <c r="EJ457" s="208"/>
      <c r="EK457" s="208"/>
      <c r="EL457" s="208"/>
      <c r="EM457" s="208"/>
      <c r="EN457" s="208"/>
      <c r="EO457" s="208"/>
      <c r="EP457" s="208"/>
      <c r="EQ457" s="208"/>
      <c r="ER457" s="208"/>
      <c r="ES457" s="208"/>
      <c r="ET457" s="208"/>
      <c r="EU457" s="208"/>
      <c r="EV457" s="208"/>
      <c r="EW457" s="208"/>
      <c r="EX457" s="208"/>
      <c r="EY457" s="208"/>
      <c r="EZ457" s="208">
        <v>0</v>
      </c>
      <c r="FA457" s="208">
        <v>0</v>
      </c>
      <c r="FB457" s="208">
        <v>0</v>
      </c>
      <c r="FC457" s="208"/>
      <c r="FD457" s="82"/>
      <c r="FE457" s="30"/>
    </row>
    <row r="458" spans="1:161" ht="15" hidden="1">
      <c r="A458" s="25" t="s">
        <v>455</v>
      </c>
      <c r="B458" s="212" t="s">
        <v>657</v>
      </c>
      <c r="C458" s="138"/>
      <c r="D458" s="221"/>
      <c r="E458" s="239">
        <v>970</v>
      </c>
      <c r="F458" s="95"/>
      <c r="G458" s="95"/>
      <c r="H458" s="147" t="s">
        <v>656</v>
      </c>
      <c r="I458" s="147"/>
      <c r="J458" s="135"/>
      <c r="K458" s="135"/>
      <c r="L458" s="139"/>
      <c r="M458" s="134"/>
      <c r="N458" s="134"/>
      <c r="O458" s="134"/>
      <c r="P458" s="134"/>
      <c r="Q458" s="134"/>
      <c r="R458" s="134"/>
      <c r="S458" s="139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  <c r="BC458" s="82"/>
      <c r="BD458" s="83"/>
      <c r="BE458" s="83"/>
      <c r="BF458" s="83"/>
      <c r="BG458" s="82"/>
      <c r="BH458" s="81"/>
      <c r="BI458" s="80"/>
      <c r="BJ458" s="25"/>
      <c r="BK458" s="25"/>
      <c r="BL458" s="25"/>
      <c r="BM458" s="84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  <c r="CC458" s="25"/>
      <c r="CD458" s="25"/>
      <c r="CE458" s="25"/>
      <c r="CF458" s="25"/>
      <c r="CG458" s="25"/>
      <c r="CH458" s="25"/>
      <c r="CI458" s="25"/>
      <c r="CJ458" s="25"/>
      <c r="CK458" s="25"/>
      <c r="CL458" s="25"/>
      <c r="CM458" s="25"/>
      <c r="CN458" s="25"/>
      <c r="CO458" s="25"/>
      <c r="CP458" s="25"/>
      <c r="CQ458" s="25"/>
      <c r="CR458" s="25"/>
      <c r="CS458" s="25"/>
      <c r="CT458" s="25"/>
      <c r="CU458" s="25"/>
      <c r="CV458" s="25"/>
      <c r="CW458" s="25"/>
      <c r="CX458" s="25"/>
      <c r="CY458" s="25"/>
      <c r="CZ458" s="25"/>
      <c r="DA458" s="25"/>
      <c r="DB458" s="25"/>
      <c r="DC458" s="25"/>
      <c r="DD458" s="25"/>
      <c r="DE458" s="25"/>
      <c r="DF458" s="92"/>
      <c r="DG458" s="92"/>
      <c r="DH458" s="203"/>
      <c r="DI458" s="203"/>
      <c r="DJ458" s="203"/>
      <c r="DK458" s="203"/>
      <c r="DL458" s="203"/>
      <c r="DM458" s="203"/>
      <c r="DN458" s="203"/>
      <c r="DO458" s="203"/>
      <c r="DP458" s="208"/>
      <c r="DQ458" s="208"/>
      <c r="DR458" s="208"/>
      <c r="DS458" s="208"/>
      <c r="DT458" s="208"/>
      <c r="DU458" s="208"/>
      <c r="DV458" s="208"/>
      <c r="DW458" s="208"/>
      <c r="DX458" s="208"/>
      <c r="DY458" s="208"/>
      <c r="DZ458" s="208"/>
      <c r="EA458" s="208"/>
      <c r="EB458" s="208"/>
      <c r="EC458" s="208"/>
      <c r="ED458" s="208"/>
      <c r="EE458" s="208"/>
      <c r="EF458" s="208"/>
      <c r="EG458" s="208"/>
      <c r="EH458" s="208"/>
      <c r="EI458" s="208"/>
      <c r="EJ458" s="208"/>
      <c r="EK458" s="208"/>
      <c r="EL458" s="208"/>
      <c r="EM458" s="208"/>
      <c r="EN458" s="208"/>
      <c r="EO458" s="208"/>
      <c r="EP458" s="208"/>
      <c r="EQ458" s="208"/>
      <c r="ER458" s="208"/>
      <c r="ES458" s="208"/>
      <c r="ET458" s="208"/>
      <c r="EU458" s="208"/>
      <c r="EV458" s="208"/>
      <c r="EW458" s="208"/>
      <c r="EX458" s="208"/>
      <c r="EY458" s="208"/>
      <c r="EZ458" s="208">
        <v>0</v>
      </c>
      <c r="FA458" s="208">
        <v>0</v>
      </c>
      <c r="FB458" s="208">
        <v>0</v>
      </c>
      <c r="FC458" s="208"/>
      <c r="FD458" s="82"/>
      <c r="FE458" s="30"/>
    </row>
    <row r="459" spans="1:161" ht="15" hidden="1">
      <c r="A459" s="25" t="s">
        <v>456</v>
      </c>
      <c r="B459" s="212" t="s">
        <v>657</v>
      </c>
      <c r="C459" s="138"/>
      <c r="D459" s="221"/>
      <c r="E459" s="239">
        <v>970</v>
      </c>
      <c r="F459" s="95"/>
      <c r="G459" s="95"/>
      <c r="H459" s="147" t="s">
        <v>656</v>
      </c>
      <c r="I459" s="147"/>
      <c r="J459" s="135"/>
      <c r="K459" s="135"/>
      <c r="L459" s="139"/>
      <c r="M459" s="134"/>
      <c r="N459" s="134"/>
      <c r="O459" s="134"/>
      <c r="P459" s="134"/>
      <c r="Q459" s="134"/>
      <c r="R459" s="134"/>
      <c r="S459" s="139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82"/>
      <c r="BC459" s="82"/>
      <c r="BD459" s="83"/>
      <c r="BE459" s="83"/>
      <c r="BF459" s="83"/>
      <c r="BG459" s="82"/>
      <c r="BH459" s="81"/>
      <c r="BI459" s="80"/>
      <c r="BJ459" s="25"/>
      <c r="BK459" s="25"/>
      <c r="BL459" s="25"/>
      <c r="BM459" s="84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  <c r="CC459" s="25"/>
      <c r="CD459" s="25"/>
      <c r="CE459" s="25"/>
      <c r="CF459" s="25"/>
      <c r="CG459" s="25"/>
      <c r="CH459" s="25"/>
      <c r="CI459" s="25"/>
      <c r="CJ459" s="25"/>
      <c r="CK459" s="25"/>
      <c r="CL459" s="25"/>
      <c r="CM459" s="25"/>
      <c r="CN459" s="25"/>
      <c r="CO459" s="25"/>
      <c r="CP459" s="25"/>
      <c r="CQ459" s="25"/>
      <c r="CR459" s="25"/>
      <c r="CS459" s="25"/>
      <c r="CT459" s="25"/>
      <c r="CU459" s="25"/>
      <c r="CV459" s="25"/>
      <c r="CW459" s="25"/>
      <c r="CX459" s="25"/>
      <c r="CY459" s="25"/>
      <c r="CZ459" s="25"/>
      <c r="DA459" s="25"/>
      <c r="DB459" s="25"/>
      <c r="DC459" s="25"/>
      <c r="DD459" s="25"/>
      <c r="DE459" s="25"/>
      <c r="DF459" s="92"/>
      <c r="DG459" s="92"/>
      <c r="DH459" s="203"/>
      <c r="DI459" s="203"/>
      <c r="DJ459" s="203"/>
      <c r="DK459" s="203"/>
      <c r="DL459" s="203"/>
      <c r="DM459" s="203"/>
      <c r="DN459" s="203"/>
      <c r="DO459" s="203"/>
      <c r="DP459" s="208"/>
      <c r="DQ459" s="208"/>
      <c r="DR459" s="208"/>
      <c r="DS459" s="208"/>
      <c r="DT459" s="208"/>
      <c r="DU459" s="208"/>
      <c r="DV459" s="208"/>
      <c r="DW459" s="208"/>
      <c r="DX459" s="208"/>
      <c r="DY459" s="208"/>
      <c r="DZ459" s="208"/>
      <c r="EA459" s="208"/>
      <c r="EB459" s="208"/>
      <c r="EC459" s="208"/>
      <c r="ED459" s="208"/>
      <c r="EE459" s="208"/>
      <c r="EF459" s="208"/>
      <c r="EG459" s="208"/>
      <c r="EH459" s="208"/>
      <c r="EI459" s="208"/>
      <c r="EJ459" s="208"/>
      <c r="EK459" s="208"/>
      <c r="EL459" s="208"/>
      <c r="EM459" s="208"/>
      <c r="EN459" s="208"/>
      <c r="EO459" s="208"/>
      <c r="EP459" s="208"/>
      <c r="EQ459" s="208"/>
      <c r="ER459" s="208"/>
      <c r="ES459" s="208"/>
      <c r="ET459" s="208"/>
      <c r="EU459" s="208"/>
      <c r="EV459" s="208"/>
      <c r="EW459" s="208"/>
      <c r="EX459" s="208"/>
      <c r="EY459" s="208"/>
      <c r="EZ459" s="208">
        <v>0</v>
      </c>
      <c r="FA459" s="208">
        <v>0</v>
      </c>
      <c r="FB459" s="208">
        <v>0</v>
      </c>
      <c r="FC459" s="208"/>
      <c r="FD459" s="82"/>
      <c r="FE459" s="30"/>
    </row>
    <row r="460" spans="1:161" ht="15" hidden="1">
      <c r="A460" s="25" t="s">
        <v>418</v>
      </c>
      <c r="B460" s="212" t="s">
        <v>657</v>
      </c>
      <c r="C460" s="138"/>
      <c r="D460" s="221"/>
      <c r="E460" s="239">
        <v>970</v>
      </c>
      <c r="F460" s="95"/>
      <c r="G460" s="95"/>
      <c r="H460" s="147" t="s">
        <v>656</v>
      </c>
      <c r="I460" s="147"/>
      <c r="J460" s="135"/>
      <c r="K460" s="135"/>
      <c r="L460" s="139"/>
      <c r="M460" s="134"/>
      <c r="N460" s="134"/>
      <c r="O460" s="134"/>
      <c r="P460" s="134"/>
      <c r="Q460" s="134"/>
      <c r="R460" s="134"/>
      <c r="S460" s="139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82"/>
      <c r="BC460" s="82"/>
      <c r="BD460" s="83"/>
      <c r="BE460" s="83"/>
      <c r="BF460" s="83"/>
      <c r="BG460" s="82"/>
      <c r="BH460" s="81"/>
      <c r="BI460" s="80"/>
      <c r="BJ460" s="25"/>
      <c r="BK460" s="25"/>
      <c r="BL460" s="25"/>
      <c r="BM460" s="84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  <c r="CC460" s="25"/>
      <c r="CD460" s="25"/>
      <c r="CE460" s="25"/>
      <c r="CF460" s="25"/>
      <c r="CG460" s="25"/>
      <c r="CH460" s="25"/>
      <c r="CI460" s="25"/>
      <c r="CJ460" s="25"/>
      <c r="CK460" s="25"/>
      <c r="CL460" s="25"/>
      <c r="CM460" s="25"/>
      <c r="CN460" s="25"/>
      <c r="CO460" s="25"/>
      <c r="CP460" s="25"/>
      <c r="CQ460" s="25"/>
      <c r="CR460" s="25"/>
      <c r="CS460" s="25"/>
      <c r="CT460" s="25"/>
      <c r="CU460" s="25"/>
      <c r="CV460" s="25"/>
      <c r="CW460" s="25"/>
      <c r="CX460" s="25"/>
      <c r="CY460" s="25"/>
      <c r="CZ460" s="25"/>
      <c r="DA460" s="25"/>
      <c r="DB460" s="25"/>
      <c r="DC460" s="25"/>
      <c r="DD460" s="25"/>
      <c r="DE460" s="25"/>
      <c r="DF460" s="92"/>
      <c r="DG460" s="92"/>
      <c r="DH460" s="203"/>
      <c r="DI460" s="203"/>
      <c r="DJ460" s="203"/>
      <c r="DK460" s="203"/>
      <c r="DL460" s="203"/>
      <c r="DM460" s="203"/>
      <c r="DN460" s="203"/>
      <c r="DO460" s="203"/>
      <c r="DP460" s="208"/>
      <c r="DQ460" s="208"/>
      <c r="DR460" s="208"/>
      <c r="DS460" s="208"/>
      <c r="DT460" s="208"/>
      <c r="DU460" s="208"/>
      <c r="DV460" s="208"/>
      <c r="DW460" s="208"/>
      <c r="DX460" s="208"/>
      <c r="DY460" s="208"/>
      <c r="DZ460" s="208"/>
      <c r="EA460" s="208"/>
      <c r="EB460" s="208"/>
      <c r="EC460" s="208"/>
      <c r="ED460" s="208"/>
      <c r="EE460" s="208"/>
      <c r="EF460" s="208"/>
      <c r="EG460" s="208"/>
      <c r="EH460" s="208"/>
      <c r="EI460" s="208"/>
      <c r="EJ460" s="208"/>
      <c r="EK460" s="208"/>
      <c r="EL460" s="208"/>
      <c r="EM460" s="208"/>
      <c r="EN460" s="208"/>
      <c r="EO460" s="208"/>
      <c r="EP460" s="208"/>
      <c r="EQ460" s="208"/>
      <c r="ER460" s="208"/>
      <c r="ES460" s="208"/>
      <c r="ET460" s="208"/>
      <c r="EU460" s="208"/>
      <c r="EV460" s="208"/>
      <c r="EW460" s="208"/>
      <c r="EX460" s="208"/>
      <c r="EY460" s="208"/>
      <c r="EZ460" s="208">
        <v>0</v>
      </c>
      <c r="FA460" s="208">
        <v>0</v>
      </c>
      <c r="FB460" s="208">
        <v>0</v>
      </c>
      <c r="FC460" s="208"/>
      <c r="FD460" s="82"/>
      <c r="FE460" s="30"/>
    </row>
    <row r="461" spans="1:161" ht="15" hidden="1">
      <c r="A461" s="25" t="s">
        <v>419</v>
      </c>
      <c r="B461" s="212" t="s">
        <v>657</v>
      </c>
      <c r="C461" s="138"/>
      <c r="D461" s="221"/>
      <c r="E461" s="239">
        <v>970</v>
      </c>
      <c r="F461" s="95"/>
      <c r="G461" s="95"/>
      <c r="H461" s="147" t="s">
        <v>656</v>
      </c>
      <c r="I461" s="147"/>
      <c r="J461" s="135"/>
      <c r="K461" s="135"/>
      <c r="L461" s="139"/>
      <c r="M461" s="134"/>
      <c r="N461" s="134"/>
      <c r="O461" s="134"/>
      <c r="P461" s="134"/>
      <c r="Q461" s="134"/>
      <c r="R461" s="134"/>
      <c r="S461" s="139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  <c r="AY461" s="82"/>
      <c r="AZ461" s="82"/>
      <c r="BA461" s="82"/>
      <c r="BB461" s="82"/>
      <c r="BC461" s="82"/>
      <c r="BD461" s="83"/>
      <c r="BE461" s="83"/>
      <c r="BF461" s="83"/>
      <c r="BG461" s="82"/>
      <c r="BH461" s="81"/>
      <c r="BI461" s="80"/>
      <c r="BJ461" s="25"/>
      <c r="BK461" s="25"/>
      <c r="BL461" s="25"/>
      <c r="BM461" s="84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  <c r="CR461" s="25"/>
      <c r="CS461" s="25"/>
      <c r="CT461" s="25"/>
      <c r="CU461" s="25"/>
      <c r="CV461" s="25"/>
      <c r="CW461" s="25"/>
      <c r="CX461" s="25"/>
      <c r="CY461" s="25"/>
      <c r="CZ461" s="25"/>
      <c r="DA461" s="25"/>
      <c r="DB461" s="25"/>
      <c r="DC461" s="25"/>
      <c r="DD461" s="25"/>
      <c r="DE461" s="25"/>
      <c r="DF461" s="92"/>
      <c r="DG461" s="92"/>
      <c r="DH461" s="203"/>
      <c r="DI461" s="203"/>
      <c r="DJ461" s="203"/>
      <c r="DK461" s="203"/>
      <c r="DL461" s="203"/>
      <c r="DM461" s="203"/>
      <c r="DN461" s="203"/>
      <c r="DO461" s="203"/>
      <c r="DP461" s="208"/>
      <c r="DQ461" s="208"/>
      <c r="DR461" s="208"/>
      <c r="DS461" s="208"/>
      <c r="DT461" s="208"/>
      <c r="DU461" s="208"/>
      <c r="DV461" s="208"/>
      <c r="DW461" s="208"/>
      <c r="DX461" s="208"/>
      <c r="DY461" s="208"/>
      <c r="DZ461" s="208"/>
      <c r="EA461" s="208"/>
      <c r="EB461" s="208"/>
      <c r="EC461" s="208"/>
      <c r="ED461" s="208"/>
      <c r="EE461" s="208"/>
      <c r="EF461" s="208"/>
      <c r="EG461" s="208"/>
      <c r="EH461" s="208"/>
      <c r="EI461" s="208"/>
      <c r="EJ461" s="208"/>
      <c r="EK461" s="208"/>
      <c r="EL461" s="208"/>
      <c r="EM461" s="208"/>
      <c r="EN461" s="208"/>
      <c r="EO461" s="208"/>
      <c r="EP461" s="208"/>
      <c r="EQ461" s="208"/>
      <c r="ER461" s="208"/>
      <c r="ES461" s="208"/>
      <c r="ET461" s="208"/>
      <c r="EU461" s="208"/>
      <c r="EV461" s="208"/>
      <c r="EW461" s="208"/>
      <c r="EX461" s="208"/>
      <c r="EY461" s="208"/>
      <c r="EZ461" s="208">
        <v>0</v>
      </c>
      <c r="FA461" s="208">
        <v>0</v>
      </c>
      <c r="FB461" s="208">
        <v>0</v>
      </c>
      <c r="FC461" s="208"/>
      <c r="FD461" s="82"/>
      <c r="FE461" s="30"/>
    </row>
    <row r="462" spans="1:161" ht="15" hidden="1">
      <c r="A462" s="25" t="s">
        <v>420</v>
      </c>
      <c r="B462" s="212" t="s">
        <v>657</v>
      </c>
      <c r="C462" s="138"/>
      <c r="D462" s="221"/>
      <c r="E462" s="239">
        <v>970</v>
      </c>
      <c r="F462" s="95"/>
      <c r="G462" s="95"/>
      <c r="H462" s="147" t="s">
        <v>656</v>
      </c>
      <c r="I462" s="147"/>
      <c r="J462" s="135"/>
      <c r="K462" s="135"/>
      <c r="L462" s="139"/>
      <c r="M462" s="134"/>
      <c r="N462" s="134"/>
      <c r="O462" s="134"/>
      <c r="P462" s="134"/>
      <c r="Q462" s="134"/>
      <c r="R462" s="134"/>
      <c r="S462" s="139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  <c r="AR462" s="82"/>
      <c r="AS462" s="82"/>
      <c r="AT462" s="82"/>
      <c r="AU462" s="82"/>
      <c r="AV462" s="82"/>
      <c r="AW462" s="82"/>
      <c r="AX462" s="82"/>
      <c r="AY462" s="82"/>
      <c r="AZ462" s="82"/>
      <c r="BA462" s="82"/>
      <c r="BB462" s="82"/>
      <c r="BC462" s="82"/>
      <c r="BD462" s="83"/>
      <c r="BE462" s="83"/>
      <c r="BF462" s="83"/>
      <c r="BG462" s="82"/>
      <c r="BH462" s="81"/>
      <c r="BI462" s="80"/>
      <c r="BJ462" s="25"/>
      <c r="BK462" s="25"/>
      <c r="BL462" s="25"/>
      <c r="BM462" s="84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  <c r="CC462" s="25"/>
      <c r="CD462" s="25"/>
      <c r="CE462" s="25"/>
      <c r="CF462" s="25"/>
      <c r="CG462" s="25"/>
      <c r="CH462" s="25"/>
      <c r="CI462" s="25"/>
      <c r="CJ462" s="25"/>
      <c r="CK462" s="25"/>
      <c r="CL462" s="25"/>
      <c r="CM462" s="25"/>
      <c r="CN462" s="25"/>
      <c r="CO462" s="25"/>
      <c r="CP462" s="25"/>
      <c r="CQ462" s="25"/>
      <c r="CR462" s="25"/>
      <c r="CS462" s="25"/>
      <c r="CT462" s="25"/>
      <c r="CU462" s="25"/>
      <c r="CV462" s="25"/>
      <c r="CW462" s="25"/>
      <c r="CX462" s="25"/>
      <c r="CY462" s="25"/>
      <c r="CZ462" s="25"/>
      <c r="DA462" s="25"/>
      <c r="DB462" s="25"/>
      <c r="DC462" s="25"/>
      <c r="DD462" s="25"/>
      <c r="DE462" s="25"/>
      <c r="DF462" s="92"/>
      <c r="DG462" s="92"/>
      <c r="DH462" s="203"/>
      <c r="DI462" s="203"/>
      <c r="DJ462" s="203"/>
      <c r="DK462" s="203"/>
      <c r="DL462" s="203"/>
      <c r="DM462" s="203"/>
      <c r="DN462" s="203"/>
      <c r="DO462" s="203"/>
      <c r="DP462" s="208"/>
      <c r="DQ462" s="208"/>
      <c r="DR462" s="208"/>
      <c r="DS462" s="208"/>
      <c r="DT462" s="208"/>
      <c r="DU462" s="208"/>
      <c r="DV462" s="208"/>
      <c r="DW462" s="208"/>
      <c r="DX462" s="208"/>
      <c r="DY462" s="208"/>
      <c r="DZ462" s="208"/>
      <c r="EA462" s="208"/>
      <c r="EB462" s="208"/>
      <c r="EC462" s="208"/>
      <c r="ED462" s="208"/>
      <c r="EE462" s="208"/>
      <c r="EF462" s="208"/>
      <c r="EG462" s="208"/>
      <c r="EH462" s="208"/>
      <c r="EI462" s="208"/>
      <c r="EJ462" s="208"/>
      <c r="EK462" s="208"/>
      <c r="EL462" s="208"/>
      <c r="EM462" s="208"/>
      <c r="EN462" s="208"/>
      <c r="EO462" s="208"/>
      <c r="EP462" s="208"/>
      <c r="EQ462" s="208"/>
      <c r="ER462" s="208"/>
      <c r="ES462" s="208"/>
      <c r="ET462" s="208"/>
      <c r="EU462" s="208"/>
      <c r="EV462" s="208"/>
      <c r="EW462" s="208"/>
      <c r="EX462" s="208"/>
      <c r="EY462" s="208"/>
      <c r="EZ462" s="208">
        <v>0</v>
      </c>
      <c r="FA462" s="208">
        <v>0</v>
      </c>
      <c r="FB462" s="208">
        <v>0</v>
      </c>
      <c r="FC462" s="208"/>
      <c r="FD462" s="82"/>
      <c r="FE462" s="30"/>
    </row>
    <row r="463" spans="1:161" ht="15" hidden="1">
      <c r="A463" s="25" t="s">
        <v>457</v>
      </c>
      <c r="B463" s="212" t="s">
        <v>657</v>
      </c>
      <c r="C463" s="138"/>
      <c r="D463" s="221"/>
      <c r="E463" s="239">
        <v>970</v>
      </c>
      <c r="F463" s="95"/>
      <c r="G463" s="95"/>
      <c r="H463" s="147" t="s">
        <v>656</v>
      </c>
      <c r="I463" s="147"/>
      <c r="J463" s="135"/>
      <c r="K463" s="135"/>
      <c r="L463" s="139"/>
      <c r="M463" s="134"/>
      <c r="N463" s="134"/>
      <c r="O463" s="134"/>
      <c r="P463" s="134"/>
      <c r="Q463" s="134"/>
      <c r="R463" s="134"/>
      <c r="S463" s="139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  <c r="AQ463" s="82"/>
      <c r="AR463" s="82"/>
      <c r="AS463" s="82"/>
      <c r="AT463" s="82"/>
      <c r="AU463" s="82"/>
      <c r="AV463" s="82"/>
      <c r="AW463" s="82"/>
      <c r="AX463" s="82"/>
      <c r="AY463" s="82"/>
      <c r="AZ463" s="82"/>
      <c r="BA463" s="82"/>
      <c r="BB463" s="82"/>
      <c r="BC463" s="82"/>
      <c r="BD463" s="83"/>
      <c r="BE463" s="83"/>
      <c r="BF463" s="83"/>
      <c r="BG463" s="82"/>
      <c r="BH463" s="81"/>
      <c r="BI463" s="80"/>
      <c r="BJ463" s="25"/>
      <c r="BK463" s="25"/>
      <c r="BL463" s="25"/>
      <c r="BM463" s="84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  <c r="CC463" s="25"/>
      <c r="CD463" s="25"/>
      <c r="CE463" s="25"/>
      <c r="CF463" s="25"/>
      <c r="CG463" s="25"/>
      <c r="CH463" s="25"/>
      <c r="CI463" s="25"/>
      <c r="CJ463" s="25"/>
      <c r="CK463" s="25"/>
      <c r="CL463" s="25"/>
      <c r="CM463" s="25"/>
      <c r="CN463" s="25"/>
      <c r="CO463" s="25"/>
      <c r="CP463" s="25"/>
      <c r="CQ463" s="25"/>
      <c r="CR463" s="25"/>
      <c r="CS463" s="25"/>
      <c r="CT463" s="25"/>
      <c r="CU463" s="25"/>
      <c r="CV463" s="25"/>
      <c r="CW463" s="25"/>
      <c r="CX463" s="25"/>
      <c r="CY463" s="25"/>
      <c r="CZ463" s="25"/>
      <c r="DA463" s="25"/>
      <c r="DB463" s="25"/>
      <c r="DC463" s="25"/>
      <c r="DD463" s="25"/>
      <c r="DE463" s="25"/>
      <c r="DF463" s="92"/>
      <c r="DG463" s="92"/>
      <c r="DH463" s="203"/>
      <c r="DI463" s="203"/>
      <c r="DJ463" s="203"/>
      <c r="DK463" s="203"/>
      <c r="DL463" s="203"/>
      <c r="DM463" s="203"/>
      <c r="DN463" s="203"/>
      <c r="DO463" s="203"/>
      <c r="DP463" s="208"/>
      <c r="DQ463" s="208"/>
      <c r="DR463" s="208"/>
      <c r="DS463" s="208"/>
      <c r="DT463" s="208"/>
      <c r="DU463" s="208"/>
      <c r="DV463" s="208"/>
      <c r="DW463" s="208"/>
      <c r="DX463" s="208"/>
      <c r="DY463" s="208"/>
      <c r="DZ463" s="208"/>
      <c r="EA463" s="208"/>
      <c r="EB463" s="208"/>
      <c r="EC463" s="208"/>
      <c r="ED463" s="208"/>
      <c r="EE463" s="208"/>
      <c r="EF463" s="208"/>
      <c r="EG463" s="208"/>
      <c r="EH463" s="208"/>
      <c r="EI463" s="208"/>
      <c r="EJ463" s="208"/>
      <c r="EK463" s="208"/>
      <c r="EL463" s="208"/>
      <c r="EM463" s="208"/>
      <c r="EN463" s="208"/>
      <c r="EO463" s="208"/>
      <c r="EP463" s="208"/>
      <c r="EQ463" s="208"/>
      <c r="ER463" s="208"/>
      <c r="ES463" s="208"/>
      <c r="ET463" s="208"/>
      <c r="EU463" s="208"/>
      <c r="EV463" s="208"/>
      <c r="EW463" s="208"/>
      <c r="EX463" s="208"/>
      <c r="EY463" s="208"/>
      <c r="EZ463" s="208">
        <v>0</v>
      </c>
      <c r="FA463" s="208">
        <v>0</v>
      </c>
      <c r="FB463" s="208">
        <v>0</v>
      </c>
      <c r="FC463" s="208"/>
      <c r="FD463" s="82"/>
      <c r="FE463" s="30"/>
    </row>
    <row r="464" spans="1:161" ht="15" hidden="1">
      <c r="A464" s="25" t="s">
        <v>458</v>
      </c>
      <c r="B464" s="212" t="s">
        <v>657</v>
      </c>
      <c r="C464" s="138"/>
      <c r="D464" s="221"/>
      <c r="E464" s="239">
        <v>970</v>
      </c>
      <c r="F464" s="95"/>
      <c r="G464" s="95"/>
      <c r="H464" s="147" t="s">
        <v>656</v>
      </c>
      <c r="I464" s="147"/>
      <c r="J464" s="135"/>
      <c r="K464" s="135"/>
      <c r="L464" s="139"/>
      <c r="M464" s="134"/>
      <c r="N464" s="134"/>
      <c r="O464" s="134"/>
      <c r="P464" s="134"/>
      <c r="Q464" s="134"/>
      <c r="R464" s="134"/>
      <c r="S464" s="139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  <c r="AQ464" s="82"/>
      <c r="AR464" s="82"/>
      <c r="AS464" s="82"/>
      <c r="AT464" s="82"/>
      <c r="AU464" s="82"/>
      <c r="AV464" s="82"/>
      <c r="AW464" s="82"/>
      <c r="AX464" s="82"/>
      <c r="AY464" s="82"/>
      <c r="AZ464" s="82"/>
      <c r="BA464" s="82"/>
      <c r="BB464" s="82"/>
      <c r="BC464" s="82"/>
      <c r="BD464" s="83"/>
      <c r="BE464" s="83"/>
      <c r="BF464" s="83"/>
      <c r="BG464" s="82"/>
      <c r="BH464" s="81"/>
      <c r="BI464" s="80"/>
      <c r="BJ464" s="25"/>
      <c r="BK464" s="25"/>
      <c r="BL464" s="25"/>
      <c r="BM464" s="84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  <c r="CR464" s="25"/>
      <c r="CS464" s="25"/>
      <c r="CT464" s="25"/>
      <c r="CU464" s="25"/>
      <c r="CV464" s="25"/>
      <c r="CW464" s="25"/>
      <c r="CX464" s="25"/>
      <c r="CY464" s="25"/>
      <c r="CZ464" s="25"/>
      <c r="DA464" s="25"/>
      <c r="DB464" s="25"/>
      <c r="DC464" s="25"/>
      <c r="DD464" s="25"/>
      <c r="DE464" s="25"/>
      <c r="DF464" s="92"/>
      <c r="DG464" s="92"/>
      <c r="DH464" s="203"/>
      <c r="DI464" s="203"/>
      <c r="DJ464" s="203"/>
      <c r="DK464" s="203"/>
      <c r="DL464" s="203"/>
      <c r="DM464" s="203"/>
      <c r="DN464" s="203"/>
      <c r="DO464" s="203"/>
      <c r="DP464" s="208"/>
      <c r="DQ464" s="208"/>
      <c r="DR464" s="208"/>
      <c r="DS464" s="208"/>
      <c r="DT464" s="208"/>
      <c r="DU464" s="208"/>
      <c r="DV464" s="208"/>
      <c r="DW464" s="208"/>
      <c r="DX464" s="208"/>
      <c r="DY464" s="208"/>
      <c r="DZ464" s="208"/>
      <c r="EA464" s="208"/>
      <c r="EB464" s="208"/>
      <c r="EC464" s="208"/>
      <c r="ED464" s="208"/>
      <c r="EE464" s="208"/>
      <c r="EF464" s="208"/>
      <c r="EG464" s="208"/>
      <c r="EH464" s="208"/>
      <c r="EI464" s="208"/>
      <c r="EJ464" s="208"/>
      <c r="EK464" s="208"/>
      <c r="EL464" s="208"/>
      <c r="EM464" s="208"/>
      <c r="EN464" s="208"/>
      <c r="EO464" s="208"/>
      <c r="EP464" s="208"/>
      <c r="EQ464" s="208"/>
      <c r="ER464" s="208"/>
      <c r="ES464" s="208"/>
      <c r="ET464" s="208"/>
      <c r="EU464" s="208"/>
      <c r="EV464" s="208"/>
      <c r="EW464" s="208"/>
      <c r="EX464" s="208"/>
      <c r="EY464" s="208"/>
      <c r="EZ464" s="208">
        <v>0</v>
      </c>
      <c r="FA464" s="208">
        <v>0</v>
      </c>
      <c r="FB464" s="208">
        <v>0</v>
      </c>
      <c r="FC464" s="208"/>
      <c r="FD464" s="82"/>
      <c r="FE464" s="30"/>
    </row>
    <row r="465" spans="1:161" ht="15" hidden="1">
      <c r="A465" s="25" t="s">
        <v>459</v>
      </c>
      <c r="B465" s="212" t="s">
        <v>657</v>
      </c>
      <c r="C465" s="138"/>
      <c r="D465" s="221"/>
      <c r="E465" s="239">
        <v>970</v>
      </c>
      <c r="F465" s="95"/>
      <c r="G465" s="95"/>
      <c r="H465" s="147" t="s">
        <v>656</v>
      </c>
      <c r="I465" s="147"/>
      <c r="J465" s="135"/>
      <c r="K465" s="135"/>
      <c r="L465" s="139"/>
      <c r="M465" s="134"/>
      <c r="N465" s="134"/>
      <c r="O465" s="134"/>
      <c r="P465" s="134"/>
      <c r="Q465" s="134"/>
      <c r="R465" s="134"/>
      <c r="S465" s="139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  <c r="AQ465" s="82"/>
      <c r="AR465" s="82"/>
      <c r="AS465" s="82"/>
      <c r="AT465" s="82"/>
      <c r="AU465" s="82"/>
      <c r="AV465" s="82"/>
      <c r="AW465" s="82"/>
      <c r="AX465" s="82"/>
      <c r="AY465" s="82"/>
      <c r="AZ465" s="82"/>
      <c r="BA465" s="82"/>
      <c r="BB465" s="82"/>
      <c r="BC465" s="82"/>
      <c r="BD465" s="83"/>
      <c r="BE465" s="83"/>
      <c r="BF465" s="83"/>
      <c r="BG465" s="82"/>
      <c r="BH465" s="81"/>
      <c r="BI465" s="80"/>
      <c r="BJ465" s="25"/>
      <c r="BK465" s="25"/>
      <c r="BL465" s="25"/>
      <c r="BM465" s="84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  <c r="CC465" s="25"/>
      <c r="CD465" s="25"/>
      <c r="CE465" s="25"/>
      <c r="CF465" s="25"/>
      <c r="CG465" s="25"/>
      <c r="CH465" s="25"/>
      <c r="CI465" s="25"/>
      <c r="CJ465" s="25"/>
      <c r="CK465" s="25"/>
      <c r="CL465" s="25"/>
      <c r="CM465" s="25"/>
      <c r="CN465" s="25"/>
      <c r="CO465" s="25"/>
      <c r="CP465" s="25"/>
      <c r="CQ465" s="25"/>
      <c r="CR465" s="25"/>
      <c r="CS465" s="25"/>
      <c r="CT465" s="25"/>
      <c r="CU465" s="25"/>
      <c r="CV465" s="25"/>
      <c r="CW465" s="25"/>
      <c r="CX465" s="25"/>
      <c r="CY465" s="25"/>
      <c r="CZ465" s="25"/>
      <c r="DA465" s="25"/>
      <c r="DB465" s="25"/>
      <c r="DC465" s="25"/>
      <c r="DD465" s="25"/>
      <c r="DE465" s="25"/>
      <c r="DF465" s="92"/>
      <c r="DG465" s="92"/>
      <c r="DH465" s="203"/>
      <c r="DI465" s="203"/>
      <c r="DJ465" s="203"/>
      <c r="DK465" s="203"/>
      <c r="DL465" s="203"/>
      <c r="DM465" s="203"/>
      <c r="DN465" s="203"/>
      <c r="DO465" s="203"/>
      <c r="DP465" s="208"/>
      <c r="DQ465" s="208"/>
      <c r="DR465" s="208"/>
      <c r="DS465" s="208"/>
      <c r="DT465" s="208"/>
      <c r="DU465" s="208"/>
      <c r="DV465" s="208"/>
      <c r="DW465" s="208"/>
      <c r="DX465" s="208"/>
      <c r="DY465" s="208"/>
      <c r="DZ465" s="208"/>
      <c r="EA465" s="208"/>
      <c r="EB465" s="208"/>
      <c r="EC465" s="208"/>
      <c r="ED465" s="208"/>
      <c r="EE465" s="208"/>
      <c r="EF465" s="208"/>
      <c r="EG465" s="208"/>
      <c r="EH465" s="208"/>
      <c r="EI465" s="208"/>
      <c r="EJ465" s="208"/>
      <c r="EK465" s="208"/>
      <c r="EL465" s="208"/>
      <c r="EM465" s="208"/>
      <c r="EN465" s="208"/>
      <c r="EO465" s="208"/>
      <c r="EP465" s="208"/>
      <c r="EQ465" s="208"/>
      <c r="ER465" s="208"/>
      <c r="ES465" s="208"/>
      <c r="ET465" s="208"/>
      <c r="EU465" s="208"/>
      <c r="EV465" s="208"/>
      <c r="EW465" s="208"/>
      <c r="EX465" s="208"/>
      <c r="EY465" s="208"/>
      <c r="EZ465" s="208">
        <v>0</v>
      </c>
      <c r="FA465" s="208">
        <v>0</v>
      </c>
      <c r="FB465" s="208">
        <v>0</v>
      </c>
      <c r="FC465" s="208"/>
      <c r="FD465" s="82"/>
      <c r="FE465" s="30"/>
    </row>
    <row r="466" spans="1:161" ht="15" hidden="1">
      <c r="A466" s="25" t="s">
        <v>421</v>
      </c>
      <c r="B466" s="212" t="s">
        <v>657</v>
      </c>
      <c r="C466" s="138"/>
      <c r="D466" s="221"/>
      <c r="E466" s="239">
        <v>970</v>
      </c>
      <c r="F466" s="95"/>
      <c r="G466" s="95"/>
      <c r="H466" s="147" t="s">
        <v>656</v>
      </c>
      <c r="I466" s="147"/>
      <c r="J466" s="135"/>
      <c r="K466" s="135"/>
      <c r="L466" s="139"/>
      <c r="M466" s="134"/>
      <c r="N466" s="134"/>
      <c r="O466" s="134"/>
      <c r="P466" s="134"/>
      <c r="Q466" s="134"/>
      <c r="R466" s="134"/>
      <c r="S466" s="139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  <c r="AQ466" s="82"/>
      <c r="AR466" s="82"/>
      <c r="AS466" s="82"/>
      <c r="AT466" s="82"/>
      <c r="AU466" s="82"/>
      <c r="AV466" s="82"/>
      <c r="AW466" s="82"/>
      <c r="AX466" s="82"/>
      <c r="AY466" s="82"/>
      <c r="AZ466" s="82"/>
      <c r="BA466" s="82"/>
      <c r="BB466" s="82"/>
      <c r="BC466" s="82"/>
      <c r="BD466" s="83"/>
      <c r="BE466" s="83"/>
      <c r="BF466" s="83"/>
      <c r="BG466" s="82"/>
      <c r="BH466" s="81"/>
      <c r="BI466" s="80"/>
      <c r="BJ466" s="25"/>
      <c r="BK466" s="25"/>
      <c r="BL466" s="25"/>
      <c r="BM466" s="84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  <c r="CR466" s="25"/>
      <c r="CS466" s="25"/>
      <c r="CT466" s="25"/>
      <c r="CU466" s="25"/>
      <c r="CV466" s="25"/>
      <c r="CW466" s="25"/>
      <c r="CX466" s="25"/>
      <c r="CY466" s="25"/>
      <c r="CZ466" s="25"/>
      <c r="DA466" s="25"/>
      <c r="DB466" s="25"/>
      <c r="DC466" s="25"/>
      <c r="DD466" s="25"/>
      <c r="DE466" s="25"/>
      <c r="DF466" s="92"/>
      <c r="DG466" s="92"/>
      <c r="DH466" s="203"/>
      <c r="DI466" s="203"/>
      <c r="DJ466" s="203"/>
      <c r="DK466" s="203"/>
      <c r="DL466" s="203"/>
      <c r="DM466" s="203"/>
      <c r="DN466" s="203"/>
      <c r="DO466" s="203"/>
      <c r="DP466" s="208"/>
      <c r="DQ466" s="208"/>
      <c r="DR466" s="208"/>
      <c r="DS466" s="208"/>
      <c r="DT466" s="208"/>
      <c r="DU466" s="208"/>
      <c r="DV466" s="208"/>
      <c r="DW466" s="208"/>
      <c r="DX466" s="208"/>
      <c r="DY466" s="208"/>
      <c r="DZ466" s="208"/>
      <c r="EA466" s="208"/>
      <c r="EB466" s="208"/>
      <c r="EC466" s="208"/>
      <c r="ED466" s="208"/>
      <c r="EE466" s="208"/>
      <c r="EF466" s="208"/>
      <c r="EG466" s="208"/>
      <c r="EH466" s="208"/>
      <c r="EI466" s="208"/>
      <c r="EJ466" s="208"/>
      <c r="EK466" s="208"/>
      <c r="EL466" s="208"/>
      <c r="EM466" s="208"/>
      <c r="EN466" s="208"/>
      <c r="EO466" s="208"/>
      <c r="EP466" s="208"/>
      <c r="EQ466" s="208"/>
      <c r="ER466" s="208"/>
      <c r="ES466" s="208"/>
      <c r="ET466" s="208"/>
      <c r="EU466" s="208"/>
      <c r="EV466" s="208"/>
      <c r="EW466" s="208"/>
      <c r="EX466" s="208"/>
      <c r="EY466" s="208"/>
      <c r="EZ466" s="208">
        <v>0</v>
      </c>
      <c r="FA466" s="208">
        <v>0</v>
      </c>
      <c r="FB466" s="208">
        <v>0</v>
      </c>
      <c r="FC466" s="208"/>
      <c r="FD466" s="82"/>
      <c r="FE466" s="30"/>
    </row>
    <row r="467" spans="1:161" ht="15" hidden="1">
      <c r="A467" s="25" t="s">
        <v>422</v>
      </c>
      <c r="B467" s="212" t="s">
        <v>657</v>
      </c>
      <c r="C467" s="138"/>
      <c r="D467" s="221"/>
      <c r="E467" s="239">
        <v>970</v>
      </c>
      <c r="F467" s="95"/>
      <c r="G467" s="95"/>
      <c r="H467" s="147" t="s">
        <v>656</v>
      </c>
      <c r="I467" s="147"/>
      <c r="J467" s="135"/>
      <c r="K467" s="135"/>
      <c r="L467" s="139"/>
      <c r="M467" s="134"/>
      <c r="N467" s="134"/>
      <c r="O467" s="134"/>
      <c r="P467" s="134"/>
      <c r="Q467" s="134"/>
      <c r="R467" s="134"/>
      <c r="S467" s="139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  <c r="AQ467" s="82"/>
      <c r="AR467" s="82"/>
      <c r="AS467" s="82"/>
      <c r="AT467" s="82"/>
      <c r="AU467" s="82"/>
      <c r="AV467" s="82"/>
      <c r="AW467" s="82"/>
      <c r="AX467" s="82"/>
      <c r="AY467" s="82"/>
      <c r="AZ467" s="82"/>
      <c r="BA467" s="82"/>
      <c r="BB467" s="82"/>
      <c r="BC467" s="82"/>
      <c r="BD467" s="83"/>
      <c r="BE467" s="83"/>
      <c r="BF467" s="83"/>
      <c r="BG467" s="82"/>
      <c r="BH467" s="81"/>
      <c r="BI467" s="80"/>
      <c r="BJ467" s="25"/>
      <c r="BK467" s="25"/>
      <c r="BL467" s="25"/>
      <c r="BM467" s="84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  <c r="CR467" s="25"/>
      <c r="CS467" s="25"/>
      <c r="CT467" s="25"/>
      <c r="CU467" s="25"/>
      <c r="CV467" s="25"/>
      <c r="CW467" s="25"/>
      <c r="CX467" s="25"/>
      <c r="CY467" s="25"/>
      <c r="CZ467" s="25"/>
      <c r="DA467" s="25"/>
      <c r="DB467" s="25"/>
      <c r="DC467" s="25"/>
      <c r="DD467" s="25"/>
      <c r="DE467" s="25"/>
      <c r="DF467" s="92"/>
      <c r="DG467" s="92"/>
      <c r="DH467" s="203"/>
      <c r="DI467" s="203"/>
      <c r="DJ467" s="203"/>
      <c r="DK467" s="203"/>
      <c r="DL467" s="203"/>
      <c r="DM467" s="203"/>
      <c r="DN467" s="203"/>
      <c r="DO467" s="203"/>
      <c r="DP467" s="208"/>
      <c r="DQ467" s="208"/>
      <c r="DR467" s="208"/>
      <c r="DS467" s="208"/>
      <c r="DT467" s="208"/>
      <c r="DU467" s="208"/>
      <c r="DV467" s="208"/>
      <c r="DW467" s="208"/>
      <c r="DX467" s="208"/>
      <c r="DY467" s="208"/>
      <c r="DZ467" s="208"/>
      <c r="EA467" s="208"/>
      <c r="EB467" s="208"/>
      <c r="EC467" s="208"/>
      <c r="ED467" s="208"/>
      <c r="EE467" s="208"/>
      <c r="EF467" s="208"/>
      <c r="EG467" s="208"/>
      <c r="EH467" s="208"/>
      <c r="EI467" s="208"/>
      <c r="EJ467" s="208"/>
      <c r="EK467" s="208"/>
      <c r="EL467" s="208"/>
      <c r="EM467" s="208"/>
      <c r="EN467" s="208"/>
      <c r="EO467" s="208"/>
      <c r="EP467" s="208"/>
      <c r="EQ467" s="208"/>
      <c r="ER467" s="208"/>
      <c r="ES467" s="208"/>
      <c r="ET467" s="208"/>
      <c r="EU467" s="208"/>
      <c r="EV467" s="208"/>
      <c r="EW467" s="208"/>
      <c r="EX467" s="208"/>
      <c r="EY467" s="208"/>
      <c r="EZ467" s="208">
        <v>0</v>
      </c>
      <c r="FA467" s="208">
        <v>0</v>
      </c>
      <c r="FB467" s="208">
        <v>0</v>
      </c>
      <c r="FC467" s="208"/>
      <c r="FD467" s="82"/>
      <c r="FE467" s="30"/>
    </row>
    <row r="468" spans="1:161" ht="15" hidden="1">
      <c r="A468" s="25" t="s">
        <v>460</v>
      </c>
      <c r="B468" s="212" t="s">
        <v>657</v>
      </c>
      <c r="C468" s="138"/>
      <c r="D468" s="221"/>
      <c r="E468" s="239">
        <v>970</v>
      </c>
      <c r="F468" s="95"/>
      <c r="G468" s="95"/>
      <c r="H468" s="147" t="s">
        <v>656</v>
      </c>
      <c r="I468" s="147"/>
      <c r="J468" s="135"/>
      <c r="K468" s="135"/>
      <c r="L468" s="139"/>
      <c r="M468" s="134"/>
      <c r="N468" s="134"/>
      <c r="O468" s="134"/>
      <c r="P468" s="134"/>
      <c r="Q468" s="134"/>
      <c r="R468" s="134"/>
      <c r="S468" s="139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  <c r="AQ468" s="82"/>
      <c r="AR468" s="82"/>
      <c r="AS468" s="82"/>
      <c r="AT468" s="82"/>
      <c r="AU468" s="82"/>
      <c r="AV468" s="82"/>
      <c r="AW468" s="82"/>
      <c r="AX468" s="82"/>
      <c r="AY468" s="82"/>
      <c r="AZ468" s="82"/>
      <c r="BA468" s="82"/>
      <c r="BB468" s="82"/>
      <c r="BC468" s="82"/>
      <c r="BD468" s="83"/>
      <c r="BE468" s="83"/>
      <c r="BF468" s="83"/>
      <c r="BG468" s="82"/>
      <c r="BH468" s="81"/>
      <c r="BI468" s="80"/>
      <c r="BJ468" s="25"/>
      <c r="BK468" s="25"/>
      <c r="BL468" s="25"/>
      <c r="BM468" s="84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  <c r="CR468" s="25"/>
      <c r="CS468" s="25"/>
      <c r="CT468" s="25"/>
      <c r="CU468" s="25"/>
      <c r="CV468" s="25"/>
      <c r="CW468" s="25"/>
      <c r="CX468" s="25"/>
      <c r="CY468" s="25"/>
      <c r="CZ468" s="25"/>
      <c r="DA468" s="25"/>
      <c r="DB468" s="25"/>
      <c r="DC468" s="25"/>
      <c r="DD468" s="25"/>
      <c r="DE468" s="25"/>
      <c r="DF468" s="92"/>
      <c r="DG468" s="92"/>
      <c r="DH468" s="203"/>
      <c r="DI468" s="203"/>
      <c r="DJ468" s="203"/>
      <c r="DK468" s="203"/>
      <c r="DL468" s="203"/>
      <c r="DM468" s="203"/>
      <c r="DN468" s="203"/>
      <c r="DO468" s="203"/>
      <c r="DP468" s="208"/>
      <c r="DQ468" s="208"/>
      <c r="DR468" s="208"/>
      <c r="DS468" s="208"/>
      <c r="DT468" s="208"/>
      <c r="DU468" s="208"/>
      <c r="DV468" s="208"/>
      <c r="DW468" s="208"/>
      <c r="DX468" s="208"/>
      <c r="DY468" s="208"/>
      <c r="DZ468" s="208"/>
      <c r="EA468" s="208"/>
      <c r="EB468" s="208"/>
      <c r="EC468" s="208"/>
      <c r="ED468" s="208"/>
      <c r="EE468" s="208"/>
      <c r="EF468" s="208"/>
      <c r="EG468" s="208"/>
      <c r="EH468" s="208"/>
      <c r="EI468" s="208"/>
      <c r="EJ468" s="208"/>
      <c r="EK468" s="208"/>
      <c r="EL468" s="208"/>
      <c r="EM468" s="208"/>
      <c r="EN468" s="208"/>
      <c r="EO468" s="208"/>
      <c r="EP468" s="208"/>
      <c r="EQ468" s="208"/>
      <c r="ER468" s="208"/>
      <c r="ES468" s="208"/>
      <c r="ET468" s="208"/>
      <c r="EU468" s="208"/>
      <c r="EV468" s="208"/>
      <c r="EW468" s="208"/>
      <c r="EX468" s="208"/>
      <c r="EY468" s="208"/>
      <c r="EZ468" s="208">
        <v>0</v>
      </c>
      <c r="FA468" s="208">
        <v>0</v>
      </c>
      <c r="FB468" s="208">
        <v>0</v>
      </c>
      <c r="FC468" s="208"/>
      <c r="FD468" s="82"/>
      <c r="FE468" s="30"/>
    </row>
    <row r="469" spans="1:161" ht="15" hidden="1">
      <c r="A469" s="25" t="s">
        <v>462</v>
      </c>
      <c r="B469" s="212" t="s">
        <v>657</v>
      </c>
      <c r="C469" s="138"/>
      <c r="D469" s="221"/>
      <c r="E469" s="239">
        <v>970</v>
      </c>
      <c r="F469" s="95"/>
      <c r="G469" s="95"/>
      <c r="H469" s="147" t="s">
        <v>656</v>
      </c>
      <c r="I469" s="147"/>
      <c r="J469" s="135"/>
      <c r="K469" s="135"/>
      <c r="L469" s="139"/>
      <c r="M469" s="134"/>
      <c r="N469" s="134"/>
      <c r="O469" s="134"/>
      <c r="P469" s="134"/>
      <c r="Q469" s="134"/>
      <c r="R469" s="134"/>
      <c r="S469" s="139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  <c r="AQ469" s="82"/>
      <c r="AR469" s="82"/>
      <c r="AS469" s="82"/>
      <c r="AT469" s="82"/>
      <c r="AU469" s="82"/>
      <c r="AV469" s="82"/>
      <c r="AW469" s="82"/>
      <c r="AX469" s="82"/>
      <c r="AY469" s="82"/>
      <c r="AZ469" s="82"/>
      <c r="BA469" s="82"/>
      <c r="BB469" s="82"/>
      <c r="BC469" s="82"/>
      <c r="BD469" s="83"/>
      <c r="BE469" s="83"/>
      <c r="BF469" s="83"/>
      <c r="BG469" s="82"/>
      <c r="BH469" s="81"/>
      <c r="BI469" s="80"/>
      <c r="BJ469" s="25"/>
      <c r="BK469" s="25"/>
      <c r="BL469" s="25"/>
      <c r="BM469" s="84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5"/>
      <c r="CA469" s="25"/>
      <c r="CB469" s="25"/>
      <c r="CC469" s="25"/>
      <c r="CD469" s="25"/>
      <c r="CE469" s="25"/>
      <c r="CF469" s="25"/>
      <c r="CG469" s="25"/>
      <c r="CH469" s="25"/>
      <c r="CI469" s="25"/>
      <c r="CJ469" s="25"/>
      <c r="CK469" s="25"/>
      <c r="CL469" s="25"/>
      <c r="CM469" s="25"/>
      <c r="CN469" s="25"/>
      <c r="CO469" s="25"/>
      <c r="CP469" s="25"/>
      <c r="CQ469" s="25"/>
      <c r="CR469" s="25"/>
      <c r="CS469" s="25"/>
      <c r="CT469" s="25"/>
      <c r="CU469" s="25"/>
      <c r="CV469" s="25"/>
      <c r="CW469" s="25"/>
      <c r="CX469" s="25"/>
      <c r="CY469" s="25"/>
      <c r="CZ469" s="25"/>
      <c r="DA469" s="25"/>
      <c r="DB469" s="25"/>
      <c r="DC469" s="25"/>
      <c r="DD469" s="25"/>
      <c r="DE469" s="25"/>
      <c r="DF469" s="92"/>
      <c r="DG469" s="92"/>
      <c r="DH469" s="203"/>
      <c r="DI469" s="203"/>
      <c r="DJ469" s="203"/>
      <c r="DK469" s="203"/>
      <c r="DL469" s="203"/>
      <c r="DM469" s="203"/>
      <c r="DN469" s="203"/>
      <c r="DO469" s="203"/>
      <c r="DP469" s="208"/>
      <c r="DQ469" s="208"/>
      <c r="DR469" s="208"/>
      <c r="DS469" s="208"/>
      <c r="DT469" s="208"/>
      <c r="DU469" s="208"/>
      <c r="DV469" s="208"/>
      <c r="DW469" s="208"/>
      <c r="DX469" s="208"/>
      <c r="DY469" s="208"/>
      <c r="DZ469" s="208"/>
      <c r="EA469" s="208"/>
      <c r="EB469" s="208"/>
      <c r="EC469" s="208"/>
      <c r="ED469" s="208"/>
      <c r="EE469" s="208"/>
      <c r="EF469" s="208"/>
      <c r="EG469" s="208"/>
      <c r="EH469" s="208"/>
      <c r="EI469" s="208"/>
      <c r="EJ469" s="208"/>
      <c r="EK469" s="208"/>
      <c r="EL469" s="208"/>
      <c r="EM469" s="208"/>
      <c r="EN469" s="208"/>
      <c r="EO469" s="208"/>
      <c r="EP469" s="208"/>
      <c r="EQ469" s="208"/>
      <c r="ER469" s="208"/>
      <c r="ES469" s="208"/>
      <c r="ET469" s="208"/>
      <c r="EU469" s="208"/>
      <c r="EV469" s="208"/>
      <c r="EW469" s="208"/>
      <c r="EX469" s="208"/>
      <c r="EY469" s="208"/>
      <c r="EZ469" s="208">
        <v>0</v>
      </c>
      <c r="FA469" s="208">
        <v>0</v>
      </c>
      <c r="FB469" s="208">
        <v>0</v>
      </c>
      <c r="FC469" s="208"/>
      <c r="FD469" s="82"/>
      <c r="FE469" s="30"/>
    </row>
    <row r="470" spans="1:161" ht="15" hidden="1">
      <c r="A470" s="25" t="s">
        <v>424</v>
      </c>
      <c r="B470" s="212" t="s">
        <v>657</v>
      </c>
      <c r="C470" s="138"/>
      <c r="D470" s="221"/>
      <c r="E470" s="239">
        <v>970</v>
      </c>
      <c r="F470" s="95"/>
      <c r="G470" s="95"/>
      <c r="H470" s="147" t="s">
        <v>656</v>
      </c>
      <c r="I470" s="147"/>
      <c r="J470" s="135"/>
      <c r="K470" s="135"/>
      <c r="L470" s="139"/>
      <c r="M470" s="134"/>
      <c r="N470" s="134"/>
      <c r="O470" s="134"/>
      <c r="P470" s="134"/>
      <c r="Q470" s="134"/>
      <c r="R470" s="134"/>
      <c r="S470" s="139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  <c r="AP470" s="82"/>
      <c r="AQ470" s="82"/>
      <c r="AR470" s="82"/>
      <c r="AS470" s="82"/>
      <c r="AT470" s="82"/>
      <c r="AU470" s="82"/>
      <c r="AV470" s="82"/>
      <c r="AW470" s="82"/>
      <c r="AX470" s="82"/>
      <c r="AY470" s="82"/>
      <c r="AZ470" s="82"/>
      <c r="BA470" s="82"/>
      <c r="BB470" s="82"/>
      <c r="BC470" s="82"/>
      <c r="BD470" s="83"/>
      <c r="BE470" s="83"/>
      <c r="BF470" s="83"/>
      <c r="BG470" s="82"/>
      <c r="BH470" s="81"/>
      <c r="BI470" s="80"/>
      <c r="BJ470" s="25"/>
      <c r="BK470" s="25"/>
      <c r="BL470" s="25"/>
      <c r="BM470" s="84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5"/>
      <c r="CA470" s="25"/>
      <c r="CB470" s="25"/>
      <c r="CC470" s="25"/>
      <c r="CD470" s="25"/>
      <c r="CE470" s="25"/>
      <c r="CF470" s="25"/>
      <c r="CG470" s="25"/>
      <c r="CH470" s="25"/>
      <c r="CI470" s="25"/>
      <c r="CJ470" s="25"/>
      <c r="CK470" s="25"/>
      <c r="CL470" s="25"/>
      <c r="CM470" s="25"/>
      <c r="CN470" s="25"/>
      <c r="CO470" s="25"/>
      <c r="CP470" s="25"/>
      <c r="CQ470" s="25"/>
      <c r="CR470" s="25"/>
      <c r="CS470" s="25"/>
      <c r="CT470" s="25"/>
      <c r="CU470" s="25"/>
      <c r="CV470" s="25"/>
      <c r="CW470" s="25"/>
      <c r="CX470" s="25"/>
      <c r="CY470" s="25"/>
      <c r="CZ470" s="25"/>
      <c r="DA470" s="25"/>
      <c r="DB470" s="25"/>
      <c r="DC470" s="25"/>
      <c r="DD470" s="25"/>
      <c r="DE470" s="25"/>
      <c r="DF470" s="92"/>
      <c r="DG470" s="92"/>
      <c r="DH470" s="203"/>
      <c r="DI470" s="203"/>
      <c r="DJ470" s="203"/>
      <c r="DK470" s="203"/>
      <c r="DL470" s="203"/>
      <c r="DM470" s="203"/>
      <c r="DN470" s="203"/>
      <c r="DO470" s="203"/>
      <c r="DP470" s="208"/>
      <c r="DQ470" s="208"/>
      <c r="DR470" s="208"/>
      <c r="DS470" s="208"/>
      <c r="DT470" s="208"/>
      <c r="DU470" s="208"/>
      <c r="DV470" s="208"/>
      <c r="DW470" s="208"/>
      <c r="DX470" s="208"/>
      <c r="DY470" s="208"/>
      <c r="DZ470" s="208"/>
      <c r="EA470" s="208"/>
      <c r="EB470" s="208"/>
      <c r="EC470" s="208"/>
      <c r="ED470" s="208"/>
      <c r="EE470" s="208"/>
      <c r="EF470" s="208"/>
      <c r="EG470" s="208"/>
      <c r="EH470" s="208"/>
      <c r="EI470" s="208"/>
      <c r="EJ470" s="208"/>
      <c r="EK470" s="208"/>
      <c r="EL470" s="208"/>
      <c r="EM470" s="208"/>
      <c r="EN470" s="208"/>
      <c r="EO470" s="208"/>
      <c r="EP470" s="208"/>
      <c r="EQ470" s="208"/>
      <c r="ER470" s="208"/>
      <c r="ES470" s="208"/>
      <c r="ET470" s="208"/>
      <c r="EU470" s="208"/>
      <c r="EV470" s="208"/>
      <c r="EW470" s="208"/>
      <c r="EX470" s="208"/>
      <c r="EY470" s="208"/>
      <c r="EZ470" s="208">
        <v>0</v>
      </c>
      <c r="FA470" s="208">
        <v>0</v>
      </c>
      <c r="FB470" s="208">
        <v>0</v>
      </c>
      <c r="FC470" s="208"/>
      <c r="FD470" s="82"/>
      <c r="FE470" s="30"/>
    </row>
    <row r="471" spans="1:161" ht="15" hidden="1">
      <c r="A471" s="25" t="s">
        <v>463</v>
      </c>
      <c r="B471" s="212" t="s">
        <v>657</v>
      </c>
      <c r="C471" s="138"/>
      <c r="D471" s="221"/>
      <c r="E471" s="239">
        <v>970</v>
      </c>
      <c r="F471" s="95"/>
      <c r="G471" s="95"/>
      <c r="H471" s="147" t="s">
        <v>656</v>
      </c>
      <c r="I471" s="147"/>
      <c r="J471" s="135"/>
      <c r="K471" s="135"/>
      <c r="L471" s="139"/>
      <c r="M471" s="134"/>
      <c r="N471" s="134"/>
      <c r="O471" s="134"/>
      <c r="P471" s="134"/>
      <c r="Q471" s="134"/>
      <c r="R471" s="134"/>
      <c r="S471" s="139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  <c r="AP471" s="82"/>
      <c r="AQ471" s="82"/>
      <c r="AR471" s="82"/>
      <c r="AS471" s="82"/>
      <c r="AT471" s="82"/>
      <c r="AU471" s="82"/>
      <c r="AV471" s="82"/>
      <c r="AW471" s="82"/>
      <c r="AX471" s="82"/>
      <c r="AY471" s="82"/>
      <c r="AZ471" s="82"/>
      <c r="BA471" s="82"/>
      <c r="BB471" s="82"/>
      <c r="BC471" s="82"/>
      <c r="BD471" s="83"/>
      <c r="BE471" s="83"/>
      <c r="BF471" s="83"/>
      <c r="BG471" s="82"/>
      <c r="BH471" s="81"/>
      <c r="BI471" s="80"/>
      <c r="BJ471" s="25"/>
      <c r="BK471" s="25"/>
      <c r="BL471" s="25"/>
      <c r="BM471" s="84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5"/>
      <c r="CA471" s="25"/>
      <c r="CB471" s="25"/>
      <c r="CC471" s="25"/>
      <c r="CD471" s="25"/>
      <c r="CE471" s="25"/>
      <c r="CF471" s="25"/>
      <c r="CG471" s="25"/>
      <c r="CH471" s="25"/>
      <c r="CI471" s="25"/>
      <c r="CJ471" s="25"/>
      <c r="CK471" s="25"/>
      <c r="CL471" s="25"/>
      <c r="CM471" s="25"/>
      <c r="CN471" s="25"/>
      <c r="CO471" s="25"/>
      <c r="CP471" s="25"/>
      <c r="CQ471" s="25"/>
      <c r="CR471" s="25"/>
      <c r="CS471" s="25"/>
      <c r="CT471" s="25"/>
      <c r="CU471" s="25"/>
      <c r="CV471" s="25"/>
      <c r="CW471" s="25"/>
      <c r="CX471" s="25"/>
      <c r="CY471" s="25"/>
      <c r="CZ471" s="25"/>
      <c r="DA471" s="25"/>
      <c r="DB471" s="25"/>
      <c r="DC471" s="25"/>
      <c r="DD471" s="25"/>
      <c r="DE471" s="25"/>
      <c r="DF471" s="92"/>
      <c r="DG471" s="92"/>
      <c r="DH471" s="203"/>
      <c r="DI471" s="203"/>
      <c r="DJ471" s="203"/>
      <c r="DK471" s="203"/>
      <c r="DL471" s="203"/>
      <c r="DM471" s="203"/>
      <c r="DN471" s="203"/>
      <c r="DO471" s="203"/>
      <c r="DP471" s="208"/>
      <c r="DQ471" s="208"/>
      <c r="DR471" s="208"/>
      <c r="DS471" s="208"/>
      <c r="DT471" s="208"/>
      <c r="DU471" s="208"/>
      <c r="DV471" s="208"/>
      <c r="DW471" s="208"/>
      <c r="DX471" s="208"/>
      <c r="DY471" s="208"/>
      <c r="DZ471" s="208"/>
      <c r="EA471" s="208"/>
      <c r="EB471" s="208"/>
      <c r="EC471" s="208"/>
      <c r="ED471" s="208"/>
      <c r="EE471" s="208"/>
      <c r="EF471" s="208"/>
      <c r="EG471" s="208"/>
      <c r="EH471" s="208"/>
      <c r="EI471" s="208"/>
      <c r="EJ471" s="208"/>
      <c r="EK471" s="208"/>
      <c r="EL471" s="208"/>
      <c r="EM471" s="208"/>
      <c r="EN471" s="208"/>
      <c r="EO471" s="208"/>
      <c r="EP471" s="208"/>
      <c r="EQ471" s="208"/>
      <c r="ER471" s="208"/>
      <c r="ES471" s="208"/>
      <c r="ET471" s="208"/>
      <c r="EU471" s="208"/>
      <c r="EV471" s="208"/>
      <c r="EW471" s="208"/>
      <c r="EX471" s="208"/>
      <c r="EY471" s="208"/>
      <c r="EZ471" s="208">
        <v>0</v>
      </c>
      <c r="FA471" s="208">
        <v>0</v>
      </c>
      <c r="FB471" s="208">
        <v>0</v>
      </c>
      <c r="FC471" s="208"/>
      <c r="FD471" s="82"/>
      <c r="FE471" s="30"/>
    </row>
    <row r="472" spans="1:161" ht="15" hidden="1">
      <c r="A472" s="25" t="s">
        <v>464</v>
      </c>
      <c r="B472" s="212" t="s">
        <v>657</v>
      </c>
      <c r="C472" s="138"/>
      <c r="D472" s="221"/>
      <c r="E472" s="239">
        <v>970</v>
      </c>
      <c r="F472" s="95"/>
      <c r="G472" s="95"/>
      <c r="H472" s="147" t="s">
        <v>656</v>
      </c>
      <c r="I472" s="147"/>
      <c r="J472" s="135"/>
      <c r="K472" s="135"/>
      <c r="L472" s="139"/>
      <c r="M472" s="134"/>
      <c r="N472" s="134"/>
      <c r="O472" s="134"/>
      <c r="P472" s="134"/>
      <c r="Q472" s="134"/>
      <c r="R472" s="134"/>
      <c r="S472" s="139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  <c r="AP472" s="82"/>
      <c r="AQ472" s="82"/>
      <c r="AR472" s="82"/>
      <c r="AS472" s="82"/>
      <c r="AT472" s="82"/>
      <c r="AU472" s="82"/>
      <c r="AV472" s="82"/>
      <c r="AW472" s="82"/>
      <c r="AX472" s="82"/>
      <c r="AY472" s="82"/>
      <c r="AZ472" s="82"/>
      <c r="BA472" s="82"/>
      <c r="BB472" s="82"/>
      <c r="BC472" s="82"/>
      <c r="BD472" s="83"/>
      <c r="BE472" s="83"/>
      <c r="BF472" s="83"/>
      <c r="BG472" s="82"/>
      <c r="BH472" s="81"/>
      <c r="BI472" s="80"/>
      <c r="BJ472" s="25"/>
      <c r="BK472" s="25"/>
      <c r="BL472" s="25"/>
      <c r="BM472" s="84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5"/>
      <c r="CA472" s="25"/>
      <c r="CB472" s="25"/>
      <c r="CC472" s="25"/>
      <c r="CD472" s="25"/>
      <c r="CE472" s="25"/>
      <c r="CF472" s="25"/>
      <c r="CG472" s="25"/>
      <c r="CH472" s="25"/>
      <c r="CI472" s="25"/>
      <c r="CJ472" s="25"/>
      <c r="CK472" s="25"/>
      <c r="CL472" s="25"/>
      <c r="CM472" s="25"/>
      <c r="CN472" s="25"/>
      <c r="CO472" s="25"/>
      <c r="CP472" s="25"/>
      <c r="CQ472" s="25"/>
      <c r="CR472" s="25"/>
      <c r="CS472" s="25"/>
      <c r="CT472" s="25"/>
      <c r="CU472" s="25"/>
      <c r="CV472" s="25"/>
      <c r="CW472" s="25"/>
      <c r="CX472" s="25"/>
      <c r="CY472" s="25"/>
      <c r="CZ472" s="25"/>
      <c r="DA472" s="25"/>
      <c r="DB472" s="25"/>
      <c r="DC472" s="25"/>
      <c r="DD472" s="25"/>
      <c r="DE472" s="25"/>
      <c r="DF472" s="92"/>
      <c r="DG472" s="92"/>
      <c r="DH472" s="203"/>
      <c r="DI472" s="203"/>
      <c r="DJ472" s="203"/>
      <c r="DK472" s="203"/>
      <c r="DL472" s="203"/>
      <c r="DM472" s="203"/>
      <c r="DN472" s="203"/>
      <c r="DO472" s="203"/>
      <c r="DP472" s="208"/>
      <c r="DQ472" s="208"/>
      <c r="DR472" s="208"/>
      <c r="DS472" s="208"/>
      <c r="DT472" s="208"/>
      <c r="DU472" s="208"/>
      <c r="DV472" s="208"/>
      <c r="DW472" s="208"/>
      <c r="DX472" s="208"/>
      <c r="DY472" s="208"/>
      <c r="DZ472" s="208"/>
      <c r="EA472" s="208"/>
      <c r="EB472" s="208"/>
      <c r="EC472" s="208"/>
      <c r="ED472" s="208"/>
      <c r="EE472" s="208"/>
      <c r="EF472" s="208"/>
      <c r="EG472" s="208"/>
      <c r="EH472" s="208"/>
      <c r="EI472" s="208"/>
      <c r="EJ472" s="208"/>
      <c r="EK472" s="208"/>
      <c r="EL472" s="208"/>
      <c r="EM472" s="208"/>
      <c r="EN472" s="208"/>
      <c r="EO472" s="208"/>
      <c r="EP472" s="208"/>
      <c r="EQ472" s="208"/>
      <c r="ER472" s="208"/>
      <c r="ES472" s="208"/>
      <c r="ET472" s="208"/>
      <c r="EU472" s="208"/>
      <c r="EV472" s="208"/>
      <c r="EW472" s="208"/>
      <c r="EX472" s="208"/>
      <c r="EY472" s="208"/>
      <c r="EZ472" s="208">
        <v>0</v>
      </c>
      <c r="FA472" s="208">
        <v>0</v>
      </c>
      <c r="FB472" s="208">
        <v>0</v>
      </c>
      <c r="FC472" s="208"/>
      <c r="FD472" s="82"/>
      <c r="FE472" s="30"/>
    </row>
    <row r="473" spans="1:161" ht="15" hidden="1">
      <c r="A473" s="25" t="s">
        <v>465</v>
      </c>
      <c r="B473" s="212" t="s">
        <v>657</v>
      </c>
      <c r="C473" s="138"/>
      <c r="D473" s="221"/>
      <c r="E473" s="239">
        <v>970</v>
      </c>
      <c r="F473" s="95"/>
      <c r="G473" s="95"/>
      <c r="H473" s="147" t="s">
        <v>656</v>
      </c>
      <c r="I473" s="147"/>
      <c r="J473" s="135"/>
      <c r="K473" s="135"/>
      <c r="L473" s="139"/>
      <c r="M473" s="134"/>
      <c r="N473" s="134"/>
      <c r="O473" s="134"/>
      <c r="P473" s="134"/>
      <c r="Q473" s="134"/>
      <c r="R473" s="134"/>
      <c r="S473" s="139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  <c r="AP473" s="82"/>
      <c r="AQ473" s="82"/>
      <c r="AR473" s="82"/>
      <c r="AS473" s="82"/>
      <c r="AT473" s="82"/>
      <c r="AU473" s="82"/>
      <c r="AV473" s="82"/>
      <c r="AW473" s="82"/>
      <c r="AX473" s="82"/>
      <c r="AY473" s="82"/>
      <c r="AZ473" s="82"/>
      <c r="BA473" s="82"/>
      <c r="BB473" s="82"/>
      <c r="BC473" s="82"/>
      <c r="BD473" s="83"/>
      <c r="BE473" s="83"/>
      <c r="BF473" s="83"/>
      <c r="BG473" s="82"/>
      <c r="BH473" s="81"/>
      <c r="BI473" s="80"/>
      <c r="BJ473" s="25"/>
      <c r="BK473" s="25"/>
      <c r="BL473" s="25"/>
      <c r="BM473" s="84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5"/>
      <c r="CA473" s="25"/>
      <c r="CB473" s="25"/>
      <c r="CC473" s="25"/>
      <c r="CD473" s="25"/>
      <c r="CE473" s="25"/>
      <c r="CF473" s="25"/>
      <c r="CG473" s="25"/>
      <c r="CH473" s="25"/>
      <c r="CI473" s="25"/>
      <c r="CJ473" s="25"/>
      <c r="CK473" s="25"/>
      <c r="CL473" s="25"/>
      <c r="CM473" s="25"/>
      <c r="CN473" s="25"/>
      <c r="CO473" s="25"/>
      <c r="CP473" s="25"/>
      <c r="CQ473" s="25"/>
      <c r="CR473" s="25"/>
      <c r="CS473" s="25"/>
      <c r="CT473" s="25"/>
      <c r="CU473" s="25"/>
      <c r="CV473" s="25"/>
      <c r="CW473" s="25"/>
      <c r="CX473" s="25"/>
      <c r="CY473" s="25"/>
      <c r="CZ473" s="25"/>
      <c r="DA473" s="25"/>
      <c r="DB473" s="25"/>
      <c r="DC473" s="25"/>
      <c r="DD473" s="25"/>
      <c r="DE473" s="25"/>
      <c r="DF473" s="92"/>
      <c r="DG473" s="92"/>
      <c r="DH473" s="203"/>
      <c r="DI473" s="203"/>
      <c r="DJ473" s="203"/>
      <c r="DK473" s="203"/>
      <c r="DL473" s="203"/>
      <c r="DM473" s="203"/>
      <c r="DN473" s="203"/>
      <c r="DO473" s="203"/>
      <c r="DP473" s="208"/>
      <c r="DQ473" s="208"/>
      <c r="DR473" s="208"/>
      <c r="DS473" s="208"/>
      <c r="DT473" s="208"/>
      <c r="DU473" s="208"/>
      <c r="DV473" s="208"/>
      <c r="DW473" s="208"/>
      <c r="DX473" s="208"/>
      <c r="DY473" s="208"/>
      <c r="DZ473" s="208"/>
      <c r="EA473" s="208"/>
      <c r="EB473" s="208"/>
      <c r="EC473" s="208"/>
      <c r="ED473" s="208"/>
      <c r="EE473" s="208"/>
      <c r="EF473" s="208"/>
      <c r="EG473" s="208"/>
      <c r="EH473" s="208"/>
      <c r="EI473" s="208"/>
      <c r="EJ473" s="208"/>
      <c r="EK473" s="208"/>
      <c r="EL473" s="208"/>
      <c r="EM473" s="208"/>
      <c r="EN473" s="208"/>
      <c r="EO473" s="208"/>
      <c r="EP473" s="208"/>
      <c r="EQ473" s="208"/>
      <c r="ER473" s="208"/>
      <c r="ES473" s="208"/>
      <c r="ET473" s="208"/>
      <c r="EU473" s="208"/>
      <c r="EV473" s="208"/>
      <c r="EW473" s="208"/>
      <c r="EX473" s="208"/>
      <c r="EY473" s="208"/>
      <c r="EZ473" s="208">
        <v>0</v>
      </c>
      <c r="FA473" s="208">
        <v>0</v>
      </c>
      <c r="FB473" s="208">
        <v>0</v>
      </c>
      <c r="FC473" s="208"/>
      <c r="FD473" s="82"/>
      <c r="FE473" s="30"/>
    </row>
    <row r="474" spans="1:161" ht="15" hidden="1">
      <c r="A474" s="25" t="s">
        <v>466</v>
      </c>
      <c r="B474" s="212" t="s">
        <v>657</v>
      </c>
      <c r="C474" s="138"/>
      <c r="D474" s="221"/>
      <c r="E474" s="239">
        <v>970</v>
      </c>
      <c r="F474" s="95"/>
      <c r="G474" s="95"/>
      <c r="H474" s="147" t="s">
        <v>656</v>
      </c>
      <c r="I474" s="147"/>
      <c r="J474" s="135"/>
      <c r="K474" s="135"/>
      <c r="L474" s="139"/>
      <c r="M474" s="134"/>
      <c r="N474" s="134"/>
      <c r="O474" s="134"/>
      <c r="P474" s="134"/>
      <c r="Q474" s="134"/>
      <c r="R474" s="134"/>
      <c r="S474" s="139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  <c r="AP474" s="82"/>
      <c r="AQ474" s="82"/>
      <c r="AR474" s="82"/>
      <c r="AS474" s="82"/>
      <c r="AT474" s="82"/>
      <c r="AU474" s="82"/>
      <c r="AV474" s="82"/>
      <c r="AW474" s="82"/>
      <c r="AX474" s="82"/>
      <c r="AY474" s="82"/>
      <c r="AZ474" s="82"/>
      <c r="BA474" s="82"/>
      <c r="BB474" s="82"/>
      <c r="BC474" s="82"/>
      <c r="BD474" s="83"/>
      <c r="BE474" s="83"/>
      <c r="BF474" s="83"/>
      <c r="BG474" s="82"/>
      <c r="BH474" s="81"/>
      <c r="BI474" s="80"/>
      <c r="BJ474" s="25"/>
      <c r="BK474" s="25"/>
      <c r="BL474" s="25"/>
      <c r="BM474" s="84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B474" s="25"/>
      <c r="CC474" s="25"/>
      <c r="CD474" s="25"/>
      <c r="CE474" s="25"/>
      <c r="CF474" s="25"/>
      <c r="CG474" s="25"/>
      <c r="CH474" s="25"/>
      <c r="CI474" s="25"/>
      <c r="CJ474" s="25"/>
      <c r="CK474" s="25"/>
      <c r="CL474" s="25"/>
      <c r="CM474" s="25"/>
      <c r="CN474" s="25"/>
      <c r="CO474" s="25"/>
      <c r="CP474" s="25"/>
      <c r="CQ474" s="25"/>
      <c r="CR474" s="25"/>
      <c r="CS474" s="25"/>
      <c r="CT474" s="25"/>
      <c r="CU474" s="25"/>
      <c r="CV474" s="25"/>
      <c r="CW474" s="25"/>
      <c r="CX474" s="25"/>
      <c r="CY474" s="25"/>
      <c r="CZ474" s="25"/>
      <c r="DA474" s="25"/>
      <c r="DB474" s="25"/>
      <c r="DC474" s="25"/>
      <c r="DD474" s="25"/>
      <c r="DE474" s="25"/>
      <c r="DF474" s="92"/>
      <c r="DG474" s="92"/>
      <c r="DH474" s="203"/>
      <c r="DI474" s="203"/>
      <c r="DJ474" s="203"/>
      <c r="DK474" s="203"/>
      <c r="DL474" s="203"/>
      <c r="DM474" s="203"/>
      <c r="DN474" s="203"/>
      <c r="DO474" s="203"/>
      <c r="DP474" s="208"/>
      <c r="DQ474" s="208"/>
      <c r="DR474" s="208"/>
      <c r="DS474" s="208"/>
      <c r="DT474" s="208"/>
      <c r="DU474" s="208"/>
      <c r="DV474" s="208"/>
      <c r="DW474" s="208"/>
      <c r="DX474" s="208"/>
      <c r="DY474" s="208"/>
      <c r="DZ474" s="208"/>
      <c r="EA474" s="208"/>
      <c r="EB474" s="208"/>
      <c r="EC474" s="208"/>
      <c r="ED474" s="208"/>
      <c r="EE474" s="208"/>
      <c r="EF474" s="208"/>
      <c r="EG474" s="208"/>
      <c r="EH474" s="208"/>
      <c r="EI474" s="208"/>
      <c r="EJ474" s="208"/>
      <c r="EK474" s="208"/>
      <c r="EL474" s="208"/>
      <c r="EM474" s="208"/>
      <c r="EN474" s="208"/>
      <c r="EO474" s="208"/>
      <c r="EP474" s="208"/>
      <c r="EQ474" s="208"/>
      <c r="ER474" s="208"/>
      <c r="ES474" s="208"/>
      <c r="ET474" s="208"/>
      <c r="EU474" s="208"/>
      <c r="EV474" s="208"/>
      <c r="EW474" s="208"/>
      <c r="EX474" s="208"/>
      <c r="EY474" s="208"/>
      <c r="EZ474" s="208">
        <v>0</v>
      </c>
      <c r="FA474" s="208">
        <v>0</v>
      </c>
      <c r="FB474" s="208">
        <v>0</v>
      </c>
      <c r="FC474" s="208"/>
      <c r="FD474" s="82"/>
      <c r="FE474" s="30"/>
    </row>
    <row r="475" spans="1:161" ht="15" hidden="1">
      <c r="A475" s="25" t="s">
        <v>427</v>
      </c>
      <c r="B475" s="212" t="s">
        <v>657</v>
      </c>
      <c r="C475" s="138"/>
      <c r="D475" s="221"/>
      <c r="E475" s="239">
        <v>970</v>
      </c>
      <c r="F475" s="95"/>
      <c r="G475" s="95"/>
      <c r="H475" s="147" t="s">
        <v>656</v>
      </c>
      <c r="I475" s="147"/>
      <c r="J475" s="135"/>
      <c r="K475" s="135"/>
      <c r="L475" s="139"/>
      <c r="M475" s="134"/>
      <c r="N475" s="134"/>
      <c r="O475" s="134"/>
      <c r="P475" s="134"/>
      <c r="Q475" s="134"/>
      <c r="R475" s="134"/>
      <c r="S475" s="139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  <c r="AP475" s="82"/>
      <c r="AQ475" s="82"/>
      <c r="AR475" s="82"/>
      <c r="AS475" s="82"/>
      <c r="AT475" s="82"/>
      <c r="AU475" s="82"/>
      <c r="AV475" s="82"/>
      <c r="AW475" s="82"/>
      <c r="AX475" s="82"/>
      <c r="AY475" s="82"/>
      <c r="AZ475" s="82"/>
      <c r="BA475" s="82"/>
      <c r="BB475" s="82"/>
      <c r="BC475" s="82"/>
      <c r="BD475" s="83"/>
      <c r="BE475" s="83"/>
      <c r="BF475" s="83"/>
      <c r="BG475" s="82"/>
      <c r="BH475" s="81"/>
      <c r="BI475" s="80"/>
      <c r="BJ475" s="25"/>
      <c r="BK475" s="25"/>
      <c r="BL475" s="25"/>
      <c r="BM475" s="84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5"/>
      <c r="CA475" s="25"/>
      <c r="CB475" s="25"/>
      <c r="CC475" s="25"/>
      <c r="CD475" s="25"/>
      <c r="CE475" s="25"/>
      <c r="CF475" s="25"/>
      <c r="CG475" s="25"/>
      <c r="CH475" s="25"/>
      <c r="CI475" s="25"/>
      <c r="CJ475" s="25"/>
      <c r="CK475" s="25"/>
      <c r="CL475" s="25"/>
      <c r="CM475" s="25"/>
      <c r="CN475" s="25"/>
      <c r="CO475" s="25"/>
      <c r="CP475" s="25"/>
      <c r="CQ475" s="25"/>
      <c r="CR475" s="25"/>
      <c r="CS475" s="25"/>
      <c r="CT475" s="25"/>
      <c r="CU475" s="25"/>
      <c r="CV475" s="25"/>
      <c r="CW475" s="25"/>
      <c r="CX475" s="25"/>
      <c r="CY475" s="25"/>
      <c r="CZ475" s="25"/>
      <c r="DA475" s="25"/>
      <c r="DB475" s="25"/>
      <c r="DC475" s="25"/>
      <c r="DD475" s="25"/>
      <c r="DE475" s="25"/>
      <c r="DF475" s="92"/>
      <c r="DG475" s="92"/>
      <c r="DH475" s="203"/>
      <c r="DI475" s="203"/>
      <c r="DJ475" s="203"/>
      <c r="DK475" s="203"/>
      <c r="DL475" s="203"/>
      <c r="DM475" s="203"/>
      <c r="DN475" s="203"/>
      <c r="DO475" s="203"/>
      <c r="DP475" s="208"/>
      <c r="DQ475" s="208"/>
      <c r="DR475" s="208"/>
      <c r="DS475" s="208"/>
      <c r="DT475" s="208"/>
      <c r="DU475" s="208"/>
      <c r="DV475" s="208"/>
      <c r="DW475" s="208"/>
      <c r="DX475" s="208"/>
      <c r="DY475" s="208"/>
      <c r="DZ475" s="208"/>
      <c r="EA475" s="208"/>
      <c r="EB475" s="208"/>
      <c r="EC475" s="208"/>
      <c r="ED475" s="208"/>
      <c r="EE475" s="208"/>
      <c r="EF475" s="208"/>
      <c r="EG475" s="208"/>
      <c r="EH475" s="208"/>
      <c r="EI475" s="208"/>
      <c r="EJ475" s="208"/>
      <c r="EK475" s="208"/>
      <c r="EL475" s="208"/>
      <c r="EM475" s="208"/>
      <c r="EN475" s="208"/>
      <c r="EO475" s="208"/>
      <c r="EP475" s="208"/>
      <c r="EQ475" s="208"/>
      <c r="ER475" s="208"/>
      <c r="ES475" s="208"/>
      <c r="ET475" s="208"/>
      <c r="EU475" s="208"/>
      <c r="EV475" s="208"/>
      <c r="EW475" s="208"/>
      <c r="EX475" s="208"/>
      <c r="EY475" s="208"/>
      <c r="EZ475" s="208">
        <v>0</v>
      </c>
      <c r="FA475" s="208">
        <v>0</v>
      </c>
      <c r="FB475" s="208">
        <v>0</v>
      </c>
      <c r="FC475" s="208"/>
      <c r="FD475" s="82"/>
      <c r="FE475" s="30"/>
    </row>
    <row r="476" spans="1:161" ht="15" hidden="1">
      <c r="A476" s="25" t="s">
        <v>467</v>
      </c>
      <c r="B476" s="212" t="s">
        <v>657</v>
      </c>
      <c r="C476" s="138"/>
      <c r="D476" s="221"/>
      <c r="E476" s="239">
        <v>970</v>
      </c>
      <c r="F476" s="95"/>
      <c r="G476" s="95"/>
      <c r="H476" s="147" t="s">
        <v>656</v>
      </c>
      <c r="I476" s="147"/>
      <c r="J476" s="135"/>
      <c r="K476" s="135"/>
      <c r="L476" s="139"/>
      <c r="M476" s="134"/>
      <c r="N476" s="134"/>
      <c r="O476" s="134"/>
      <c r="P476" s="134"/>
      <c r="Q476" s="134"/>
      <c r="R476" s="134"/>
      <c r="S476" s="139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  <c r="AP476" s="82"/>
      <c r="AQ476" s="82"/>
      <c r="AR476" s="82"/>
      <c r="AS476" s="82"/>
      <c r="AT476" s="82"/>
      <c r="AU476" s="82"/>
      <c r="AV476" s="82"/>
      <c r="AW476" s="82"/>
      <c r="AX476" s="82"/>
      <c r="AY476" s="82"/>
      <c r="AZ476" s="82"/>
      <c r="BA476" s="82"/>
      <c r="BB476" s="82"/>
      <c r="BC476" s="82"/>
      <c r="BD476" s="83"/>
      <c r="BE476" s="83"/>
      <c r="BF476" s="83"/>
      <c r="BG476" s="82"/>
      <c r="BH476" s="81"/>
      <c r="BI476" s="80"/>
      <c r="BJ476" s="25"/>
      <c r="BK476" s="25"/>
      <c r="BL476" s="25"/>
      <c r="BM476" s="84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5"/>
      <c r="CA476" s="25"/>
      <c r="CB476" s="25"/>
      <c r="CC476" s="25"/>
      <c r="CD476" s="25"/>
      <c r="CE476" s="25"/>
      <c r="CF476" s="25"/>
      <c r="CG476" s="25"/>
      <c r="CH476" s="25"/>
      <c r="CI476" s="25"/>
      <c r="CJ476" s="25"/>
      <c r="CK476" s="25"/>
      <c r="CL476" s="25"/>
      <c r="CM476" s="25"/>
      <c r="CN476" s="25"/>
      <c r="CO476" s="25"/>
      <c r="CP476" s="25"/>
      <c r="CQ476" s="25"/>
      <c r="CR476" s="25"/>
      <c r="CS476" s="25"/>
      <c r="CT476" s="25"/>
      <c r="CU476" s="25"/>
      <c r="CV476" s="25"/>
      <c r="CW476" s="25"/>
      <c r="CX476" s="25"/>
      <c r="CY476" s="25"/>
      <c r="CZ476" s="25"/>
      <c r="DA476" s="25"/>
      <c r="DB476" s="25"/>
      <c r="DC476" s="25"/>
      <c r="DD476" s="25"/>
      <c r="DE476" s="25"/>
      <c r="DF476" s="92"/>
      <c r="DG476" s="92"/>
      <c r="DH476" s="203"/>
      <c r="DI476" s="203"/>
      <c r="DJ476" s="203"/>
      <c r="DK476" s="203"/>
      <c r="DL476" s="203"/>
      <c r="DM476" s="203"/>
      <c r="DN476" s="203"/>
      <c r="DO476" s="203"/>
      <c r="DP476" s="208"/>
      <c r="DQ476" s="208"/>
      <c r="DR476" s="208"/>
      <c r="DS476" s="208"/>
      <c r="DT476" s="208"/>
      <c r="DU476" s="208"/>
      <c r="DV476" s="208"/>
      <c r="DW476" s="208"/>
      <c r="DX476" s="208"/>
      <c r="DY476" s="208"/>
      <c r="DZ476" s="208"/>
      <c r="EA476" s="208"/>
      <c r="EB476" s="208"/>
      <c r="EC476" s="208"/>
      <c r="ED476" s="208"/>
      <c r="EE476" s="208"/>
      <c r="EF476" s="208"/>
      <c r="EG476" s="208"/>
      <c r="EH476" s="208"/>
      <c r="EI476" s="208"/>
      <c r="EJ476" s="208"/>
      <c r="EK476" s="208"/>
      <c r="EL476" s="208"/>
      <c r="EM476" s="208"/>
      <c r="EN476" s="208"/>
      <c r="EO476" s="208"/>
      <c r="EP476" s="208"/>
      <c r="EQ476" s="208"/>
      <c r="ER476" s="208"/>
      <c r="ES476" s="208"/>
      <c r="ET476" s="208"/>
      <c r="EU476" s="208"/>
      <c r="EV476" s="208"/>
      <c r="EW476" s="208"/>
      <c r="EX476" s="208"/>
      <c r="EY476" s="208"/>
      <c r="EZ476" s="208">
        <v>0</v>
      </c>
      <c r="FA476" s="208">
        <v>0</v>
      </c>
      <c r="FB476" s="208">
        <v>0</v>
      </c>
      <c r="FC476" s="208"/>
      <c r="FD476" s="82"/>
      <c r="FE476" s="30"/>
    </row>
    <row r="477" spans="1:161" ht="15" hidden="1">
      <c r="A477" s="25" t="s">
        <v>468</v>
      </c>
      <c r="B477" s="212" t="s">
        <v>657</v>
      </c>
      <c r="C477" s="138"/>
      <c r="D477" s="221"/>
      <c r="E477" s="239">
        <v>970</v>
      </c>
      <c r="F477" s="95"/>
      <c r="G477" s="95"/>
      <c r="H477" s="147" t="s">
        <v>656</v>
      </c>
      <c r="I477" s="147"/>
      <c r="J477" s="135"/>
      <c r="K477" s="135"/>
      <c r="L477" s="139"/>
      <c r="M477" s="134"/>
      <c r="N477" s="134"/>
      <c r="O477" s="134"/>
      <c r="P477" s="134"/>
      <c r="Q477" s="134"/>
      <c r="R477" s="134"/>
      <c r="S477" s="139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  <c r="AQ477" s="82"/>
      <c r="AR477" s="82"/>
      <c r="AS477" s="82"/>
      <c r="AT477" s="82"/>
      <c r="AU477" s="82"/>
      <c r="AV477" s="82"/>
      <c r="AW477" s="82"/>
      <c r="AX477" s="82"/>
      <c r="AY477" s="82"/>
      <c r="AZ477" s="82"/>
      <c r="BA477" s="82"/>
      <c r="BB477" s="82"/>
      <c r="BC477" s="82"/>
      <c r="BD477" s="83"/>
      <c r="BE477" s="83"/>
      <c r="BF477" s="83"/>
      <c r="BG477" s="82"/>
      <c r="BH477" s="81"/>
      <c r="BI477" s="80"/>
      <c r="BJ477" s="25"/>
      <c r="BK477" s="25"/>
      <c r="BL477" s="25"/>
      <c r="BM477" s="84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5"/>
      <c r="CC477" s="25"/>
      <c r="CD477" s="25"/>
      <c r="CE477" s="25"/>
      <c r="CF477" s="25"/>
      <c r="CG477" s="25"/>
      <c r="CH477" s="25"/>
      <c r="CI477" s="25"/>
      <c r="CJ477" s="25"/>
      <c r="CK477" s="25"/>
      <c r="CL477" s="25"/>
      <c r="CM477" s="25"/>
      <c r="CN477" s="25"/>
      <c r="CO477" s="25"/>
      <c r="CP477" s="25"/>
      <c r="CQ477" s="25"/>
      <c r="CR477" s="25"/>
      <c r="CS477" s="25"/>
      <c r="CT477" s="25"/>
      <c r="CU477" s="25"/>
      <c r="CV477" s="25"/>
      <c r="CW477" s="25"/>
      <c r="CX477" s="25"/>
      <c r="CY477" s="25"/>
      <c r="CZ477" s="25"/>
      <c r="DA477" s="25"/>
      <c r="DB477" s="25"/>
      <c r="DC477" s="25"/>
      <c r="DD477" s="25"/>
      <c r="DE477" s="25"/>
      <c r="DF477" s="92"/>
      <c r="DG477" s="92"/>
      <c r="DH477" s="203"/>
      <c r="DI477" s="203"/>
      <c r="DJ477" s="203"/>
      <c r="DK477" s="203"/>
      <c r="DL477" s="203"/>
      <c r="DM477" s="203"/>
      <c r="DN477" s="203"/>
      <c r="DO477" s="203"/>
      <c r="DP477" s="208"/>
      <c r="DQ477" s="208"/>
      <c r="DR477" s="208"/>
      <c r="DS477" s="208"/>
      <c r="DT477" s="208"/>
      <c r="DU477" s="208"/>
      <c r="DV477" s="208"/>
      <c r="DW477" s="208"/>
      <c r="DX477" s="208"/>
      <c r="DY477" s="208"/>
      <c r="DZ477" s="208"/>
      <c r="EA477" s="208"/>
      <c r="EB477" s="208"/>
      <c r="EC477" s="208"/>
      <c r="ED477" s="208"/>
      <c r="EE477" s="208"/>
      <c r="EF477" s="208"/>
      <c r="EG477" s="208"/>
      <c r="EH477" s="208"/>
      <c r="EI477" s="208"/>
      <c r="EJ477" s="208"/>
      <c r="EK477" s="208"/>
      <c r="EL477" s="208"/>
      <c r="EM477" s="208"/>
      <c r="EN477" s="208"/>
      <c r="EO477" s="208"/>
      <c r="EP477" s="208"/>
      <c r="EQ477" s="208"/>
      <c r="ER477" s="208"/>
      <c r="ES477" s="208"/>
      <c r="ET477" s="208"/>
      <c r="EU477" s="208"/>
      <c r="EV477" s="208"/>
      <c r="EW477" s="208"/>
      <c r="EX477" s="208"/>
      <c r="EY477" s="208"/>
      <c r="EZ477" s="208">
        <v>0</v>
      </c>
      <c r="FA477" s="208">
        <v>0</v>
      </c>
      <c r="FB477" s="208">
        <v>0</v>
      </c>
      <c r="FC477" s="208"/>
      <c r="FD477" s="82"/>
      <c r="FE477" s="30"/>
    </row>
    <row r="478" spans="1:161" ht="15" hidden="1">
      <c r="A478" s="25" t="s">
        <v>428</v>
      </c>
      <c r="B478" s="212" t="s">
        <v>657</v>
      </c>
      <c r="C478" s="138"/>
      <c r="D478" s="221"/>
      <c r="E478" s="239">
        <v>970</v>
      </c>
      <c r="F478" s="95"/>
      <c r="G478" s="95"/>
      <c r="H478" s="147" t="s">
        <v>656</v>
      </c>
      <c r="I478" s="147"/>
      <c r="J478" s="135"/>
      <c r="K478" s="135"/>
      <c r="L478" s="139"/>
      <c r="M478" s="134"/>
      <c r="N478" s="134"/>
      <c r="O478" s="134"/>
      <c r="P478" s="134"/>
      <c r="Q478" s="134"/>
      <c r="R478" s="134"/>
      <c r="S478" s="139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  <c r="AQ478" s="82"/>
      <c r="AR478" s="82"/>
      <c r="AS478" s="82"/>
      <c r="AT478" s="82"/>
      <c r="AU478" s="82"/>
      <c r="AV478" s="82"/>
      <c r="AW478" s="82"/>
      <c r="AX478" s="82"/>
      <c r="AY478" s="82"/>
      <c r="AZ478" s="82"/>
      <c r="BA478" s="82"/>
      <c r="BB478" s="82"/>
      <c r="BC478" s="82"/>
      <c r="BD478" s="83"/>
      <c r="BE478" s="83"/>
      <c r="BF478" s="83"/>
      <c r="BG478" s="82"/>
      <c r="BH478" s="81"/>
      <c r="BI478" s="80"/>
      <c r="BJ478" s="25"/>
      <c r="BK478" s="25"/>
      <c r="BL478" s="25"/>
      <c r="BM478" s="84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5"/>
      <c r="CC478" s="25"/>
      <c r="CD478" s="25"/>
      <c r="CE478" s="25"/>
      <c r="CF478" s="25"/>
      <c r="CG478" s="25"/>
      <c r="CH478" s="25"/>
      <c r="CI478" s="25"/>
      <c r="CJ478" s="25"/>
      <c r="CK478" s="25"/>
      <c r="CL478" s="25"/>
      <c r="CM478" s="25"/>
      <c r="CN478" s="25"/>
      <c r="CO478" s="25"/>
      <c r="CP478" s="25"/>
      <c r="CQ478" s="25"/>
      <c r="CR478" s="25"/>
      <c r="CS478" s="25"/>
      <c r="CT478" s="25"/>
      <c r="CU478" s="25"/>
      <c r="CV478" s="25"/>
      <c r="CW478" s="25"/>
      <c r="CX478" s="25"/>
      <c r="CY478" s="25"/>
      <c r="CZ478" s="25"/>
      <c r="DA478" s="25"/>
      <c r="DB478" s="25"/>
      <c r="DC478" s="25"/>
      <c r="DD478" s="25"/>
      <c r="DE478" s="25"/>
      <c r="DF478" s="92"/>
      <c r="DG478" s="92"/>
      <c r="DH478" s="203"/>
      <c r="DI478" s="203"/>
      <c r="DJ478" s="203"/>
      <c r="DK478" s="203"/>
      <c r="DL478" s="203"/>
      <c r="DM478" s="203"/>
      <c r="DN478" s="203"/>
      <c r="DO478" s="203"/>
      <c r="DP478" s="208"/>
      <c r="DQ478" s="208"/>
      <c r="DR478" s="208"/>
      <c r="DS478" s="208"/>
      <c r="DT478" s="208"/>
      <c r="DU478" s="208"/>
      <c r="DV478" s="208"/>
      <c r="DW478" s="208"/>
      <c r="DX478" s="208"/>
      <c r="DY478" s="208"/>
      <c r="DZ478" s="208"/>
      <c r="EA478" s="208"/>
      <c r="EB478" s="208"/>
      <c r="EC478" s="208"/>
      <c r="ED478" s="208"/>
      <c r="EE478" s="208"/>
      <c r="EF478" s="208"/>
      <c r="EG478" s="208"/>
      <c r="EH478" s="208"/>
      <c r="EI478" s="208"/>
      <c r="EJ478" s="208"/>
      <c r="EK478" s="208"/>
      <c r="EL478" s="208"/>
      <c r="EM478" s="208"/>
      <c r="EN478" s="208"/>
      <c r="EO478" s="208"/>
      <c r="EP478" s="208"/>
      <c r="EQ478" s="208"/>
      <c r="ER478" s="208"/>
      <c r="ES478" s="208"/>
      <c r="ET478" s="208"/>
      <c r="EU478" s="208"/>
      <c r="EV478" s="208"/>
      <c r="EW478" s="208"/>
      <c r="EX478" s="208"/>
      <c r="EY478" s="208"/>
      <c r="EZ478" s="208">
        <v>0</v>
      </c>
      <c r="FA478" s="208">
        <v>0</v>
      </c>
      <c r="FB478" s="208">
        <v>0</v>
      </c>
      <c r="FC478" s="208"/>
      <c r="FD478" s="82"/>
      <c r="FE478" s="30"/>
    </row>
    <row r="479" spans="1:161" ht="15">
      <c r="A479" s="25" t="s">
        <v>490</v>
      </c>
      <c r="B479" s="230" t="s">
        <v>151</v>
      </c>
      <c r="C479" s="138"/>
      <c r="D479" s="221"/>
      <c r="E479" s="239">
        <v>1795</v>
      </c>
      <c r="F479" s="95"/>
      <c r="G479" s="95"/>
      <c r="H479" s="147" t="s">
        <v>656</v>
      </c>
      <c r="I479" s="147"/>
      <c r="J479" s="135"/>
      <c r="K479" s="135"/>
      <c r="L479" s="139"/>
      <c r="M479" s="134"/>
      <c r="N479" s="134"/>
      <c r="O479" s="134"/>
      <c r="P479" s="134"/>
      <c r="Q479" s="134"/>
      <c r="R479" s="134"/>
      <c r="S479" s="139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  <c r="AQ479" s="82"/>
      <c r="AR479" s="82"/>
      <c r="AS479" s="82"/>
      <c r="AT479" s="82"/>
      <c r="AU479" s="82"/>
      <c r="AV479" s="82"/>
      <c r="AW479" s="82"/>
      <c r="AX479" s="82"/>
      <c r="AY479" s="82"/>
      <c r="AZ479" s="82"/>
      <c r="BA479" s="82"/>
      <c r="BB479" s="82"/>
      <c r="BC479" s="82"/>
      <c r="BD479" s="83"/>
      <c r="BE479" s="83"/>
      <c r="BF479" s="83"/>
      <c r="BG479" s="82"/>
      <c r="BH479" s="81"/>
      <c r="BI479" s="80"/>
      <c r="BJ479" s="25"/>
      <c r="BK479" s="25"/>
      <c r="BL479" s="25"/>
      <c r="BM479" s="84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5"/>
      <c r="CA479" s="25"/>
      <c r="CB479" s="25"/>
      <c r="CC479" s="25"/>
      <c r="CD479" s="25"/>
      <c r="CE479" s="25"/>
      <c r="CF479" s="25"/>
      <c r="CG479" s="25"/>
      <c r="CH479" s="25"/>
      <c r="CI479" s="25"/>
      <c r="CJ479" s="25"/>
      <c r="CK479" s="25"/>
      <c r="CL479" s="25"/>
      <c r="CM479" s="25"/>
      <c r="CN479" s="25"/>
      <c r="CO479" s="25"/>
      <c r="CP479" s="25"/>
      <c r="CQ479" s="25"/>
      <c r="CR479" s="25"/>
      <c r="CS479" s="25"/>
      <c r="CT479" s="25"/>
      <c r="CU479" s="25"/>
      <c r="CV479" s="25"/>
      <c r="CW479" s="25"/>
      <c r="CX479" s="25"/>
      <c r="CY479" s="25"/>
      <c r="CZ479" s="25"/>
      <c r="DA479" s="25"/>
      <c r="DB479" s="25"/>
      <c r="DC479" s="25"/>
      <c r="DD479" s="25"/>
      <c r="DE479" s="25"/>
      <c r="DF479" s="92"/>
      <c r="DG479" s="92"/>
      <c r="DH479" s="203"/>
      <c r="DI479" s="203"/>
      <c r="DJ479" s="203"/>
      <c r="DK479" s="203"/>
      <c r="DL479" s="203"/>
      <c r="DM479" s="203"/>
      <c r="DN479" s="203"/>
      <c r="DO479" s="203"/>
      <c r="DP479" s="208"/>
      <c r="DQ479" s="208"/>
      <c r="DR479" s="208"/>
      <c r="DS479" s="208"/>
      <c r="DT479" s="208"/>
      <c r="DU479" s="208"/>
      <c r="DV479" s="208"/>
      <c r="DW479" s="208"/>
      <c r="DX479" s="208"/>
      <c r="DY479" s="208"/>
      <c r="DZ479" s="208"/>
      <c r="EA479" s="208"/>
      <c r="EB479" s="208"/>
      <c r="EC479" s="208"/>
      <c r="ED479" s="208"/>
      <c r="EE479" s="208"/>
      <c r="EF479" s="208"/>
      <c r="EG479" s="208"/>
      <c r="EH479" s="208"/>
      <c r="EI479" s="208"/>
      <c r="EJ479" s="208"/>
      <c r="EK479" s="208"/>
      <c r="EL479" s="208"/>
      <c r="EM479" s="208"/>
      <c r="EN479" s="208"/>
      <c r="EO479" s="208"/>
      <c r="EP479" s="208"/>
      <c r="EQ479" s="208"/>
      <c r="ER479" s="208"/>
      <c r="ES479" s="208"/>
      <c r="ET479" s="208"/>
      <c r="EU479" s="208"/>
      <c r="EV479" s="208"/>
      <c r="EW479" s="208"/>
      <c r="EX479" s="208"/>
      <c r="EY479" s="208"/>
      <c r="EZ479" s="208">
        <v>0</v>
      </c>
      <c r="FA479" s="208">
        <v>0</v>
      </c>
      <c r="FB479" s="208">
        <v>0</v>
      </c>
      <c r="FC479" s="208"/>
      <c r="FD479" s="82"/>
      <c r="FE479" s="30"/>
    </row>
    <row r="480" spans="1:161" ht="15" hidden="1">
      <c r="A480" s="25" t="s">
        <v>152</v>
      </c>
      <c r="B480" s="230" t="s">
        <v>151</v>
      </c>
      <c r="C480" s="138"/>
      <c r="D480" s="221"/>
      <c r="E480" s="239">
        <v>1585</v>
      </c>
      <c r="F480" s="95"/>
      <c r="G480" s="95"/>
      <c r="H480" s="147" t="s">
        <v>656</v>
      </c>
      <c r="I480" s="147"/>
      <c r="J480" s="135"/>
      <c r="K480" s="135"/>
      <c r="L480" s="139"/>
      <c r="M480" s="134"/>
      <c r="N480" s="134"/>
      <c r="O480" s="134"/>
      <c r="P480" s="134"/>
      <c r="Q480" s="134"/>
      <c r="R480" s="134"/>
      <c r="S480" s="139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  <c r="AQ480" s="82"/>
      <c r="AR480" s="82"/>
      <c r="AS480" s="82"/>
      <c r="AT480" s="82"/>
      <c r="AU480" s="82"/>
      <c r="AV480" s="82"/>
      <c r="AW480" s="82"/>
      <c r="AX480" s="82"/>
      <c r="AY480" s="82"/>
      <c r="AZ480" s="82"/>
      <c r="BA480" s="82"/>
      <c r="BB480" s="82"/>
      <c r="BC480" s="82"/>
      <c r="BD480" s="83"/>
      <c r="BE480" s="83"/>
      <c r="BF480" s="83"/>
      <c r="BG480" s="82"/>
      <c r="BH480" s="81"/>
      <c r="BI480" s="80"/>
      <c r="BJ480" s="25"/>
      <c r="BK480" s="25"/>
      <c r="BL480" s="25"/>
      <c r="BM480" s="84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5"/>
      <c r="CA480" s="25"/>
      <c r="CB480" s="25"/>
      <c r="CC480" s="25"/>
      <c r="CD480" s="25"/>
      <c r="CE480" s="25"/>
      <c r="CF480" s="25"/>
      <c r="CG480" s="25"/>
      <c r="CH480" s="25"/>
      <c r="CI480" s="25"/>
      <c r="CJ480" s="25"/>
      <c r="CK480" s="25"/>
      <c r="CL480" s="25"/>
      <c r="CM480" s="25"/>
      <c r="CN480" s="25"/>
      <c r="CO480" s="25"/>
      <c r="CP480" s="25"/>
      <c r="CQ480" s="25"/>
      <c r="CR480" s="25"/>
      <c r="CS480" s="25"/>
      <c r="CT480" s="25"/>
      <c r="CU480" s="25"/>
      <c r="CV480" s="25"/>
      <c r="CW480" s="25"/>
      <c r="CX480" s="25"/>
      <c r="CY480" s="25"/>
      <c r="CZ480" s="25"/>
      <c r="DA480" s="25"/>
      <c r="DB480" s="25"/>
      <c r="DC480" s="25"/>
      <c r="DD480" s="25"/>
      <c r="DE480" s="25"/>
      <c r="DF480" s="92"/>
      <c r="DG480" s="92"/>
      <c r="DH480" s="203"/>
      <c r="DI480" s="203"/>
      <c r="DJ480" s="203"/>
      <c r="DK480" s="203"/>
      <c r="DL480" s="203"/>
      <c r="DM480" s="203"/>
      <c r="DN480" s="203"/>
      <c r="DO480" s="203"/>
      <c r="DP480" s="208"/>
      <c r="DQ480" s="208"/>
      <c r="DR480" s="208"/>
      <c r="DS480" s="208"/>
      <c r="DT480" s="208"/>
      <c r="DU480" s="208"/>
      <c r="DV480" s="208"/>
      <c r="DW480" s="208"/>
      <c r="DX480" s="208"/>
      <c r="DY480" s="208"/>
      <c r="DZ480" s="208"/>
      <c r="EA480" s="208"/>
      <c r="EB480" s="208"/>
      <c r="EC480" s="208"/>
      <c r="ED480" s="208"/>
      <c r="EE480" s="208"/>
      <c r="EF480" s="208"/>
      <c r="EG480" s="208"/>
      <c r="EH480" s="208"/>
      <c r="EI480" s="208"/>
      <c r="EJ480" s="208"/>
      <c r="EK480" s="208"/>
      <c r="EL480" s="208"/>
      <c r="EM480" s="208"/>
      <c r="EN480" s="208"/>
      <c r="EO480" s="208"/>
      <c r="EP480" s="208"/>
      <c r="EQ480" s="208"/>
      <c r="ER480" s="208"/>
      <c r="ES480" s="208"/>
      <c r="ET480" s="208"/>
      <c r="EU480" s="208"/>
      <c r="EV480" s="208"/>
      <c r="EW480" s="208"/>
      <c r="EX480" s="208"/>
      <c r="EY480" s="208"/>
      <c r="EZ480" s="208">
        <v>0</v>
      </c>
      <c r="FA480" s="208">
        <v>0</v>
      </c>
      <c r="FB480" s="208">
        <v>0</v>
      </c>
      <c r="FC480" s="208"/>
      <c r="FD480" s="82"/>
      <c r="FE480" s="30"/>
    </row>
    <row r="481" spans="1:161" ht="15" hidden="1">
      <c r="A481" s="25" t="s">
        <v>469</v>
      </c>
      <c r="B481" s="212" t="s">
        <v>657</v>
      </c>
      <c r="C481" s="138"/>
      <c r="D481" s="221"/>
      <c r="E481" s="239">
        <v>970</v>
      </c>
      <c r="F481" s="95"/>
      <c r="G481" s="95"/>
      <c r="H481" s="147" t="s">
        <v>656</v>
      </c>
      <c r="I481" s="147"/>
      <c r="J481" s="135"/>
      <c r="K481" s="135"/>
      <c r="L481" s="139"/>
      <c r="M481" s="134"/>
      <c r="N481" s="134"/>
      <c r="O481" s="134"/>
      <c r="P481" s="134"/>
      <c r="Q481" s="134"/>
      <c r="R481" s="134"/>
      <c r="S481" s="139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  <c r="AQ481" s="82"/>
      <c r="AR481" s="82"/>
      <c r="AS481" s="82"/>
      <c r="AT481" s="82"/>
      <c r="AU481" s="82"/>
      <c r="AV481" s="82"/>
      <c r="AW481" s="82"/>
      <c r="AX481" s="82"/>
      <c r="AY481" s="82"/>
      <c r="AZ481" s="82"/>
      <c r="BA481" s="82"/>
      <c r="BB481" s="82"/>
      <c r="BC481" s="82"/>
      <c r="BD481" s="83"/>
      <c r="BE481" s="83"/>
      <c r="BF481" s="83"/>
      <c r="BG481" s="82"/>
      <c r="BH481" s="81"/>
      <c r="BI481" s="80"/>
      <c r="BJ481" s="25"/>
      <c r="BK481" s="25"/>
      <c r="BL481" s="25"/>
      <c r="BM481" s="84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5"/>
      <c r="CA481" s="25"/>
      <c r="CB481" s="25"/>
      <c r="CC481" s="25"/>
      <c r="CD481" s="25"/>
      <c r="CE481" s="25"/>
      <c r="CF481" s="25"/>
      <c r="CG481" s="25"/>
      <c r="CH481" s="25"/>
      <c r="CI481" s="25"/>
      <c r="CJ481" s="25"/>
      <c r="CK481" s="25"/>
      <c r="CL481" s="25"/>
      <c r="CM481" s="25"/>
      <c r="CN481" s="25"/>
      <c r="CO481" s="25"/>
      <c r="CP481" s="25"/>
      <c r="CQ481" s="25"/>
      <c r="CR481" s="25"/>
      <c r="CS481" s="25"/>
      <c r="CT481" s="25"/>
      <c r="CU481" s="25"/>
      <c r="CV481" s="25"/>
      <c r="CW481" s="25"/>
      <c r="CX481" s="25"/>
      <c r="CY481" s="25"/>
      <c r="CZ481" s="25"/>
      <c r="DA481" s="25"/>
      <c r="DB481" s="25"/>
      <c r="DC481" s="25"/>
      <c r="DD481" s="25"/>
      <c r="DE481" s="25"/>
      <c r="DF481" s="92"/>
      <c r="DG481" s="92"/>
      <c r="DH481" s="203"/>
      <c r="DI481" s="203"/>
      <c r="DJ481" s="203"/>
      <c r="DK481" s="203"/>
      <c r="DL481" s="203"/>
      <c r="DM481" s="203"/>
      <c r="DN481" s="203"/>
      <c r="DO481" s="203"/>
      <c r="DP481" s="208"/>
      <c r="DQ481" s="208"/>
      <c r="DR481" s="208"/>
      <c r="DS481" s="208"/>
      <c r="DT481" s="208"/>
      <c r="DU481" s="208"/>
      <c r="DV481" s="208"/>
      <c r="DW481" s="208"/>
      <c r="DX481" s="208"/>
      <c r="DY481" s="208"/>
      <c r="DZ481" s="208"/>
      <c r="EA481" s="208"/>
      <c r="EB481" s="208"/>
      <c r="EC481" s="208"/>
      <c r="ED481" s="208"/>
      <c r="EE481" s="208"/>
      <c r="EF481" s="208"/>
      <c r="EG481" s="208"/>
      <c r="EH481" s="208"/>
      <c r="EI481" s="208"/>
      <c r="EJ481" s="208"/>
      <c r="EK481" s="208"/>
      <c r="EL481" s="208"/>
      <c r="EM481" s="208"/>
      <c r="EN481" s="208"/>
      <c r="EO481" s="208"/>
      <c r="EP481" s="208"/>
      <c r="EQ481" s="208"/>
      <c r="ER481" s="208"/>
      <c r="ES481" s="208"/>
      <c r="ET481" s="208"/>
      <c r="EU481" s="208"/>
      <c r="EV481" s="208"/>
      <c r="EW481" s="208"/>
      <c r="EX481" s="208"/>
      <c r="EY481" s="208"/>
      <c r="EZ481" s="208">
        <v>0</v>
      </c>
      <c r="FA481" s="208">
        <v>0</v>
      </c>
      <c r="FB481" s="208">
        <v>0</v>
      </c>
      <c r="FC481" s="208"/>
      <c r="FD481" s="82"/>
      <c r="FE481" s="30"/>
    </row>
    <row r="482" spans="1:161" ht="15" hidden="1">
      <c r="A482" s="25" t="s">
        <v>470</v>
      </c>
      <c r="B482" s="212" t="s">
        <v>657</v>
      </c>
      <c r="C482" s="138"/>
      <c r="D482" s="221"/>
      <c r="E482" s="239">
        <v>970</v>
      </c>
      <c r="F482" s="95"/>
      <c r="G482" s="95"/>
      <c r="H482" s="147" t="s">
        <v>656</v>
      </c>
      <c r="I482" s="147"/>
      <c r="J482" s="135"/>
      <c r="K482" s="135"/>
      <c r="L482" s="139"/>
      <c r="M482" s="134"/>
      <c r="N482" s="134"/>
      <c r="O482" s="134"/>
      <c r="P482" s="134"/>
      <c r="Q482" s="134"/>
      <c r="R482" s="134"/>
      <c r="S482" s="139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  <c r="AY482" s="82"/>
      <c r="AZ482" s="82"/>
      <c r="BA482" s="82"/>
      <c r="BB482" s="82"/>
      <c r="BC482" s="82"/>
      <c r="BD482" s="83"/>
      <c r="BE482" s="83"/>
      <c r="BF482" s="83"/>
      <c r="BG482" s="82"/>
      <c r="BH482" s="81"/>
      <c r="BI482" s="80"/>
      <c r="BJ482" s="25"/>
      <c r="BK482" s="25"/>
      <c r="BL482" s="25"/>
      <c r="BM482" s="84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5"/>
      <c r="CA482" s="25"/>
      <c r="CB482" s="25"/>
      <c r="CC482" s="25"/>
      <c r="CD482" s="25"/>
      <c r="CE482" s="25"/>
      <c r="CF482" s="25"/>
      <c r="CG482" s="25"/>
      <c r="CH482" s="25"/>
      <c r="CI482" s="25"/>
      <c r="CJ482" s="25"/>
      <c r="CK482" s="25"/>
      <c r="CL482" s="25"/>
      <c r="CM482" s="25"/>
      <c r="CN482" s="25"/>
      <c r="CO482" s="25"/>
      <c r="CP482" s="25"/>
      <c r="CQ482" s="25"/>
      <c r="CR482" s="25"/>
      <c r="CS482" s="25"/>
      <c r="CT482" s="25"/>
      <c r="CU482" s="25"/>
      <c r="CV482" s="25"/>
      <c r="CW482" s="25"/>
      <c r="CX482" s="25"/>
      <c r="CY482" s="25"/>
      <c r="CZ482" s="25"/>
      <c r="DA482" s="25"/>
      <c r="DB482" s="25"/>
      <c r="DC482" s="25"/>
      <c r="DD482" s="25"/>
      <c r="DE482" s="25"/>
      <c r="DF482" s="92"/>
      <c r="DG482" s="92"/>
      <c r="DH482" s="203"/>
      <c r="DI482" s="203"/>
      <c r="DJ482" s="203"/>
      <c r="DK482" s="203"/>
      <c r="DL482" s="203"/>
      <c r="DM482" s="203"/>
      <c r="DN482" s="203"/>
      <c r="DO482" s="203"/>
      <c r="DP482" s="208"/>
      <c r="DQ482" s="208"/>
      <c r="DR482" s="208"/>
      <c r="DS482" s="208"/>
      <c r="DT482" s="208"/>
      <c r="DU482" s="208"/>
      <c r="DV482" s="208"/>
      <c r="DW482" s="208"/>
      <c r="DX482" s="208"/>
      <c r="DY482" s="208"/>
      <c r="DZ482" s="208"/>
      <c r="EA482" s="208"/>
      <c r="EB482" s="208"/>
      <c r="EC482" s="208"/>
      <c r="ED482" s="208"/>
      <c r="EE482" s="208"/>
      <c r="EF482" s="208"/>
      <c r="EG482" s="208"/>
      <c r="EH482" s="208"/>
      <c r="EI482" s="208"/>
      <c r="EJ482" s="208"/>
      <c r="EK482" s="208"/>
      <c r="EL482" s="208"/>
      <c r="EM482" s="208"/>
      <c r="EN482" s="208"/>
      <c r="EO482" s="208"/>
      <c r="EP482" s="208"/>
      <c r="EQ482" s="208"/>
      <c r="ER482" s="208"/>
      <c r="ES482" s="208"/>
      <c r="ET482" s="208"/>
      <c r="EU482" s="208"/>
      <c r="EV482" s="208"/>
      <c r="EW482" s="208"/>
      <c r="EX482" s="208"/>
      <c r="EY482" s="208"/>
      <c r="EZ482" s="208">
        <v>0</v>
      </c>
      <c r="FA482" s="208">
        <v>0</v>
      </c>
      <c r="FB482" s="208">
        <v>0</v>
      </c>
      <c r="FC482" s="208"/>
      <c r="FD482" s="82"/>
      <c r="FE482" s="30"/>
    </row>
    <row r="483" spans="1:161" ht="15" hidden="1">
      <c r="A483" s="25" t="s">
        <v>471</v>
      </c>
      <c r="B483" s="212" t="s">
        <v>657</v>
      </c>
      <c r="C483" s="138"/>
      <c r="D483" s="221"/>
      <c r="E483" s="239">
        <v>970</v>
      </c>
      <c r="F483" s="95"/>
      <c r="G483" s="95"/>
      <c r="H483" s="147" t="s">
        <v>656</v>
      </c>
      <c r="I483" s="147"/>
      <c r="J483" s="135"/>
      <c r="K483" s="135"/>
      <c r="L483" s="139"/>
      <c r="M483" s="134"/>
      <c r="N483" s="134"/>
      <c r="O483" s="134"/>
      <c r="P483" s="134"/>
      <c r="Q483" s="134"/>
      <c r="R483" s="134"/>
      <c r="S483" s="139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  <c r="AQ483" s="82"/>
      <c r="AR483" s="82"/>
      <c r="AS483" s="82"/>
      <c r="AT483" s="82"/>
      <c r="AU483" s="82"/>
      <c r="AV483" s="82"/>
      <c r="AW483" s="82"/>
      <c r="AX483" s="82"/>
      <c r="AY483" s="82"/>
      <c r="AZ483" s="82"/>
      <c r="BA483" s="82"/>
      <c r="BB483" s="82"/>
      <c r="BC483" s="82"/>
      <c r="BD483" s="83"/>
      <c r="BE483" s="83"/>
      <c r="BF483" s="83"/>
      <c r="BG483" s="82"/>
      <c r="BH483" s="81"/>
      <c r="BI483" s="80"/>
      <c r="BJ483" s="25"/>
      <c r="BK483" s="25"/>
      <c r="BL483" s="25"/>
      <c r="BM483" s="84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5"/>
      <c r="CA483" s="25"/>
      <c r="CB483" s="25"/>
      <c r="CC483" s="25"/>
      <c r="CD483" s="25"/>
      <c r="CE483" s="25"/>
      <c r="CF483" s="25"/>
      <c r="CG483" s="25"/>
      <c r="CH483" s="25"/>
      <c r="CI483" s="25"/>
      <c r="CJ483" s="25"/>
      <c r="CK483" s="25"/>
      <c r="CL483" s="25"/>
      <c r="CM483" s="25"/>
      <c r="CN483" s="25"/>
      <c r="CO483" s="25"/>
      <c r="CP483" s="25"/>
      <c r="CQ483" s="25"/>
      <c r="CR483" s="25"/>
      <c r="CS483" s="25"/>
      <c r="CT483" s="25"/>
      <c r="CU483" s="25"/>
      <c r="CV483" s="25"/>
      <c r="CW483" s="25"/>
      <c r="CX483" s="25"/>
      <c r="CY483" s="25"/>
      <c r="CZ483" s="25"/>
      <c r="DA483" s="25"/>
      <c r="DB483" s="25"/>
      <c r="DC483" s="25"/>
      <c r="DD483" s="25"/>
      <c r="DE483" s="25"/>
      <c r="DF483" s="92"/>
      <c r="DG483" s="92"/>
      <c r="DH483" s="203"/>
      <c r="DI483" s="203"/>
      <c r="DJ483" s="203"/>
      <c r="DK483" s="203"/>
      <c r="DL483" s="203"/>
      <c r="DM483" s="203"/>
      <c r="DN483" s="203"/>
      <c r="DO483" s="203"/>
      <c r="DP483" s="208"/>
      <c r="DQ483" s="208"/>
      <c r="DR483" s="208"/>
      <c r="DS483" s="208"/>
      <c r="DT483" s="208"/>
      <c r="DU483" s="208"/>
      <c r="DV483" s="208"/>
      <c r="DW483" s="208"/>
      <c r="DX483" s="208"/>
      <c r="DY483" s="208"/>
      <c r="DZ483" s="208"/>
      <c r="EA483" s="208"/>
      <c r="EB483" s="208"/>
      <c r="EC483" s="208"/>
      <c r="ED483" s="208"/>
      <c r="EE483" s="208"/>
      <c r="EF483" s="208"/>
      <c r="EG483" s="208"/>
      <c r="EH483" s="208"/>
      <c r="EI483" s="208"/>
      <c r="EJ483" s="208"/>
      <c r="EK483" s="208"/>
      <c r="EL483" s="208"/>
      <c r="EM483" s="208"/>
      <c r="EN483" s="208"/>
      <c r="EO483" s="208"/>
      <c r="EP483" s="208"/>
      <c r="EQ483" s="208"/>
      <c r="ER483" s="208"/>
      <c r="ES483" s="208"/>
      <c r="ET483" s="208"/>
      <c r="EU483" s="208"/>
      <c r="EV483" s="208"/>
      <c r="EW483" s="208"/>
      <c r="EX483" s="208"/>
      <c r="EY483" s="208"/>
      <c r="EZ483" s="208">
        <v>0</v>
      </c>
      <c r="FA483" s="208">
        <v>0</v>
      </c>
      <c r="FB483" s="208">
        <v>0</v>
      </c>
      <c r="FC483" s="208"/>
      <c r="FD483" s="82"/>
      <c r="FE483" s="30"/>
    </row>
    <row r="484" spans="1:161" ht="15" hidden="1">
      <c r="A484" s="25" t="s">
        <v>472</v>
      </c>
      <c r="B484" s="212" t="s">
        <v>657</v>
      </c>
      <c r="C484" s="138"/>
      <c r="D484" s="221"/>
      <c r="E484" s="239">
        <v>970</v>
      </c>
      <c r="F484" s="95"/>
      <c r="G484" s="95"/>
      <c r="H484" s="147" t="s">
        <v>656</v>
      </c>
      <c r="I484" s="147"/>
      <c r="J484" s="135"/>
      <c r="K484" s="135"/>
      <c r="L484" s="139"/>
      <c r="M484" s="134"/>
      <c r="N484" s="134"/>
      <c r="O484" s="134"/>
      <c r="P484" s="134"/>
      <c r="Q484" s="134"/>
      <c r="R484" s="134"/>
      <c r="S484" s="139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  <c r="AY484" s="82"/>
      <c r="AZ484" s="82"/>
      <c r="BA484" s="82"/>
      <c r="BB484" s="82"/>
      <c r="BC484" s="82"/>
      <c r="BD484" s="83"/>
      <c r="BE484" s="83"/>
      <c r="BF484" s="83"/>
      <c r="BG484" s="82"/>
      <c r="BH484" s="81"/>
      <c r="BI484" s="80"/>
      <c r="BJ484" s="25"/>
      <c r="BK484" s="25"/>
      <c r="BL484" s="25"/>
      <c r="BM484" s="84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B484" s="25"/>
      <c r="CC484" s="25"/>
      <c r="CD484" s="25"/>
      <c r="CE484" s="25"/>
      <c r="CF484" s="25"/>
      <c r="CG484" s="25"/>
      <c r="CH484" s="25"/>
      <c r="CI484" s="25"/>
      <c r="CJ484" s="25"/>
      <c r="CK484" s="25"/>
      <c r="CL484" s="25"/>
      <c r="CM484" s="25"/>
      <c r="CN484" s="25"/>
      <c r="CO484" s="25"/>
      <c r="CP484" s="25"/>
      <c r="CQ484" s="25"/>
      <c r="CR484" s="25"/>
      <c r="CS484" s="25"/>
      <c r="CT484" s="25"/>
      <c r="CU484" s="25"/>
      <c r="CV484" s="25"/>
      <c r="CW484" s="25"/>
      <c r="CX484" s="25"/>
      <c r="CY484" s="25"/>
      <c r="CZ484" s="25"/>
      <c r="DA484" s="25"/>
      <c r="DB484" s="25"/>
      <c r="DC484" s="25"/>
      <c r="DD484" s="25"/>
      <c r="DE484" s="25"/>
      <c r="DF484" s="92"/>
      <c r="DG484" s="92"/>
      <c r="DH484" s="203"/>
      <c r="DI484" s="203"/>
      <c r="DJ484" s="203"/>
      <c r="DK484" s="203"/>
      <c r="DL484" s="203"/>
      <c r="DM484" s="203"/>
      <c r="DN484" s="203"/>
      <c r="DO484" s="203"/>
      <c r="DP484" s="208"/>
      <c r="DQ484" s="208"/>
      <c r="DR484" s="208"/>
      <c r="DS484" s="208"/>
      <c r="DT484" s="208"/>
      <c r="DU484" s="208"/>
      <c r="DV484" s="208"/>
      <c r="DW484" s="208"/>
      <c r="DX484" s="208"/>
      <c r="DY484" s="208"/>
      <c r="DZ484" s="208"/>
      <c r="EA484" s="208"/>
      <c r="EB484" s="208"/>
      <c r="EC484" s="208"/>
      <c r="ED484" s="208"/>
      <c r="EE484" s="208"/>
      <c r="EF484" s="208"/>
      <c r="EG484" s="208"/>
      <c r="EH484" s="208"/>
      <c r="EI484" s="208"/>
      <c r="EJ484" s="208"/>
      <c r="EK484" s="208"/>
      <c r="EL484" s="208"/>
      <c r="EM484" s="208"/>
      <c r="EN484" s="208"/>
      <c r="EO484" s="208"/>
      <c r="EP484" s="208"/>
      <c r="EQ484" s="208"/>
      <c r="ER484" s="208"/>
      <c r="ES484" s="208"/>
      <c r="ET484" s="208"/>
      <c r="EU484" s="208"/>
      <c r="EV484" s="208"/>
      <c r="EW484" s="208"/>
      <c r="EX484" s="208"/>
      <c r="EY484" s="208"/>
      <c r="EZ484" s="208">
        <v>0</v>
      </c>
      <c r="FA484" s="208">
        <v>0</v>
      </c>
      <c r="FB484" s="208">
        <v>0</v>
      </c>
      <c r="FC484" s="208"/>
      <c r="FD484" s="82"/>
      <c r="FE484" s="30"/>
    </row>
    <row r="485" spans="1:161" ht="15">
      <c r="A485" s="25" t="s">
        <v>476</v>
      </c>
      <c r="B485" s="230" t="s">
        <v>149</v>
      </c>
      <c r="C485" s="138"/>
      <c r="D485" s="221"/>
      <c r="E485" s="239">
        <v>1795</v>
      </c>
      <c r="F485" s="95"/>
      <c r="G485" s="95"/>
      <c r="H485" s="231" t="s">
        <v>656</v>
      </c>
      <c r="I485" s="147"/>
      <c r="J485" s="135"/>
      <c r="K485" s="135"/>
      <c r="L485" s="139"/>
      <c r="M485" s="134"/>
      <c r="N485" s="134"/>
      <c r="O485" s="134"/>
      <c r="P485" s="134"/>
      <c r="Q485" s="134"/>
      <c r="R485" s="134"/>
      <c r="S485" s="139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  <c r="AY485" s="82"/>
      <c r="AZ485" s="82"/>
      <c r="BA485" s="82"/>
      <c r="BB485" s="82"/>
      <c r="BC485" s="82"/>
      <c r="BD485" s="83"/>
      <c r="BE485" s="83"/>
      <c r="BF485" s="83"/>
      <c r="BG485" s="82"/>
      <c r="BH485" s="81"/>
      <c r="BI485" s="80"/>
      <c r="BJ485" s="25"/>
      <c r="BK485" s="25"/>
      <c r="BL485" s="25"/>
      <c r="BM485" s="84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5"/>
      <c r="CA485" s="25"/>
      <c r="CB485" s="25"/>
      <c r="CC485" s="25"/>
      <c r="CD485" s="25"/>
      <c r="CE485" s="25"/>
      <c r="CF485" s="25"/>
      <c r="CG485" s="25"/>
      <c r="CH485" s="25"/>
      <c r="CI485" s="25"/>
      <c r="CJ485" s="25"/>
      <c r="CK485" s="25"/>
      <c r="CL485" s="25"/>
      <c r="CM485" s="25"/>
      <c r="CN485" s="25"/>
      <c r="CO485" s="25"/>
      <c r="CP485" s="25"/>
      <c r="CQ485" s="25"/>
      <c r="CR485" s="25"/>
      <c r="CS485" s="25"/>
      <c r="CT485" s="25"/>
      <c r="CU485" s="25"/>
      <c r="CV485" s="25"/>
      <c r="CW485" s="25"/>
      <c r="CX485" s="25"/>
      <c r="CY485" s="25"/>
      <c r="CZ485" s="25"/>
      <c r="DA485" s="25"/>
      <c r="DB485" s="25"/>
      <c r="DC485" s="25"/>
      <c r="DD485" s="25"/>
      <c r="DE485" s="25"/>
      <c r="DF485" s="92"/>
      <c r="DG485" s="92"/>
      <c r="DH485" s="203"/>
      <c r="DI485" s="203"/>
      <c r="DJ485" s="203"/>
      <c r="DK485" s="203"/>
      <c r="DL485" s="203"/>
      <c r="DM485" s="203"/>
      <c r="DN485" s="203"/>
      <c r="DO485" s="203"/>
      <c r="DP485" s="208"/>
      <c r="DQ485" s="208"/>
      <c r="DR485" s="208"/>
      <c r="DS485" s="208"/>
      <c r="DT485" s="208"/>
      <c r="DU485" s="208"/>
      <c r="DV485" s="208"/>
      <c r="DW485" s="208"/>
      <c r="DX485" s="208"/>
      <c r="DY485" s="208"/>
      <c r="DZ485" s="208"/>
      <c r="EA485" s="208"/>
      <c r="EB485" s="208"/>
      <c r="EC485" s="208"/>
      <c r="ED485" s="208"/>
      <c r="EE485" s="208"/>
      <c r="EF485" s="208"/>
      <c r="EG485" s="208"/>
      <c r="EH485" s="208"/>
      <c r="EI485" s="208"/>
      <c r="EJ485" s="208"/>
      <c r="EK485" s="208"/>
      <c r="EL485" s="208"/>
      <c r="EM485" s="208"/>
      <c r="EN485" s="208"/>
      <c r="EO485" s="208"/>
      <c r="EP485" s="208"/>
      <c r="EQ485" s="208"/>
      <c r="ER485" s="208"/>
      <c r="ES485" s="208"/>
      <c r="ET485" s="208"/>
      <c r="EU485" s="208"/>
      <c r="EV485" s="208"/>
      <c r="EW485" s="208"/>
      <c r="EX485" s="208"/>
      <c r="EY485" s="208"/>
      <c r="EZ485" s="208">
        <v>0</v>
      </c>
      <c r="FA485" s="208">
        <v>0</v>
      </c>
      <c r="FB485" s="208">
        <v>0</v>
      </c>
      <c r="FC485" s="208"/>
      <c r="FD485" s="82"/>
      <c r="FE485" s="30"/>
    </row>
    <row r="486" spans="1:161" ht="15">
      <c r="A486" s="25" t="s">
        <v>150</v>
      </c>
      <c r="B486" s="230" t="s">
        <v>149</v>
      </c>
      <c r="C486" s="138"/>
      <c r="D486" s="221"/>
      <c r="E486" s="239">
        <v>1795</v>
      </c>
      <c r="F486" s="95"/>
      <c r="G486" s="95"/>
      <c r="H486" s="231" t="s">
        <v>656</v>
      </c>
      <c r="I486" s="147"/>
      <c r="J486" s="135"/>
      <c r="K486" s="135"/>
      <c r="L486" s="139"/>
      <c r="M486" s="134"/>
      <c r="N486" s="134"/>
      <c r="O486" s="134"/>
      <c r="P486" s="134"/>
      <c r="Q486" s="134"/>
      <c r="R486" s="134"/>
      <c r="S486" s="139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  <c r="AQ486" s="82"/>
      <c r="AR486" s="82"/>
      <c r="AS486" s="82"/>
      <c r="AT486" s="82"/>
      <c r="AU486" s="82"/>
      <c r="AV486" s="82"/>
      <c r="AW486" s="82"/>
      <c r="AX486" s="82"/>
      <c r="AY486" s="82"/>
      <c r="AZ486" s="82"/>
      <c r="BA486" s="82"/>
      <c r="BB486" s="82"/>
      <c r="BC486" s="82"/>
      <c r="BD486" s="83"/>
      <c r="BE486" s="83"/>
      <c r="BF486" s="83"/>
      <c r="BG486" s="82"/>
      <c r="BH486" s="81"/>
      <c r="BI486" s="80"/>
      <c r="BJ486" s="25"/>
      <c r="BK486" s="25"/>
      <c r="BL486" s="25"/>
      <c r="BM486" s="84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  <c r="CC486" s="25"/>
      <c r="CD486" s="25"/>
      <c r="CE486" s="25"/>
      <c r="CF486" s="25"/>
      <c r="CG486" s="25"/>
      <c r="CH486" s="25"/>
      <c r="CI486" s="25"/>
      <c r="CJ486" s="25"/>
      <c r="CK486" s="25"/>
      <c r="CL486" s="25"/>
      <c r="CM486" s="25"/>
      <c r="CN486" s="25"/>
      <c r="CO486" s="25"/>
      <c r="CP486" s="25"/>
      <c r="CQ486" s="25"/>
      <c r="CR486" s="25"/>
      <c r="CS486" s="25"/>
      <c r="CT486" s="25"/>
      <c r="CU486" s="25"/>
      <c r="CV486" s="25"/>
      <c r="CW486" s="25"/>
      <c r="CX486" s="25"/>
      <c r="CY486" s="25"/>
      <c r="CZ486" s="25"/>
      <c r="DA486" s="25"/>
      <c r="DB486" s="25"/>
      <c r="DC486" s="25"/>
      <c r="DD486" s="25"/>
      <c r="DE486" s="25"/>
      <c r="DF486" s="92"/>
      <c r="DG486" s="92"/>
      <c r="DH486" s="203"/>
      <c r="DI486" s="203"/>
      <c r="DJ486" s="203"/>
      <c r="DK486" s="203"/>
      <c r="DL486" s="203"/>
      <c r="DM486" s="203"/>
      <c r="DN486" s="203"/>
      <c r="DO486" s="203"/>
      <c r="DP486" s="208"/>
      <c r="DQ486" s="208"/>
      <c r="DR486" s="208"/>
      <c r="DS486" s="208"/>
      <c r="DT486" s="208"/>
      <c r="DU486" s="208"/>
      <c r="DV486" s="208"/>
      <c r="DW486" s="208"/>
      <c r="DX486" s="208"/>
      <c r="DY486" s="208"/>
      <c r="DZ486" s="208"/>
      <c r="EA486" s="208"/>
      <c r="EB486" s="208"/>
      <c r="EC486" s="208"/>
      <c r="ED486" s="208"/>
      <c r="EE486" s="208"/>
      <c r="EF486" s="208"/>
      <c r="EG486" s="208"/>
      <c r="EH486" s="208"/>
      <c r="EI486" s="208"/>
      <c r="EJ486" s="208"/>
      <c r="EK486" s="208"/>
      <c r="EL486" s="208"/>
      <c r="EM486" s="208"/>
      <c r="EN486" s="208"/>
      <c r="EO486" s="208"/>
      <c r="EP486" s="208"/>
      <c r="EQ486" s="208"/>
      <c r="ER486" s="208"/>
      <c r="ES486" s="208"/>
      <c r="ET486" s="208"/>
      <c r="EU486" s="208"/>
      <c r="EV486" s="208"/>
      <c r="EW486" s="208"/>
      <c r="EX486" s="208"/>
      <c r="EY486" s="208"/>
      <c r="EZ486" s="208">
        <v>0</v>
      </c>
      <c r="FA486" s="208">
        <v>0</v>
      </c>
      <c r="FB486" s="208">
        <v>0</v>
      </c>
      <c r="FC486" s="208"/>
      <c r="FD486" s="82"/>
      <c r="FE486" s="30"/>
    </row>
    <row r="487" spans="1:161" ht="15">
      <c r="A487" s="25" t="s">
        <v>477</v>
      </c>
      <c r="B487" s="212" t="s">
        <v>149</v>
      </c>
      <c r="C487" s="138"/>
      <c r="D487" s="221"/>
      <c r="E487" s="239">
        <v>1795</v>
      </c>
      <c r="F487" s="95"/>
      <c r="G487" s="95"/>
      <c r="H487" s="147" t="s">
        <v>656</v>
      </c>
      <c r="I487" s="147"/>
      <c r="J487" s="135"/>
      <c r="K487" s="135"/>
      <c r="L487" s="139"/>
      <c r="M487" s="134"/>
      <c r="N487" s="134"/>
      <c r="O487" s="134"/>
      <c r="P487" s="134"/>
      <c r="Q487" s="134"/>
      <c r="R487" s="134"/>
      <c r="S487" s="139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  <c r="AY487" s="82"/>
      <c r="AZ487" s="82"/>
      <c r="BA487" s="82"/>
      <c r="BB487" s="82"/>
      <c r="BC487" s="82"/>
      <c r="BD487" s="83"/>
      <c r="BE487" s="83"/>
      <c r="BF487" s="83"/>
      <c r="BG487" s="82"/>
      <c r="BH487" s="81"/>
      <c r="BI487" s="80"/>
      <c r="BJ487" s="25"/>
      <c r="BK487" s="25"/>
      <c r="BL487" s="25"/>
      <c r="BM487" s="84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5"/>
      <c r="CA487" s="25"/>
      <c r="CB487" s="25"/>
      <c r="CC487" s="25"/>
      <c r="CD487" s="25"/>
      <c r="CE487" s="25"/>
      <c r="CF487" s="25"/>
      <c r="CG487" s="25"/>
      <c r="CH487" s="25"/>
      <c r="CI487" s="25"/>
      <c r="CJ487" s="25"/>
      <c r="CK487" s="25"/>
      <c r="CL487" s="25"/>
      <c r="CM487" s="25"/>
      <c r="CN487" s="25"/>
      <c r="CO487" s="25"/>
      <c r="CP487" s="25"/>
      <c r="CQ487" s="25"/>
      <c r="CR487" s="25"/>
      <c r="CS487" s="25"/>
      <c r="CT487" s="25"/>
      <c r="CU487" s="25"/>
      <c r="CV487" s="25"/>
      <c r="CW487" s="25"/>
      <c r="CX487" s="25"/>
      <c r="CY487" s="25"/>
      <c r="CZ487" s="25"/>
      <c r="DA487" s="25"/>
      <c r="DB487" s="25"/>
      <c r="DC487" s="25"/>
      <c r="DD487" s="25"/>
      <c r="DE487" s="25"/>
      <c r="DF487" s="92"/>
      <c r="DG487" s="92"/>
      <c r="DH487" s="203"/>
      <c r="DI487" s="203"/>
      <c r="DJ487" s="203"/>
      <c r="DK487" s="203"/>
      <c r="DL487" s="203"/>
      <c r="DM487" s="203"/>
      <c r="DN487" s="203"/>
      <c r="DO487" s="203"/>
      <c r="DP487" s="208"/>
      <c r="DQ487" s="208"/>
      <c r="DR487" s="208"/>
      <c r="DS487" s="208"/>
      <c r="DT487" s="208"/>
      <c r="DU487" s="208"/>
      <c r="DV487" s="208"/>
      <c r="DW487" s="208"/>
      <c r="DX487" s="208"/>
      <c r="DY487" s="208"/>
      <c r="DZ487" s="208"/>
      <c r="EA487" s="208"/>
      <c r="EB487" s="208"/>
      <c r="EC487" s="208"/>
      <c r="ED487" s="208"/>
      <c r="EE487" s="208"/>
      <c r="EF487" s="208"/>
      <c r="EG487" s="208"/>
      <c r="EH487" s="208"/>
      <c r="EI487" s="208"/>
      <c r="EJ487" s="208"/>
      <c r="EK487" s="208"/>
      <c r="EL487" s="208"/>
      <c r="EM487" s="208"/>
      <c r="EN487" s="208"/>
      <c r="EO487" s="208"/>
      <c r="EP487" s="208"/>
      <c r="EQ487" s="208"/>
      <c r="ER487" s="208"/>
      <c r="ES487" s="208"/>
      <c r="ET487" s="208"/>
      <c r="EU487" s="208"/>
      <c r="EV487" s="208"/>
      <c r="EW487" s="208"/>
      <c r="EX487" s="208"/>
      <c r="EY487" s="208"/>
      <c r="EZ487" s="208">
        <v>0</v>
      </c>
      <c r="FA487" s="208">
        <v>0</v>
      </c>
      <c r="FB487" s="208">
        <v>0</v>
      </c>
      <c r="FC487" s="208"/>
      <c r="FD487" s="82"/>
      <c r="FE487" s="30"/>
    </row>
    <row r="488" spans="1:161" ht="15">
      <c r="A488" s="25" t="s">
        <v>478</v>
      </c>
      <c r="B488" s="212" t="s">
        <v>149</v>
      </c>
      <c r="C488" s="138"/>
      <c r="D488" s="221"/>
      <c r="E488" s="239">
        <v>1795</v>
      </c>
      <c r="F488" s="95"/>
      <c r="G488" s="95"/>
      <c r="H488" s="147" t="s">
        <v>656</v>
      </c>
      <c r="I488" s="147"/>
      <c r="J488" s="135"/>
      <c r="K488" s="135"/>
      <c r="L488" s="139"/>
      <c r="M488" s="134"/>
      <c r="N488" s="134"/>
      <c r="O488" s="134"/>
      <c r="P488" s="134"/>
      <c r="Q488" s="134"/>
      <c r="R488" s="134"/>
      <c r="S488" s="139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  <c r="AQ488" s="82"/>
      <c r="AR488" s="82"/>
      <c r="AS488" s="82"/>
      <c r="AT488" s="82"/>
      <c r="AU488" s="82"/>
      <c r="AV488" s="82"/>
      <c r="AW488" s="82"/>
      <c r="AX488" s="82"/>
      <c r="AY488" s="82"/>
      <c r="AZ488" s="82"/>
      <c r="BA488" s="82"/>
      <c r="BB488" s="82"/>
      <c r="BC488" s="82"/>
      <c r="BD488" s="83"/>
      <c r="BE488" s="83"/>
      <c r="BF488" s="83"/>
      <c r="BG488" s="82"/>
      <c r="BH488" s="81"/>
      <c r="BI488" s="80"/>
      <c r="BJ488" s="25"/>
      <c r="BK488" s="25"/>
      <c r="BL488" s="25"/>
      <c r="BM488" s="84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5"/>
      <c r="CA488" s="25"/>
      <c r="CB488" s="25"/>
      <c r="CC488" s="25"/>
      <c r="CD488" s="25"/>
      <c r="CE488" s="25"/>
      <c r="CF488" s="25"/>
      <c r="CG488" s="25"/>
      <c r="CH488" s="25"/>
      <c r="CI488" s="25"/>
      <c r="CJ488" s="25"/>
      <c r="CK488" s="25"/>
      <c r="CL488" s="25"/>
      <c r="CM488" s="25"/>
      <c r="CN488" s="25"/>
      <c r="CO488" s="25"/>
      <c r="CP488" s="25"/>
      <c r="CQ488" s="25"/>
      <c r="CR488" s="25"/>
      <c r="CS488" s="25"/>
      <c r="CT488" s="25"/>
      <c r="CU488" s="25"/>
      <c r="CV488" s="25"/>
      <c r="CW488" s="25"/>
      <c r="CX488" s="25"/>
      <c r="CY488" s="25"/>
      <c r="CZ488" s="25"/>
      <c r="DA488" s="25"/>
      <c r="DB488" s="25"/>
      <c r="DC488" s="25"/>
      <c r="DD488" s="25"/>
      <c r="DE488" s="25"/>
      <c r="DF488" s="92"/>
      <c r="DG488" s="92"/>
      <c r="DH488" s="203"/>
      <c r="DI488" s="203"/>
      <c r="DJ488" s="203"/>
      <c r="DK488" s="203"/>
      <c r="DL488" s="203"/>
      <c r="DM488" s="203"/>
      <c r="DN488" s="203"/>
      <c r="DO488" s="203"/>
      <c r="DP488" s="208"/>
      <c r="DQ488" s="208"/>
      <c r="DR488" s="208"/>
      <c r="DS488" s="208"/>
      <c r="DT488" s="208"/>
      <c r="DU488" s="208"/>
      <c r="DV488" s="208"/>
      <c r="DW488" s="208"/>
      <c r="DX488" s="208"/>
      <c r="DY488" s="208"/>
      <c r="DZ488" s="208"/>
      <c r="EA488" s="208"/>
      <c r="EB488" s="208"/>
      <c r="EC488" s="208"/>
      <c r="ED488" s="208"/>
      <c r="EE488" s="208"/>
      <c r="EF488" s="208"/>
      <c r="EG488" s="208"/>
      <c r="EH488" s="208"/>
      <c r="EI488" s="208"/>
      <c r="EJ488" s="208"/>
      <c r="EK488" s="208"/>
      <c r="EL488" s="208"/>
      <c r="EM488" s="208"/>
      <c r="EN488" s="208"/>
      <c r="EO488" s="208"/>
      <c r="EP488" s="208"/>
      <c r="EQ488" s="208"/>
      <c r="ER488" s="208"/>
      <c r="ES488" s="208"/>
      <c r="ET488" s="208"/>
      <c r="EU488" s="208"/>
      <c r="EV488" s="208"/>
      <c r="EW488" s="208"/>
      <c r="EX488" s="208"/>
      <c r="EY488" s="208"/>
      <c r="EZ488" s="208">
        <v>0</v>
      </c>
      <c r="FA488" s="208">
        <v>0</v>
      </c>
      <c r="FB488" s="208">
        <v>0</v>
      </c>
      <c r="FC488" s="208"/>
      <c r="FD488" s="82"/>
      <c r="FE488" s="30"/>
    </row>
    <row r="489" spans="1:161" ht="15">
      <c r="A489" s="25" t="s">
        <v>479</v>
      </c>
      <c r="B489" s="212" t="s">
        <v>149</v>
      </c>
      <c r="C489" s="138"/>
      <c r="D489" s="221"/>
      <c r="E489" s="239">
        <v>1795</v>
      </c>
      <c r="F489" s="95"/>
      <c r="G489" s="95"/>
      <c r="H489" s="147" t="s">
        <v>656</v>
      </c>
      <c r="I489" s="147"/>
      <c r="J489" s="135"/>
      <c r="K489" s="135"/>
      <c r="L489" s="139"/>
      <c r="M489" s="134"/>
      <c r="N489" s="134"/>
      <c r="O489" s="134"/>
      <c r="P489" s="134"/>
      <c r="Q489" s="134"/>
      <c r="R489" s="134"/>
      <c r="S489" s="139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  <c r="AY489" s="82"/>
      <c r="AZ489" s="82"/>
      <c r="BA489" s="82"/>
      <c r="BB489" s="82"/>
      <c r="BC489" s="82"/>
      <c r="BD489" s="83"/>
      <c r="BE489" s="83"/>
      <c r="BF489" s="83"/>
      <c r="BG489" s="82"/>
      <c r="BH489" s="81"/>
      <c r="BI489" s="80"/>
      <c r="BJ489" s="25"/>
      <c r="BK489" s="25"/>
      <c r="BL489" s="25"/>
      <c r="BM489" s="84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5"/>
      <c r="CA489" s="25"/>
      <c r="CB489" s="25"/>
      <c r="CC489" s="25"/>
      <c r="CD489" s="25"/>
      <c r="CE489" s="25"/>
      <c r="CF489" s="25"/>
      <c r="CG489" s="25"/>
      <c r="CH489" s="25"/>
      <c r="CI489" s="25"/>
      <c r="CJ489" s="25"/>
      <c r="CK489" s="25"/>
      <c r="CL489" s="25"/>
      <c r="CM489" s="25"/>
      <c r="CN489" s="25"/>
      <c r="CO489" s="25"/>
      <c r="CP489" s="25"/>
      <c r="CQ489" s="25"/>
      <c r="CR489" s="25"/>
      <c r="CS489" s="25"/>
      <c r="CT489" s="25"/>
      <c r="CU489" s="25"/>
      <c r="CV489" s="25"/>
      <c r="CW489" s="25"/>
      <c r="CX489" s="25"/>
      <c r="CY489" s="25"/>
      <c r="CZ489" s="25"/>
      <c r="DA489" s="25"/>
      <c r="DB489" s="25"/>
      <c r="DC489" s="25"/>
      <c r="DD489" s="25"/>
      <c r="DE489" s="25"/>
      <c r="DF489" s="92"/>
      <c r="DG489" s="92"/>
      <c r="DH489" s="203"/>
      <c r="DI489" s="203"/>
      <c r="DJ489" s="203"/>
      <c r="DK489" s="203"/>
      <c r="DL489" s="203"/>
      <c r="DM489" s="203"/>
      <c r="DN489" s="203"/>
      <c r="DO489" s="203"/>
      <c r="DP489" s="208"/>
      <c r="DQ489" s="208"/>
      <c r="DR489" s="208"/>
      <c r="DS489" s="208"/>
      <c r="DT489" s="208"/>
      <c r="DU489" s="208"/>
      <c r="DV489" s="208"/>
      <c r="DW489" s="208"/>
      <c r="DX489" s="208"/>
      <c r="DY489" s="208"/>
      <c r="DZ489" s="208"/>
      <c r="EA489" s="208"/>
      <c r="EB489" s="208"/>
      <c r="EC489" s="208"/>
      <c r="ED489" s="208"/>
      <c r="EE489" s="208"/>
      <c r="EF489" s="208"/>
      <c r="EG489" s="208"/>
      <c r="EH489" s="208"/>
      <c r="EI489" s="208"/>
      <c r="EJ489" s="208"/>
      <c r="EK489" s="208"/>
      <c r="EL489" s="208"/>
      <c r="EM489" s="208"/>
      <c r="EN489" s="208"/>
      <c r="EO489" s="208"/>
      <c r="EP489" s="208"/>
      <c r="EQ489" s="208"/>
      <c r="ER489" s="208"/>
      <c r="ES489" s="208"/>
      <c r="ET489" s="208"/>
      <c r="EU489" s="208"/>
      <c r="EV489" s="208"/>
      <c r="EW489" s="208"/>
      <c r="EX489" s="208"/>
      <c r="EY489" s="208"/>
      <c r="EZ489" s="208">
        <v>0</v>
      </c>
      <c r="FA489" s="208">
        <v>0</v>
      </c>
      <c r="FB489" s="208">
        <v>0</v>
      </c>
      <c r="FC489" s="208"/>
      <c r="FD489" s="82"/>
      <c r="FE489" s="30"/>
    </row>
    <row r="490" spans="1:161" ht="15">
      <c r="A490" s="25" t="s">
        <v>480</v>
      </c>
      <c r="B490" s="212" t="s">
        <v>149</v>
      </c>
      <c r="C490" s="138"/>
      <c r="D490" s="221"/>
      <c r="E490" s="239">
        <v>1795</v>
      </c>
      <c r="F490" s="95"/>
      <c r="G490" s="95"/>
      <c r="H490" s="147" t="s">
        <v>656</v>
      </c>
      <c r="I490" s="147"/>
      <c r="J490" s="135"/>
      <c r="K490" s="135"/>
      <c r="L490" s="139"/>
      <c r="M490" s="134"/>
      <c r="N490" s="134"/>
      <c r="O490" s="134"/>
      <c r="P490" s="134"/>
      <c r="Q490" s="134"/>
      <c r="R490" s="134"/>
      <c r="S490" s="139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  <c r="AY490" s="82"/>
      <c r="AZ490" s="82"/>
      <c r="BA490" s="82"/>
      <c r="BB490" s="82"/>
      <c r="BC490" s="82"/>
      <c r="BD490" s="83"/>
      <c r="BE490" s="83"/>
      <c r="BF490" s="83"/>
      <c r="BG490" s="82"/>
      <c r="BH490" s="81"/>
      <c r="BI490" s="80"/>
      <c r="BJ490" s="25"/>
      <c r="BK490" s="25"/>
      <c r="BL490" s="25"/>
      <c r="BM490" s="84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5"/>
      <c r="CA490" s="25"/>
      <c r="CB490" s="25"/>
      <c r="CC490" s="25"/>
      <c r="CD490" s="25"/>
      <c r="CE490" s="25"/>
      <c r="CF490" s="25"/>
      <c r="CG490" s="25"/>
      <c r="CH490" s="25"/>
      <c r="CI490" s="25"/>
      <c r="CJ490" s="25"/>
      <c r="CK490" s="25"/>
      <c r="CL490" s="25"/>
      <c r="CM490" s="25"/>
      <c r="CN490" s="25"/>
      <c r="CO490" s="25"/>
      <c r="CP490" s="25"/>
      <c r="CQ490" s="25"/>
      <c r="CR490" s="25"/>
      <c r="CS490" s="25"/>
      <c r="CT490" s="25"/>
      <c r="CU490" s="25"/>
      <c r="CV490" s="25"/>
      <c r="CW490" s="25"/>
      <c r="CX490" s="25"/>
      <c r="CY490" s="25"/>
      <c r="CZ490" s="25"/>
      <c r="DA490" s="25"/>
      <c r="DB490" s="25"/>
      <c r="DC490" s="25"/>
      <c r="DD490" s="25"/>
      <c r="DE490" s="25"/>
      <c r="DF490" s="92"/>
      <c r="DG490" s="92"/>
      <c r="DH490" s="203"/>
      <c r="DI490" s="203"/>
      <c r="DJ490" s="203"/>
      <c r="DK490" s="203"/>
      <c r="DL490" s="203"/>
      <c r="DM490" s="203"/>
      <c r="DN490" s="203"/>
      <c r="DO490" s="203"/>
      <c r="DP490" s="208"/>
      <c r="DQ490" s="208"/>
      <c r="DR490" s="208"/>
      <c r="DS490" s="208"/>
      <c r="DT490" s="208"/>
      <c r="DU490" s="208"/>
      <c r="DV490" s="208"/>
      <c r="DW490" s="208"/>
      <c r="DX490" s="208"/>
      <c r="DY490" s="208"/>
      <c r="DZ490" s="208"/>
      <c r="EA490" s="208"/>
      <c r="EB490" s="208"/>
      <c r="EC490" s="208"/>
      <c r="ED490" s="208"/>
      <c r="EE490" s="208"/>
      <c r="EF490" s="208"/>
      <c r="EG490" s="208"/>
      <c r="EH490" s="208"/>
      <c r="EI490" s="208"/>
      <c r="EJ490" s="208"/>
      <c r="EK490" s="208"/>
      <c r="EL490" s="208"/>
      <c r="EM490" s="208"/>
      <c r="EN490" s="208"/>
      <c r="EO490" s="208"/>
      <c r="EP490" s="208"/>
      <c r="EQ490" s="208"/>
      <c r="ER490" s="208"/>
      <c r="ES490" s="208"/>
      <c r="ET490" s="208"/>
      <c r="EU490" s="208"/>
      <c r="EV490" s="208"/>
      <c r="EW490" s="208"/>
      <c r="EX490" s="208"/>
      <c r="EY490" s="208"/>
      <c r="EZ490" s="208">
        <v>0</v>
      </c>
      <c r="FA490" s="208">
        <v>0</v>
      </c>
      <c r="FB490" s="208">
        <v>0</v>
      </c>
      <c r="FC490" s="208"/>
      <c r="FD490" s="82"/>
      <c r="FE490" s="30"/>
    </row>
    <row r="491" spans="1:161" ht="15">
      <c r="A491" s="25" t="s">
        <v>481</v>
      </c>
      <c r="B491" s="212" t="s">
        <v>149</v>
      </c>
      <c r="C491" s="138"/>
      <c r="D491" s="221"/>
      <c r="E491" s="239">
        <v>1795</v>
      </c>
      <c r="F491" s="95"/>
      <c r="G491" s="95"/>
      <c r="H491" s="147" t="s">
        <v>656</v>
      </c>
      <c r="I491" s="147"/>
      <c r="J491" s="135"/>
      <c r="K491" s="135"/>
      <c r="L491" s="139"/>
      <c r="M491" s="134"/>
      <c r="N491" s="134"/>
      <c r="O491" s="134"/>
      <c r="P491" s="134"/>
      <c r="Q491" s="134"/>
      <c r="R491" s="134"/>
      <c r="S491" s="139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  <c r="AQ491" s="82"/>
      <c r="AR491" s="82"/>
      <c r="AS491" s="82"/>
      <c r="AT491" s="82"/>
      <c r="AU491" s="82"/>
      <c r="AV491" s="82"/>
      <c r="AW491" s="82"/>
      <c r="AX491" s="82"/>
      <c r="AY491" s="82"/>
      <c r="AZ491" s="82"/>
      <c r="BA491" s="82"/>
      <c r="BB491" s="82"/>
      <c r="BC491" s="82"/>
      <c r="BD491" s="83"/>
      <c r="BE491" s="83"/>
      <c r="BF491" s="83"/>
      <c r="BG491" s="82"/>
      <c r="BH491" s="81"/>
      <c r="BI491" s="80"/>
      <c r="BJ491" s="25"/>
      <c r="BK491" s="25"/>
      <c r="BL491" s="25"/>
      <c r="BM491" s="84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5"/>
      <c r="CA491" s="25"/>
      <c r="CB491" s="25"/>
      <c r="CC491" s="25"/>
      <c r="CD491" s="25"/>
      <c r="CE491" s="25"/>
      <c r="CF491" s="25"/>
      <c r="CG491" s="25"/>
      <c r="CH491" s="25"/>
      <c r="CI491" s="25"/>
      <c r="CJ491" s="25"/>
      <c r="CK491" s="25"/>
      <c r="CL491" s="25"/>
      <c r="CM491" s="25"/>
      <c r="CN491" s="25"/>
      <c r="CO491" s="25"/>
      <c r="CP491" s="25"/>
      <c r="CQ491" s="25"/>
      <c r="CR491" s="25"/>
      <c r="CS491" s="25"/>
      <c r="CT491" s="25"/>
      <c r="CU491" s="25"/>
      <c r="CV491" s="25"/>
      <c r="CW491" s="25"/>
      <c r="CX491" s="25"/>
      <c r="CY491" s="25"/>
      <c r="CZ491" s="25"/>
      <c r="DA491" s="25"/>
      <c r="DB491" s="25"/>
      <c r="DC491" s="25"/>
      <c r="DD491" s="25"/>
      <c r="DE491" s="25"/>
      <c r="DF491" s="92"/>
      <c r="DG491" s="92"/>
      <c r="DH491" s="203"/>
      <c r="DI491" s="203"/>
      <c r="DJ491" s="203"/>
      <c r="DK491" s="203"/>
      <c r="DL491" s="203"/>
      <c r="DM491" s="203"/>
      <c r="DN491" s="203"/>
      <c r="DO491" s="203"/>
      <c r="DP491" s="208"/>
      <c r="DQ491" s="208"/>
      <c r="DR491" s="208"/>
      <c r="DS491" s="208"/>
      <c r="DT491" s="208"/>
      <c r="DU491" s="208"/>
      <c r="DV491" s="208"/>
      <c r="DW491" s="208"/>
      <c r="DX491" s="208"/>
      <c r="DY491" s="208"/>
      <c r="DZ491" s="208"/>
      <c r="EA491" s="208"/>
      <c r="EB491" s="208"/>
      <c r="EC491" s="208"/>
      <c r="ED491" s="208"/>
      <c r="EE491" s="208"/>
      <c r="EF491" s="208"/>
      <c r="EG491" s="208"/>
      <c r="EH491" s="208"/>
      <c r="EI491" s="208"/>
      <c r="EJ491" s="208"/>
      <c r="EK491" s="208"/>
      <c r="EL491" s="208"/>
      <c r="EM491" s="208"/>
      <c r="EN491" s="208"/>
      <c r="EO491" s="208"/>
      <c r="EP491" s="208"/>
      <c r="EQ491" s="208"/>
      <c r="ER491" s="208"/>
      <c r="ES491" s="208"/>
      <c r="ET491" s="208"/>
      <c r="EU491" s="208"/>
      <c r="EV491" s="208"/>
      <c r="EW491" s="208"/>
      <c r="EX491" s="208"/>
      <c r="EY491" s="208"/>
      <c r="EZ491" s="208">
        <v>0</v>
      </c>
      <c r="FA491" s="208">
        <v>0</v>
      </c>
      <c r="FB491" s="208">
        <v>0</v>
      </c>
      <c r="FC491" s="208"/>
      <c r="FD491" s="82"/>
      <c r="FE491" s="30"/>
    </row>
    <row r="492" spans="1:161" ht="15">
      <c r="A492" s="25" t="s">
        <v>482</v>
      </c>
      <c r="B492" s="212" t="s">
        <v>149</v>
      </c>
      <c r="C492" s="138"/>
      <c r="D492" s="221"/>
      <c r="E492" s="239">
        <v>1795</v>
      </c>
      <c r="F492" s="95"/>
      <c r="G492" s="95"/>
      <c r="H492" s="147" t="s">
        <v>656</v>
      </c>
      <c r="I492" s="147"/>
      <c r="J492" s="135"/>
      <c r="K492" s="135"/>
      <c r="L492" s="139"/>
      <c r="M492" s="134"/>
      <c r="N492" s="134"/>
      <c r="O492" s="134"/>
      <c r="P492" s="134"/>
      <c r="Q492" s="134"/>
      <c r="R492" s="134"/>
      <c r="S492" s="139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  <c r="AY492" s="82"/>
      <c r="AZ492" s="82"/>
      <c r="BA492" s="82"/>
      <c r="BB492" s="82"/>
      <c r="BC492" s="82"/>
      <c r="BD492" s="83"/>
      <c r="BE492" s="83"/>
      <c r="BF492" s="83"/>
      <c r="BG492" s="82"/>
      <c r="BH492" s="81"/>
      <c r="BI492" s="80"/>
      <c r="BJ492" s="25"/>
      <c r="BK492" s="25"/>
      <c r="BL492" s="25"/>
      <c r="BM492" s="84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5"/>
      <c r="CA492" s="25"/>
      <c r="CB492" s="25"/>
      <c r="CC492" s="25"/>
      <c r="CD492" s="25"/>
      <c r="CE492" s="25"/>
      <c r="CF492" s="25"/>
      <c r="CG492" s="25"/>
      <c r="CH492" s="25"/>
      <c r="CI492" s="25"/>
      <c r="CJ492" s="25"/>
      <c r="CK492" s="25"/>
      <c r="CL492" s="25"/>
      <c r="CM492" s="25"/>
      <c r="CN492" s="25"/>
      <c r="CO492" s="25"/>
      <c r="CP492" s="25"/>
      <c r="CQ492" s="25"/>
      <c r="CR492" s="25"/>
      <c r="CS492" s="25"/>
      <c r="CT492" s="25"/>
      <c r="CU492" s="25"/>
      <c r="CV492" s="25"/>
      <c r="CW492" s="25"/>
      <c r="CX492" s="25"/>
      <c r="CY492" s="25"/>
      <c r="CZ492" s="25"/>
      <c r="DA492" s="25"/>
      <c r="DB492" s="25"/>
      <c r="DC492" s="25"/>
      <c r="DD492" s="25"/>
      <c r="DE492" s="25"/>
      <c r="DF492" s="92"/>
      <c r="DG492" s="92"/>
      <c r="DH492" s="203"/>
      <c r="DI492" s="203"/>
      <c r="DJ492" s="203"/>
      <c r="DK492" s="203"/>
      <c r="DL492" s="203"/>
      <c r="DM492" s="203"/>
      <c r="DN492" s="203"/>
      <c r="DO492" s="203"/>
      <c r="DP492" s="208"/>
      <c r="DQ492" s="208"/>
      <c r="DR492" s="208"/>
      <c r="DS492" s="208"/>
      <c r="DT492" s="208"/>
      <c r="DU492" s="208"/>
      <c r="DV492" s="208"/>
      <c r="DW492" s="208"/>
      <c r="DX492" s="208"/>
      <c r="DY492" s="208"/>
      <c r="DZ492" s="208"/>
      <c r="EA492" s="208"/>
      <c r="EB492" s="208"/>
      <c r="EC492" s="208"/>
      <c r="ED492" s="208"/>
      <c r="EE492" s="208"/>
      <c r="EF492" s="208"/>
      <c r="EG492" s="208"/>
      <c r="EH492" s="208"/>
      <c r="EI492" s="208"/>
      <c r="EJ492" s="208"/>
      <c r="EK492" s="208"/>
      <c r="EL492" s="208"/>
      <c r="EM492" s="208"/>
      <c r="EN492" s="208"/>
      <c r="EO492" s="208"/>
      <c r="EP492" s="208"/>
      <c r="EQ492" s="208"/>
      <c r="ER492" s="208"/>
      <c r="ES492" s="208"/>
      <c r="ET492" s="208"/>
      <c r="EU492" s="208"/>
      <c r="EV492" s="208"/>
      <c r="EW492" s="208"/>
      <c r="EX492" s="208"/>
      <c r="EY492" s="208"/>
      <c r="EZ492" s="208">
        <v>0</v>
      </c>
      <c r="FA492" s="208">
        <v>0</v>
      </c>
      <c r="FB492" s="208">
        <v>0</v>
      </c>
      <c r="FC492" s="208"/>
      <c r="FD492" s="82"/>
      <c r="FE492" s="30"/>
    </row>
    <row r="493" spans="1:161" ht="15">
      <c r="A493" s="25" t="s">
        <v>483</v>
      </c>
      <c r="B493" s="212" t="s">
        <v>149</v>
      </c>
      <c r="C493" s="138"/>
      <c r="D493" s="221"/>
      <c r="E493" s="239">
        <v>1795</v>
      </c>
      <c r="F493" s="95"/>
      <c r="G493" s="95"/>
      <c r="H493" s="147" t="s">
        <v>656</v>
      </c>
      <c r="I493" s="147"/>
      <c r="J493" s="135"/>
      <c r="K493" s="135"/>
      <c r="L493" s="139"/>
      <c r="M493" s="134"/>
      <c r="N493" s="134"/>
      <c r="O493" s="134"/>
      <c r="P493" s="134"/>
      <c r="Q493" s="134"/>
      <c r="R493" s="134"/>
      <c r="S493" s="139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  <c r="AQ493" s="82"/>
      <c r="AR493" s="82"/>
      <c r="AS493" s="82"/>
      <c r="AT493" s="82"/>
      <c r="AU493" s="82"/>
      <c r="AV493" s="82"/>
      <c r="AW493" s="82"/>
      <c r="AX493" s="82"/>
      <c r="AY493" s="82"/>
      <c r="AZ493" s="82"/>
      <c r="BA493" s="82"/>
      <c r="BB493" s="82"/>
      <c r="BC493" s="82"/>
      <c r="BD493" s="83"/>
      <c r="BE493" s="83"/>
      <c r="BF493" s="83"/>
      <c r="BG493" s="82"/>
      <c r="BH493" s="81"/>
      <c r="BI493" s="80"/>
      <c r="BJ493" s="25"/>
      <c r="BK493" s="25"/>
      <c r="BL493" s="25"/>
      <c r="BM493" s="84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/>
      <c r="CO493" s="25"/>
      <c r="CP493" s="25"/>
      <c r="CQ493" s="25"/>
      <c r="CR493" s="25"/>
      <c r="CS493" s="25"/>
      <c r="CT493" s="25"/>
      <c r="CU493" s="25"/>
      <c r="CV493" s="25"/>
      <c r="CW493" s="25"/>
      <c r="CX493" s="25"/>
      <c r="CY493" s="25"/>
      <c r="CZ493" s="25"/>
      <c r="DA493" s="25"/>
      <c r="DB493" s="25"/>
      <c r="DC493" s="25"/>
      <c r="DD493" s="25"/>
      <c r="DE493" s="25"/>
      <c r="DF493" s="92"/>
      <c r="DG493" s="92"/>
      <c r="DH493" s="203"/>
      <c r="DI493" s="203"/>
      <c r="DJ493" s="203"/>
      <c r="DK493" s="203"/>
      <c r="DL493" s="203"/>
      <c r="DM493" s="203"/>
      <c r="DN493" s="203"/>
      <c r="DO493" s="203"/>
      <c r="DP493" s="208"/>
      <c r="DQ493" s="208"/>
      <c r="DR493" s="208"/>
      <c r="DS493" s="208"/>
      <c r="DT493" s="208"/>
      <c r="DU493" s="208"/>
      <c r="DV493" s="208"/>
      <c r="DW493" s="208"/>
      <c r="DX493" s="208"/>
      <c r="DY493" s="208"/>
      <c r="DZ493" s="208"/>
      <c r="EA493" s="208"/>
      <c r="EB493" s="208"/>
      <c r="EC493" s="208"/>
      <c r="ED493" s="208"/>
      <c r="EE493" s="208"/>
      <c r="EF493" s="208"/>
      <c r="EG493" s="208"/>
      <c r="EH493" s="208"/>
      <c r="EI493" s="208"/>
      <c r="EJ493" s="208"/>
      <c r="EK493" s="208"/>
      <c r="EL493" s="208"/>
      <c r="EM493" s="208"/>
      <c r="EN493" s="208"/>
      <c r="EO493" s="208"/>
      <c r="EP493" s="208"/>
      <c r="EQ493" s="208"/>
      <c r="ER493" s="208"/>
      <c r="ES493" s="208"/>
      <c r="ET493" s="208"/>
      <c r="EU493" s="208"/>
      <c r="EV493" s="208"/>
      <c r="EW493" s="208"/>
      <c r="EX493" s="208"/>
      <c r="EY493" s="208"/>
      <c r="EZ493" s="208">
        <v>0</v>
      </c>
      <c r="FA493" s="208">
        <v>0</v>
      </c>
      <c r="FB493" s="208">
        <v>0</v>
      </c>
      <c r="FC493" s="208"/>
      <c r="FD493" s="82"/>
      <c r="FE493" s="30"/>
    </row>
    <row r="494" spans="1:161" ht="15">
      <c r="A494" s="25" t="s">
        <v>484</v>
      </c>
      <c r="B494" s="212" t="s">
        <v>149</v>
      </c>
      <c r="C494" s="138"/>
      <c r="D494" s="221"/>
      <c r="E494" s="239">
        <v>1795</v>
      </c>
      <c r="F494" s="95"/>
      <c r="G494" s="95"/>
      <c r="H494" s="147" t="s">
        <v>656</v>
      </c>
      <c r="I494" s="147"/>
      <c r="J494" s="135"/>
      <c r="K494" s="135"/>
      <c r="L494" s="139"/>
      <c r="M494" s="134"/>
      <c r="N494" s="134"/>
      <c r="O494" s="134"/>
      <c r="P494" s="134"/>
      <c r="Q494" s="134"/>
      <c r="R494" s="134"/>
      <c r="S494" s="139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  <c r="AP494" s="82"/>
      <c r="AQ494" s="82"/>
      <c r="AR494" s="82"/>
      <c r="AS494" s="82"/>
      <c r="AT494" s="82"/>
      <c r="AU494" s="82"/>
      <c r="AV494" s="82"/>
      <c r="AW494" s="82"/>
      <c r="AX494" s="82"/>
      <c r="AY494" s="82"/>
      <c r="AZ494" s="82"/>
      <c r="BA494" s="82"/>
      <c r="BB494" s="82"/>
      <c r="BC494" s="82"/>
      <c r="BD494" s="83"/>
      <c r="BE494" s="83"/>
      <c r="BF494" s="83"/>
      <c r="BG494" s="82"/>
      <c r="BH494" s="81"/>
      <c r="BI494" s="80"/>
      <c r="BJ494" s="25"/>
      <c r="BK494" s="25"/>
      <c r="BL494" s="25"/>
      <c r="BM494" s="84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5"/>
      <c r="CA494" s="25"/>
      <c r="CB494" s="25"/>
      <c r="CC494" s="25"/>
      <c r="CD494" s="25"/>
      <c r="CE494" s="25"/>
      <c r="CF494" s="25"/>
      <c r="CG494" s="25"/>
      <c r="CH494" s="25"/>
      <c r="CI494" s="25"/>
      <c r="CJ494" s="25"/>
      <c r="CK494" s="25"/>
      <c r="CL494" s="25"/>
      <c r="CM494" s="25"/>
      <c r="CN494" s="25"/>
      <c r="CO494" s="25"/>
      <c r="CP494" s="25"/>
      <c r="CQ494" s="25"/>
      <c r="CR494" s="25"/>
      <c r="CS494" s="25"/>
      <c r="CT494" s="25"/>
      <c r="CU494" s="25"/>
      <c r="CV494" s="25"/>
      <c r="CW494" s="25"/>
      <c r="CX494" s="25"/>
      <c r="CY494" s="25"/>
      <c r="CZ494" s="25"/>
      <c r="DA494" s="25"/>
      <c r="DB494" s="25"/>
      <c r="DC494" s="25"/>
      <c r="DD494" s="25"/>
      <c r="DE494" s="25"/>
      <c r="DF494" s="92"/>
      <c r="DG494" s="92"/>
      <c r="DH494" s="203"/>
      <c r="DI494" s="203"/>
      <c r="DJ494" s="203"/>
      <c r="DK494" s="203"/>
      <c r="DL494" s="203"/>
      <c r="DM494" s="203"/>
      <c r="DN494" s="203"/>
      <c r="DO494" s="203"/>
      <c r="DP494" s="208"/>
      <c r="DQ494" s="208"/>
      <c r="DR494" s="208"/>
      <c r="DS494" s="208"/>
      <c r="DT494" s="208"/>
      <c r="DU494" s="208"/>
      <c r="DV494" s="208"/>
      <c r="DW494" s="208"/>
      <c r="DX494" s="208"/>
      <c r="DY494" s="208"/>
      <c r="DZ494" s="208"/>
      <c r="EA494" s="208"/>
      <c r="EB494" s="208"/>
      <c r="EC494" s="208"/>
      <c r="ED494" s="208"/>
      <c r="EE494" s="208"/>
      <c r="EF494" s="208"/>
      <c r="EG494" s="208"/>
      <c r="EH494" s="208"/>
      <c r="EI494" s="208"/>
      <c r="EJ494" s="208"/>
      <c r="EK494" s="208"/>
      <c r="EL494" s="208"/>
      <c r="EM494" s="208"/>
      <c r="EN494" s="208"/>
      <c r="EO494" s="208"/>
      <c r="EP494" s="208"/>
      <c r="EQ494" s="208"/>
      <c r="ER494" s="208"/>
      <c r="ES494" s="208"/>
      <c r="ET494" s="208"/>
      <c r="EU494" s="208"/>
      <c r="EV494" s="208"/>
      <c r="EW494" s="208"/>
      <c r="EX494" s="208"/>
      <c r="EY494" s="208"/>
      <c r="EZ494" s="208">
        <v>0</v>
      </c>
      <c r="FA494" s="208">
        <v>0</v>
      </c>
      <c r="FB494" s="208">
        <v>0</v>
      </c>
      <c r="FC494" s="208"/>
      <c r="FD494" s="82"/>
      <c r="FE494" s="30"/>
    </row>
    <row r="495" spans="1:161" ht="15" hidden="1">
      <c r="A495" s="25" t="s">
        <v>473</v>
      </c>
      <c r="B495" s="212" t="s">
        <v>149</v>
      </c>
      <c r="C495" s="138"/>
      <c r="D495" s="221"/>
      <c r="E495" s="239">
        <v>1585</v>
      </c>
      <c r="F495" s="95"/>
      <c r="G495" s="95"/>
      <c r="H495" s="147" t="s">
        <v>656</v>
      </c>
      <c r="I495" s="147"/>
      <c r="J495" s="135"/>
      <c r="K495" s="135"/>
      <c r="L495" s="139"/>
      <c r="M495" s="134"/>
      <c r="N495" s="134"/>
      <c r="O495" s="134"/>
      <c r="P495" s="134"/>
      <c r="Q495" s="134"/>
      <c r="R495" s="134"/>
      <c r="S495" s="139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  <c r="AP495" s="82"/>
      <c r="AQ495" s="82"/>
      <c r="AR495" s="82"/>
      <c r="AS495" s="82"/>
      <c r="AT495" s="82"/>
      <c r="AU495" s="82"/>
      <c r="AV495" s="82"/>
      <c r="AW495" s="82"/>
      <c r="AX495" s="82"/>
      <c r="AY495" s="82"/>
      <c r="AZ495" s="82"/>
      <c r="BA495" s="82"/>
      <c r="BB495" s="82"/>
      <c r="BC495" s="82"/>
      <c r="BD495" s="83"/>
      <c r="BE495" s="83"/>
      <c r="BF495" s="83"/>
      <c r="BG495" s="82"/>
      <c r="BH495" s="81"/>
      <c r="BI495" s="80"/>
      <c r="BJ495" s="25"/>
      <c r="BK495" s="25"/>
      <c r="BL495" s="25"/>
      <c r="BM495" s="84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5"/>
      <c r="CA495" s="25"/>
      <c r="CB495" s="25"/>
      <c r="CC495" s="25"/>
      <c r="CD495" s="25"/>
      <c r="CE495" s="25"/>
      <c r="CF495" s="25"/>
      <c r="CG495" s="25"/>
      <c r="CH495" s="25"/>
      <c r="CI495" s="25"/>
      <c r="CJ495" s="25"/>
      <c r="CK495" s="25"/>
      <c r="CL495" s="25"/>
      <c r="CM495" s="25"/>
      <c r="CN495" s="25"/>
      <c r="CO495" s="25"/>
      <c r="CP495" s="25"/>
      <c r="CQ495" s="25"/>
      <c r="CR495" s="25"/>
      <c r="CS495" s="25"/>
      <c r="CT495" s="25"/>
      <c r="CU495" s="25"/>
      <c r="CV495" s="25"/>
      <c r="CW495" s="25"/>
      <c r="CX495" s="25"/>
      <c r="CY495" s="25"/>
      <c r="CZ495" s="25"/>
      <c r="DA495" s="25"/>
      <c r="DB495" s="25"/>
      <c r="DC495" s="25"/>
      <c r="DD495" s="25"/>
      <c r="DE495" s="25"/>
      <c r="DF495" s="92"/>
      <c r="DG495" s="92"/>
      <c r="DH495" s="203"/>
      <c r="DI495" s="203"/>
      <c r="DJ495" s="203"/>
      <c r="DK495" s="203"/>
      <c r="DL495" s="203"/>
      <c r="DM495" s="203"/>
      <c r="DN495" s="203"/>
      <c r="DO495" s="203"/>
      <c r="DP495" s="208"/>
      <c r="DQ495" s="208"/>
      <c r="DR495" s="208"/>
      <c r="DS495" s="208"/>
      <c r="DT495" s="208"/>
      <c r="DU495" s="208"/>
      <c r="DV495" s="208"/>
      <c r="DW495" s="208"/>
      <c r="DX495" s="208"/>
      <c r="DY495" s="208"/>
      <c r="DZ495" s="208"/>
      <c r="EA495" s="208"/>
      <c r="EB495" s="208"/>
      <c r="EC495" s="208"/>
      <c r="ED495" s="208"/>
      <c r="EE495" s="208"/>
      <c r="EF495" s="208"/>
      <c r="EG495" s="208"/>
      <c r="EH495" s="208"/>
      <c r="EI495" s="208"/>
      <c r="EJ495" s="208"/>
      <c r="EK495" s="208"/>
      <c r="EL495" s="208"/>
      <c r="EM495" s="208"/>
      <c r="EN495" s="208"/>
      <c r="EO495" s="208"/>
      <c r="EP495" s="208"/>
      <c r="EQ495" s="208"/>
      <c r="ER495" s="208"/>
      <c r="ES495" s="208"/>
      <c r="ET495" s="208"/>
      <c r="EU495" s="208"/>
      <c r="EV495" s="208"/>
      <c r="EW495" s="208"/>
      <c r="EX495" s="208"/>
      <c r="EY495" s="208"/>
      <c r="EZ495" s="208">
        <v>0</v>
      </c>
      <c r="FA495" s="208">
        <v>0</v>
      </c>
      <c r="FB495" s="208">
        <v>0</v>
      </c>
      <c r="FC495" s="208"/>
      <c r="FD495" s="82"/>
      <c r="FE495" s="30"/>
    </row>
    <row r="496" spans="1:161" ht="15">
      <c r="A496" s="25" t="s">
        <v>485</v>
      </c>
      <c r="B496" s="212" t="s">
        <v>149</v>
      </c>
      <c r="C496" s="138"/>
      <c r="D496" s="221"/>
      <c r="E496" s="239">
        <v>1795</v>
      </c>
      <c r="F496" s="95"/>
      <c r="G496" s="95"/>
      <c r="H496" s="147" t="s">
        <v>656</v>
      </c>
      <c r="I496" s="147"/>
      <c r="J496" s="135"/>
      <c r="K496" s="135"/>
      <c r="L496" s="139"/>
      <c r="M496" s="134"/>
      <c r="N496" s="134"/>
      <c r="O496" s="134"/>
      <c r="P496" s="134"/>
      <c r="Q496" s="134"/>
      <c r="R496" s="134"/>
      <c r="S496" s="139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  <c r="AP496" s="82"/>
      <c r="AQ496" s="82"/>
      <c r="AR496" s="82"/>
      <c r="AS496" s="82"/>
      <c r="AT496" s="82"/>
      <c r="AU496" s="82"/>
      <c r="AV496" s="82"/>
      <c r="AW496" s="82"/>
      <c r="AX496" s="82"/>
      <c r="AY496" s="82"/>
      <c r="AZ496" s="82"/>
      <c r="BA496" s="82"/>
      <c r="BB496" s="82"/>
      <c r="BC496" s="82"/>
      <c r="BD496" s="83"/>
      <c r="BE496" s="83"/>
      <c r="BF496" s="83"/>
      <c r="BG496" s="82"/>
      <c r="BH496" s="81"/>
      <c r="BI496" s="80"/>
      <c r="BJ496" s="25"/>
      <c r="BK496" s="25"/>
      <c r="BL496" s="25"/>
      <c r="BM496" s="84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5"/>
      <c r="CA496" s="25"/>
      <c r="CB496" s="25"/>
      <c r="CC496" s="25"/>
      <c r="CD496" s="25"/>
      <c r="CE496" s="25"/>
      <c r="CF496" s="25"/>
      <c r="CG496" s="25"/>
      <c r="CH496" s="25"/>
      <c r="CI496" s="25"/>
      <c r="CJ496" s="25"/>
      <c r="CK496" s="25"/>
      <c r="CL496" s="25"/>
      <c r="CM496" s="25"/>
      <c r="CN496" s="25"/>
      <c r="CO496" s="25"/>
      <c r="CP496" s="25"/>
      <c r="CQ496" s="25"/>
      <c r="CR496" s="25"/>
      <c r="CS496" s="25"/>
      <c r="CT496" s="25"/>
      <c r="CU496" s="25"/>
      <c r="CV496" s="25"/>
      <c r="CW496" s="25"/>
      <c r="CX496" s="25"/>
      <c r="CY496" s="25"/>
      <c r="CZ496" s="25"/>
      <c r="DA496" s="25"/>
      <c r="DB496" s="25"/>
      <c r="DC496" s="25"/>
      <c r="DD496" s="25"/>
      <c r="DE496" s="25"/>
      <c r="DF496" s="92"/>
      <c r="DG496" s="92"/>
      <c r="DH496" s="203"/>
      <c r="DI496" s="203"/>
      <c r="DJ496" s="203"/>
      <c r="DK496" s="203"/>
      <c r="DL496" s="203"/>
      <c r="DM496" s="203"/>
      <c r="DN496" s="203"/>
      <c r="DO496" s="203"/>
      <c r="DP496" s="208"/>
      <c r="DQ496" s="208"/>
      <c r="DR496" s="208"/>
      <c r="DS496" s="208"/>
      <c r="DT496" s="208"/>
      <c r="DU496" s="208"/>
      <c r="DV496" s="208"/>
      <c r="DW496" s="208"/>
      <c r="DX496" s="208"/>
      <c r="DY496" s="208"/>
      <c r="DZ496" s="208"/>
      <c r="EA496" s="208"/>
      <c r="EB496" s="208"/>
      <c r="EC496" s="208"/>
      <c r="ED496" s="208"/>
      <c r="EE496" s="208"/>
      <c r="EF496" s="208"/>
      <c r="EG496" s="208"/>
      <c r="EH496" s="208"/>
      <c r="EI496" s="208"/>
      <c r="EJ496" s="208"/>
      <c r="EK496" s="208"/>
      <c r="EL496" s="208"/>
      <c r="EM496" s="208"/>
      <c r="EN496" s="208"/>
      <c r="EO496" s="208"/>
      <c r="EP496" s="208"/>
      <c r="EQ496" s="208"/>
      <c r="ER496" s="208"/>
      <c r="ES496" s="208"/>
      <c r="ET496" s="208"/>
      <c r="EU496" s="208"/>
      <c r="EV496" s="208"/>
      <c r="EW496" s="208"/>
      <c r="EX496" s="208"/>
      <c r="EY496" s="208"/>
      <c r="EZ496" s="208">
        <v>0</v>
      </c>
      <c r="FA496" s="208">
        <v>0</v>
      </c>
      <c r="FB496" s="208">
        <v>0</v>
      </c>
      <c r="FC496" s="208"/>
      <c r="FD496" s="82"/>
      <c r="FE496" s="30"/>
    </row>
    <row r="497" spans="1:161" ht="15" hidden="1">
      <c r="A497" s="25" t="s">
        <v>474</v>
      </c>
      <c r="B497" s="212" t="s">
        <v>149</v>
      </c>
      <c r="C497" s="138"/>
      <c r="D497" s="221"/>
      <c r="E497" s="239">
        <v>1585</v>
      </c>
      <c r="F497" s="95"/>
      <c r="G497" s="95"/>
      <c r="H497" s="147" t="s">
        <v>656</v>
      </c>
      <c r="I497" s="147"/>
      <c r="J497" s="135"/>
      <c r="K497" s="135"/>
      <c r="L497" s="139"/>
      <c r="M497" s="134"/>
      <c r="N497" s="134"/>
      <c r="O497" s="134"/>
      <c r="P497" s="134"/>
      <c r="Q497" s="134"/>
      <c r="R497" s="134"/>
      <c r="S497" s="139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  <c r="AP497" s="82"/>
      <c r="AQ497" s="82"/>
      <c r="AR497" s="82"/>
      <c r="AS497" s="82"/>
      <c r="AT497" s="82"/>
      <c r="AU497" s="82"/>
      <c r="AV497" s="82"/>
      <c r="AW497" s="82"/>
      <c r="AX497" s="82"/>
      <c r="AY497" s="82"/>
      <c r="AZ497" s="82"/>
      <c r="BA497" s="82"/>
      <c r="BB497" s="82"/>
      <c r="BC497" s="82"/>
      <c r="BD497" s="83"/>
      <c r="BE497" s="83"/>
      <c r="BF497" s="83"/>
      <c r="BG497" s="82"/>
      <c r="BH497" s="81"/>
      <c r="BI497" s="80"/>
      <c r="BJ497" s="25"/>
      <c r="BK497" s="25"/>
      <c r="BL497" s="25"/>
      <c r="BM497" s="84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5"/>
      <c r="CA497" s="25"/>
      <c r="CB497" s="25"/>
      <c r="CC497" s="25"/>
      <c r="CD497" s="25"/>
      <c r="CE497" s="25"/>
      <c r="CF497" s="25"/>
      <c r="CG497" s="25"/>
      <c r="CH497" s="25"/>
      <c r="CI497" s="25"/>
      <c r="CJ497" s="25"/>
      <c r="CK497" s="25"/>
      <c r="CL497" s="25"/>
      <c r="CM497" s="25"/>
      <c r="CN497" s="25"/>
      <c r="CO497" s="25"/>
      <c r="CP497" s="25"/>
      <c r="CQ497" s="25"/>
      <c r="CR497" s="25"/>
      <c r="CS497" s="25"/>
      <c r="CT497" s="25"/>
      <c r="CU497" s="25"/>
      <c r="CV497" s="25"/>
      <c r="CW497" s="25"/>
      <c r="CX497" s="25"/>
      <c r="CY497" s="25"/>
      <c r="CZ497" s="25"/>
      <c r="DA497" s="25"/>
      <c r="DB497" s="25"/>
      <c r="DC497" s="25"/>
      <c r="DD497" s="25"/>
      <c r="DE497" s="25"/>
      <c r="DF497" s="92"/>
      <c r="DG497" s="92"/>
      <c r="DH497" s="203"/>
      <c r="DI497" s="203"/>
      <c r="DJ497" s="203"/>
      <c r="DK497" s="203"/>
      <c r="DL497" s="203"/>
      <c r="DM497" s="203"/>
      <c r="DN497" s="203"/>
      <c r="DO497" s="203"/>
      <c r="DP497" s="208"/>
      <c r="DQ497" s="208"/>
      <c r="DR497" s="208"/>
      <c r="DS497" s="208"/>
      <c r="DT497" s="208"/>
      <c r="DU497" s="208"/>
      <c r="DV497" s="208"/>
      <c r="DW497" s="208"/>
      <c r="DX497" s="208"/>
      <c r="DY497" s="208"/>
      <c r="DZ497" s="208"/>
      <c r="EA497" s="208"/>
      <c r="EB497" s="208"/>
      <c r="EC497" s="208"/>
      <c r="ED497" s="208"/>
      <c r="EE497" s="208"/>
      <c r="EF497" s="208"/>
      <c r="EG497" s="208"/>
      <c r="EH497" s="208"/>
      <c r="EI497" s="208"/>
      <c r="EJ497" s="208"/>
      <c r="EK497" s="208"/>
      <c r="EL497" s="208"/>
      <c r="EM497" s="208"/>
      <c r="EN497" s="208"/>
      <c r="EO497" s="208"/>
      <c r="EP497" s="208"/>
      <c r="EQ497" s="208"/>
      <c r="ER497" s="208"/>
      <c r="ES497" s="208"/>
      <c r="ET497" s="208"/>
      <c r="EU497" s="208"/>
      <c r="EV497" s="208"/>
      <c r="EW497" s="208"/>
      <c r="EX497" s="208"/>
      <c r="EY497" s="208"/>
      <c r="EZ497" s="208">
        <v>0</v>
      </c>
      <c r="FA497" s="208">
        <v>0</v>
      </c>
      <c r="FB497" s="208">
        <v>0</v>
      </c>
      <c r="FC497" s="208"/>
      <c r="FD497" s="82"/>
      <c r="FE497" s="30"/>
    </row>
    <row r="498" spans="1:161" ht="15" hidden="1">
      <c r="A498" s="25" t="s">
        <v>475</v>
      </c>
      <c r="B498" s="212" t="s">
        <v>149</v>
      </c>
      <c r="C498" s="138"/>
      <c r="D498" s="221"/>
      <c r="E498" s="239">
        <v>1585</v>
      </c>
      <c r="F498" s="95"/>
      <c r="G498" s="95"/>
      <c r="H498" s="147" t="s">
        <v>656</v>
      </c>
      <c r="I498" s="147"/>
      <c r="J498" s="135"/>
      <c r="K498" s="135"/>
      <c r="L498" s="139"/>
      <c r="M498" s="134"/>
      <c r="N498" s="134"/>
      <c r="O498" s="134"/>
      <c r="P498" s="134"/>
      <c r="Q498" s="134"/>
      <c r="R498" s="134"/>
      <c r="S498" s="139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82"/>
      <c r="BC498" s="82"/>
      <c r="BD498" s="83"/>
      <c r="BE498" s="83"/>
      <c r="BF498" s="83"/>
      <c r="BG498" s="82"/>
      <c r="BH498" s="81"/>
      <c r="BI498" s="80"/>
      <c r="BJ498" s="25"/>
      <c r="BK498" s="25"/>
      <c r="BL498" s="25"/>
      <c r="BM498" s="84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  <c r="CC498" s="25"/>
      <c r="CD498" s="25"/>
      <c r="CE498" s="25"/>
      <c r="CF498" s="25"/>
      <c r="CG498" s="25"/>
      <c r="CH498" s="25"/>
      <c r="CI498" s="25"/>
      <c r="CJ498" s="25"/>
      <c r="CK498" s="25"/>
      <c r="CL498" s="25"/>
      <c r="CM498" s="25"/>
      <c r="CN498" s="25"/>
      <c r="CO498" s="25"/>
      <c r="CP498" s="25"/>
      <c r="CQ498" s="25"/>
      <c r="CR498" s="25"/>
      <c r="CS498" s="25"/>
      <c r="CT498" s="25"/>
      <c r="CU498" s="25"/>
      <c r="CV498" s="25"/>
      <c r="CW498" s="25"/>
      <c r="CX498" s="25"/>
      <c r="CY498" s="25"/>
      <c r="CZ498" s="25"/>
      <c r="DA498" s="25"/>
      <c r="DB498" s="25"/>
      <c r="DC498" s="25"/>
      <c r="DD498" s="25"/>
      <c r="DE498" s="25"/>
      <c r="DF498" s="92"/>
      <c r="DG498" s="92"/>
      <c r="DH498" s="203"/>
      <c r="DI498" s="203"/>
      <c r="DJ498" s="203"/>
      <c r="DK498" s="203"/>
      <c r="DL498" s="203"/>
      <c r="DM498" s="203"/>
      <c r="DN498" s="203"/>
      <c r="DO498" s="203"/>
      <c r="DP498" s="208"/>
      <c r="DQ498" s="208"/>
      <c r="DR498" s="208"/>
      <c r="DS498" s="208"/>
      <c r="DT498" s="208"/>
      <c r="DU498" s="208"/>
      <c r="DV498" s="208"/>
      <c r="DW498" s="208"/>
      <c r="DX498" s="208"/>
      <c r="DY498" s="208"/>
      <c r="DZ498" s="208"/>
      <c r="EA498" s="208"/>
      <c r="EB498" s="208"/>
      <c r="EC498" s="208"/>
      <c r="ED498" s="208"/>
      <c r="EE498" s="208"/>
      <c r="EF498" s="208"/>
      <c r="EG498" s="208"/>
      <c r="EH498" s="208"/>
      <c r="EI498" s="208"/>
      <c r="EJ498" s="208"/>
      <c r="EK498" s="208"/>
      <c r="EL498" s="208"/>
      <c r="EM498" s="208"/>
      <c r="EN498" s="208"/>
      <c r="EO498" s="208"/>
      <c r="EP498" s="208"/>
      <c r="EQ498" s="208"/>
      <c r="ER498" s="208"/>
      <c r="ES498" s="208"/>
      <c r="ET498" s="208"/>
      <c r="EU498" s="208"/>
      <c r="EV498" s="208"/>
      <c r="EW498" s="208"/>
      <c r="EX498" s="208"/>
      <c r="EY498" s="208"/>
      <c r="EZ498" s="208">
        <v>0</v>
      </c>
      <c r="FA498" s="208">
        <v>0</v>
      </c>
      <c r="FB498" s="208">
        <v>0</v>
      </c>
      <c r="FC498" s="208"/>
      <c r="FD498" s="82"/>
      <c r="FE498" s="30"/>
    </row>
    <row r="499" spans="1:161" ht="15">
      <c r="A499" s="25" t="s">
        <v>486</v>
      </c>
      <c r="B499" s="212" t="s">
        <v>149</v>
      </c>
      <c r="C499" s="138"/>
      <c r="D499" s="221"/>
      <c r="E499" s="239">
        <v>1795</v>
      </c>
      <c r="F499" s="95"/>
      <c r="G499" s="95"/>
      <c r="H499" s="147" t="s">
        <v>656</v>
      </c>
      <c r="I499" s="147"/>
      <c r="J499" s="135"/>
      <c r="K499" s="135"/>
      <c r="L499" s="139"/>
      <c r="M499" s="134"/>
      <c r="N499" s="134"/>
      <c r="O499" s="134"/>
      <c r="P499" s="134"/>
      <c r="Q499" s="134"/>
      <c r="R499" s="134"/>
      <c r="S499" s="139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82"/>
      <c r="BC499" s="82"/>
      <c r="BD499" s="83"/>
      <c r="BE499" s="83"/>
      <c r="BF499" s="83"/>
      <c r="BG499" s="82"/>
      <c r="BH499" s="81"/>
      <c r="BI499" s="80"/>
      <c r="BJ499" s="25"/>
      <c r="BK499" s="25"/>
      <c r="BL499" s="25"/>
      <c r="BM499" s="84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  <c r="CC499" s="25"/>
      <c r="CD499" s="25"/>
      <c r="CE499" s="25"/>
      <c r="CF499" s="25"/>
      <c r="CG499" s="25"/>
      <c r="CH499" s="25"/>
      <c r="CI499" s="25"/>
      <c r="CJ499" s="25"/>
      <c r="CK499" s="25"/>
      <c r="CL499" s="25"/>
      <c r="CM499" s="25"/>
      <c r="CN499" s="25"/>
      <c r="CO499" s="25"/>
      <c r="CP499" s="25"/>
      <c r="CQ499" s="25"/>
      <c r="CR499" s="25"/>
      <c r="CS499" s="25"/>
      <c r="CT499" s="25"/>
      <c r="CU499" s="25"/>
      <c r="CV499" s="25"/>
      <c r="CW499" s="25"/>
      <c r="CX499" s="25"/>
      <c r="CY499" s="25"/>
      <c r="CZ499" s="25"/>
      <c r="DA499" s="25"/>
      <c r="DB499" s="25"/>
      <c r="DC499" s="25"/>
      <c r="DD499" s="25"/>
      <c r="DE499" s="25"/>
      <c r="DF499" s="92"/>
      <c r="DG499" s="92"/>
      <c r="DH499" s="203"/>
      <c r="DI499" s="203"/>
      <c r="DJ499" s="203"/>
      <c r="DK499" s="203"/>
      <c r="DL499" s="203"/>
      <c r="DM499" s="203"/>
      <c r="DN499" s="203"/>
      <c r="DO499" s="203"/>
      <c r="DP499" s="208"/>
      <c r="DQ499" s="208"/>
      <c r="DR499" s="208"/>
      <c r="DS499" s="208"/>
      <c r="DT499" s="208"/>
      <c r="DU499" s="208"/>
      <c r="DV499" s="208"/>
      <c r="DW499" s="208"/>
      <c r="DX499" s="208"/>
      <c r="DY499" s="208"/>
      <c r="DZ499" s="208"/>
      <c r="EA499" s="208"/>
      <c r="EB499" s="208"/>
      <c r="EC499" s="208"/>
      <c r="ED499" s="208"/>
      <c r="EE499" s="208"/>
      <c r="EF499" s="208"/>
      <c r="EG499" s="208"/>
      <c r="EH499" s="208"/>
      <c r="EI499" s="208"/>
      <c r="EJ499" s="208"/>
      <c r="EK499" s="208"/>
      <c r="EL499" s="208"/>
      <c r="EM499" s="208"/>
      <c r="EN499" s="208"/>
      <c r="EO499" s="208"/>
      <c r="EP499" s="208"/>
      <c r="EQ499" s="208"/>
      <c r="ER499" s="208"/>
      <c r="ES499" s="208"/>
      <c r="ET499" s="208"/>
      <c r="EU499" s="208"/>
      <c r="EV499" s="208"/>
      <c r="EW499" s="208"/>
      <c r="EX499" s="208"/>
      <c r="EY499" s="208"/>
      <c r="EZ499" s="208">
        <v>0</v>
      </c>
      <c r="FA499" s="208">
        <v>0</v>
      </c>
      <c r="FB499" s="208">
        <v>0</v>
      </c>
      <c r="FC499" s="208"/>
      <c r="FD499" s="82"/>
      <c r="FE499" s="30"/>
    </row>
    <row r="500" spans="1:161" ht="15" hidden="1">
      <c r="A500" s="25" t="s">
        <v>135</v>
      </c>
      <c r="B500" s="212" t="s">
        <v>133</v>
      </c>
      <c r="C500" s="138"/>
      <c r="D500" s="221"/>
      <c r="E500" s="239">
        <v>770</v>
      </c>
      <c r="F500" s="95"/>
      <c r="G500" s="95"/>
      <c r="H500" s="147" t="s">
        <v>656</v>
      </c>
      <c r="I500" s="147"/>
      <c r="J500" s="135"/>
      <c r="K500" s="135"/>
      <c r="L500" s="139"/>
      <c r="M500" s="134"/>
      <c r="N500" s="134"/>
      <c r="O500" s="134"/>
      <c r="P500" s="134"/>
      <c r="Q500" s="134"/>
      <c r="R500" s="134"/>
      <c r="S500" s="139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  <c r="AQ500" s="82"/>
      <c r="AR500" s="82"/>
      <c r="AS500" s="82"/>
      <c r="AT500" s="82"/>
      <c r="AU500" s="82"/>
      <c r="AV500" s="82"/>
      <c r="AW500" s="82"/>
      <c r="AX500" s="82"/>
      <c r="AY500" s="82"/>
      <c r="AZ500" s="82"/>
      <c r="BA500" s="82"/>
      <c r="BB500" s="82"/>
      <c r="BC500" s="82"/>
      <c r="BD500" s="83"/>
      <c r="BE500" s="83"/>
      <c r="BF500" s="83"/>
      <c r="BG500" s="82"/>
      <c r="BH500" s="81"/>
      <c r="BI500" s="80"/>
      <c r="BJ500" s="25"/>
      <c r="BK500" s="25"/>
      <c r="BL500" s="25"/>
      <c r="BM500" s="84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5"/>
      <c r="CA500" s="25"/>
      <c r="CB500" s="25"/>
      <c r="CC500" s="25"/>
      <c r="CD500" s="25"/>
      <c r="CE500" s="25"/>
      <c r="CF500" s="25"/>
      <c r="CG500" s="25"/>
      <c r="CH500" s="25"/>
      <c r="CI500" s="25"/>
      <c r="CJ500" s="25"/>
      <c r="CK500" s="25"/>
      <c r="CL500" s="25"/>
      <c r="CM500" s="25"/>
      <c r="CN500" s="25"/>
      <c r="CO500" s="25"/>
      <c r="CP500" s="25"/>
      <c r="CQ500" s="25"/>
      <c r="CR500" s="25"/>
      <c r="CS500" s="25"/>
      <c r="CT500" s="25"/>
      <c r="CU500" s="25"/>
      <c r="CV500" s="25"/>
      <c r="CW500" s="25"/>
      <c r="CX500" s="25"/>
      <c r="CY500" s="25"/>
      <c r="CZ500" s="25"/>
      <c r="DA500" s="25"/>
      <c r="DB500" s="25"/>
      <c r="DC500" s="25"/>
      <c r="DD500" s="25"/>
      <c r="DE500" s="25"/>
      <c r="DF500" s="92"/>
      <c r="DG500" s="92"/>
      <c r="DH500" s="203"/>
      <c r="DI500" s="203"/>
      <c r="DJ500" s="203"/>
      <c r="DK500" s="203"/>
      <c r="DL500" s="203"/>
      <c r="DM500" s="203"/>
      <c r="DN500" s="203"/>
      <c r="DO500" s="203"/>
      <c r="DP500" s="208"/>
      <c r="DQ500" s="208"/>
      <c r="DR500" s="208"/>
      <c r="DS500" s="208"/>
      <c r="DT500" s="208"/>
      <c r="DU500" s="208"/>
      <c r="DV500" s="208"/>
      <c r="DW500" s="208"/>
      <c r="DX500" s="208"/>
      <c r="DY500" s="208"/>
      <c r="DZ500" s="208"/>
      <c r="EA500" s="208"/>
      <c r="EB500" s="208"/>
      <c r="EC500" s="208"/>
      <c r="ED500" s="208"/>
      <c r="EE500" s="208"/>
      <c r="EF500" s="208"/>
      <c r="EG500" s="208"/>
      <c r="EH500" s="208"/>
      <c r="EI500" s="208"/>
      <c r="EJ500" s="208"/>
      <c r="EK500" s="208"/>
      <c r="EL500" s="208"/>
      <c r="EM500" s="208"/>
      <c r="EN500" s="208"/>
      <c r="EO500" s="208"/>
      <c r="EP500" s="208"/>
      <c r="EQ500" s="208"/>
      <c r="ER500" s="208"/>
      <c r="ES500" s="208"/>
      <c r="ET500" s="208"/>
      <c r="EU500" s="208"/>
      <c r="EV500" s="208"/>
      <c r="EW500" s="208"/>
      <c r="EX500" s="208"/>
      <c r="EY500" s="208"/>
      <c r="EZ500" s="208">
        <v>0</v>
      </c>
      <c r="FA500" s="208">
        <v>0</v>
      </c>
      <c r="FB500" s="208">
        <v>0</v>
      </c>
      <c r="FC500" s="208"/>
      <c r="FD500" s="82"/>
      <c r="FE500" s="30"/>
    </row>
    <row r="501" spans="1:161" ht="15" hidden="1">
      <c r="A501" s="25" t="s">
        <v>210</v>
      </c>
      <c r="B501" s="212" t="s">
        <v>129</v>
      </c>
      <c r="C501" s="138"/>
      <c r="D501" s="221"/>
      <c r="E501" s="243">
        <v>770</v>
      </c>
      <c r="F501" s="95"/>
      <c r="G501" s="95"/>
      <c r="H501" s="147" t="s">
        <v>656</v>
      </c>
      <c r="I501" s="147"/>
      <c r="J501" s="135"/>
      <c r="K501" s="135"/>
      <c r="L501" s="139"/>
      <c r="M501" s="134"/>
      <c r="N501" s="134"/>
      <c r="O501" s="134"/>
      <c r="P501" s="134"/>
      <c r="Q501" s="134"/>
      <c r="R501" s="134"/>
      <c r="S501" s="139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  <c r="AQ501" s="82"/>
      <c r="AR501" s="82"/>
      <c r="AS501" s="82"/>
      <c r="AT501" s="82"/>
      <c r="AU501" s="82"/>
      <c r="AV501" s="82"/>
      <c r="AW501" s="82"/>
      <c r="AX501" s="82"/>
      <c r="AY501" s="82"/>
      <c r="AZ501" s="82"/>
      <c r="BA501" s="82"/>
      <c r="BB501" s="82"/>
      <c r="BC501" s="82"/>
      <c r="BD501" s="83"/>
      <c r="BE501" s="83"/>
      <c r="BF501" s="83"/>
      <c r="BG501" s="82"/>
      <c r="BH501" s="81"/>
      <c r="BI501" s="80"/>
      <c r="BJ501" s="25"/>
      <c r="BK501" s="25"/>
      <c r="BL501" s="25"/>
      <c r="BM501" s="84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B501" s="25"/>
      <c r="CC501" s="25"/>
      <c r="CD501" s="25"/>
      <c r="CE501" s="25"/>
      <c r="CF501" s="25"/>
      <c r="CG501" s="25"/>
      <c r="CH501" s="25"/>
      <c r="CI501" s="25"/>
      <c r="CJ501" s="25"/>
      <c r="CK501" s="25"/>
      <c r="CL501" s="25"/>
      <c r="CM501" s="25"/>
      <c r="CN501" s="25"/>
      <c r="CO501" s="25"/>
      <c r="CP501" s="25"/>
      <c r="CQ501" s="25"/>
      <c r="CR501" s="25"/>
      <c r="CS501" s="25"/>
      <c r="CT501" s="25"/>
      <c r="CU501" s="25"/>
      <c r="CV501" s="25"/>
      <c r="CW501" s="25"/>
      <c r="CX501" s="25"/>
      <c r="CY501" s="25"/>
      <c r="CZ501" s="25"/>
      <c r="DA501" s="25"/>
      <c r="DB501" s="25"/>
      <c r="DC501" s="25"/>
      <c r="DD501" s="25"/>
      <c r="DE501" s="25"/>
      <c r="DF501" s="92"/>
      <c r="DG501" s="92"/>
      <c r="DH501" s="203"/>
      <c r="DI501" s="203"/>
      <c r="DJ501" s="203"/>
      <c r="DK501" s="203"/>
      <c r="DL501" s="203"/>
      <c r="DM501" s="203"/>
      <c r="DN501" s="203"/>
      <c r="DO501" s="203"/>
      <c r="DP501" s="208"/>
      <c r="DQ501" s="208"/>
      <c r="DR501" s="208"/>
      <c r="DS501" s="208"/>
      <c r="DT501" s="208"/>
      <c r="DU501" s="208"/>
      <c r="DV501" s="208"/>
      <c r="DW501" s="208"/>
      <c r="DX501" s="208"/>
      <c r="DY501" s="208"/>
      <c r="DZ501" s="208"/>
      <c r="EA501" s="208"/>
      <c r="EB501" s="208"/>
      <c r="EC501" s="208"/>
      <c r="ED501" s="208"/>
      <c r="EE501" s="208"/>
      <c r="EF501" s="208"/>
      <c r="EG501" s="208"/>
      <c r="EH501" s="208"/>
      <c r="EI501" s="208"/>
      <c r="EJ501" s="208"/>
      <c r="EK501" s="208"/>
      <c r="EL501" s="208"/>
      <c r="EM501" s="208"/>
      <c r="EN501" s="208"/>
      <c r="EO501" s="208"/>
      <c r="EP501" s="208"/>
      <c r="EQ501" s="208"/>
      <c r="ER501" s="208"/>
      <c r="ES501" s="208"/>
      <c r="ET501" s="208"/>
      <c r="EU501" s="208"/>
      <c r="EV501" s="208"/>
      <c r="EW501" s="208"/>
      <c r="EX501" s="208"/>
      <c r="EY501" s="208"/>
      <c r="EZ501" s="208">
        <v>0</v>
      </c>
      <c r="FA501" s="208">
        <v>0</v>
      </c>
      <c r="FB501" s="208">
        <v>0</v>
      </c>
      <c r="FC501" s="208"/>
      <c r="FD501" s="82"/>
      <c r="FE501" s="30"/>
    </row>
    <row r="502" spans="1:161" ht="15" hidden="1">
      <c r="A502" s="25" t="s">
        <v>211</v>
      </c>
      <c r="B502" s="212" t="s">
        <v>129</v>
      </c>
      <c r="C502" s="138"/>
      <c r="D502" s="221"/>
      <c r="E502" s="243">
        <v>770</v>
      </c>
      <c r="F502" s="95"/>
      <c r="G502" s="95"/>
      <c r="H502" s="147" t="s">
        <v>656</v>
      </c>
      <c r="I502" s="147"/>
      <c r="J502" s="135"/>
      <c r="K502" s="135"/>
      <c r="L502" s="139"/>
      <c r="M502" s="134"/>
      <c r="N502" s="134"/>
      <c r="O502" s="134"/>
      <c r="P502" s="134"/>
      <c r="Q502" s="134"/>
      <c r="R502" s="134"/>
      <c r="S502" s="139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  <c r="AY502" s="82"/>
      <c r="AZ502" s="82"/>
      <c r="BA502" s="82"/>
      <c r="BB502" s="82"/>
      <c r="BC502" s="82"/>
      <c r="BD502" s="83"/>
      <c r="BE502" s="83"/>
      <c r="BF502" s="83"/>
      <c r="BG502" s="82"/>
      <c r="BH502" s="81"/>
      <c r="BI502" s="80"/>
      <c r="BJ502" s="25"/>
      <c r="BK502" s="25"/>
      <c r="BL502" s="25"/>
      <c r="BM502" s="84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5"/>
      <c r="CA502" s="25"/>
      <c r="CB502" s="25"/>
      <c r="CC502" s="25"/>
      <c r="CD502" s="25"/>
      <c r="CE502" s="25"/>
      <c r="CF502" s="25"/>
      <c r="CG502" s="25"/>
      <c r="CH502" s="25"/>
      <c r="CI502" s="25"/>
      <c r="CJ502" s="25"/>
      <c r="CK502" s="25"/>
      <c r="CL502" s="25"/>
      <c r="CM502" s="25"/>
      <c r="CN502" s="25"/>
      <c r="CO502" s="25"/>
      <c r="CP502" s="25"/>
      <c r="CQ502" s="25"/>
      <c r="CR502" s="25"/>
      <c r="CS502" s="25"/>
      <c r="CT502" s="25"/>
      <c r="CU502" s="25"/>
      <c r="CV502" s="25"/>
      <c r="CW502" s="25"/>
      <c r="CX502" s="25"/>
      <c r="CY502" s="25"/>
      <c r="CZ502" s="25"/>
      <c r="DA502" s="25"/>
      <c r="DB502" s="25"/>
      <c r="DC502" s="25"/>
      <c r="DD502" s="25"/>
      <c r="DE502" s="25"/>
      <c r="DF502" s="92"/>
      <c r="DG502" s="92"/>
      <c r="DH502" s="203"/>
      <c r="DI502" s="203"/>
      <c r="DJ502" s="203"/>
      <c r="DK502" s="203"/>
      <c r="DL502" s="203"/>
      <c r="DM502" s="203"/>
      <c r="DN502" s="203"/>
      <c r="DO502" s="203"/>
      <c r="DP502" s="208"/>
      <c r="DQ502" s="208"/>
      <c r="DR502" s="208"/>
      <c r="DS502" s="208"/>
      <c r="DT502" s="208"/>
      <c r="DU502" s="208"/>
      <c r="DV502" s="208"/>
      <c r="DW502" s="208"/>
      <c r="DX502" s="208"/>
      <c r="DY502" s="208"/>
      <c r="DZ502" s="208"/>
      <c r="EA502" s="208"/>
      <c r="EB502" s="208"/>
      <c r="EC502" s="208"/>
      <c r="ED502" s="208"/>
      <c r="EE502" s="208"/>
      <c r="EF502" s="208"/>
      <c r="EG502" s="208"/>
      <c r="EH502" s="208"/>
      <c r="EI502" s="208"/>
      <c r="EJ502" s="208"/>
      <c r="EK502" s="208"/>
      <c r="EL502" s="208"/>
      <c r="EM502" s="208"/>
      <c r="EN502" s="208"/>
      <c r="EO502" s="208"/>
      <c r="EP502" s="208"/>
      <c r="EQ502" s="208"/>
      <c r="ER502" s="208"/>
      <c r="ES502" s="208"/>
      <c r="ET502" s="208"/>
      <c r="EU502" s="208"/>
      <c r="EV502" s="208"/>
      <c r="EW502" s="208"/>
      <c r="EX502" s="208"/>
      <c r="EY502" s="208"/>
      <c r="EZ502" s="208">
        <v>0</v>
      </c>
      <c r="FA502" s="208">
        <v>0</v>
      </c>
      <c r="FB502" s="208">
        <v>0</v>
      </c>
      <c r="FC502" s="208"/>
      <c r="FD502" s="82"/>
      <c r="FE502" s="30"/>
    </row>
    <row r="503" spans="1:161" ht="15" hidden="1">
      <c r="A503" s="25" t="s">
        <v>335</v>
      </c>
      <c r="B503" s="212" t="s">
        <v>139</v>
      </c>
      <c r="C503" s="138"/>
      <c r="D503" s="221"/>
      <c r="E503" s="243">
        <v>770</v>
      </c>
      <c r="F503" s="95"/>
      <c r="G503" s="95"/>
      <c r="H503" s="147" t="s">
        <v>656</v>
      </c>
      <c r="I503" s="147"/>
      <c r="J503" s="135"/>
      <c r="K503" s="135"/>
      <c r="L503" s="139"/>
      <c r="M503" s="134"/>
      <c r="N503" s="134"/>
      <c r="O503" s="134"/>
      <c r="P503" s="134"/>
      <c r="Q503" s="134"/>
      <c r="R503" s="134"/>
      <c r="S503" s="139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  <c r="AY503" s="82"/>
      <c r="AZ503" s="82"/>
      <c r="BA503" s="82"/>
      <c r="BB503" s="82"/>
      <c r="BC503" s="82"/>
      <c r="BD503" s="83"/>
      <c r="BE503" s="83"/>
      <c r="BF503" s="83"/>
      <c r="BG503" s="82"/>
      <c r="BH503" s="81"/>
      <c r="BI503" s="80"/>
      <c r="BJ503" s="25"/>
      <c r="BK503" s="25"/>
      <c r="BL503" s="25"/>
      <c r="BM503" s="84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5"/>
      <c r="CA503" s="25"/>
      <c r="CB503" s="25"/>
      <c r="CC503" s="25"/>
      <c r="CD503" s="25"/>
      <c r="CE503" s="25"/>
      <c r="CF503" s="25"/>
      <c r="CG503" s="25"/>
      <c r="CH503" s="25"/>
      <c r="CI503" s="25"/>
      <c r="CJ503" s="25"/>
      <c r="CK503" s="25"/>
      <c r="CL503" s="25"/>
      <c r="CM503" s="25"/>
      <c r="CN503" s="25"/>
      <c r="CO503" s="25"/>
      <c r="CP503" s="25"/>
      <c r="CQ503" s="25"/>
      <c r="CR503" s="25"/>
      <c r="CS503" s="25"/>
      <c r="CT503" s="25"/>
      <c r="CU503" s="25"/>
      <c r="CV503" s="25"/>
      <c r="CW503" s="25"/>
      <c r="CX503" s="25"/>
      <c r="CY503" s="25"/>
      <c r="CZ503" s="25"/>
      <c r="DA503" s="25"/>
      <c r="DB503" s="25"/>
      <c r="DC503" s="25"/>
      <c r="DD503" s="25"/>
      <c r="DE503" s="25"/>
      <c r="DF503" s="92"/>
      <c r="DG503" s="92"/>
      <c r="DH503" s="203"/>
      <c r="DI503" s="203"/>
      <c r="DJ503" s="203"/>
      <c r="DK503" s="203"/>
      <c r="DL503" s="203"/>
      <c r="DM503" s="203"/>
      <c r="DN503" s="203"/>
      <c r="DO503" s="203"/>
      <c r="DP503" s="208"/>
      <c r="DQ503" s="208"/>
      <c r="DR503" s="208"/>
      <c r="DS503" s="208"/>
      <c r="DT503" s="208"/>
      <c r="DU503" s="208"/>
      <c r="DV503" s="208"/>
      <c r="DW503" s="208"/>
      <c r="DX503" s="208"/>
      <c r="DY503" s="208"/>
      <c r="DZ503" s="208"/>
      <c r="EA503" s="208"/>
      <c r="EB503" s="208"/>
      <c r="EC503" s="208"/>
      <c r="ED503" s="208"/>
      <c r="EE503" s="208"/>
      <c r="EF503" s="208"/>
      <c r="EG503" s="208"/>
      <c r="EH503" s="208"/>
      <c r="EI503" s="208"/>
      <c r="EJ503" s="208"/>
      <c r="EK503" s="208"/>
      <c r="EL503" s="208"/>
      <c r="EM503" s="208"/>
      <c r="EN503" s="208"/>
      <c r="EO503" s="208"/>
      <c r="EP503" s="208"/>
      <c r="EQ503" s="208"/>
      <c r="ER503" s="208"/>
      <c r="ES503" s="208"/>
      <c r="ET503" s="208"/>
      <c r="EU503" s="208"/>
      <c r="EV503" s="208"/>
      <c r="EW503" s="208"/>
      <c r="EX503" s="208"/>
      <c r="EY503" s="208"/>
      <c r="EZ503" s="208">
        <v>0</v>
      </c>
      <c r="FA503" s="208">
        <v>0</v>
      </c>
      <c r="FB503" s="208">
        <v>0</v>
      </c>
      <c r="FC503" s="208"/>
      <c r="FD503" s="82"/>
      <c r="FE503" s="30"/>
    </row>
    <row r="504" spans="1:161" ht="15" hidden="1">
      <c r="A504" s="25" t="s">
        <v>425</v>
      </c>
      <c r="B504" s="212" t="s">
        <v>657</v>
      </c>
      <c r="C504" s="138"/>
      <c r="D504" s="221"/>
      <c r="E504" s="243">
        <v>970</v>
      </c>
      <c r="F504" s="95"/>
      <c r="G504" s="95"/>
      <c r="H504" s="147" t="s">
        <v>656</v>
      </c>
      <c r="I504" s="147"/>
      <c r="J504" s="135"/>
      <c r="K504" s="135"/>
      <c r="L504" s="139"/>
      <c r="M504" s="134"/>
      <c r="N504" s="134"/>
      <c r="O504" s="134"/>
      <c r="P504" s="134"/>
      <c r="Q504" s="134"/>
      <c r="R504" s="134"/>
      <c r="S504" s="139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82"/>
      <c r="BC504" s="82"/>
      <c r="BD504" s="83"/>
      <c r="BE504" s="83"/>
      <c r="BF504" s="83"/>
      <c r="BG504" s="82"/>
      <c r="BH504" s="81"/>
      <c r="BI504" s="80"/>
      <c r="BJ504" s="25"/>
      <c r="BK504" s="25"/>
      <c r="BL504" s="25"/>
      <c r="BM504" s="84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5"/>
      <c r="CA504" s="25"/>
      <c r="CB504" s="25"/>
      <c r="CC504" s="25"/>
      <c r="CD504" s="25"/>
      <c r="CE504" s="25"/>
      <c r="CF504" s="25"/>
      <c r="CG504" s="25"/>
      <c r="CH504" s="25"/>
      <c r="CI504" s="25"/>
      <c r="CJ504" s="25"/>
      <c r="CK504" s="25"/>
      <c r="CL504" s="25"/>
      <c r="CM504" s="25"/>
      <c r="CN504" s="25"/>
      <c r="CO504" s="25"/>
      <c r="CP504" s="25"/>
      <c r="CQ504" s="25"/>
      <c r="CR504" s="25"/>
      <c r="CS504" s="25"/>
      <c r="CT504" s="25"/>
      <c r="CU504" s="25"/>
      <c r="CV504" s="25"/>
      <c r="CW504" s="25"/>
      <c r="CX504" s="25"/>
      <c r="CY504" s="25"/>
      <c r="CZ504" s="25"/>
      <c r="DA504" s="25"/>
      <c r="DB504" s="25"/>
      <c r="DC504" s="25"/>
      <c r="DD504" s="25"/>
      <c r="DE504" s="25"/>
      <c r="DF504" s="92"/>
      <c r="DG504" s="92"/>
      <c r="DH504" s="203"/>
      <c r="DI504" s="203"/>
      <c r="DJ504" s="203"/>
      <c r="DK504" s="203"/>
      <c r="DL504" s="203"/>
      <c r="DM504" s="203"/>
      <c r="DN504" s="203"/>
      <c r="DO504" s="203"/>
      <c r="DP504" s="208"/>
      <c r="DQ504" s="208"/>
      <c r="DR504" s="208"/>
      <c r="DS504" s="208"/>
      <c r="DT504" s="208"/>
      <c r="DU504" s="208"/>
      <c r="DV504" s="208"/>
      <c r="DW504" s="208"/>
      <c r="DX504" s="208"/>
      <c r="DY504" s="208"/>
      <c r="DZ504" s="208"/>
      <c r="EA504" s="208"/>
      <c r="EB504" s="208"/>
      <c r="EC504" s="208"/>
      <c r="ED504" s="208"/>
      <c r="EE504" s="208"/>
      <c r="EF504" s="208"/>
      <c r="EG504" s="208"/>
      <c r="EH504" s="208"/>
      <c r="EI504" s="208"/>
      <c r="EJ504" s="208"/>
      <c r="EK504" s="208"/>
      <c r="EL504" s="208"/>
      <c r="EM504" s="208"/>
      <c r="EN504" s="208"/>
      <c r="EO504" s="208"/>
      <c r="EP504" s="208"/>
      <c r="EQ504" s="208"/>
      <c r="ER504" s="208"/>
      <c r="ES504" s="208"/>
      <c r="ET504" s="208"/>
      <c r="EU504" s="208"/>
      <c r="EV504" s="208"/>
      <c r="EW504" s="208"/>
      <c r="EX504" s="208"/>
      <c r="EY504" s="208"/>
      <c r="EZ504" s="208">
        <v>0</v>
      </c>
      <c r="FA504" s="208">
        <v>0</v>
      </c>
      <c r="FB504" s="208">
        <v>0</v>
      </c>
      <c r="FC504" s="208"/>
      <c r="FD504" s="82"/>
      <c r="FE504" s="30"/>
    </row>
    <row r="505" spans="1:161" ht="15" hidden="1">
      <c r="A505" s="25" t="s">
        <v>145</v>
      </c>
      <c r="B505" s="212" t="s">
        <v>143</v>
      </c>
      <c r="C505" s="138"/>
      <c r="D505" s="221"/>
      <c r="E505" s="243">
        <v>770</v>
      </c>
      <c r="F505" s="95"/>
      <c r="G505" s="95"/>
      <c r="H505" s="147" t="s">
        <v>656</v>
      </c>
      <c r="I505" s="147"/>
      <c r="J505" s="135"/>
      <c r="K505" s="135"/>
      <c r="L505" s="139"/>
      <c r="M505" s="134"/>
      <c r="N505" s="134"/>
      <c r="O505" s="134"/>
      <c r="P505" s="134"/>
      <c r="Q505" s="134"/>
      <c r="R505" s="134"/>
      <c r="S505" s="139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82"/>
      <c r="BC505" s="82"/>
      <c r="BD505" s="83"/>
      <c r="BE505" s="83"/>
      <c r="BF505" s="83"/>
      <c r="BG505" s="82"/>
      <c r="BH505" s="81"/>
      <c r="BI505" s="80"/>
      <c r="BJ505" s="25"/>
      <c r="BK505" s="25"/>
      <c r="BL505" s="25"/>
      <c r="BM505" s="84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5"/>
      <c r="CA505" s="25"/>
      <c r="CB505" s="25"/>
      <c r="CC505" s="25"/>
      <c r="CD505" s="25"/>
      <c r="CE505" s="25"/>
      <c r="CF505" s="25"/>
      <c r="CG505" s="25"/>
      <c r="CH505" s="25"/>
      <c r="CI505" s="25"/>
      <c r="CJ505" s="25"/>
      <c r="CK505" s="25"/>
      <c r="CL505" s="25"/>
      <c r="CM505" s="25"/>
      <c r="CN505" s="25"/>
      <c r="CO505" s="25"/>
      <c r="CP505" s="25"/>
      <c r="CQ505" s="25"/>
      <c r="CR505" s="25"/>
      <c r="CS505" s="25"/>
      <c r="CT505" s="25"/>
      <c r="CU505" s="25"/>
      <c r="CV505" s="25"/>
      <c r="CW505" s="25"/>
      <c r="CX505" s="25"/>
      <c r="CY505" s="25"/>
      <c r="CZ505" s="25"/>
      <c r="DA505" s="25"/>
      <c r="DB505" s="25"/>
      <c r="DC505" s="25"/>
      <c r="DD505" s="25"/>
      <c r="DE505" s="25"/>
      <c r="DF505" s="92"/>
      <c r="DG505" s="92"/>
      <c r="DH505" s="203"/>
      <c r="DI505" s="203"/>
      <c r="DJ505" s="203"/>
      <c r="DK505" s="203"/>
      <c r="DL505" s="203"/>
      <c r="DM505" s="203"/>
      <c r="DN505" s="203"/>
      <c r="DO505" s="203"/>
      <c r="DP505" s="208"/>
      <c r="DQ505" s="208"/>
      <c r="DR505" s="208"/>
      <c r="DS505" s="208"/>
      <c r="DT505" s="208"/>
      <c r="DU505" s="208"/>
      <c r="DV505" s="208"/>
      <c r="DW505" s="208"/>
      <c r="DX505" s="208"/>
      <c r="DY505" s="208"/>
      <c r="DZ505" s="208"/>
      <c r="EA505" s="208"/>
      <c r="EB505" s="208"/>
      <c r="EC505" s="208"/>
      <c r="ED505" s="208"/>
      <c r="EE505" s="208"/>
      <c r="EF505" s="208"/>
      <c r="EG505" s="208"/>
      <c r="EH505" s="208"/>
      <c r="EI505" s="208"/>
      <c r="EJ505" s="208"/>
      <c r="EK505" s="208"/>
      <c r="EL505" s="208"/>
      <c r="EM505" s="208"/>
      <c r="EN505" s="208"/>
      <c r="EO505" s="208"/>
      <c r="EP505" s="208"/>
      <c r="EQ505" s="208"/>
      <c r="ER505" s="208"/>
      <c r="ES505" s="208"/>
      <c r="ET505" s="208"/>
      <c r="EU505" s="208"/>
      <c r="EV505" s="208"/>
      <c r="EW505" s="208"/>
      <c r="EX505" s="208"/>
      <c r="EY505" s="208"/>
      <c r="EZ505" s="208">
        <v>0</v>
      </c>
      <c r="FA505" s="208">
        <v>0</v>
      </c>
      <c r="FB505" s="208">
        <v>0</v>
      </c>
      <c r="FC505" s="208"/>
      <c r="FD505" s="82"/>
      <c r="FE505" s="30"/>
    </row>
    <row r="506" spans="1:161" ht="15" hidden="1">
      <c r="A506" s="25" t="s">
        <v>426</v>
      </c>
      <c r="B506" s="212" t="s">
        <v>657</v>
      </c>
      <c r="C506" s="138"/>
      <c r="D506" s="221"/>
      <c r="E506" s="243">
        <v>970</v>
      </c>
      <c r="F506" s="95"/>
      <c r="G506" s="95"/>
      <c r="H506" s="147" t="s">
        <v>656</v>
      </c>
      <c r="I506" s="147"/>
      <c r="J506" s="135"/>
      <c r="K506" s="135"/>
      <c r="L506" s="139"/>
      <c r="M506" s="134"/>
      <c r="N506" s="134"/>
      <c r="O506" s="134"/>
      <c r="P506" s="134"/>
      <c r="Q506" s="134"/>
      <c r="R506" s="134"/>
      <c r="S506" s="139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  <c r="AY506" s="82"/>
      <c r="AZ506" s="82"/>
      <c r="BA506" s="82"/>
      <c r="BB506" s="82"/>
      <c r="BC506" s="82"/>
      <c r="BD506" s="83"/>
      <c r="BE506" s="83"/>
      <c r="BF506" s="83"/>
      <c r="BG506" s="82"/>
      <c r="BH506" s="81"/>
      <c r="BI506" s="80"/>
      <c r="BJ506" s="25"/>
      <c r="BK506" s="25"/>
      <c r="BL506" s="25"/>
      <c r="BM506" s="84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5"/>
      <c r="CA506" s="25"/>
      <c r="CB506" s="25"/>
      <c r="CC506" s="25"/>
      <c r="CD506" s="25"/>
      <c r="CE506" s="25"/>
      <c r="CF506" s="25"/>
      <c r="CG506" s="25"/>
      <c r="CH506" s="25"/>
      <c r="CI506" s="25"/>
      <c r="CJ506" s="25"/>
      <c r="CK506" s="25"/>
      <c r="CL506" s="25"/>
      <c r="CM506" s="25"/>
      <c r="CN506" s="25"/>
      <c r="CO506" s="25"/>
      <c r="CP506" s="25"/>
      <c r="CQ506" s="25"/>
      <c r="CR506" s="25"/>
      <c r="CS506" s="25"/>
      <c r="CT506" s="25"/>
      <c r="CU506" s="25"/>
      <c r="CV506" s="25"/>
      <c r="CW506" s="25"/>
      <c r="CX506" s="25"/>
      <c r="CY506" s="25"/>
      <c r="CZ506" s="25"/>
      <c r="DA506" s="25"/>
      <c r="DB506" s="25"/>
      <c r="DC506" s="25"/>
      <c r="DD506" s="25"/>
      <c r="DE506" s="25"/>
      <c r="DF506" s="92"/>
      <c r="DG506" s="92"/>
      <c r="DH506" s="203"/>
      <c r="DI506" s="203"/>
      <c r="DJ506" s="203"/>
      <c r="DK506" s="203"/>
      <c r="DL506" s="203"/>
      <c r="DM506" s="203"/>
      <c r="DN506" s="203"/>
      <c r="DO506" s="203"/>
      <c r="DP506" s="208"/>
      <c r="DQ506" s="208"/>
      <c r="DR506" s="208"/>
      <c r="DS506" s="208"/>
      <c r="DT506" s="208"/>
      <c r="DU506" s="208"/>
      <c r="DV506" s="208"/>
      <c r="DW506" s="208"/>
      <c r="DX506" s="208"/>
      <c r="DY506" s="208"/>
      <c r="DZ506" s="208"/>
      <c r="EA506" s="208"/>
      <c r="EB506" s="208"/>
      <c r="EC506" s="208"/>
      <c r="ED506" s="208"/>
      <c r="EE506" s="208"/>
      <c r="EF506" s="208"/>
      <c r="EG506" s="208"/>
      <c r="EH506" s="208"/>
      <c r="EI506" s="208"/>
      <c r="EJ506" s="208"/>
      <c r="EK506" s="208"/>
      <c r="EL506" s="208"/>
      <c r="EM506" s="208"/>
      <c r="EN506" s="208"/>
      <c r="EO506" s="208"/>
      <c r="EP506" s="208"/>
      <c r="EQ506" s="208"/>
      <c r="ER506" s="208"/>
      <c r="ES506" s="208"/>
      <c r="ET506" s="208"/>
      <c r="EU506" s="208"/>
      <c r="EV506" s="208"/>
      <c r="EW506" s="208"/>
      <c r="EX506" s="208"/>
      <c r="EY506" s="208"/>
      <c r="EZ506" s="208">
        <v>0</v>
      </c>
      <c r="FA506" s="208">
        <v>0</v>
      </c>
      <c r="FB506" s="208">
        <v>0</v>
      </c>
      <c r="FC506" s="208"/>
      <c r="FD506" s="82"/>
      <c r="FE506" s="30"/>
    </row>
    <row r="507" spans="1:161" ht="15" hidden="1">
      <c r="A507" s="25" t="s">
        <v>524</v>
      </c>
      <c r="B507" s="212" t="s">
        <v>153</v>
      </c>
      <c r="C507" s="138"/>
      <c r="D507" s="221"/>
      <c r="E507" s="243">
        <v>970</v>
      </c>
      <c r="F507" s="95"/>
      <c r="G507" s="95"/>
      <c r="H507" s="147" t="s">
        <v>656</v>
      </c>
      <c r="I507" s="147"/>
      <c r="J507" s="135"/>
      <c r="K507" s="135"/>
      <c r="L507" s="139"/>
      <c r="M507" s="134"/>
      <c r="N507" s="134"/>
      <c r="O507" s="134"/>
      <c r="P507" s="134"/>
      <c r="Q507" s="134"/>
      <c r="R507" s="134"/>
      <c r="S507" s="139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  <c r="AY507" s="82"/>
      <c r="AZ507" s="82"/>
      <c r="BA507" s="82"/>
      <c r="BB507" s="82"/>
      <c r="BC507" s="82"/>
      <c r="BD507" s="83"/>
      <c r="BE507" s="83"/>
      <c r="BF507" s="83"/>
      <c r="BG507" s="82"/>
      <c r="BH507" s="81"/>
      <c r="BI507" s="80"/>
      <c r="BJ507" s="25"/>
      <c r="BK507" s="25"/>
      <c r="BL507" s="25"/>
      <c r="BM507" s="84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5"/>
      <c r="CA507" s="25"/>
      <c r="CB507" s="25"/>
      <c r="CC507" s="25"/>
      <c r="CD507" s="25"/>
      <c r="CE507" s="25"/>
      <c r="CF507" s="25"/>
      <c r="CG507" s="25"/>
      <c r="CH507" s="25"/>
      <c r="CI507" s="25"/>
      <c r="CJ507" s="25"/>
      <c r="CK507" s="25"/>
      <c r="CL507" s="25"/>
      <c r="CM507" s="25"/>
      <c r="CN507" s="25"/>
      <c r="CO507" s="25"/>
      <c r="CP507" s="25"/>
      <c r="CQ507" s="25"/>
      <c r="CR507" s="25"/>
      <c r="CS507" s="25"/>
      <c r="CT507" s="25"/>
      <c r="CU507" s="25"/>
      <c r="CV507" s="25"/>
      <c r="CW507" s="25"/>
      <c r="CX507" s="25"/>
      <c r="CY507" s="25"/>
      <c r="CZ507" s="25"/>
      <c r="DA507" s="25"/>
      <c r="DB507" s="25"/>
      <c r="DC507" s="25"/>
      <c r="DD507" s="25"/>
      <c r="DE507" s="25"/>
      <c r="DF507" s="92"/>
      <c r="DG507" s="92"/>
      <c r="DH507" s="203"/>
      <c r="DI507" s="203"/>
      <c r="DJ507" s="203"/>
      <c r="DK507" s="203"/>
      <c r="DL507" s="203"/>
      <c r="DM507" s="203"/>
      <c r="DN507" s="203"/>
      <c r="DO507" s="203"/>
      <c r="DP507" s="208"/>
      <c r="DQ507" s="208"/>
      <c r="DR507" s="208"/>
      <c r="DS507" s="208"/>
      <c r="DT507" s="208"/>
      <c r="DU507" s="208"/>
      <c r="DV507" s="208"/>
      <c r="DW507" s="208"/>
      <c r="DX507" s="208"/>
      <c r="DY507" s="208"/>
      <c r="DZ507" s="208"/>
      <c r="EA507" s="208"/>
      <c r="EB507" s="208"/>
      <c r="EC507" s="208"/>
      <c r="ED507" s="208"/>
      <c r="EE507" s="208"/>
      <c r="EF507" s="208"/>
      <c r="EG507" s="208"/>
      <c r="EH507" s="208"/>
      <c r="EI507" s="208"/>
      <c r="EJ507" s="208"/>
      <c r="EK507" s="208"/>
      <c r="EL507" s="208"/>
      <c r="EM507" s="208"/>
      <c r="EN507" s="208"/>
      <c r="EO507" s="208"/>
      <c r="EP507" s="208"/>
      <c r="EQ507" s="208"/>
      <c r="ER507" s="208"/>
      <c r="ES507" s="208"/>
      <c r="ET507" s="208"/>
      <c r="EU507" s="208"/>
      <c r="EV507" s="208"/>
      <c r="EW507" s="208"/>
      <c r="EX507" s="208"/>
      <c r="EY507" s="208"/>
      <c r="EZ507" s="208">
        <v>0</v>
      </c>
      <c r="FA507" s="208">
        <v>0</v>
      </c>
      <c r="FB507" s="208">
        <v>0</v>
      </c>
      <c r="FC507" s="208"/>
      <c r="FD507" s="82"/>
      <c r="FE507" s="30"/>
    </row>
    <row r="508" spans="1:161" ht="15" hidden="1">
      <c r="A508" s="25" t="s">
        <v>627</v>
      </c>
      <c r="B508" s="212" t="s">
        <v>658</v>
      </c>
      <c r="C508" s="138"/>
      <c r="D508" s="221"/>
      <c r="E508" s="243">
        <v>970</v>
      </c>
      <c r="F508" s="95"/>
      <c r="G508" s="95"/>
      <c r="H508" s="147" t="s">
        <v>656</v>
      </c>
      <c r="I508" s="147"/>
      <c r="J508" s="135"/>
      <c r="K508" s="135"/>
      <c r="L508" s="139"/>
      <c r="M508" s="134"/>
      <c r="N508" s="134"/>
      <c r="O508" s="134"/>
      <c r="P508" s="134"/>
      <c r="Q508" s="134"/>
      <c r="R508" s="134"/>
      <c r="S508" s="139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  <c r="AQ508" s="82"/>
      <c r="AR508" s="82"/>
      <c r="AS508" s="82"/>
      <c r="AT508" s="82"/>
      <c r="AU508" s="82"/>
      <c r="AV508" s="82"/>
      <c r="AW508" s="82"/>
      <c r="AX508" s="82"/>
      <c r="AY508" s="82"/>
      <c r="AZ508" s="82"/>
      <c r="BA508" s="82"/>
      <c r="BB508" s="82"/>
      <c r="BC508" s="82"/>
      <c r="BD508" s="83"/>
      <c r="BE508" s="83"/>
      <c r="BF508" s="83"/>
      <c r="BG508" s="82"/>
      <c r="BH508" s="81"/>
      <c r="BI508" s="80"/>
      <c r="BJ508" s="25"/>
      <c r="BK508" s="25"/>
      <c r="BL508" s="25"/>
      <c r="BM508" s="84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5"/>
      <c r="CA508" s="25"/>
      <c r="CB508" s="25"/>
      <c r="CC508" s="25"/>
      <c r="CD508" s="25"/>
      <c r="CE508" s="25"/>
      <c r="CF508" s="25"/>
      <c r="CG508" s="25"/>
      <c r="CH508" s="25"/>
      <c r="CI508" s="25"/>
      <c r="CJ508" s="25"/>
      <c r="CK508" s="25"/>
      <c r="CL508" s="25"/>
      <c r="CM508" s="25"/>
      <c r="CN508" s="25"/>
      <c r="CO508" s="25"/>
      <c r="CP508" s="25"/>
      <c r="CQ508" s="25"/>
      <c r="CR508" s="25"/>
      <c r="CS508" s="25"/>
      <c r="CT508" s="25"/>
      <c r="CU508" s="25"/>
      <c r="CV508" s="25"/>
      <c r="CW508" s="25"/>
      <c r="CX508" s="25"/>
      <c r="CY508" s="25"/>
      <c r="CZ508" s="25"/>
      <c r="DA508" s="25"/>
      <c r="DB508" s="25"/>
      <c r="DC508" s="25"/>
      <c r="DD508" s="25"/>
      <c r="DE508" s="25"/>
      <c r="DF508" s="92"/>
      <c r="DG508" s="92"/>
      <c r="DH508" s="203"/>
      <c r="DI508" s="203"/>
      <c r="DJ508" s="203"/>
      <c r="DK508" s="203"/>
      <c r="DL508" s="203"/>
      <c r="DM508" s="203"/>
      <c r="DN508" s="203"/>
      <c r="DO508" s="203"/>
      <c r="DP508" s="208"/>
      <c r="DQ508" s="208"/>
      <c r="DR508" s="208"/>
      <c r="DS508" s="208"/>
      <c r="DT508" s="208"/>
      <c r="DU508" s="208"/>
      <c r="DV508" s="208"/>
      <c r="DW508" s="208"/>
      <c r="DX508" s="208"/>
      <c r="DY508" s="208"/>
      <c r="DZ508" s="208"/>
      <c r="EA508" s="208"/>
      <c r="EB508" s="208"/>
      <c r="EC508" s="208"/>
      <c r="ED508" s="208"/>
      <c r="EE508" s="208"/>
      <c r="EF508" s="208"/>
      <c r="EG508" s="208"/>
      <c r="EH508" s="208"/>
      <c r="EI508" s="208"/>
      <c r="EJ508" s="208"/>
      <c r="EK508" s="208"/>
      <c r="EL508" s="208"/>
      <c r="EM508" s="208"/>
      <c r="EN508" s="208"/>
      <c r="EO508" s="208"/>
      <c r="EP508" s="208"/>
      <c r="EQ508" s="208"/>
      <c r="ER508" s="208"/>
      <c r="ES508" s="208"/>
      <c r="ET508" s="208"/>
      <c r="EU508" s="208"/>
      <c r="EV508" s="208"/>
      <c r="EW508" s="208"/>
      <c r="EX508" s="208"/>
      <c r="EY508" s="208"/>
      <c r="EZ508" s="208">
        <v>0</v>
      </c>
      <c r="FA508" s="208">
        <v>0</v>
      </c>
      <c r="FB508" s="208">
        <v>0</v>
      </c>
      <c r="FC508" s="208"/>
      <c r="FD508" s="82"/>
      <c r="FE508" s="30"/>
    </row>
    <row r="509" spans="1:161" ht="15" hidden="1">
      <c r="A509" s="25" t="s">
        <v>792</v>
      </c>
      <c r="B509" s="212" t="s">
        <v>657</v>
      </c>
      <c r="C509" s="138"/>
      <c r="D509" s="221"/>
      <c r="E509" s="243">
        <v>970</v>
      </c>
      <c r="F509" s="95"/>
      <c r="G509" s="95"/>
      <c r="H509" s="147" t="s">
        <v>656</v>
      </c>
      <c r="I509" s="147"/>
      <c r="J509" s="135"/>
      <c r="K509" s="135"/>
      <c r="L509" s="139"/>
      <c r="M509" s="134"/>
      <c r="N509" s="134"/>
      <c r="O509" s="134"/>
      <c r="P509" s="134"/>
      <c r="Q509" s="134"/>
      <c r="R509" s="134"/>
      <c r="S509" s="139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  <c r="BC509" s="82"/>
      <c r="BD509" s="83"/>
      <c r="BE509" s="83"/>
      <c r="BF509" s="83"/>
      <c r="BG509" s="82"/>
      <c r="BH509" s="81"/>
      <c r="BI509" s="80"/>
      <c r="BJ509" s="25"/>
      <c r="BK509" s="25"/>
      <c r="BL509" s="25"/>
      <c r="BM509" s="84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5"/>
      <c r="CA509" s="25"/>
      <c r="CB509" s="25"/>
      <c r="CC509" s="25"/>
      <c r="CD509" s="25"/>
      <c r="CE509" s="25"/>
      <c r="CF509" s="25"/>
      <c r="CG509" s="25"/>
      <c r="CH509" s="25"/>
      <c r="CI509" s="25"/>
      <c r="CJ509" s="25"/>
      <c r="CK509" s="25"/>
      <c r="CL509" s="25"/>
      <c r="CM509" s="25"/>
      <c r="CN509" s="25"/>
      <c r="CO509" s="25"/>
      <c r="CP509" s="25"/>
      <c r="CQ509" s="25"/>
      <c r="CR509" s="25"/>
      <c r="CS509" s="25"/>
      <c r="CT509" s="25"/>
      <c r="CU509" s="25"/>
      <c r="CV509" s="25"/>
      <c r="CW509" s="25"/>
      <c r="CX509" s="25"/>
      <c r="CY509" s="25"/>
      <c r="CZ509" s="25"/>
      <c r="DA509" s="25"/>
      <c r="DB509" s="25"/>
      <c r="DC509" s="25"/>
      <c r="DD509" s="25"/>
      <c r="DE509" s="25"/>
      <c r="DF509" s="92"/>
      <c r="DG509" s="92"/>
      <c r="DH509" s="203"/>
      <c r="DI509" s="203"/>
      <c r="DJ509" s="203"/>
      <c r="DK509" s="203"/>
      <c r="DL509" s="203"/>
      <c r="DM509" s="203"/>
      <c r="DN509" s="203"/>
      <c r="DO509" s="203"/>
      <c r="DP509" s="208"/>
      <c r="DQ509" s="208"/>
      <c r="DR509" s="208"/>
      <c r="DS509" s="208"/>
      <c r="DT509" s="208"/>
      <c r="DU509" s="208"/>
      <c r="DV509" s="208"/>
      <c r="DW509" s="208"/>
      <c r="DX509" s="208"/>
      <c r="DY509" s="208"/>
      <c r="DZ509" s="208"/>
      <c r="EA509" s="208"/>
      <c r="EB509" s="208"/>
      <c r="EC509" s="208"/>
      <c r="ED509" s="208"/>
      <c r="EE509" s="208"/>
      <c r="EF509" s="208"/>
      <c r="EG509" s="208"/>
      <c r="EH509" s="208"/>
      <c r="EI509" s="208"/>
      <c r="EJ509" s="208"/>
      <c r="EK509" s="208"/>
      <c r="EL509" s="208"/>
      <c r="EM509" s="208"/>
      <c r="EN509" s="208"/>
      <c r="EO509" s="208"/>
      <c r="EP509" s="208"/>
      <c r="EQ509" s="208"/>
      <c r="ER509" s="208"/>
      <c r="ES509" s="208"/>
      <c r="ET509" s="208"/>
      <c r="EU509" s="208"/>
      <c r="EV509" s="208"/>
      <c r="EW509" s="208"/>
      <c r="EX509" s="208"/>
      <c r="EY509" s="208"/>
      <c r="EZ509" s="208">
        <v>0</v>
      </c>
      <c r="FA509" s="208">
        <v>0</v>
      </c>
      <c r="FB509" s="208">
        <v>0</v>
      </c>
      <c r="FC509" s="208"/>
      <c r="FD509" s="82"/>
      <c r="FE509" s="30"/>
    </row>
    <row r="510" spans="1:161" ht="15" hidden="1">
      <c r="A510" s="25" t="s">
        <v>793</v>
      </c>
      <c r="B510" s="212" t="s">
        <v>153</v>
      </c>
      <c r="C510" s="138"/>
      <c r="D510" s="221"/>
      <c r="E510" s="243">
        <v>970</v>
      </c>
      <c r="F510" s="95"/>
      <c r="G510" s="95"/>
      <c r="H510" s="147" t="s">
        <v>656</v>
      </c>
      <c r="I510" s="147"/>
      <c r="J510" s="135"/>
      <c r="K510" s="135"/>
      <c r="L510" s="139"/>
      <c r="M510" s="134"/>
      <c r="N510" s="134"/>
      <c r="O510" s="134"/>
      <c r="P510" s="134"/>
      <c r="Q510" s="134"/>
      <c r="R510" s="134"/>
      <c r="S510" s="139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82"/>
      <c r="BC510" s="82"/>
      <c r="BD510" s="83"/>
      <c r="BE510" s="83"/>
      <c r="BF510" s="83"/>
      <c r="BG510" s="82"/>
      <c r="BH510" s="81"/>
      <c r="BI510" s="80"/>
      <c r="BJ510" s="25"/>
      <c r="BK510" s="25"/>
      <c r="BL510" s="25"/>
      <c r="BM510" s="84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5"/>
      <c r="CA510" s="25"/>
      <c r="CB510" s="25"/>
      <c r="CC510" s="25"/>
      <c r="CD510" s="25"/>
      <c r="CE510" s="25"/>
      <c r="CF510" s="25"/>
      <c r="CG510" s="25"/>
      <c r="CH510" s="25"/>
      <c r="CI510" s="25"/>
      <c r="CJ510" s="25"/>
      <c r="CK510" s="25"/>
      <c r="CL510" s="25"/>
      <c r="CM510" s="25"/>
      <c r="CN510" s="25"/>
      <c r="CO510" s="25"/>
      <c r="CP510" s="25"/>
      <c r="CQ510" s="25"/>
      <c r="CR510" s="25"/>
      <c r="CS510" s="25"/>
      <c r="CT510" s="25"/>
      <c r="CU510" s="25"/>
      <c r="CV510" s="25"/>
      <c r="CW510" s="25"/>
      <c r="CX510" s="25"/>
      <c r="CY510" s="25"/>
      <c r="CZ510" s="25"/>
      <c r="DA510" s="25"/>
      <c r="DB510" s="25"/>
      <c r="DC510" s="25"/>
      <c r="DD510" s="25"/>
      <c r="DE510" s="25"/>
      <c r="DF510" s="92"/>
      <c r="DG510" s="92"/>
      <c r="DH510" s="203"/>
      <c r="DI510" s="203"/>
      <c r="DJ510" s="203"/>
      <c r="DK510" s="203"/>
      <c r="DL510" s="203"/>
      <c r="DM510" s="203"/>
      <c r="DN510" s="203"/>
      <c r="DO510" s="203"/>
      <c r="DP510" s="208"/>
      <c r="DQ510" s="208"/>
      <c r="DR510" s="208"/>
      <c r="DS510" s="208"/>
      <c r="DT510" s="208"/>
      <c r="DU510" s="208"/>
      <c r="DV510" s="208"/>
      <c r="DW510" s="208"/>
      <c r="DX510" s="208"/>
      <c r="DY510" s="208"/>
      <c r="DZ510" s="208"/>
      <c r="EA510" s="208"/>
      <c r="EB510" s="208"/>
      <c r="EC510" s="208"/>
      <c r="ED510" s="208"/>
      <c r="EE510" s="208"/>
      <c r="EF510" s="208"/>
      <c r="EG510" s="208"/>
      <c r="EH510" s="208"/>
      <c r="EI510" s="208"/>
      <c r="EJ510" s="208"/>
      <c r="EK510" s="208"/>
      <c r="EL510" s="208"/>
      <c r="EM510" s="208"/>
      <c r="EN510" s="208"/>
      <c r="EO510" s="208"/>
      <c r="EP510" s="208"/>
      <c r="EQ510" s="208"/>
      <c r="ER510" s="208"/>
      <c r="ES510" s="208"/>
      <c r="ET510" s="208"/>
      <c r="EU510" s="208"/>
      <c r="EV510" s="208"/>
      <c r="EW510" s="208"/>
      <c r="EX510" s="208"/>
      <c r="EY510" s="208"/>
      <c r="EZ510" s="208">
        <v>0</v>
      </c>
      <c r="FA510" s="208">
        <v>0</v>
      </c>
      <c r="FB510" s="208">
        <v>0</v>
      </c>
      <c r="FC510" s="208"/>
      <c r="FD510" s="82"/>
      <c r="FE510" s="30"/>
    </row>
    <row r="511" spans="1:161" ht="15" hidden="1">
      <c r="A511" s="25" t="s">
        <v>447</v>
      </c>
      <c r="B511" s="212" t="s">
        <v>657</v>
      </c>
      <c r="C511" s="138"/>
      <c r="D511" s="221"/>
      <c r="E511" s="243">
        <v>970</v>
      </c>
      <c r="F511" s="95"/>
      <c r="G511" s="95"/>
      <c r="H511" s="147" t="s">
        <v>656</v>
      </c>
      <c r="I511" s="147"/>
      <c r="J511" s="135"/>
      <c r="K511" s="135"/>
      <c r="L511" s="139"/>
      <c r="M511" s="134"/>
      <c r="N511" s="134"/>
      <c r="O511" s="134"/>
      <c r="P511" s="134"/>
      <c r="Q511" s="134"/>
      <c r="R511" s="134"/>
      <c r="S511" s="139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  <c r="AP511" s="82"/>
      <c r="AQ511" s="82"/>
      <c r="AR511" s="82"/>
      <c r="AS511" s="82"/>
      <c r="AT511" s="82"/>
      <c r="AU511" s="82"/>
      <c r="AV511" s="82"/>
      <c r="AW511" s="82"/>
      <c r="AX511" s="82"/>
      <c r="AY511" s="82"/>
      <c r="AZ511" s="82"/>
      <c r="BA511" s="82"/>
      <c r="BB511" s="82"/>
      <c r="BC511" s="82"/>
      <c r="BD511" s="83"/>
      <c r="BE511" s="83"/>
      <c r="BF511" s="83"/>
      <c r="BG511" s="82"/>
      <c r="BH511" s="81"/>
      <c r="BI511" s="80"/>
      <c r="BJ511" s="25"/>
      <c r="BK511" s="25"/>
      <c r="BL511" s="25"/>
      <c r="BM511" s="84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5"/>
      <c r="CA511" s="25"/>
      <c r="CB511" s="25"/>
      <c r="CC511" s="25"/>
      <c r="CD511" s="25"/>
      <c r="CE511" s="25"/>
      <c r="CF511" s="25"/>
      <c r="CG511" s="25"/>
      <c r="CH511" s="25"/>
      <c r="CI511" s="25"/>
      <c r="CJ511" s="25"/>
      <c r="CK511" s="25"/>
      <c r="CL511" s="25"/>
      <c r="CM511" s="25"/>
      <c r="CN511" s="25"/>
      <c r="CO511" s="25"/>
      <c r="CP511" s="25"/>
      <c r="CQ511" s="25"/>
      <c r="CR511" s="25"/>
      <c r="CS511" s="25"/>
      <c r="CT511" s="25"/>
      <c r="CU511" s="25"/>
      <c r="CV511" s="25"/>
      <c r="CW511" s="25"/>
      <c r="CX511" s="25"/>
      <c r="CY511" s="25"/>
      <c r="CZ511" s="25"/>
      <c r="DA511" s="25"/>
      <c r="DB511" s="25"/>
      <c r="DC511" s="25"/>
      <c r="DD511" s="25"/>
      <c r="DE511" s="25"/>
      <c r="DF511" s="92"/>
      <c r="DG511" s="92"/>
      <c r="DH511" s="203"/>
      <c r="DI511" s="203"/>
      <c r="DJ511" s="203"/>
      <c r="DK511" s="203"/>
      <c r="DL511" s="203"/>
      <c r="DM511" s="203"/>
      <c r="DN511" s="203"/>
      <c r="DO511" s="203"/>
      <c r="DP511" s="208"/>
      <c r="DQ511" s="208"/>
      <c r="DR511" s="208"/>
      <c r="DS511" s="208"/>
      <c r="DT511" s="208"/>
      <c r="DU511" s="208"/>
      <c r="DV511" s="208"/>
      <c r="DW511" s="208"/>
      <c r="DX511" s="208"/>
      <c r="DY511" s="208"/>
      <c r="DZ511" s="208"/>
      <c r="EA511" s="208"/>
      <c r="EB511" s="208"/>
      <c r="EC511" s="208"/>
      <c r="ED511" s="208"/>
      <c r="EE511" s="208"/>
      <c r="EF511" s="208"/>
      <c r="EG511" s="208"/>
      <c r="EH511" s="208"/>
      <c r="EI511" s="208"/>
      <c r="EJ511" s="208"/>
      <c r="EK511" s="208"/>
      <c r="EL511" s="208"/>
      <c r="EM511" s="208"/>
      <c r="EN511" s="208"/>
      <c r="EO511" s="208"/>
      <c r="EP511" s="208"/>
      <c r="EQ511" s="208"/>
      <c r="ER511" s="208"/>
      <c r="ES511" s="208"/>
      <c r="ET511" s="208"/>
      <c r="EU511" s="208"/>
      <c r="EV511" s="208"/>
      <c r="EW511" s="208"/>
      <c r="EX511" s="208"/>
      <c r="EY511" s="208"/>
      <c r="EZ511" s="208">
        <v>0</v>
      </c>
      <c r="FA511" s="208">
        <v>0</v>
      </c>
      <c r="FB511" s="208">
        <v>0</v>
      </c>
      <c r="FC511" s="208"/>
      <c r="FD511" s="82"/>
      <c r="FE511" s="30"/>
    </row>
    <row r="512" spans="1:161" ht="15" hidden="1">
      <c r="A512" s="25" t="s">
        <v>326</v>
      </c>
      <c r="B512" s="212" t="s">
        <v>139</v>
      </c>
      <c r="C512" s="138"/>
      <c r="D512" s="221"/>
      <c r="E512" s="243">
        <v>770</v>
      </c>
      <c r="F512" s="95"/>
      <c r="G512" s="95"/>
      <c r="H512" s="147" t="s">
        <v>656</v>
      </c>
      <c r="I512" s="147"/>
      <c r="J512" s="135"/>
      <c r="K512" s="135"/>
      <c r="L512" s="139"/>
      <c r="M512" s="134"/>
      <c r="N512" s="134"/>
      <c r="O512" s="134"/>
      <c r="P512" s="134"/>
      <c r="Q512" s="134"/>
      <c r="R512" s="134"/>
      <c r="S512" s="139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  <c r="AP512" s="82"/>
      <c r="AQ512" s="82"/>
      <c r="AR512" s="82"/>
      <c r="AS512" s="82"/>
      <c r="AT512" s="82"/>
      <c r="AU512" s="82"/>
      <c r="AV512" s="82"/>
      <c r="AW512" s="82"/>
      <c r="AX512" s="82"/>
      <c r="AY512" s="82"/>
      <c r="AZ512" s="82"/>
      <c r="BA512" s="82"/>
      <c r="BB512" s="82"/>
      <c r="BC512" s="82"/>
      <c r="BD512" s="83"/>
      <c r="BE512" s="83"/>
      <c r="BF512" s="83"/>
      <c r="BG512" s="82"/>
      <c r="BH512" s="81"/>
      <c r="BI512" s="80"/>
      <c r="BJ512" s="25"/>
      <c r="BK512" s="25"/>
      <c r="BL512" s="25"/>
      <c r="BM512" s="84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  <c r="CC512" s="25"/>
      <c r="CD512" s="25"/>
      <c r="CE512" s="25"/>
      <c r="CF512" s="25"/>
      <c r="CG512" s="25"/>
      <c r="CH512" s="25"/>
      <c r="CI512" s="25"/>
      <c r="CJ512" s="25"/>
      <c r="CK512" s="25"/>
      <c r="CL512" s="25"/>
      <c r="CM512" s="25"/>
      <c r="CN512" s="25"/>
      <c r="CO512" s="25"/>
      <c r="CP512" s="25"/>
      <c r="CQ512" s="25"/>
      <c r="CR512" s="25"/>
      <c r="CS512" s="25"/>
      <c r="CT512" s="25"/>
      <c r="CU512" s="25"/>
      <c r="CV512" s="25"/>
      <c r="CW512" s="25"/>
      <c r="CX512" s="25"/>
      <c r="CY512" s="25"/>
      <c r="CZ512" s="25"/>
      <c r="DA512" s="25"/>
      <c r="DB512" s="25"/>
      <c r="DC512" s="25"/>
      <c r="DD512" s="25"/>
      <c r="DE512" s="25"/>
      <c r="DF512" s="92"/>
      <c r="DG512" s="92"/>
      <c r="DH512" s="203"/>
      <c r="DI512" s="203"/>
      <c r="DJ512" s="203"/>
      <c r="DK512" s="203"/>
      <c r="DL512" s="203"/>
      <c r="DM512" s="203"/>
      <c r="DN512" s="203"/>
      <c r="DO512" s="203"/>
      <c r="DP512" s="208"/>
      <c r="DQ512" s="208"/>
      <c r="DR512" s="208"/>
      <c r="DS512" s="208"/>
      <c r="DT512" s="208"/>
      <c r="DU512" s="208"/>
      <c r="DV512" s="208"/>
      <c r="DW512" s="208"/>
      <c r="DX512" s="208"/>
      <c r="DY512" s="208"/>
      <c r="DZ512" s="208"/>
      <c r="EA512" s="208"/>
      <c r="EB512" s="208"/>
      <c r="EC512" s="208"/>
      <c r="ED512" s="208"/>
      <c r="EE512" s="208"/>
      <c r="EF512" s="208"/>
      <c r="EG512" s="208"/>
      <c r="EH512" s="208"/>
      <c r="EI512" s="208"/>
      <c r="EJ512" s="208"/>
      <c r="EK512" s="208"/>
      <c r="EL512" s="208"/>
      <c r="EM512" s="208"/>
      <c r="EN512" s="208"/>
      <c r="EO512" s="208"/>
      <c r="EP512" s="208"/>
      <c r="EQ512" s="208"/>
      <c r="ER512" s="208"/>
      <c r="ES512" s="208"/>
      <c r="ET512" s="208"/>
      <c r="EU512" s="208"/>
      <c r="EV512" s="208"/>
      <c r="EW512" s="208"/>
      <c r="EX512" s="208"/>
      <c r="EY512" s="208"/>
      <c r="EZ512" s="208">
        <v>0</v>
      </c>
      <c r="FA512" s="208">
        <v>0</v>
      </c>
      <c r="FB512" s="208">
        <v>0</v>
      </c>
      <c r="FC512" s="208"/>
      <c r="FD512" s="82"/>
      <c r="FE512" s="30"/>
    </row>
    <row r="513" spans="1:161" ht="15" hidden="1">
      <c r="A513" s="25" t="s">
        <v>622</v>
      </c>
      <c r="B513" s="212" t="s">
        <v>658</v>
      </c>
      <c r="C513" s="138"/>
      <c r="D513" s="221"/>
      <c r="E513" s="243">
        <v>770</v>
      </c>
      <c r="F513" s="95"/>
      <c r="G513" s="95"/>
      <c r="H513" s="147" t="s">
        <v>656</v>
      </c>
      <c r="I513" s="147"/>
      <c r="J513" s="135"/>
      <c r="K513" s="135"/>
      <c r="L513" s="139"/>
      <c r="M513" s="134"/>
      <c r="N513" s="134"/>
      <c r="O513" s="134"/>
      <c r="P513" s="134"/>
      <c r="Q513" s="134"/>
      <c r="R513" s="134"/>
      <c r="S513" s="139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  <c r="AP513" s="82"/>
      <c r="AQ513" s="82"/>
      <c r="AR513" s="82"/>
      <c r="AS513" s="82"/>
      <c r="AT513" s="82"/>
      <c r="AU513" s="82"/>
      <c r="AV513" s="82"/>
      <c r="AW513" s="82"/>
      <c r="AX513" s="82"/>
      <c r="AY513" s="82"/>
      <c r="AZ513" s="82"/>
      <c r="BA513" s="82"/>
      <c r="BB513" s="82"/>
      <c r="BC513" s="82"/>
      <c r="BD513" s="83"/>
      <c r="BE513" s="83"/>
      <c r="BF513" s="83"/>
      <c r="BG513" s="82"/>
      <c r="BH513" s="81"/>
      <c r="BI513" s="80"/>
      <c r="BJ513" s="25"/>
      <c r="BK513" s="25"/>
      <c r="BL513" s="25"/>
      <c r="BM513" s="84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  <c r="CC513" s="25"/>
      <c r="CD513" s="25"/>
      <c r="CE513" s="25"/>
      <c r="CF513" s="25"/>
      <c r="CG513" s="25"/>
      <c r="CH513" s="25"/>
      <c r="CI513" s="25"/>
      <c r="CJ513" s="25"/>
      <c r="CK513" s="25"/>
      <c r="CL513" s="25"/>
      <c r="CM513" s="25"/>
      <c r="CN513" s="25"/>
      <c r="CO513" s="25"/>
      <c r="CP513" s="25"/>
      <c r="CQ513" s="25"/>
      <c r="CR513" s="25"/>
      <c r="CS513" s="25"/>
      <c r="CT513" s="25"/>
      <c r="CU513" s="25"/>
      <c r="CV513" s="25"/>
      <c r="CW513" s="25"/>
      <c r="CX513" s="25"/>
      <c r="CY513" s="25"/>
      <c r="CZ513" s="25"/>
      <c r="DA513" s="25"/>
      <c r="DB513" s="25"/>
      <c r="DC513" s="25"/>
      <c r="DD513" s="25"/>
      <c r="DE513" s="25"/>
      <c r="DF513" s="92"/>
      <c r="DG513" s="92"/>
      <c r="DH513" s="203"/>
      <c r="DI513" s="203"/>
      <c r="DJ513" s="203"/>
      <c r="DK513" s="203"/>
      <c r="DL513" s="203"/>
      <c r="DM513" s="203"/>
      <c r="DN513" s="203"/>
      <c r="DO513" s="203"/>
      <c r="DP513" s="208"/>
      <c r="DQ513" s="208"/>
      <c r="DR513" s="208"/>
      <c r="DS513" s="208"/>
      <c r="DT513" s="208"/>
      <c r="DU513" s="208"/>
      <c r="DV513" s="208"/>
      <c r="DW513" s="208"/>
      <c r="DX513" s="208"/>
      <c r="DY513" s="208"/>
      <c r="DZ513" s="208"/>
      <c r="EA513" s="208"/>
      <c r="EB513" s="208"/>
      <c r="EC513" s="208"/>
      <c r="ED513" s="208"/>
      <c r="EE513" s="208"/>
      <c r="EF513" s="208"/>
      <c r="EG513" s="208"/>
      <c r="EH513" s="208"/>
      <c r="EI513" s="208"/>
      <c r="EJ513" s="208"/>
      <c r="EK513" s="208"/>
      <c r="EL513" s="208"/>
      <c r="EM513" s="208"/>
      <c r="EN513" s="208"/>
      <c r="EO513" s="208"/>
      <c r="EP513" s="208"/>
      <c r="EQ513" s="208"/>
      <c r="ER513" s="208"/>
      <c r="ES513" s="208"/>
      <c r="ET513" s="208"/>
      <c r="EU513" s="208"/>
      <c r="EV513" s="208"/>
      <c r="EW513" s="208"/>
      <c r="EX513" s="208"/>
      <c r="EY513" s="208"/>
      <c r="EZ513" s="208">
        <v>0</v>
      </c>
      <c r="FA513" s="208">
        <v>0</v>
      </c>
      <c r="FB513" s="208">
        <v>0</v>
      </c>
      <c r="FC513" s="208"/>
      <c r="FD513" s="82"/>
      <c r="FE513" s="30"/>
    </row>
    <row r="514" spans="1:161" ht="15" hidden="1">
      <c r="A514" s="25" t="s">
        <v>325</v>
      </c>
      <c r="B514" s="212" t="s">
        <v>139</v>
      </c>
      <c r="C514" s="138"/>
      <c r="D514" s="221"/>
      <c r="E514" s="243">
        <v>770</v>
      </c>
      <c r="F514" s="95"/>
      <c r="G514" s="95"/>
      <c r="H514" s="147" t="s">
        <v>656</v>
      </c>
      <c r="I514" s="147"/>
      <c r="J514" s="135"/>
      <c r="K514" s="135"/>
      <c r="L514" s="139"/>
      <c r="M514" s="134"/>
      <c r="N514" s="134"/>
      <c r="O514" s="134"/>
      <c r="P514" s="134"/>
      <c r="Q514" s="134"/>
      <c r="R514" s="134"/>
      <c r="S514" s="139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  <c r="AP514" s="82"/>
      <c r="AQ514" s="82"/>
      <c r="AR514" s="82"/>
      <c r="AS514" s="82"/>
      <c r="AT514" s="82"/>
      <c r="AU514" s="82"/>
      <c r="AV514" s="82"/>
      <c r="AW514" s="82"/>
      <c r="AX514" s="82"/>
      <c r="AY514" s="82"/>
      <c r="AZ514" s="82"/>
      <c r="BA514" s="82"/>
      <c r="BB514" s="82"/>
      <c r="BC514" s="82"/>
      <c r="BD514" s="83"/>
      <c r="BE514" s="83"/>
      <c r="BF514" s="83"/>
      <c r="BG514" s="82"/>
      <c r="BH514" s="81"/>
      <c r="BI514" s="80"/>
      <c r="BJ514" s="25"/>
      <c r="BK514" s="25"/>
      <c r="BL514" s="25"/>
      <c r="BM514" s="84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5"/>
      <c r="CA514" s="25"/>
      <c r="CB514" s="25"/>
      <c r="CC514" s="25"/>
      <c r="CD514" s="25"/>
      <c r="CE514" s="25"/>
      <c r="CF514" s="25"/>
      <c r="CG514" s="25"/>
      <c r="CH514" s="25"/>
      <c r="CI514" s="25"/>
      <c r="CJ514" s="25"/>
      <c r="CK514" s="25"/>
      <c r="CL514" s="25"/>
      <c r="CM514" s="25"/>
      <c r="CN514" s="25"/>
      <c r="CO514" s="25"/>
      <c r="CP514" s="25"/>
      <c r="CQ514" s="25"/>
      <c r="CR514" s="25"/>
      <c r="CS514" s="25"/>
      <c r="CT514" s="25"/>
      <c r="CU514" s="25"/>
      <c r="CV514" s="25"/>
      <c r="CW514" s="25"/>
      <c r="CX514" s="25"/>
      <c r="CY514" s="25"/>
      <c r="CZ514" s="25"/>
      <c r="DA514" s="25"/>
      <c r="DB514" s="25"/>
      <c r="DC514" s="25"/>
      <c r="DD514" s="25"/>
      <c r="DE514" s="25"/>
      <c r="DF514" s="92"/>
      <c r="DG514" s="92"/>
      <c r="DH514" s="203"/>
      <c r="DI514" s="203"/>
      <c r="DJ514" s="203"/>
      <c r="DK514" s="203"/>
      <c r="DL514" s="203"/>
      <c r="DM514" s="203"/>
      <c r="DN514" s="203"/>
      <c r="DO514" s="203"/>
      <c r="DP514" s="208"/>
      <c r="DQ514" s="208"/>
      <c r="DR514" s="208"/>
      <c r="DS514" s="208"/>
      <c r="DT514" s="208"/>
      <c r="DU514" s="208"/>
      <c r="DV514" s="208"/>
      <c r="DW514" s="208"/>
      <c r="DX514" s="208"/>
      <c r="DY514" s="208"/>
      <c r="DZ514" s="208"/>
      <c r="EA514" s="208"/>
      <c r="EB514" s="208"/>
      <c r="EC514" s="208"/>
      <c r="ED514" s="208"/>
      <c r="EE514" s="208"/>
      <c r="EF514" s="208"/>
      <c r="EG514" s="208"/>
      <c r="EH514" s="208"/>
      <c r="EI514" s="208"/>
      <c r="EJ514" s="208"/>
      <c r="EK514" s="208"/>
      <c r="EL514" s="208"/>
      <c r="EM514" s="208"/>
      <c r="EN514" s="208"/>
      <c r="EO514" s="208"/>
      <c r="EP514" s="208"/>
      <c r="EQ514" s="208"/>
      <c r="ER514" s="208"/>
      <c r="ES514" s="208"/>
      <c r="ET514" s="208"/>
      <c r="EU514" s="208"/>
      <c r="EV514" s="208"/>
      <c r="EW514" s="208"/>
      <c r="EX514" s="208"/>
      <c r="EY514" s="208"/>
      <c r="EZ514" s="208">
        <v>0</v>
      </c>
      <c r="FA514" s="208">
        <v>0</v>
      </c>
      <c r="FB514" s="208">
        <v>0</v>
      </c>
      <c r="FC514" s="208"/>
      <c r="FD514" s="82"/>
      <c r="FE514" s="30"/>
    </row>
    <row r="515" spans="1:161" ht="15" hidden="1">
      <c r="A515" s="25" t="s">
        <v>526</v>
      </c>
      <c r="B515" s="212" t="s">
        <v>153</v>
      </c>
      <c r="C515" s="138"/>
      <c r="D515" s="221"/>
      <c r="E515" s="243">
        <v>970</v>
      </c>
      <c r="F515" s="95"/>
      <c r="G515" s="95"/>
      <c r="H515" s="147" t="s">
        <v>656</v>
      </c>
      <c r="I515" s="147"/>
      <c r="J515" s="135"/>
      <c r="K515" s="135"/>
      <c r="L515" s="139"/>
      <c r="M515" s="134"/>
      <c r="N515" s="134"/>
      <c r="O515" s="134"/>
      <c r="P515" s="134"/>
      <c r="Q515" s="134"/>
      <c r="R515" s="134"/>
      <c r="S515" s="139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  <c r="AP515" s="82"/>
      <c r="AQ515" s="82"/>
      <c r="AR515" s="82"/>
      <c r="AS515" s="82"/>
      <c r="AT515" s="82"/>
      <c r="AU515" s="82"/>
      <c r="AV515" s="82"/>
      <c r="AW515" s="82"/>
      <c r="AX515" s="82"/>
      <c r="AY515" s="82"/>
      <c r="AZ515" s="82"/>
      <c r="BA515" s="82"/>
      <c r="BB515" s="82"/>
      <c r="BC515" s="82"/>
      <c r="BD515" s="83"/>
      <c r="BE515" s="83"/>
      <c r="BF515" s="83"/>
      <c r="BG515" s="82"/>
      <c r="BH515" s="81"/>
      <c r="BI515" s="80"/>
      <c r="BJ515" s="25"/>
      <c r="BK515" s="25"/>
      <c r="BL515" s="25"/>
      <c r="BM515" s="84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5"/>
      <c r="CA515" s="25"/>
      <c r="CB515" s="25"/>
      <c r="CC515" s="25"/>
      <c r="CD515" s="25"/>
      <c r="CE515" s="25"/>
      <c r="CF515" s="25"/>
      <c r="CG515" s="25"/>
      <c r="CH515" s="25"/>
      <c r="CI515" s="25"/>
      <c r="CJ515" s="25"/>
      <c r="CK515" s="25"/>
      <c r="CL515" s="25"/>
      <c r="CM515" s="25"/>
      <c r="CN515" s="25"/>
      <c r="CO515" s="25"/>
      <c r="CP515" s="25"/>
      <c r="CQ515" s="25"/>
      <c r="CR515" s="25"/>
      <c r="CS515" s="25"/>
      <c r="CT515" s="25"/>
      <c r="CU515" s="25"/>
      <c r="CV515" s="25"/>
      <c r="CW515" s="25"/>
      <c r="CX515" s="25"/>
      <c r="CY515" s="25"/>
      <c r="CZ515" s="25"/>
      <c r="DA515" s="25"/>
      <c r="DB515" s="25"/>
      <c r="DC515" s="25"/>
      <c r="DD515" s="25"/>
      <c r="DE515" s="25"/>
      <c r="DF515" s="92"/>
      <c r="DG515" s="92"/>
      <c r="DH515" s="203"/>
      <c r="DI515" s="203"/>
      <c r="DJ515" s="203"/>
      <c r="DK515" s="203"/>
      <c r="DL515" s="203"/>
      <c r="DM515" s="203"/>
      <c r="DN515" s="203"/>
      <c r="DO515" s="203"/>
      <c r="DP515" s="208"/>
      <c r="DQ515" s="208"/>
      <c r="DR515" s="208"/>
      <c r="DS515" s="208"/>
      <c r="DT515" s="208"/>
      <c r="DU515" s="208"/>
      <c r="DV515" s="208"/>
      <c r="DW515" s="208"/>
      <c r="DX515" s="208"/>
      <c r="DY515" s="208"/>
      <c r="DZ515" s="208"/>
      <c r="EA515" s="208"/>
      <c r="EB515" s="208"/>
      <c r="EC515" s="208"/>
      <c r="ED515" s="208"/>
      <c r="EE515" s="208"/>
      <c r="EF515" s="208"/>
      <c r="EG515" s="208"/>
      <c r="EH515" s="208"/>
      <c r="EI515" s="208"/>
      <c r="EJ515" s="208"/>
      <c r="EK515" s="208"/>
      <c r="EL515" s="208"/>
      <c r="EM515" s="208"/>
      <c r="EN515" s="208"/>
      <c r="EO515" s="208"/>
      <c r="EP515" s="208"/>
      <c r="EQ515" s="208"/>
      <c r="ER515" s="208"/>
      <c r="ES515" s="208"/>
      <c r="ET515" s="208"/>
      <c r="EU515" s="208"/>
      <c r="EV515" s="208"/>
      <c r="EW515" s="208"/>
      <c r="EX515" s="208"/>
      <c r="EY515" s="208"/>
      <c r="EZ515" s="208">
        <v>0</v>
      </c>
      <c r="FA515" s="208">
        <v>0</v>
      </c>
      <c r="FB515" s="208">
        <v>0</v>
      </c>
      <c r="FC515" s="208"/>
      <c r="FD515" s="82"/>
      <c r="FE515" s="30"/>
    </row>
    <row r="516" spans="1:161" ht="15" hidden="1">
      <c r="A516" s="25" t="s">
        <v>626</v>
      </c>
      <c r="B516" s="212" t="s">
        <v>658</v>
      </c>
      <c r="C516" s="25"/>
      <c r="D516" s="220"/>
      <c r="E516" s="239">
        <v>970</v>
      </c>
      <c r="F516" s="95"/>
      <c r="G516" s="95"/>
      <c r="H516" s="147" t="s">
        <v>656</v>
      </c>
      <c r="I516" s="148"/>
      <c r="J516" s="93"/>
      <c r="K516" s="93"/>
      <c r="L516" s="81"/>
      <c r="M516" s="136"/>
      <c r="N516" s="93"/>
      <c r="O516" s="134"/>
      <c r="P516" s="134"/>
      <c r="Q516" s="134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  <c r="AE516" s="85"/>
      <c r="AF516" s="85"/>
      <c r="AG516" s="85"/>
      <c r="AH516" s="85"/>
      <c r="AI516" s="85"/>
      <c r="AJ516" s="85"/>
      <c r="AK516" s="85"/>
      <c r="AL516" s="85"/>
      <c r="AM516" s="85"/>
      <c r="AN516" s="85"/>
      <c r="AO516" s="85"/>
      <c r="AP516" s="85"/>
      <c r="AQ516" s="85"/>
      <c r="AR516" s="85"/>
      <c r="AS516" s="85"/>
      <c r="AT516" s="85"/>
      <c r="AU516" s="85"/>
      <c r="AV516" s="85"/>
      <c r="AW516" s="85"/>
      <c r="AX516" s="85"/>
      <c r="AY516" s="85"/>
      <c r="AZ516" s="85"/>
      <c r="BA516" s="85"/>
      <c r="BB516" s="85"/>
      <c r="BC516" s="85"/>
      <c r="BD516" s="85"/>
      <c r="BE516" s="85"/>
      <c r="BF516" s="93"/>
      <c r="BG516" s="92"/>
      <c r="BH516" s="92"/>
      <c r="BI516" s="92"/>
      <c r="BJ516" s="93"/>
      <c r="BK516" s="92"/>
      <c r="BL516" s="92"/>
      <c r="BM516" s="92"/>
      <c r="BN516" s="92"/>
      <c r="BO516" s="92"/>
      <c r="BP516" s="92"/>
      <c r="BQ516" s="92"/>
      <c r="BR516" s="92"/>
      <c r="BS516" s="92"/>
      <c r="BT516" s="92"/>
      <c r="BU516" s="92"/>
      <c r="BV516" s="92"/>
      <c r="BW516" s="92"/>
      <c r="BX516" s="92"/>
      <c r="BY516" s="92"/>
      <c r="BZ516" s="92"/>
      <c r="CA516" s="92"/>
      <c r="CB516" s="92"/>
      <c r="CC516" s="92"/>
      <c r="CD516" s="92"/>
      <c r="CE516" s="92"/>
      <c r="CF516" s="92"/>
      <c r="CG516" s="92"/>
      <c r="CH516" s="92"/>
      <c r="CI516" s="92"/>
      <c r="CJ516" s="92"/>
      <c r="CK516" s="92"/>
      <c r="CL516" s="92"/>
      <c r="CM516" s="92"/>
      <c r="CN516" s="85"/>
      <c r="CO516" s="85"/>
      <c r="CP516" s="85"/>
      <c r="CQ516" s="85"/>
      <c r="CR516" s="85"/>
      <c r="CS516" s="85"/>
      <c r="CT516" s="85"/>
      <c r="CU516" s="85"/>
      <c r="CV516" s="85"/>
      <c r="CW516" s="85"/>
      <c r="CX516" s="85"/>
      <c r="CY516" s="85"/>
      <c r="CZ516" s="85"/>
      <c r="DA516" s="85"/>
      <c r="DB516" s="85"/>
      <c r="DC516" s="85"/>
      <c r="DD516" s="85"/>
      <c r="DE516" s="85"/>
      <c r="DF516" s="92"/>
      <c r="DG516" s="92"/>
      <c r="DH516" s="203"/>
      <c r="DI516" s="203"/>
      <c r="DJ516" s="203"/>
      <c r="DK516" s="203"/>
      <c r="DL516" s="203"/>
      <c r="DM516" s="203"/>
      <c r="DN516" s="203"/>
      <c r="DO516" s="203"/>
      <c r="DP516" s="208"/>
      <c r="DQ516" s="208"/>
      <c r="DR516" s="208"/>
      <c r="DS516" s="208"/>
      <c r="DT516" s="208"/>
      <c r="DU516" s="208"/>
      <c r="DV516" s="208"/>
      <c r="DW516" s="208"/>
      <c r="DX516" s="208"/>
      <c r="DY516" s="208"/>
      <c r="DZ516" s="208"/>
      <c r="EA516" s="208"/>
      <c r="EB516" s="208"/>
      <c r="EC516" s="208"/>
      <c r="ED516" s="208"/>
      <c r="EE516" s="208"/>
      <c r="EF516" s="208"/>
      <c r="EG516" s="208"/>
      <c r="EH516" s="208"/>
      <c r="EI516" s="208"/>
      <c r="EJ516" s="208"/>
      <c r="EK516" s="208"/>
      <c r="EL516" s="208"/>
      <c r="EM516" s="208"/>
      <c r="EN516" s="208"/>
      <c r="EO516" s="208"/>
      <c r="EP516" s="208"/>
      <c r="EQ516" s="208"/>
      <c r="ER516" s="208"/>
      <c r="ES516" s="208"/>
      <c r="ET516" s="208"/>
      <c r="EU516" s="208"/>
      <c r="EV516" s="208"/>
      <c r="EW516" s="208"/>
      <c r="EX516" s="208"/>
      <c r="EY516" s="208"/>
      <c r="EZ516" s="208">
        <v>0</v>
      </c>
      <c r="FA516" s="208">
        <v>0</v>
      </c>
      <c r="FB516" s="208">
        <v>0</v>
      </c>
      <c r="FC516" s="208"/>
      <c r="FD516" s="197"/>
      <c r="FE516" s="30"/>
    </row>
    <row r="517" spans="1:161" ht="15" hidden="1">
      <c r="A517" s="25" t="s">
        <v>621</v>
      </c>
      <c r="B517" s="212" t="s">
        <v>658</v>
      </c>
      <c r="C517" s="25"/>
      <c r="D517" s="220"/>
      <c r="E517" s="239">
        <v>770</v>
      </c>
      <c r="F517" s="95"/>
      <c r="G517" s="95"/>
      <c r="H517" s="147" t="s">
        <v>656</v>
      </c>
      <c r="I517" s="148"/>
      <c r="J517" s="93"/>
      <c r="K517" s="93"/>
      <c r="L517" s="81"/>
      <c r="M517" s="136"/>
      <c r="N517" s="93"/>
      <c r="O517" s="134"/>
      <c r="P517" s="134"/>
      <c r="Q517" s="134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  <c r="AE517" s="85"/>
      <c r="AF517" s="85"/>
      <c r="AG517" s="85"/>
      <c r="AH517" s="85"/>
      <c r="AI517" s="85"/>
      <c r="AJ517" s="85"/>
      <c r="AK517" s="85"/>
      <c r="AL517" s="85"/>
      <c r="AM517" s="85"/>
      <c r="AN517" s="85"/>
      <c r="AO517" s="85"/>
      <c r="AP517" s="85"/>
      <c r="AQ517" s="85"/>
      <c r="AR517" s="85"/>
      <c r="AS517" s="85"/>
      <c r="AT517" s="85"/>
      <c r="AU517" s="85"/>
      <c r="AV517" s="85"/>
      <c r="AW517" s="85"/>
      <c r="AX517" s="85"/>
      <c r="AY517" s="85"/>
      <c r="AZ517" s="85"/>
      <c r="BA517" s="85"/>
      <c r="BB517" s="85"/>
      <c r="BC517" s="85"/>
      <c r="BD517" s="85"/>
      <c r="BE517" s="85"/>
      <c r="BF517" s="93"/>
      <c r="BG517" s="92"/>
      <c r="BH517" s="92"/>
      <c r="BI517" s="92"/>
      <c r="BJ517" s="93"/>
      <c r="BK517" s="92"/>
      <c r="BL517" s="92"/>
      <c r="BM517" s="92"/>
      <c r="BN517" s="92"/>
      <c r="BO517" s="92"/>
      <c r="BP517" s="92"/>
      <c r="BQ517" s="92"/>
      <c r="BR517" s="92"/>
      <c r="BS517" s="92"/>
      <c r="BT517" s="92"/>
      <c r="BU517" s="92"/>
      <c r="BV517" s="92"/>
      <c r="BW517" s="92"/>
      <c r="BX517" s="92"/>
      <c r="BY517" s="92"/>
      <c r="BZ517" s="92"/>
      <c r="CA517" s="92"/>
      <c r="CB517" s="92"/>
      <c r="CC517" s="92"/>
      <c r="CD517" s="92"/>
      <c r="CE517" s="92"/>
      <c r="CF517" s="92"/>
      <c r="CG517" s="92"/>
      <c r="CH517" s="92"/>
      <c r="CI517" s="92"/>
      <c r="CJ517" s="92"/>
      <c r="CK517" s="92"/>
      <c r="CL517" s="92"/>
      <c r="CM517" s="92"/>
      <c r="CN517" s="85"/>
      <c r="CO517" s="85"/>
      <c r="CP517" s="85"/>
      <c r="CQ517" s="85"/>
      <c r="CR517" s="85"/>
      <c r="CS517" s="85"/>
      <c r="CT517" s="85"/>
      <c r="CU517" s="85"/>
      <c r="CV517" s="85"/>
      <c r="CW517" s="85"/>
      <c r="CX517" s="85"/>
      <c r="CY517" s="85"/>
      <c r="CZ517" s="85"/>
      <c r="DA517" s="85"/>
      <c r="DB517" s="85"/>
      <c r="DC517" s="85"/>
      <c r="DD517" s="85"/>
      <c r="DE517" s="85"/>
      <c r="DF517" s="92"/>
      <c r="DG517" s="92"/>
      <c r="DH517" s="203"/>
      <c r="DI517" s="203"/>
      <c r="DJ517" s="203"/>
      <c r="DK517" s="203"/>
      <c r="DL517" s="203"/>
      <c r="DM517" s="203"/>
      <c r="DN517" s="203"/>
      <c r="DO517" s="203"/>
      <c r="DP517" s="208"/>
      <c r="DQ517" s="208"/>
      <c r="DR517" s="208"/>
      <c r="DS517" s="208"/>
      <c r="DT517" s="208"/>
      <c r="DU517" s="208"/>
      <c r="DV517" s="208"/>
      <c r="DW517" s="208"/>
      <c r="DX517" s="208"/>
      <c r="DY517" s="208"/>
      <c r="DZ517" s="208"/>
      <c r="EA517" s="208"/>
      <c r="EB517" s="208"/>
      <c r="EC517" s="208"/>
      <c r="ED517" s="208"/>
      <c r="EE517" s="208"/>
      <c r="EF517" s="208"/>
      <c r="EG517" s="208"/>
      <c r="EH517" s="208"/>
      <c r="EI517" s="208"/>
      <c r="EJ517" s="208"/>
      <c r="EK517" s="208"/>
      <c r="EL517" s="208"/>
      <c r="EM517" s="208"/>
      <c r="EN517" s="208"/>
      <c r="EO517" s="208"/>
      <c r="EP517" s="208"/>
      <c r="EQ517" s="208"/>
      <c r="ER517" s="208"/>
      <c r="ES517" s="208"/>
      <c r="ET517" s="208"/>
      <c r="EU517" s="208"/>
      <c r="EV517" s="208"/>
      <c r="EW517" s="208"/>
      <c r="EX517" s="208"/>
      <c r="EY517" s="208"/>
      <c r="EZ517" s="208">
        <v>0</v>
      </c>
      <c r="FA517" s="208">
        <v>0</v>
      </c>
      <c r="FB517" s="208">
        <v>0</v>
      </c>
      <c r="FC517" s="208"/>
      <c r="FD517" s="197"/>
      <c r="FE517" s="30"/>
    </row>
    <row r="518" spans="1:161" ht="15" hidden="1">
      <c r="A518" s="25" t="s">
        <v>846</v>
      </c>
      <c r="B518" s="212" t="s">
        <v>139</v>
      </c>
      <c r="C518" s="138"/>
      <c r="D518" s="221"/>
      <c r="E518" s="243">
        <v>770</v>
      </c>
      <c r="F518" s="95"/>
      <c r="G518" s="95"/>
      <c r="H518" s="148" t="s">
        <v>656</v>
      </c>
      <c r="I518" s="147"/>
      <c r="J518" s="135"/>
      <c r="K518" s="135"/>
      <c r="L518" s="139"/>
      <c r="M518" s="134"/>
      <c r="N518" s="134"/>
      <c r="O518" s="134"/>
      <c r="P518" s="134"/>
      <c r="Q518" s="134"/>
      <c r="R518" s="134"/>
      <c r="S518" s="139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82"/>
      <c r="AN518" s="82"/>
      <c r="AO518" s="82"/>
      <c r="AP518" s="82"/>
      <c r="AQ518" s="82"/>
      <c r="AR518" s="82"/>
      <c r="AS518" s="82"/>
      <c r="AT518" s="82"/>
      <c r="AU518" s="82"/>
      <c r="AV518" s="82"/>
      <c r="AW518" s="82"/>
      <c r="AX518" s="82"/>
      <c r="AY518" s="82"/>
      <c r="AZ518" s="82"/>
      <c r="BA518" s="82"/>
      <c r="BB518" s="82"/>
      <c r="BC518" s="82"/>
      <c r="BD518" s="83"/>
      <c r="BE518" s="83"/>
      <c r="BF518" s="83"/>
      <c r="BG518" s="82"/>
      <c r="BH518" s="81"/>
      <c r="BI518" s="80"/>
      <c r="BJ518" s="25"/>
      <c r="BK518" s="25"/>
      <c r="BL518" s="25"/>
      <c r="BM518" s="84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  <c r="CC518" s="25"/>
      <c r="CD518" s="25"/>
      <c r="CE518" s="25"/>
      <c r="CF518" s="25"/>
      <c r="CG518" s="25"/>
      <c r="CH518" s="25"/>
      <c r="CI518" s="25"/>
      <c r="CJ518" s="25"/>
      <c r="CK518" s="25"/>
      <c r="CL518" s="25"/>
      <c r="CM518" s="25"/>
      <c r="CN518" s="25"/>
      <c r="CO518" s="25"/>
      <c r="CP518" s="25"/>
      <c r="CQ518" s="25"/>
      <c r="CR518" s="25"/>
      <c r="CS518" s="25"/>
      <c r="CT518" s="25"/>
      <c r="CU518" s="25"/>
      <c r="CV518" s="25"/>
      <c r="CW518" s="25"/>
      <c r="CX518" s="25"/>
      <c r="CY518" s="25"/>
      <c r="CZ518" s="25"/>
      <c r="DA518" s="25"/>
      <c r="DB518" s="25"/>
      <c r="DC518" s="25"/>
      <c r="DD518" s="25"/>
      <c r="DE518" s="25"/>
      <c r="DF518" s="92"/>
      <c r="DG518" s="92"/>
      <c r="DH518" s="203"/>
      <c r="DI518" s="203"/>
      <c r="DJ518" s="203"/>
      <c r="DK518" s="203"/>
      <c r="DL518" s="203"/>
      <c r="DM518" s="203"/>
      <c r="DN518" s="203"/>
      <c r="DO518" s="203"/>
      <c r="DP518" s="208"/>
      <c r="DQ518" s="208"/>
      <c r="DR518" s="208"/>
      <c r="DS518" s="208"/>
      <c r="DT518" s="208"/>
      <c r="DU518" s="208"/>
      <c r="DV518" s="208"/>
      <c r="DW518" s="208"/>
      <c r="DX518" s="208"/>
      <c r="DY518" s="208"/>
      <c r="DZ518" s="208"/>
      <c r="EA518" s="208"/>
      <c r="EB518" s="208"/>
      <c r="EC518" s="208"/>
      <c r="ED518" s="208"/>
      <c r="EE518" s="208"/>
      <c r="EF518" s="208"/>
      <c r="EG518" s="208"/>
      <c r="EH518" s="208"/>
      <c r="EI518" s="208"/>
      <c r="EJ518" s="208"/>
      <c r="EK518" s="208"/>
      <c r="EL518" s="208"/>
      <c r="EM518" s="208"/>
      <c r="EN518" s="208"/>
      <c r="EO518" s="208"/>
      <c r="EP518" s="208"/>
      <c r="EQ518" s="208"/>
      <c r="ER518" s="208"/>
      <c r="ES518" s="208"/>
      <c r="ET518" s="208"/>
      <c r="EU518" s="208"/>
      <c r="EV518" s="208"/>
      <c r="EW518" s="208"/>
      <c r="EX518" s="208"/>
      <c r="EY518" s="208"/>
      <c r="EZ518" s="208">
        <v>0</v>
      </c>
      <c r="FA518" s="208">
        <v>0</v>
      </c>
      <c r="FB518" s="208">
        <v>0</v>
      </c>
      <c r="FC518" s="208"/>
      <c r="FD518" s="82"/>
      <c r="FE518" s="30"/>
    </row>
    <row r="519" spans="1:161" ht="15" hidden="1">
      <c r="A519" s="25" t="s">
        <v>632</v>
      </c>
      <c r="B519" s="212" t="s">
        <v>658</v>
      </c>
      <c r="C519" s="138"/>
      <c r="D519" s="221"/>
      <c r="E519" s="243">
        <v>970</v>
      </c>
      <c r="F519" s="95"/>
      <c r="G519" s="95"/>
      <c r="H519" s="148" t="s">
        <v>656</v>
      </c>
      <c r="I519" s="147"/>
      <c r="J519" s="135"/>
      <c r="K519" s="135"/>
      <c r="L519" s="139"/>
      <c r="M519" s="134"/>
      <c r="N519" s="134"/>
      <c r="O519" s="134"/>
      <c r="P519" s="134"/>
      <c r="Q519" s="134"/>
      <c r="R519" s="134"/>
      <c r="S519" s="139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82"/>
      <c r="AN519" s="82"/>
      <c r="AO519" s="82"/>
      <c r="AP519" s="82"/>
      <c r="AQ519" s="82"/>
      <c r="AR519" s="82"/>
      <c r="AS519" s="82"/>
      <c r="AT519" s="82"/>
      <c r="AU519" s="82"/>
      <c r="AV519" s="82"/>
      <c r="AW519" s="82"/>
      <c r="AX519" s="82"/>
      <c r="AY519" s="82"/>
      <c r="AZ519" s="82"/>
      <c r="BA519" s="82"/>
      <c r="BB519" s="82"/>
      <c r="BC519" s="82"/>
      <c r="BD519" s="83"/>
      <c r="BE519" s="83"/>
      <c r="BF519" s="83"/>
      <c r="BG519" s="82"/>
      <c r="BH519" s="81"/>
      <c r="BI519" s="80"/>
      <c r="BJ519" s="25"/>
      <c r="BK519" s="25"/>
      <c r="BL519" s="25"/>
      <c r="BM519" s="84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  <c r="CC519" s="25"/>
      <c r="CD519" s="25"/>
      <c r="CE519" s="25"/>
      <c r="CF519" s="25"/>
      <c r="CG519" s="25"/>
      <c r="CH519" s="25"/>
      <c r="CI519" s="25"/>
      <c r="CJ519" s="25"/>
      <c r="CK519" s="25"/>
      <c r="CL519" s="25"/>
      <c r="CM519" s="25"/>
      <c r="CN519" s="25"/>
      <c r="CO519" s="25"/>
      <c r="CP519" s="25"/>
      <c r="CQ519" s="25"/>
      <c r="CR519" s="25"/>
      <c r="CS519" s="25"/>
      <c r="CT519" s="25"/>
      <c r="CU519" s="25"/>
      <c r="CV519" s="25"/>
      <c r="CW519" s="25"/>
      <c r="CX519" s="25"/>
      <c r="CY519" s="25"/>
      <c r="CZ519" s="25"/>
      <c r="DA519" s="25"/>
      <c r="DB519" s="25"/>
      <c r="DC519" s="25"/>
      <c r="DD519" s="25"/>
      <c r="DE519" s="25"/>
      <c r="DF519" s="92"/>
      <c r="DG519" s="92"/>
      <c r="DH519" s="203"/>
      <c r="DI519" s="203"/>
      <c r="DJ519" s="203"/>
      <c r="DK519" s="203"/>
      <c r="DL519" s="203"/>
      <c r="DM519" s="203"/>
      <c r="DN519" s="203"/>
      <c r="DO519" s="203"/>
      <c r="DP519" s="208"/>
      <c r="DQ519" s="208"/>
      <c r="DR519" s="208"/>
      <c r="DS519" s="208"/>
      <c r="DT519" s="208"/>
      <c r="DU519" s="208"/>
      <c r="DV519" s="208"/>
      <c r="DW519" s="208"/>
      <c r="DX519" s="208"/>
      <c r="DY519" s="208"/>
      <c r="DZ519" s="208"/>
      <c r="EA519" s="208"/>
      <c r="EB519" s="208"/>
      <c r="EC519" s="208"/>
      <c r="ED519" s="208"/>
      <c r="EE519" s="208"/>
      <c r="EF519" s="208"/>
      <c r="EG519" s="208"/>
      <c r="EH519" s="208"/>
      <c r="EI519" s="208"/>
      <c r="EJ519" s="208"/>
      <c r="EK519" s="208"/>
      <c r="EL519" s="208"/>
      <c r="EM519" s="208"/>
      <c r="EN519" s="208"/>
      <c r="EO519" s="208"/>
      <c r="EP519" s="208"/>
      <c r="EQ519" s="208"/>
      <c r="ER519" s="208"/>
      <c r="ES519" s="208"/>
      <c r="ET519" s="208"/>
      <c r="EU519" s="208"/>
      <c r="EV519" s="208"/>
      <c r="EW519" s="208"/>
      <c r="EX519" s="208"/>
      <c r="EY519" s="208"/>
      <c r="EZ519" s="208">
        <v>0</v>
      </c>
      <c r="FA519" s="208">
        <v>0</v>
      </c>
      <c r="FB519" s="208">
        <v>0</v>
      </c>
      <c r="FC519" s="208"/>
      <c r="FD519" s="82"/>
      <c r="FE519" s="30"/>
    </row>
    <row r="520" spans="1:161" ht="15" hidden="1">
      <c r="A520" s="25" t="s">
        <v>258</v>
      </c>
      <c r="B520" s="212" t="s">
        <v>133</v>
      </c>
      <c r="C520" s="138"/>
      <c r="D520" s="221"/>
      <c r="E520" s="243">
        <v>770</v>
      </c>
      <c r="F520" s="95"/>
      <c r="G520" s="95"/>
      <c r="H520" s="148" t="s">
        <v>656</v>
      </c>
      <c r="I520" s="147"/>
      <c r="J520" s="135"/>
      <c r="K520" s="135"/>
      <c r="L520" s="139"/>
      <c r="M520" s="134"/>
      <c r="N520" s="134"/>
      <c r="O520" s="134"/>
      <c r="P520" s="134"/>
      <c r="Q520" s="134"/>
      <c r="R520" s="134"/>
      <c r="S520" s="139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82"/>
      <c r="AN520" s="82"/>
      <c r="AO520" s="82"/>
      <c r="AP520" s="82"/>
      <c r="AQ520" s="82"/>
      <c r="AR520" s="82"/>
      <c r="AS520" s="82"/>
      <c r="AT520" s="82"/>
      <c r="AU520" s="82"/>
      <c r="AV520" s="82"/>
      <c r="AW520" s="82"/>
      <c r="AX520" s="82"/>
      <c r="AY520" s="82"/>
      <c r="AZ520" s="82"/>
      <c r="BA520" s="82"/>
      <c r="BB520" s="82"/>
      <c r="BC520" s="82"/>
      <c r="BD520" s="83"/>
      <c r="BE520" s="83"/>
      <c r="BF520" s="83"/>
      <c r="BG520" s="82"/>
      <c r="BH520" s="81"/>
      <c r="BI520" s="80"/>
      <c r="BJ520" s="25"/>
      <c r="BK520" s="25"/>
      <c r="BL520" s="25"/>
      <c r="BM520" s="84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5"/>
      <c r="CA520" s="25"/>
      <c r="CB520" s="25"/>
      <c r="CC520" s="25"/>
      <c r="CD520" s="25"/>
      <c r="CE520" s="25"/>
      <c r="CF520" s="25"/>
      <c r="CG520" s="25"/>
      <c r="CH520" s="25"/>
      <c r="CI520" s="25"/>
      <c r="CJ520" s="25"/>
      <c r="CK520" s="25"/>
      <c r="CL520" s="25"/>
      <c r="CM520" s="25"/>
      <c r="CN520" s="25"/>
      <c r="CO520" s="25"/>
      <c r="CP520" s="25"/>
      <c r="CQ520" s="25"/>
      <c r="CR520" s="25"/>
      <c r="CS520" s="25"/>
      <c r="CT520" s="25"/>
      <c r="CU520" s="25"/>
      <c r="CV520" s="25"/>
      <c r="CW520" s="25"/>
      <c r="CX520" s="25"/>
      <c r="CY520" s="25"/>
      <c r="CZ520" s="25"/>
      <c r="DA520" s="25"/>
      <c r="DB520" s="25"/>
      <c r="DC520" s="25"/>
      <c r="DD520" s="25"/>
      <c r="DE520" s="25"/>
      <c r="DF520" s="92"/>
      <c r="DG520" s="92"/>
      <c r="DH520" s="203"/>
      <c r="DI520" s="203"/>
      <c r="DJ520" s="203"/>
      <c r="DK520" s="203"/>
      <c r="DL520" s="203"/>
      <c r="DM520" s="203"/>
      <c r="DN520" s="203"/>
      <c r="DO520" s="203"/>
      <c r="DP520" s="208"/>
      <c r="DQ520" s="208"/>
      <c r="DR520" s="208"/>
      <c r="DS520" s="208"/>
      <c r="DT520" s="208"/>
      <c r="DU520" s="208"/>
      <c r="DV520" s="208"/>
      <c r="DW520" s="208"/>
      <c r="DX520" s="208"/>
      <c r="DY520" s="208"/>
      <c r="DZ520" s="208"/>
      <c r="EA520" s="208"/>
      <c r="EB520" s="208"/>
      <c r="EC520" s="208"/>
      <c r="ED520" s="208"/>
      <c r="EE520" s="208"/>
      <c r="EF520" s="208"/>
      <c r="EG520" s="208"/>
      <c r="EH520" s="208"/>
      <c r="EI520" s="208"/>
      <c r="EJ520" s="208"/>
      <c r="EK520" s="208"/>
      <c r="EL520" s="208"/>
      <c r="EM520" s="208"/>
      <c r="EN520" s="208"/>
      <c r="EO520" s="208"/>
      <c r="EP520" s="208"/>
      <c r="EQ520" s="208"/>
      <c r="ER520" s="208"/>
      <c r="ES520" s="208"/>
      <c r="ET520" s="208"/>
      <c r="EU520" s="208"/>
      <c r="EV520" s="208"/>
      <c r="EW520" s="208"/>
      <c r="EX520" s="208"/>
      <c r="EY520" s="208"/>
      <c r="EZ520" s="208">
        <v>0</v>
      </c>
      <c r="FA520" s="208">
        <v>0</v>
      </c>
      <c r="FB520" s="208">
        <v>0</v>
      </c>
      <c r="FC520" s="208"/>
      <c r="FD520" s="82"/>
      <c r="FE520" s="30"/>
    </row>
    <row r="521" spans="1:161" ht="15" hidden="1">
      <c r="A521" s="25" t="s">
        <v>138</v>
      </c>
      <c r="B521" s="212" t="s">
        <v>133</v>
      </c>
      <c r="C521" s="138"/>
      <c r="D521" s="221"/>
      <c r="E521" s="244">
        <v>970</v>
      </c>
      <c r="F521" s="95"/>
      <c r="G521" s="95"/>
      <c r="H521" s="147" t="s">
        <v>656</v>
      </c>
      <c r="I521" s="147"/>
      <c r="J521" s="135"/>
      <c r="K521" s="135"/>
      <c r="L521" s="139"/>
      <c r="M521" s="134"/>
      <c r="N521" s="134"/>
      <c r="O521" s="134"/>
      <c r="P521" s="134"/>
      <c r="Q521" s="134"/>
      <c r="R521" s="134"/>
      <c r="S521" s="139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82"/>
      <c r="AN521" s="82"/>
      <c r="AO521" s="82"/>
      <c r="AP521" s="82"/>
      <c r="AQ521" s="82"/>
      <c r="AR521" s="82"/>
      <c r="AS521" s="82"/>
      <c r="AT521" s="82"/>
      <c r="AU521" s="82"/>
      <c r="AV521" s="82"/>
      <c r="AW521" s="82"/>
      <c r="AX521" s="82"/>
      <c r="AY521" s="82"/>
      <c r="AZ521" s="82"/>
      <c r="BA521" s="82"/>
      <c r="BB521" s="82"/>
      <c r="BC521" s="82"/>
      <c r="BD521" s="83"/>
      <c r="BE521" s="83"/>
      <c r="BF521" s="83"/>
      <c r="BG521" s="82"/>
      <c r="BH521" s="81"/>
      <c r="BI521" s="80"/>
      <c r="BJ521" s="25"/>
      <c r="BK521" s="25"/>
      <c r="BL521" s="25"/>
      <c r="BM521" s="84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5"/>
      <c r="CA521" s="25"/>
      <c r="CB521" s="25"/>
      <c r="CC521" s="25"/>
      <c r="CD521" s="25"/>
      <c r="CE521" s="25"/>
      <c r="CF521" s="25"/>
      <c r="CG521" s="25"/>
      <c r="CH521" s="25"/>
      <c r="CI521" s="25"/>
      <c r="CJ521" s="25"/>
      <c r="CK521" s="25"/>
      <c r="CL521" s="25"/>
      <c r="CM521" s="25"/>
      <c r="CN521" s="25"/>
      <c r="CO521" s="25"/>
      <c r="CP521" s="25"/>
      <c r="CQ521" s="25"/>
      <c r="CR521" s="25"/>
      <c r="CS521" s="25"/>
      <c r="CT521" s="25"/>
      <c r="CU521" s="25"/>
      <c r="CV521" s="25"/>
      <c r="CW521" s="25"/>
      <c r="CX521" s="25"/>
      <c r="CY521" s="25"/>
      <c r="CZ521" s="25"/>
      <c r="DA521" s="25"/>
      <c r="DB521" s="25"/>
      <c r="DC521" s="25"/>
      <c r="DD521" s="25"/>
      <c r="DE521" s="25"/>
      <c r="DF521" s="92"/>
      <c r="DG521" s="92"/>
      <c r="DH521" s="203"/>
      <c r="DI521" s="203"/>
      <c r="DJ521" s="203"/>
      <c r="DK521" s="203"/>
      <c r="DL521" s="203"/>
      <c r="DM521" s="203"/>
      <c r="DN521" s="203"/>
      <c r="DO521" s="203"/>
      <c r="DP521" s="208"/>
      <c r="DQ521" s="208"/>
      <c r="DR521" s="208"/>
      <c r="DS521" s="208"/>
      <c r="DT521" s="208"/>
      <c r="DU521" s="208"/>
      <c r="DV521" s="208"/>
      <c r="DW521" s="208"/>
      <c r="DX521" s="208"/>
      <c r="DY521" s="208"/>
      <c r="DZ521" s="208"/>
      <c r="EA521" s="208"/>
      <c r="EB521" s="208"/>
      <c r="EC521" s="208"/>
      <c r="ED521" s="208"/>
      <c r="EE521" s="208"/>
      <c r="EF521" s="208"/>
      <c r="EG521" s="208"/>
      <c r="EH521" s="208"/>
      <c r="EI521" s="208"/>
      <c r="EJ521" s="208"/>
      <c r="EK521" s="208"/>
      <c r="EL521" s="208"/>
      <c r="EM521" s="208"/>
      <c r="EN521" s="208"/>
      <c r="EO521" s="208"/>
      <c r="EP521" s="208"/>
      <c r="EQ521" s="208"/>
      <c r="ER521" s="208"/>
      <c r="ES521" s="208"/>
      <c r="ET521" s="208"/>
      <c r="EU521" s="208"/>
      <c r="EV521" s="208"/>
      <c r="EW521" s="208"/>
      <c r="EX521" s="208"/>
      <c r="EY521" s="208"/>
      <c r="EZ521" s="208">
        <v>0</v>
      </c>
      <c r="FA521" s="208">
        <v>0</v>
      </c>
      <c r="FB521" s="208">
        <v>0</v>
      </c>
      <c r="FC521" s="208"/>
      <c r="FD521" s="82"/>
      <c r="FE521" s="30"/>
    </row>
    <row r="522" spans="1:161" ht="15" hidden="1">
      <c r="A522" s="25" t="s">
        <v>616</v>
      </c>
      <c r="B522" s="212" t="s">
        <v>658</v>
      </c>
      <c r="C522" s="138"/>
      <c r="D522" s="221"/>
      <c r="E522" s="244">
        <v>770</v>
      </c>
      <c r="F522" s="95"/>
      <c r="G522" s="95"/>
      <c r="H522" s="147" t="s">
        <v>656</v>
      </c>
      <c r="I522" s="147"/>
      <c r="J522" s="135"/>
      <c r="K522" s="135"/>
      <c r="L522" s="139"/>
      <c r="M522" s="134"/>
      <c r="N522" s="134"/>
      <c r="O522" s="134"/>
      <c r="P522" s="134"/>
      <c r="Q522" s="134"/>
      <c r="R522" s="134"/>
      <c r="S522" s="139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  <c r="AP522" s="82"/>
      <c r="AQ522" s="82"/>
      <c r="AR522" s="82"/>
      <c r="AS522" s="82"/>
      <c r="AT522" s="82"/>
      <c r="AU522" s="82"/>
      <c r="AV522" s="82"/>
      <c r="AW522" s="82"/>
      <c r="AX522" s="82"/>
      <c r="AY522" s="82"/>
      <c r="AZ522" s="82"/>
      <c r="BA522" s="82"/>
      <c r="BB522" s="82"/>
      <c r="BC522" s="82"/>
      <c r="BD522" s="83"/>
      <c r="BE522" s="83"/>
      <c r="BF522" s="83"/>
      <c r="BG522" s="82"/>
      <c r="BH522" s="81"/>
      <c r="BI522" s="80"/>
      <c r="BJ522" s="25"/>
      <c r="BK522" s="25"/>
      <c r="BL522" s="25"/>
      <c r="BM522" s="84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  <c r="CC522" s="25"/>
      <c r="CD522" s="25"/>
      <c r="CE522" s="25"/>
      <c r="CF522" s="25"/>
      <c r="CG522" s="25"/>
      <c r="CH522" s="25"/>
      <c r="CI522" s="25"/>
      <c r="CJ522" s="25"/>
      <c r="CK522" s="25"/>
      <c r="CL522" s="25"/>
      <c r="CM522" s="25"/>
      <c r="CN522" s="25"/>
      <c r="CO522" s="25"/>
      <c r="CP522" s="25"/>
      <c r="CQ522" s="25"/>
      <c r="CR522" s="25"/>
      <c r="CS522" s="25"/>
      <c r="CT522" s="25"/>
      <c r="CU522" s="25"/>
      <c r="CV522" s="25"/>
      <c r="CW522" s="25"/>
      <c r="CX522" s="25"/>
      <c r="CY522" s="25"/>
      <c r="CZ522" s="25"/>
      <c r="DA522" s="25"/>
      <c r="DB522" s="25"/>
      <c r="DC522" s="25"/>
      <c r="DD522" s="25"/>
      <c r="DE522" s="25"/>
      <c r="DF522" s="92"/>
      <c r="DG522" s="92"/>
      <c r="DH522" s="203"/>
      <c r="DI522" s="203"/>
      <c r="DJ522" s="203"/>
      <c r="DK522" s="203"/>
      <c r="DL522" s="203"/>
      <c r="DM522" s="203"/>
      <c r="DN522" s="203"/>
      <c r="DO522" s="203"/>
      <c r="DP522" s="208"/>
      <c r="DQ522" s="208"/>
      <c r="DR522" s="208"/>
      <c r="DS522" s="208"/>
      <c r="DT522" s="208"/>
      <c r="DU522" s="208"/>
      <c r="DV522" s="208"/>
      <c r="DW522" s="208"/>
      <c r="DX522" s="208"/>
      <c r="DY522" s="208"/>
      <c r="DZ522" s="208"/>
      <c r="EA522" s="208"/>
      <c r="EB522" s="208"/>
      <c r="EC522" s="208"/>
      <c r="ED522" s="208"/>
      <c r="EE522" s="208"/>
      <c r="EF522" s="208"/>
      <c r="EG522" s="208"/>
      <c r="EH522" s="208"/>
      <c r="EI522" s="208"/>
      <c r="EJ522" s="208"/>
      <c r="EK522" s="208"/>
      <c r="EL522" s="208"/>
      <c r="EM522" s="208"/>
      <c r="EN522" s="208"/>
      <c r="EO522" s="208"/>
      <c r="EP522" s="208"/>
      <c r="EQ522" s="208"/>
      <c r="ER522" s="208"/>
      <c r="ES522" s="208"/>
      <c r="ET522" s="208"/>
      <c r="EU522" s="208"/>
      <c r="EV522" s="208"/>
      <c r="EW522" s="208"/>
      <c r="EX522" s="208"/>
      <c r="EY522" s="208"/>
      <c r="EZ522" s="208">
        <v>0</v>
      </c>
      <c r="FA522" s="208">
        <v>0</v>
      </c>
      <c r="FB522" s="208">
        <v>0</v>
      </c>
      <c r="FC522" s="208"/>
      <c r="FD522" s="82"/>
      <c r="FE522" s="30"/>
    </row>
    <row r="523" spans="1:161" ht="15" hidden="1">
      <c r="A523" s="25" t="s">
        <v>617</v>
      </c>
      <c r="B523" s="212" t="s">
        <v>658</v>
      </c>
      <c r="C523" s="138"/>
      <c r="D523" s="221"/>
      <c r="E523" s="244">
        <v>770</v>
      </c>
      <c r="F523" s="95"/>
      <c r="G523" s="95"/>
      <c r="H523" s="147" t="s">
        <v>656</v>
      </c>
      <c r="I523" s="147"/>
      <c r="J523" s="135"/>
      <c r="K523" s="135"/>
      <c r="L523" s="139"/>
      <c r="M523" s="134"/>
      <c r="N523" s="134"/>
      <c r="O523" s="134"/>
      <c r="P523" s="134"/>
      <c r="Q523" s="134"/>
      <c r="R523" s="134"/>
      <c r="S523" s="139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82"/>
      <c r="AN523" s="82"/>
      <c r="AO523" s="82"/>
      <c r="AP523" s="82"/>
      <c r="AQ523" s="82"/>
      <c r="AR523" s="82"/>
      <c r="AS523" s="82"/>
      <c r="AT523" s="82"/>
      <c r="AU523" s="82"/>
      <c r="AV523" s="82"/>
      <c r="AW523" s="82"/>
      <c r="AX523" s="82"/>
      <c r="AY523" s="82"/>
      <c r="AZ523" s="82"/>
      <c r="BA523" s="82"/>
      <c r="BB523" s="82"/>
      <c r="BC523" s="82"/>
      <c r="BD523" s="83"/>
      <c r="BE523" s="83"/>
      <c r="BF523" s="83"/>
      <c r="BG523" s="82"/>
      <c r="BH523" s="81"/>
      <c r="BI523" s="80"/>
      <c r="BJ523" s="25"/>
      <c r="BK523" s="25"/>
      <c r="BL523" s="25"/>
      <c r="BM523" s="84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5"/>
      <c r="CA523" s="25"/>
      <c r="CB523" s="25"/>
      <c r="CC523" s="25"/>
      <c r="CD523" s="25"/>
      <c r="CE523" s="25"/>
      <c r="CF523" s="25"/>
      <c r="CG523" s="25"/>
      <c r="CH523" s="25"/>
      <c r="CI523" s="25"/>
      <c r="CJ523" s="25"/>
      <c r="CK523" s="25"/>
      <c r="CL523" s="25"/>
      <c r="CM523" s="25"/>
      <c r="CN523" s="25"/>
      <c r="CO523" s="25"/>
      <c r="CP523" s="25"/>
      <c r="CQ523" s="25"/>
      <c r="CR523" s="25"/>
      <c r="CS523" s="25"/>
      <c r="CT523" s="25"/>
      <c r="CU523" s="25"/>
      <c r="CV523" s="25"/>
      <c r="CW523" s="25"/>
      <c r="CX523" s="25"/>
      <c r="CY523" s="25"/>
      <c r="CZ523" s="25"/>
      <c r="DA523" s="25"/>
      <c r="DB523" s="25"/>
      <c r="DC523" s="25"/>
      <c r="DD523" s="25"/>
      <c r="DE523" s="25"/>
      <c r="DF523" s="92"/>
      <c r="DG523" s="92"/>
      <c r="DH523" s="203"/>
      <c r="DI523" s="203"/>
      <c r="DJ523" s="203"/>
      <c r="DK523" s="203"/>
      <c r="DL523" s="203"/>
      <c r="DM523" s="203"/>
      <c r="DN523" s="203"/>
      <c r="DO523" s="203"/>
      <c r="DP523" s="208"/>
      <c r="DQ523" s="208"/>
      <c r="DR523" s="208"/>
      <c r="DS523" s="208"/>
      <c r="DT523" s="208"/>
      <c r="DU523" s="208"/>
      <c r="DV523" s="208"/>
      <c r="DW523" s="208"/>
      <c r="DX523" s="208"/>
      <c r="DY523" s="208"/>
      <c r="DZ523" s="208"/>
      <c r="EA523" s="208"/>
      <c r="EB523" s="208"/>
      <c r="EC523" s="208"/>
      <c r="ED523" s="208"/>
      <c r="EE523" s="208"/>
      <c r="EF523" s="208"/>
      <c r="EG523" s="208"/>
      <c r="EH523" s="208"/>
      <c r="EI523" s="208"/>
      <c r="EJ523" s="208"/>
      <c r="EK523" s="208"/>
      <c r="EL523" s="208"/>
      <c r="EM523" s="208"/>
      <c r="EN523" s="208"/>
      <c r="EO523" s="208"/>
      <c r="EP523" s="208"/>
      <c r="EQ523" s="208"/>
      <c r="ER523" s="208"/>
      <c r="ES523" s="208"/>
      <c r="ET523" s="208"/>
      <c r="EU523" s="208"/>
      <c r="EV523" s="208"/>
      <c r="EW523" s="208"/>
      <c r="EX523" s="208"/>
      <c r="EY523" s="208"/>
      <c r="EZ523" s="208">
        <v>0</v>
      </c>
      <c r="FA523" s="208">
        <v>0</v>
      </c>
      <c r="FB523" s="208">
        <v>0</v>
      </c>
      <c r="FC523" s="208"/>
      <c r="FD523" s="82"/>
      <c r="FE523" s="30"/>
    </row>
    <row r="524" spans="1:161" ht="15" hidden="1">
      <c r="A524" s="25" t="s">
        <v>120</v>
      </c>
      <c r="B524" s="224" t="s">
        <v>117</v>
      </c>
      <c r="C524" s="138"/>
      <c r="D524" s="221"/>
      <c r="E524" s="244">
        <v>1155</v>
      </c>
      <c r="F524" s="95"/>
      <c r="G524" s="95"/>
      <c r="H524" s="225" t="s">
        <v>656</v>
      </c>
      <c r="I524" s="147"/>
      <c r="J524" s="135"/>
      <c r="K524" s="135"/>
      <c r="L524" s="139"/>
      <c r="M524" s="134"/>
      <c r="N524" s="134"/>
      <c r="O524" s="134"/>
      <c r="P524" s="134"/>
      <c r="Q524" s="134"/>
      <c r="R524" s="134"/>
      <c r="S524" s="139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82"/>
      <c r="AN524" s="82"/>
      <c r="AO524" s="82"/>
      <c r="AP524" s="82"/>
      <c r="AQ524" s="82"/>
      <c r="AR524" s="82"/>
      <c r="AS524" s="82"/>
      <c r="AT524" s="82"/>
      <c r="AU524" s="82"/>
      <c r="AV524" s="82"/>
      <c r="AW524" s="82"/>
      <c r="AX524" s="82"/>
      <c r="AY524" s="82"/>
      <c r="AZ524" s="82"/>
      <c r="BA524" s="82"/>
      <c r="BB524" s="82"/>
      <c r="BC524" s="82"/>
      <c r="BD524" s="83"/>
      <c r="BE524" s="83"/>
      <c r="BF524" s="83"/>
      <c r="BG524" s="82"/>
      <c r="BH524" s="81"/>
      <c r="BI524" s="80"/>
      <c r="BJ524" s="25"/>
      <c r="BK524" s="25"/>
      <c r="BL524" s="25"/>
      <c r="BM524" s="84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  <c r="CC524" s="25"/>
      <c r="CD524" s="25"/>
      <c r="CE524" s="25"/>
      <c r="CF524" s="25"/>
      <c r="CG524" s="25"/>
      <c r="CH524" s="25"/>
      <c r="CI524" s="25"/>
      <c r="CJ524" s="25"/>
      <c r="CK524" s="25"/>
      <c r="CL524" s="25"/>
      <c r="CM524" s="25"/>
      <c r="CN524" s="25"/>
      <c r="CO524" s="25"/>
      <c r="CP524" s="25"/>
      <c r="CQ524" s="25"/>
      <c r="CR524" s="25"/>
      <c r="CS524" s="25"/>
      <c r="CT524" s="25"/>
      <c r="CU524" s="25"/>
      <c r="CV524" s="25"/>
      <c r="CW524" s="25"/>
      <c r="CX524" s="25"/>
      <c r="CY524" s="25"/>
      <c r="CZ524" s="25"/>
      <c r="DA524" s="25"/>
      <c r="DB524" s="25"/>
      <c r="DC524" s="25"/>
      <c r="DD524" s="25"/>
      <c r="DE524" s="25"/>
      <c r="DF524" s="92"/>
      <c r="DG524" s="92"/>
      <c r="DH524" s="203"/>
      <c r="DI524" s="203"/>
      <c r="DJ524" s="203"/>
      <c r="DK524" s="203"/>
      <c r="DL524" s="203"/>
      <c r="DM524" s="203"/>
      <c r="DN524" s="203"/>
      <c r="DO524" s="203"/>
      <c r="DP524" s="208"/>
      <c r="DQ524" s="208"/>
      <c r="DR524" s="208"/>
      <c r="DS524" s="208"/>
      <c r="DT524" s="208"/>
      <c r="DU524" s="208"/>
      <c r="DV524" s="208"/>
      <c r="DW524" s="208"/>
      <c r="DX524" s="208"/>
      <c r="DY524" s="208"/>
      <c r="DZ524" s="208"/>
      <c r="EA524" s="208"/>
      <c r="EB524" s="208"/>
      <c r="EC524" s="208"/>
      <c r="ED524" s="208"/>
      <c r="EE524" s="208"/>
      <c r="EF524" s="208"/>
      <c r="EG524" s="208"/>
      <c r="EH524" s="208"/>
      <c r="EI524" s="208"/>
      <c r="EJ524" s="208"/>
      <c r="EK524" s="208"/>
      <c r="EL524" s="208"/>
      <c r="EM524" s="208"/>
      <c r="EN524" s="208"/>
      <c r="EO524" s="208"/>
      <c r="EP524" s="208"/>
      <c r="EQ524" s="208"/>
      <c r="ER524" s="208"/>
      <c r="ES524" s="208"/>
      <c r="ET524" s="208"/>
      <c r="EU524" s="208"/>
      <c r="EV524" s="208"/>
      <c r="EW524" s="208"/>
      <c r="EX524" s="208"/>
      <c r="EY524" s="208"/>
      <c r="EZ524" s="208">
        <v>0</v>
      </c>
      <c r="FA524" s="208">
        <v>0</v>
      </c>
      <c r="FB524" s="208">
        <v>0</v>
      </c>
      <c r="FC524" s="208"/>
      <c r="FD524" s="82"/>
      <c r="FE524" s="30"/>
    </row>
    <row r="525" spans="1:161" ht="15" hidden="1">
      <c r="A525" s="25" t="s">
        <v>140</v>
      </c>
      <c r="B525" s="212" t="s">
        <v>139</v>
      </c>
      <c r="C525" s="138"/>
      <c r="D525" s="221"/>
      <c r="E525" s="245">
        <v>770</v>
      </c>
      <c r="F525" s="95"/>
      <c r="G525" s="95"/>
      <c r="H525" s="147" t="s">
        <v>656</v>
      </c>
      <c r="I525" s="147"/>
      <c r="J525" s="135"/>
      <c r="K525" s="135"/>
      <c r="L525" s="139"/>
      <c r="M525" s="134"/>
      <c r="N525" s="134"/>
      <c r="O525" s="134"/>
      <c r="P525" s="134"/>
      <c r="Q525" s="134"/>
      <c r="R525" s="134"/>
      <c r="S525" s="139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82"/>
      <c r="AN525" s="82"/>
      <c r="AO525" s="82"/>
      <c r="AP525" s="82"/>
      <c r="AQ525" s="82"/>
      <c r="AR525" s="82"/>
      <c r="AS525" s="82"/>
      <c r="AT525" s="82"/>
      <c r="AU525" s="82"/>
      <c r="AV525" s="82"/>
      <c r="AW525" s="82"/>
      <c r="AX525" s="82"/>
      <c r="AY525" s="82"/>
      <c r="AZ525" s="82"/>
      <c r="BA525" s="82"/>
      <c r="BB525" s="82"/>
      <c r="BC525" s="82"/>
      <c r="BD525" s="83"/>
      <c r="BE525" s="83"/>
      <c r="BF525" s="83"/>
      <c r="BG525" s="82"/>
      <c r="BH525" s="81"/>
      <c r="BI525" s="80"/>
      <c r="BJ525" s="25"/>
      <c r="BK525" s="25"/>
      <c r="BL525" s="25"/>
      <c r="BM525" s="84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  <c r="CC525" s="25"/>
      <c r="CD525" s="25"/>
      <c r="CE525" s="25"/>
      <c r="CF525" s="25"/>
      <c r="CG525" s="25"/>
      <c r="CH525" s="25"/>
      <c r="CI525" s="25"/>
      <c r="CJ525" s="25"/>
      <c r="CK525" s="25"/>
      <c r="CL525" s="25"/>
      <c r="CM525" s="25"/>
      <c r="CN525" s="25"/>
      <c r="CO525" s="25"/>
      <c r="CP525" s="25"/>
      <c r="CQ525" s="25"/>
      <c r="CR525" s="25"/>
      <c r="CS525" s="25"/>
      <c r="CT525" s="25"/>
      <c r="CU525" s="25"/>
      <c r="CV525" s="25"/>
      <c r="CW525" s="25"/>
      <c r="CX525" s="25"/>
      <c r="CY525" s="25"/>
      <c r="CZ525" s="25"/>
      <c r="DA525" s="25"/>
      <c r="DB525" s="25"/>
      <c r="DC525" s="25"/>
      <c r="DD525" s="25"/>
      <c r="DE525" s="25"/>
      <c r="DF525" s="92"/>
      <c r="DG525" s="92"/>
      <c r="DH525" s="203"/>
      <c r="DI525" s="203"/>
      <c r="DJ525" s="203"/>
      <c r="DK525" s="203"/>
      <c r="DL525" s="203"/>
      <c r="DM525" s="203"/>
      <c r="DN525" s="203"/>
      <c r="DO525" s="203"/>
      <c r="DP525" s="208"/>
      <c r="DQ525" s="208"/>
      <c r="DR525" s="208"/>
      <c r="DS525" s="208"/>
      <c r="DT525" s="208"/>
      <c r="DU525" s="208"/>
      <c r="DV525" s="208"/>
      <c r="DW525" s="208"/>
      <c r="DX525" s="208"/>
      <c r="DY525" s="208"/>
      <c r="DZ525" s="208"/>
      <c r="EA525" s="208"/>
      <c r="EB525" s="208"/>
      <c r="EC525" s="208"/>
      <c r="ED525" s="208"/>
      <c r="EE525" s="208"/>
      <c r="EF525" s="208"/>
      <c r="EG525" s="208"/>
      <c r="EH525" s="208"/>
      <c r="EI525" s="208"/>
      <c r="EJ525" s="208"/>
      <c r="EK525" s="208"/>
      <c r="EL525" s="208"/>
      <c r="EM525" s="208"/>
      <c r="EN525" s="208"/>
      <c r="EO525" s="208"/>
      <c r="EP525" s="208"/>
      <c r="EQ525" s="208"/>
      <c r="ER525" s="208"/>
      <c r="ES525" s="208"/>
      <c r="ET525" s="208"/>
      <c r="EU525" s="208"/>
      <c r="EV525" s="208"/>
      <c r="EW525" s="208"/>
      <c r="EX525" s="208"/>
      <c r="EY525" s="208"/>
      <c r="EZ525" s="208">
        <v>0</v>
      </c>
      <c r="FA525" s="208">
        <v>0</v>
      </c>
      <c r="FB525" s="208">
        <v>0</v>
      </c>
      <c r="FC525" s="208"/>
      <c r="FD525" s="82"/>
      <c r="FE525" s="30"/>
    </row>
    <row r="526" spans="1:161" ht="15" hidden="1">
      <c r="A526" s="25" t="s">
        <v>527</v>
      </c>
      <c r="B526" s="212" t="s">
        <v>153</v>
      </c>
      <c r="C526" s="138"/>
      <c r="D526" s="221"/>
      <c r="E526" s="245">
        <v>970</v>
      </c>
      <c r="F526" s="95"/>
      <c r="G526" s="95"/>
      <c r="H526" s="147" t="s">
        <v>656</v>
      </c>
      <c r="I526" s="147"/>
      <c r="J526" s="135"/>
      <c r="K526" s="135"/>
      <c r="L526" s="139"/>
      <c r="M526" s="134"/>
      <c r="N526" s="134"/>
      <c r="O526" s="134"/>
      <c r="P526" s="134"/>
      <c r="Q526" s="134"/>
      <c r="R526" s="134"/>
      <c r="S526" s="139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82"/>
      <c r="AN526" s="82"/>
      <c r="AO526" s="82"/>
      <c r="AP526" s="82"/>
      <c r="AQ526" s="82"/>
      <c r="AR526" s="82"/>
      <c r="AS526" s="82"/>
      <c r="AT526" s="82"/>
      <c r="AU526" s="82"/>
      <c r="AV526" s="82"/>
      <c r="AW526" s="82"/>
      <c r="AX526" s="82"/>
      <c r="AY526" s="82"/>
      <c r="AZ526" s="82"/>
      <c r="BA526" s="82"/>
      <c r="BB526" s="82"/>
      <c r="BC526" s="82"/>
      <c r="BD526" s="83"/>
      <c r="BE526" s="83"/>
      <c r="BF526" s="83"/>
      <c r="BG526" s="82"/>
      <c r="BH526" s="81"/>
      <c r="BI526" s="80"/>
      <c r="BJ526" s="25"/>
      <c r="BK526" s="25"/>
      <c r="BL526" s="25"/>
      <c r="BM526" s="84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  <c r="CU526" s="25"/>
      <c r="CV526" s="25"/>
      <c r="CW526" s="25"/>
      <c r="CX526" s="25"/>
      <c r="CY526" s="25"/>
      <c r="CZ526" s="25"/>
      <c r="DA526" s="25"/>
      <c r="DB526" s="25"/>
      <c r="DC526" s="25"/>
      <c r="DD526" s="25"/>
      <c r="DE526" s="25"/>
      <c r="DF526" s="92"/>
      <c r="DG526" s="92"/>
      <c r="DH526" s="203"/>
      <c r="DI526" s="203"/>
      <c r="DJ526" s="203"/>
      <c r="DK526" s="203"/>
      <c r="DL526" s="203"/>
      <c r="DM526" s="203"/>
      <c r="DN526" s="203"/>
      <c r="DO526" s="203"/>
      <c r="DP526" s="208"/>
      <c r="DQ526" s="208"/>
      <c r="DR526" s="208"/>
      <c r="DS526" s="208"/>
      <c r="DT526" s="208"/>
      <c r="DU526" s="208"/>
      <c r="DV526" s="208"/>
      <c r="DW526" s="208"/>
      <c r="DX526" s="208"/>
      <c r="DY526" s="208"/>
      <c r="DZ526" s="208"/>
      <c r="EA526" s="208"/>
      <c r="EB526" s="208"/>
      <c r="EC526" s="208"/>
      <c r="ED526" s="208"/>
      <c r="EE526" s="208"/>
      <c r="EF526" s="208"/>
      <c r="EG526" s="208"/>
      <c r="EH526" s="208"/>
      <c r="EI526" s="208"/>
      <c r="EJ526" s="208"/>
      <c r="EK526" s="208"/>
      <c r="EL526" s="208"/>
      <c r="EM526" s="208"/>
      <c r="EN526" s="208"/>
      <c r="EO526" s="208"/>
      <c r="EP526" s="208"/>
      <c r="EQ526" s="208"/>
      <c r="ER526" s="208"/>
      <c r="ES526" s="208"/>
      <c r="ET526" s="208"/>
      <c r="EU526" s="208"/>
      <c r="EV526" s="208"/>
      <c r="EW526" s="208"/>
      <c r="EX526" s="208"/>
      <c r="EY526" s="208"/>
      <c r="EZ526" s="208">
        <v>0</v>
      </c>
      <c r="FA526" s="208">
        <v>0</v>
      </c>
      <c r="FB526" s="208">
        <v>0</v>
      </c>
      <c r="FC526" s="208"/>
      <c r="FD526" s="82"/>
      <c r="FE526" s="30"/>
    </row>
    <row r="527" spans="1:161" ht="15" hidden="1">
      <c r="A527" s="25" t="s">
        <v>625</v>
      </c>
      <c r="B527" s="212" t="s">
        <v>658</v>
      </c>
      <c r="C527" s="138"/>
      <c r="D527" s="221"/>
      <c r="E527" s="245">
        <v>770</v>
      </c>
      <c r="F527" s="95"/>
      <c r="G527" s="95"/>
      <c r="H527" s="147" t="s">
        <v>656</v>
      </c>
      <c r="I527" s="147"/>
      <c r="J527" s="135"/>
      <c r="K527" s="135"/>
      <c r="L527" s="139"/>
      <c r="M527" s="134"/>
      <c r="N527" s="134"/>
      <c r="O527" s="134"/>
      <c r="P527" s="134"/>
      <c r="Q527" s="134"/>
      <c r="R527" s="134"/>
      <c r="S527" s="139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  <c r="AY527" s="82"/>
      <c r="AZ527" s="82"/>
      <c r="BA527" s="82"/>
      <c r="BB527" s="82"/>
      <c r="BC527" s="82"/>
      <c r="BD527" s="83"/>
      <c r="BE527" s="83"/>
      <c r="BF527" s="83"/>
      <c r="BG527" s="82"/>
      <c r="BH527" s="81"/>
      <c r="BI527" s="80"/>
      <c r="BJ527" s="25"/>
      <c r="BK527" s="25"/>
      <c r="BL527" s="25"/>
      <c r="BM527" s="84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  <c r="CC527" s="25"/>
      <c r="CD527" s="25"/>
      <c r="CE527" s="25"/>
      <c r="CF527" s="25"/>
      <c r="CG527" s="25"/>
      <c r="CH527" s="25"/>
      <c r="CI527" s="25"/>
      <c r="CJ527" s="25"/>
      <c r="CK527" s="25"/>
      <c r="CL527" s="25"/>
      <c r="CM527" s="25"/>
      <c r="CN527" s="25"/>
      <c r="CO527" s="25"/>
      <c r="CP527" s="25"/>
      <c r="CQ527" s="25"/>
      <c r="CR527" s="25"/>
      <c r="CS527" s="25"/>
      <c r="CT527" s="25"/>
      <c r="CU527" s="25"/>
      <c r="CV527" s="25"/>
      <c r="CW527" s="25"/>
      <c r="CX527" s="25"/>
      <c r="CY527" s="25"/>
      <c r="CZ527" s="25"/>
      <c r="DA527" s="25"/>
      <c r="DB527" s="25"/>
      <c r="DC527" s="25"/>
      <c r="DD527" s="25"/>
      <c r="DE527" s="25"/>
      <c r="DF527" s="92"/>
      <c r="DG527" s="92"/>
      <c r="DH527" s="203"/>
      <c r="DI527" s="203"/>
      <c r="DJ527" s="203"/>
      <c r="DK527" s="203"/>
      <c r="DL527" s="203"/>
      <c r="DM527" s="203"/>
      <c r="DN527" s="203"/>
      <c r="DO527" s="203"/>
      <c r="DP527" s="208"/>
      <c r="DQ527" s="208"/>
      <c r="DR527" s="208"/>
      <c r="DS527" s="208"/>
      <c r="DT527" s="208"/>
      <c r="DU527" s="208"/>
      <c r="DV527" s="208"/>
      <c r="DW527" s="208"/>
      <c r="DX527" s="208"/>
      <c r="DY527" s="208"/>
      <c r="DZ527" s="208"/>
      <c r="EA527" s="208"/>
      <c r="EB527" s="208"/>
      <c r="EC527" s="208"/>
      <c r="ED527" s="208"/>
      <c r="EE527" s="208"/>
      <c r="EF527" s="208"/>
      <c r="EG527" s="208"/>
      <c r="EH527" s="208"/>
      <c r="EI527" s="208"/>
      <c r="EJ527" s="208"/>
      <c r="EK527" s="208"/>
      <c r="EL527" s="208"/>
      <c r="EM527" s="208"/>
      <c r="EN527" s="208"/>
      <c r="EO527" s="208"/>
      <c r="EP527" s="208"/>
      <c r="EQ527" s="208"/>
      <c r="ER527" s="208"/>
      <c r="ES527" s="208"/>
      <c r="ET527" s="208"/>
      <c r="EU527" s="208"/>
      <c r="EV527" s="208"/>
      <c r="EW527" s="208"/>
      <c r="EX527" s="208"/>
      <c r="EY527" s="208"/>
      <c r="EZ527" s="208">
        <v>0</v>
      </c>
      <c r="FA527" s="208">
        <v>0</v>
      </c>
      <c r="FB527" s="208">
        <v>0</v>
      </c>
      <c r="FC527" s="208"/>
      <c r="FD527" s="82"/>
      <c r="FE527" s="30"/>
    </row>
    <row r="528" spans="1:161" ht="15" hidden="1">
      <c r="A528" s="25" t="s">
        <v>607</v>
      </c>
      <c r="B528" s="212" t="s">
        <v>164</v>
      </c>
      <c r="C528" s="138"/>
      <c r="D528" s="221"/>
      <c r="E528" s="245">
        <v>1585</v>
      </c>
      <c r="F528" s="95"/>
      <c r="G528" s="95"/>
      <c r="H528" s="147" t="s">
        <v>656</v>
      </c>
      <c r="I528" s="147"/>
      <c r="J528" s="135"/>
      <c r="K528" s="135"/>
      <c r="L528" s="139"/>
      <c r="M528" s="134"/>
      <c r="N528" s="134"/>
      <c r="O528" s="134"/>
      <c r="P528" s="134"/>
      <c r="Q528" s="134"/>
      <c r="R528" s="134"/>
      <c r="S528" s="139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  <c r="AP528" s="82"/>
      <c r="AQ528" s="82"/>
      <c r="AR528" s="82"/>
      <c r="AS528" s="82"/>
      <c r="AT528" s="82"/>
      <c r="AU528" s="82"/>
      <c r="AV528" s="82"/>
      <c r="AW528" s="82"/>
      <c r="AX528" s="82"/>
      <c r="AY528" s="82"/>
      <c r="AZ528" s="82"/>
      <c r="BA528" s="82"/>
      <c r="BB528" s="82"/>
      <c r="BC528" s="82"/>
      <c r="BD528" s="83"/>
      <c r="BE528" s="83"/>
      <c r="BF528" s="83"/>
      <c r="BG528" s="82"/>
      <c r="BH528" s="81"/>
      <c r="BI528" s="80"/>
      <c r="BJ528" s="25"/>
      <c r="BK528" s="25"/>
      <c r="BL528" s="25"/>
      <c r="BM528" s="84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  <c r="CC528" s="25"/>
      <c r="CD528" s="25"/>
      <c r="CE528" s="25"/>
      <c r="CF528" s="25"/>
      <c r="CG528" s="25"/>
      <c r="CH528" s="25"/>
      <c r="CI528" s="25"/>
      <c r="CJ528" s="25"/>
      <c r="CK528" s="25"/>
      <c r="CL528" s="25"/>
      <c r="CM528" s="25"/>
      <c r="CN528" s="25"/>
      <c r="CO528" s="25"/>
      <c r="CP528" s="25"/>
      <c r="CQ528" s="25"/>
      <c r="CR528" s="25"/>
      <c r="CS528" s="25"/>
      <c r="CT528" s="25"/>
      <c r="CU528" s="25"/>
      <c r="CV528" s="25"/>
      <c r="CW528" s="25"/>
      <c r="CX528" s="25"/>
      <c r="CY528" s="25"/>
      <c r="CZ528" s="25"/>
      <c r="DA528" s="25"/>
      <c r="DB528" s="25"/>
      <c r="DC528" s="25"/>
      <c r="DD528" s="25"/>
      <c r="DE528" s="25"/>
      <c r="DF528" s="92"/>
      <c r="DG528" s="92"/>
      <c r="DH528" s="203"/>
      <c r="DI528" s="203"/>
      <c r="DJ528" s="203"/>
      <c r="DK528" s="203"/>
      <c r="DL528" s="203"/>
      <c r="DM528" s="203"/>
      <c r="DN528" s="203"/>
      <c r="DO528" s="203"/>
      <c r="DP528" s="208"/>
      <c r="DQ528" s="208"/>
      <c r="DR528" s="208"/>
      <c r="DS528" s="208"/>
      <c r="DT528" s="208"/>
      <c r="DU528" s="208"/>
      <c r="DV528" s="208"/>
      <c r="DW528" s="208"/>
      <c r="DX528" s="208"/>
      <c r="DY528" s="208"/>
      <c r="DZ528" s="208"/>
      <c r="EA528" s="208"/>
      <c r="EB528" s="208"/>
      <c r="EC528" s="208"/>
      <c r="ED528" s="208"/>
      <c r="EE528" s="208"/>
      <c r="EF528" s="208"/>
      <c r="EG528" s="208"/>
      <c r="EH528" s="208"/>
      <c r="EI528" s="208"/>
      <c r="EJ528" s="208"/>
      <c r="EK528" s="208"/>
      <c r="EL528" s="208"/>
      <c r="EM528" s="208"/>
      <c r="EN528" s="208"/>
      <c r="EO528" s="208"/>
      <c r="EP528" s="208"/>
      <c r="EQ528" s="208"/>
      <c r="ER528" s="208"/>
      <c r="ES528" s="208"/>
      <c r="ET528" s="208"/>
      <c r="EU528" s="208"/>
      <c r="EV528" s="208"/>
      <c r="EW528" s="208"/>
      <c r="EX528" s="208"/>
      <c r="EY528" s="208"/>
      <c r="EZ528" s="208">
        <v>0</v>
      </c>
      <c r="FA528" s="208">
        <v>0</v>
      </c>
      <c r="FB528" s="208">
        <v>0</v>
      </c>
      <c r="FC528" s="208"/>
      <c r="FD528" s="82"/>
      <c r="FE528" s="30"/>
    </row>
    <row r="529" spans="1:161" ht="15" hidden="1">
      <c r="A529" s="205" t="s">
        <v>254</v>
      </c>
      <c r="B529" s="212" t="s">
        <v>133</v>
      </c>
      <c r="C529" s="138"/>
      <c r="D529" s="221"/>
      <c r="E529" s="246">
        <v>770</v>
      </c>
      <c r="F529" s="95"/>
      <c r="G529" s="95"/>
      <c r="H529" s="147" t="s">
        <v>656</v>
      </c>
      <c r="I529" s="147"/>
      <c r="J529" s="135"/>
      <c r="K529" s="135"/>
      <c r="L529" s="139"/>
      <c r="M529" s="134"/>
      <c r="N529" s="134"/>
      <c r="O529" s="134"/>
      <c r="P529" s="134"/>
      <c r="Q529" s="134"/>
      <c r="R529" s="134"/>
      <c r="S529" s="139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  <c r="AP529" s="82"/>
      <c r="AQ529" s="82"/>
      <c r="AR529" s="82"/>
      <c r="AS529" s="82"/>
      <c r="AT529" s="82"/>
      <c r="AU529" s="82"/>
      <c r="AV529" s="82"/>
      <c r="AW529" s="82"/>
      <c r="AX529" s="82"/>
      <c r="AY529" s="82"/>
      <c r="AZ529" s="82"/>
      <c r="BA529" s="82"/>
      <c r="BB529" s="82"/>
      <c r="BC529" s="82"/>
      <c r="BD529" s="83"/>
      <c r="BE529" s="83"/>
      <c r="BF529" s="83"/>
      <c r="BG529" s="82"/>
      <c r="BH529" s="81"/>
      <c r="BI529" s="80"/>
      <c r="BJ529" s="25"/>
      <c r="BK529" s="25"/>
      <c r="BL529" s="25"/>
      <c r="BM529" s="84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5"/>
      <c r="CA529" s="25"/>
      <c r="CB529" s="25"/>
      <c r="CC529" s="25"/>
      <c r="CD529" s="25"/>
      <c r="CE529" s="25"/>
      <c r="CF529" s="25"/>
      <c r="CG529" s="25"/>
      <c r="CH529" s="25"/>
      <c r="CI529" s="25"/>
      <c r="CJ529" s="25"/>
      <c r="CK529" s="25"/>
      <c r="CL529" s="25"/>
      <c r="CM529" s="25"/>
      <c r="CN529" s="25"/>
      <c r="CO529" s="25"/>
      <c r="CP529" s="25"/>
      <c r="CQ529" s="25"/>
      <c r="CR529" s="25"/>
      <c r="CS529" s="25"/>
      <c r="CT529" s="25"/>
      <c r="CU529" s="25"/>
      <c r="CV529" s="25"/>
      <c r="CW529" s="25"/>
      <c r="CX529" s="25"/>
      <c r="CY529" s="25"/>
      <c r="CZ529" s="25"/>
      <c r="DA529" s="25"/>
      <c r="DB529" s="25"/>
      <c r="DC529" s="25"/>
      <c r="DD529" s="25"/>
      <c r="DE529" s="25"/>
      <c r="DF529" s="25"/>
      <c r="DG529" s="92"/>
      <c r="DH529" s="203"/>
      <c r="DI529" s="203"/>
      <c r="DJ529" s="203"/>
      <c r="DK529" s="203"/>
      <c r="DL529" s="203"/>
      <c r="DM529" s="203"/>
      <c r="DN529" s="203"/>
      <c r="DO529" s="203"/>
      <c r="DP529" s="208"/>
      <c r="DQ529" s="208"/>
      <c r="DR529" s="208"/>
      <c r="DS529" s="208"/>
      <c r="DT529" s="208"/>
      <c r="DU529" s="208"/>
      <c r="DV529" s="208"/>
      <c r="DW529" s="208"/>
      <c r="DX529" s="208"/>
      <c r="DY529" s="208"/>
      <c r="DZ529" s="208"/>
      <c r="EA529" s="208"/>
      <c r="EB529" s="208"/>
      <c r="EC529" s="208"/>
      <c r="ED529" s="208"/>
      <c r="EE529" s="208"/>
      <c r="EF529" s="208"/>
      <c r="EG529" s="208"/>
      <c r="EH529" s="208"/>
      <c r="EI529" s="208"/>
      <c r="EJ529" s="208"/>
      <c r="EK529" s="208"/>
      <c r="EL529" s="208"/>
      <c r="EM529" s="208"/>
      <c r="EN529" s="208"/>
      <c r="EO529" s="208"/>
      <c r="EP529" s="208"/>
      <c r="EQ529" s="208"/>
      <c r="ER529" s="208"/>
      <c r="ES529" s="208"/>
      <c r="ET529" s="208"/>
      <c r="EU529" s="208"/>
      <c r="EV529" s="208"/>
      <c r="EW529" s="208"/>
      <c r="EX529" s="208"/>
      <c r="EY529" s="208"/>
      <c r="EZ529" s="208">
        <v>0</v>
      </c>
      <c r="FA529" s="208">
        <v>0</v>
      </c>
      <c r="FB529" s="208">
        <v>0</v>
      </c>
      <c r="FC529" s="208"/>
      <c r="FD529" s="82"/>
      <c r="FE529" s="30"/>
    </row>
    <row r="530" spans="1:161" ht="15" hidden="1">
      <c r="A530" s="25" t="s">
        <v>398</v>
      </c>
      <c r="B530" s="214" t="s">
        <v>657</v>
      </c>
      <c r="C530" s="138"/>
      <c r="D530" s="221"/>
      <c r="E530" s="247">
        <v>970</v>
      </c>
      <c r="F530" s="95"/>
      <c r="G530" s="95"/>
      <c r="H530" s="147" t="s">
        <v>656</v>
      </c>
      <c r="I530" s="147"/>
      <c r="J530" s="135"/>
      <c r="K530" s="135"/>
      <c r="L530" s="139"/>
      <c r="M530" s="134"/>
      <c r="N530" s="134"/>
      <c r="O530" s="134"/>
      <c r="P530" s="134"/>
      <c r="Q530" s="134"/>
      <c r="R530" s="134"/>
      <c r="S530" s="139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  <c r="AP530" s="82"/>
      <c r="AQ530" s="82"/>
      <c r="AR530" s="82"/>
      <c r="AS530" s="82"/>
      <c r="AT530" s="82"/>
      <c r="AU530" s="82"/>
      <c r="AV530" s="82"/>
      <c r="AW530" s="82"/>
      <c r="AX530" s="82"/>
      <c r="AY530" s="82"/>
      <c r="AZ530" s="82"/>
      <c r="BA530" s="82"/>
      <c r="BB530" s="82"/>
      <c r="BC530" s="82"/>
      <c r="BD530" s="83"/>
      <c r="BE530" s="83"/>
      <c r="BF530" s="83"/>
      <c r="BG530" s="82"/>
      <c r="BH530" s="81"/>
      <c r="BI530" s="80"/>
      <c r="BJ530" s="25"/>
      <c r="BK530" s="25"/>
      <c r="BL530" s="25"/>
      <c r="BM530" s="84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5"/>
      <c r="CA530" s="25"/>
      <c r="CB530" s="25"/>
      <c r="CC530" s="25"/>
      <c r="CD530" s="25"/>
      <c r="CE530" s="25"/>
      <c r="CF530" s="25"/>
      <c r="CG530" s="25"/>
      <c r="CH530" s="25"/>
      <c r="CI530" s="25"/>
      <c r="CJ530" s="25"/>
      <c r="CK530" s="25"/>
      <c r="CL530" s="25"/>
      <c r="CM530" s="25"/>
      <c r="CN530" s="25"/>
      <c r="CO530" s="25"/>
      <c r="CP530" s="25"/>
      <c r="CQ530" s="25"/>
      <c r="CR530" s="25"/>
      <c r="CS530" s="25"/>
      <c r="CT530" s="25"/>
      <c r="CU530" s="25"/>
      <c r="CV530" s="25"/>
      <c r="CW530" s="25"/>
      <c r="CX530" s="25"/>
      <c r="CY530" s="25"/>
      <c r="CZ530" s="25"/>
      <c r="DA530" s="25"/>
      <c r="DB530" s="25"/>
      <c r="DC530" s="25"/>
      <c r="DD530" s="25"/>
      <c r="DE530" s="25"/>
      <c r="DF530" s="25"/>
      <c r="DG530" s="92"/>
      <c r="DH530" s="203"/>
      <c r="DI530" s="203"/>
      <c r="DJ530" s="203"/>
      <c r="DK530" s="203"/>
      <c r="DL530" s="203"/>
      <c r="DM530" s="203"/>
      <c r="DN530" s="203"/>
      <c r="DO530" s="203"/>
      <c r="DP530" s="208"/>
      <c r="DQ530" s="208"/>
      <c r="DR530" s="208"/>
      <c r="DS530" s="208"/>
      <c r="DT530" s="208"/>
      <c r="DU530" s="208"/>
      <c r="DV530" s="208"/>
      <c r="DW530" s="208"/>
      <c r="DX530" s="208"/>
      <c r="DY530" s="208"/>
      <c r="DZ530" s="208"/>
      <c r="EA530" s="208"/>
      <c r="EB530" s="208"/>
      <c r="EC530" s="208"/>
      <c r="ED530" s="208"/>
      <c r="EE530" s="208"/>
      <c r="EF530" s="208"/>
      <c r="EG530" s="208"/>
      <c r="EH530" s="208"/>
      <c r="EI530" s="208"/>
      <c r="EJ530" s="208"/>
      <c r="EK530" s="208"/>
      <c r="EL530" s="208"/>
      <c r="EM530" s="208"/>
      <c r="EN530" s="208"/>
      <c r="EO530" s="208"/>
      <c r="EP530" s="208"/>
      <c r="EQ530" s="208"/>
      <c r="ER530" s="208"/>
      <c r="ES530" s="208"/>
      <c r="ET530" s="208"/>
      <c r="EU530" s="208"/>
      <c r="EV530" s="208"/>
      <c r="EW530" s="208"/>
      <c r="EX530" s="208"/>
      <c r="EY530" s="208"/>
      <c r="EZ530" s="208">
        <v>0</v>
      </c>
      <c r="FA530" s="208">
        <v>0</v>
      </c>
      <c r="FB530" s="208">
        <v>0</v>
      </c>
      <c r="FC530" s="208"/>
      <c r="FD530" s="82"/>
      <c r="FE530" s="30"/>
    </row>
    <row r="531" spans="1:161" ht="15" hidden="1">
      <c r="A531" s="25" t="s">
        <v>558</v>
      </c>
      <c r="B531" s="214" t="s">
        <v>153</v>
      </c>
      <c r="C531" s="138"/>
      <c r="D531" s="221"/>
      <c r="E531" s="247">
        <v>770</v>
      </c>
      <c r="F531" s="95"/>
      <c r="G531" s="95"/>
      <c r="H531" s="147" t="s">
        <v>656</v>
      </c>
      <c r="I531" s="147"/>
      <c r="J531" s="135"/>
      <c r="K531" s="135"/>
      <c r="L531" s="139"/>
      <c r="M531" s="134"/>
      <c r="N531" s="134"/>
      <c r="O531" s="134"/>
      <c r="P531" s="134"/>
      <c r="Q531" s="134"/>
      <c r="R531" s="134"/>
      <c r="S531" s="139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  <c r="AP531" s="82"/>
      <c r="AQ531" s="82"/>
      <c r="AR531" s="82"/>
      <c r="AS531" s="82"/>
      <c r="AT531" s="82"/>
      <c r="AU531" s="82"/>
      <c r="AV531" s="82"/>
      <c r="AW531" s="82"/>
      <c r="AX531" s="82"/>
      <c r="AY531" s="82"/>
      <c r="AZ531" s="82"/>
      <c r="BA531" s="82"/>
      <c r="BB531" s="82"/>
      <c r="BC531" s="82"/>
      <c r="BD531" s="83"/>
      <c r="BE531" s="83"/>
      <c r="BF531" s="83"/>
      <c r="BG531" s="82"/>
      <c r="BH531" s="81"/>
      <c r="BI531" s="80"/>
      <c r="BJ531" s="25"/>
      <c r="BK531" s="25"/>
      <c r="BL531" s="25"/>
      <c r="BM531" s="84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  <c r="CC531" s="25"/>
      <c r="CD531" s="25"/>
      <c r="CE531" s="25"/>
      <c r="CF531" s="25"/>
      <c r="CG531" s="25"/>
      <c r="CH531" s="25"/>
      <c r="CI531" s="25"/>
      <c r="CJ531" s="25"/>
      <c r="CK531" s="25"/>
      <c r="CL531" s="25"/>
      <c r="CM531" s="25"/>
      <c r="CN531" s="25"/>
      <c r="CO531" s="25"/>
      <c r="CP531" s="25"/>
      <c r="CQ531" s="25"/>
      <c r="CR531" s="25"/>
      <c r="CS531" s="25"/>
      <c r="CT531" s="25"/>
      <c r="CU531" s="25"/>
      <c r="CV531" s="25"/>
      <c r="CW531" s="25"/>
      <c r="CX531" s="25"/>
      <c r="CY531" s="25"/>
      <c r="CZ531" s="25"/>
      <c r="DA531" s="25"/>
      <c r="DB531" s="25"/>
      <c r="DC531" s="25"/>
      <c r="DD531" s="25"/>
      <c r="DE531" s="25"/>
      <c r="DF531" s="25"/>
      <c r="DG531" s="92"/>
      <c r="DH531" s="203"/>
      <c r="DI531" s="203"/>
      <c r="DJ531" s="203"/>
      <c r="DK531" s="203"/>
      <c r="DL531" s="203"/>
      <c r="DM531" s="203"/>
      <c r="DN531" s="203"/>
      <c r="DO531" s="203"/>
      <c r="DP531" s="208"/>
      <c r="DQ531" s="208"/>
      <c r="DR531" s="208"/>
      <c r="DS531" s="208"/>
      <c r="DT531" s="208"/>
      <c r="DU531" s="208"/>
      <c r="DV531" s="208"/>
      <c r="DW531" s="208"/>
      <c r="DX531" s="208"/>
      <c r="DY531" s="208"/>
      <c r="DZ531" s="208"/>
      <c r="EA531" s="208"/>
      <c r="EB531" s="208"/>
      <c r="EC531" s="208"/>
      <c r="ED531" s="208"/>
      <c r="EE531" s="208"/>
      <c r="EF531" s="208"/>
      <c r="EG531" s="208"/>
      <c r="EH531" s="208"/>
      <c r="EI531" s="208"/>
      <c r="EJ531" s="208"/>
      <c r="EK531" s="208"/>
      <c r="EL531" s="208"/>
      <c r="EM531" s="208"/>
      <c r="EN531" s="208"/>
      <c r="EO531" s="208"/>
      <c r="EP531" s="208"/>
      <c r="EQ531" s="208"/>
      <c r="ER531" s="208"/>
      <c r="ES531" s="208"/>
      <c r="ET531" s="208"/>
      <c r="EU531" s="208"/>
      <c r="EV531" s="208"/>
      <c r="EW531" s="208"/>
      <c r="EX531" s="208"/>
      <c r="EY531" s="208"/>
      <c r="EZ531" s="208">
        <v>0</v>
      </c>
      <c r="FA531" s="208">
        <v>0</v>
      </c>
      <c r="FB531" s="208">
        <v>0</v>
      </c>
      <c r="FC531" s="208"/>
      <c r="FD531" s="82"/>
      <c r="FE531" s="30"/>
    </row>
    <row r="532" spans="1:161" ht="15" hidden="1">
      <c r="A532" s="204" t="s">
        <v>887</v>
      </c>
      <c r="B532" s="215" t="s">
        <v>139</v>
      </c>
      <c r="C532" s="138"/>
      <c r="D532" s="221"/>
      <c r="E532" s="245">
        <v>770</v>
      </c>
      <c r="F532" s="95"/>
      <c r="G532" s="95"/>
      <c r="H532" s="147" t="s">
        <v>656</v>
      </c>
      <c r="I532" s="147"/>
      <c r="J532" s="135"/>
      <c r="K532" s="135"/>
      <c r="L532" s="139"/>
      <c r="M532" s="134"/>
      <c r="N532" s="134"/>
      <c r="O532" s="134"/>
      <c r="P532" s="134"/>
      <c r="Q532" s="134"/>
      <c r="R532" s="134"/>
      <c r="S532" s="139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  <c r="AP532" s="82"/>
      <c r="AQ532" s="82"/>
      <c r="AR532" s="82"/>
      <c r="AS532" s="82"/>
      <c r="AT532" s="82"/>
      <c r="AU532" s="82"/>
      <c r="AV532" s="82"/>
      <c r="AW532" s="82"/>
      <c r="AX532" s="82"/>
      <c r="AY532" s="82"/>
      <c r="AZ532" s="82"/>
      <c r="BA532" s="82"/>
      <c r="BB532" s="82"/>
      <c r="BC532" s="82"/>
      <c r="BD532" s="83"/>
      <c r="BE532" s="83"/>
      <c r="BF532" s="83"/>
      <c r="BG532" s="82"/>
      <c r="BH532" s="81"/>
      <c r="BI532" s="80"/>
      <c r="BJ532" s="25"/>
      <c r="BK532" s="25"/>
      <c r="BL532" s="25"/>
      <c r="BM532" s="84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  <c r="CC532" s="25"/>
      <c r="CD532" s="25"/>
      <c r="CE532" s="25"/>
      <c r="CF532" s="25"/>
      <c r="CG532" s="25"/>
      <c r="CH532" s="25"/>
      <c r="CI532" s="25"/>
      <c r="CJ532" s="25"/>
      <c r="CK532" s="25"/>
      <c r="CL532" s="25"/>
      <c r="CM532" s="25"/>
      <c r="CN532" s="25"/>
      <c r="CO532" s="25"/>
      <c r="CP532" s="25"/>
      <c r="CQ532" s="25"/>
      <c r="CR532" s="25"/>
      <c r="CS532" s="25"/>
      <c r="CT532" s="25"/>
      <c r="CU532" s="25"/>
      <c r="CV532" s="25"/>
      <c r="CW532" s="25"/>
      <c r="CX532" s="25"/>
      <c r="CY532" s="25"/>
      <c r="CZ532" s="25"/>
      <c r="DA532" s="25"/>
      <c r="DB532" s="25"/>
      <c r="DC532" s="25"/>
      <c r="DD532" s="25"/>
      <c r="DE532" s="25"/>
      <c r="DF532" s="25"/>
      <c r="DG532" s="92"/>
      <c r="DH532" s="203"/>
      <c r="DI532" s="203"/>
      <c r="DJ532" s="203"/>
      <c r="DK532" s="203"/>
      <c r="DL532" s="203"/>
      <c r="DM532" s="203"/>
      <c r="DN532" s="203"/>
      <c r="DO532" s="203"/>
      <c r="DP532" s="203"/>
      <c r="DQ532" s="208"/>
      <c r="DR532" s="208"/>
      <c r="DS532" s="208"/>
      <c r="DT532" s="208"/>
      <c r="DU532" s="208"/>
      <c r="DV532" s="208"/>
      <c r="DW532" s="208"/>
      <c r="DX532" s="208"/>
      <c r="DY532" s="208"/>
      <c r="DZ532" s="208"/>
      <c r="EA532" s="208"/>
      <c r="EB532" s="208"/>
      <c r="EC532" s="208"/>
      <c r="ED532" s="208"/>
      <c r="EE532" s="208"/>
      <c r="EF532" s="208"/>
      <c r="EG532" s="208"/>
      <c r="EH532" s="208"/>
      <c r="EI532" s="208"/>
      <c r="EJ532" s="208"/>
      <c r="EK532" s="208"/>
      <c r="EL532" s="208"/>
      <c r="EM532" s="208"/>
      <c r="EN532" s="208"/>
      <c r="EO532" s="208"/>
      <c r="EP532" s="208"/>
      <c r="EQ532" s="208"/>
      <c r="ER532" s="208"/>
      <c r="ES532" s="208"/>
      <c r="ET532" s="208"/>
      <c r="EU532" s="208"/>
      <c r="EV532" s="208"/>
      <c r="EW532" s="208"/>
      <c r="EX532" s="208"/>
      <c r="EY532" s="208"/>
      <c r="EZ532" s="208">
        <v>0</v>
      </c>
      <c r="FA532" s="208">
        <v>0</v>
      </c>
      <c r="FB532" s="208">
        <v>0</v>
      </c>
      <c r="FC532" s="208"/>
      <c r="FD532" s="82"/>
      <c r="FE532" s="30"/>
    </row>
    <row r="533" spans="1:161" ht="15" hidden="1">
      <c r="A533" s="204" t="s">
        <v>888</v>
      </c>
      <c r="B533" s="215" t="s">
        <v>139</v>
      </c>
      <c r="C533" s="138"/>
      <c r="D533" s="221"/>
      <c r="E533" s="245">
        <v>770</v>
      </c>
      <c r="F533" s="95"/>
      <c r="G533" s="95"/>
      <c r="H533" s="147" t="s">
        <v>656</v>
      </c>
      <c r="I533" s="147"/>
      <c r="J533" s="135"/>
      <c r="K533" s="135"/>
      <c r="L533" s="139"/>
      <c r="M533" s="134"/>
      <c r="N533" s="134"/>
      <c r="O533" s="134"/>
      <c r="P533" s="134"/>
      <c r="Q533" s="134"/>
      <c r="R533" s="134"/>
      <c r="S533" s="139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  <c r="AP533" s="82"/>
      <c r="AQ533" s="82"/>
      <c r="AR533" s="82"/>
      <c r="AS533" s="82"/>
      <c r="AT533" s="82"/>
      <c r="AU533" s="82"/>
      <c r="AV533" s="82"/>
      <c r="AW533" s="82"/>
      <c r="AX533" s="82"/>
      <c r="AY533" s="82"/>
      <c r="AZ533" s="82"/>
      <c r="BA533" s="82"/>
      <c r="BB533" s="82"/>
      <c r="BC533" s="82"/>
      <c r="BD533" s="83"/>
      <c r="BE533" s="83"/>
      <c r="BF533" s="83"/>
      <c r="BG533" s="82"/>
      <c r="BH533" s="81"/>
      <c r="BI533" s="80"/>
      <c r="BJ533" s="25"/>
      <c r="BK533" s="25"/>
      <c r="BL533" s="25"/>
      <c r="BM533" s="84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  <c r="CC533" s="25"/>
      <c r="CD533" s="25"/>
      <c r="CE533" s="25"/>
      <c r="CF533" s="25"/>
      <c r="CG533" s="25"/>
      <c r="CH533" s="25"/>
      <c r="CI533" s="25"/>
      <c r="CJ533" s="25"/>
      <c r="CK533" s="25"/>
      <c r="CL533" s="25"/>
      <c r="CM533" s="25"/>
      <c r="CN533" s="25"/>
      <c r="CO533" s="25"/>
      <c r="CP533" s="25"/>
      <c r="CQ533" s="25"/>
      <c r="CR533" s="25"/>
      <c r="CS533" s="25"/>
      <c r="CT533" s="25"/>
      <c r="CU533" s="25"/>
      <c r="CV533" s="25"/>
      <c r="CW533" s="25"/>
      <c r="CX533" s="25"/>
      <c r="CY533" s="25"/>
      <c r="CZ533" s="25"/>
      <c r="DA533" s="25"/>
      <c r="DB533" s="25"/>
      <c r="DC533" s="25"/>
      <c r="DD533" s="25"/>
      <c r="DE533" s="25"/>
      <c r="DF533" s="25"/>
      <c r="DG533" s="92"/>
      <c r="DH533" s="203"/>
      <c r="DI533" s="203"/>
      <c r="DJ533" s="203"/>
      <c r="DK533" s="203"/>
      <c r="DL533" s="203"/>
      <c r="DM533" s="203"/>
      <c r="DN533" s="203"/>
      <c r="DO533" s="203"/>
      <c r="DP533" s="203"/>
      <c r="DQ533" s="208"/>
      <c r="DR533" s="208"/>
      <c r="DS533" s="208"/>
      <c r="DT533" s="208"/>
      <c r="DU533" s="208"/>
      <c r="DV533" s="208"/>
      <c r="DW533" s="208"/>
      <c r="DX533" s="208"/>
      <c r="DY533" s="208"/>
      <c r="DZ533" s="208"/>
      <c r="EA533" s="208"/>
      <c r="EB533" s="208"/>
      <c r="EC533" s="208"/>
      <c r="ED533" s="208"/>
      <c r="EE533" s="208"/>
      <c r="EF533" s="208"/>
      <c r="EG533" s="208"/>
      <c r="EH533" s="208"/>
      <c r="EI533" s="208"/>
      <c r="EJ533" s="208"/>
      <c r="EK533" s="208"/>
      <c r="EL533" s="208"/>
      <c r="EM533" s="208"/>
      <c r="EN533" s="208"/>
      <c r="EO533" s="208"/>
      <c r="EP533" s="208"/>
      <c r="EQ533" s="208"/>
      <c r="ER533" s="208"/>
      <c r="ES533" s="208"/>
      <c r="ET533" s="208"/>
      <c r="EU533" s="208"/>
      <c r="EV533" s="208"/>
      <c r="EW533" s="208"/>
      <c r="EX533" s="208"/>
      <c r="EY533" s="208"/>
      <c r="EZ533" s="208">
        <v>0</v>
      </c>
      <c r="FA533" s="208">
        <v>0</v>
      </c>
      <c r="FB533" s="208">
        <v>0</v>
      </c>
      <c r="FC533" s="208"/>
      <c r="FD533" s="82"/>
      <c r="FE533" s="30"/>
    </row>
    <row r="534" spans="1:161" ht="15" hidden="1">
      <c r="A534" s="204" t="s">
        <v>889</v>
      </c>
      <c r="B534" s="215" t="s">
        <v>139</v>
      </c>
      <c r="C534" s="138"/>
      <c r="D534" s="221"/>
      <c r="E534" s="245">
        <v>770</v>
      </c>
      <c r="F534" s="95"/>
      <c r="G534" s="95"/>
      <c r="H534" s="147" t="s">
        <v>656</v>
      </c>
      <c r="I534" s="147"/>
      <c r="J534" s="135"/>
      <c r="K534" s="135"/>
      <c r="L534" s="139"/>
      <c r="M534" s="134"/>
      <c r="N534" s="134"/>
      <c r="O534" s="134"/>
      <c r="P534" s="134"/>
      <c r="Q534" s="134"/>
      <c r="R534" s="134"/>
      <c r="S534" s="139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  <c r="AP534" s="82"/>
      <c r="AQ534" s="82"/>
      <c r="AR534" s="82"/>
      <c r="AS534" s="82"/>
      <c r="AT534" s="82"/>
      <c r="AU534" s="82"/>
      <c r="AV534" s="82"/>
      <c r="AW534" s="82"/>
      <c r="AX534" s="82"/>
      <c r="AY534" s="82"/>
      <c r="AZ534" s="82"/>
      <c r="BA534" s="82"/>
      <c r="BB534" s="82"/>
      <c r="BC534" s="82"/>
      <c r="BD534" s="83"/>
      <c r="BE534" s="83"/>
      <c r="BF534" s="83"/>
      <c r="BG534" s="82"/>
      <c r="BH534" s="81"/>
      <c r="BI534" s="80"/>
      <c r="BJ534" s="25"/>
      <c r="BK534" s="25"/>
      <c r="BL534" s="25"/>
      <c r="BM534" s="84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5"/>
      <c r="CA534" s="25"/>
      <c r="CB534" s="25"/>
      <c r="CC534" s="25"/>
      <c r="CD534" s="25"/>
      <c r="CE534" s="25"/>
      <c r="CF534" s="25"/>
      <c r="CG534" s="25"/>
      <c r="CH534" s="25"/>
      <c r="CI534" s="25"/>
      <c r="CJ534" s="25"/>
      <c r="CK534" s="25"/>
      <c r="CL534" s="25"/>
      <c r="CM534" s="25"/>
      <c r="CN534" s="25"/>
      <c r="CO534" s="25"/>
      <c r="CP534" s="25"/>
      <c r="CQ534" s="25"/>
      <c r="CR534" s="25"/>
      <c r="CS534" s="25"/>
      <c r="CT534" s="25"/>
      <c r="CU534" s="25"/>
      <c r="CV534" s="25"/>
      <c r="CW534" s="25"/>
      <c r="CX534" s="25"/>
      <c r="CY534" s="25"/>
      <c r="CZ534" s="25"/>
      <c r="DA534" s="25"/>
      <c r="DB534" s="25"/>
      <c r="DC534" s="25"/>
      <c r="DD534" s="25"/>
      <c r="DE534" s="25"/>
      <c r="DF534" s="25"/>
      <c r="DG534" s="92"/>
      <c r="DH534" s="203"/>
      <c r="DI534" s="203"/>
      <c r="DJ534" s="203"/>
      <c r="DK534" s="203"/>
      <c r="DL534" s="203"/>
      <c r="DM534" s="203"/>
      <c r="DN534" s="203"/>
      <c r="DO534" s="203"/>
      <c r="DP534" s="203"/>
      <c r="DQ534" s="208"/>
      <c r="DR534" s="208"/>
      <c r="DS534" s="208"/>
      <c r="DT534" s="208"/>
      <c r="DU534" s="208"/>
      <c r="DV534" s="208"/>
      <c r="DW534" s="208"/>
      <c r="DX534" s="208"/>
      <c r="DY534" s="208"/>
      <c r="DZ534" s="208"/>
      <c r="EA534" s="208"/>
      <c r="EB534" s="208"/>
      <c r="EC534" s="208"/>
      <c r="ED534" s="208"/>
      <c r="EE534" s="208"/>
      <c r="EF534" s="208"/>
      <c r="EG534" s="208"/>
      <c r="EH534" s="208"/>
      <c r="EI534" s="208"/>
      <c r="EJ534" s="208"/>
      <c r="EK534" s="208"/>
      <c r="EL534" s="208"/>
      <c r="EM534" s="208"/>
      <c r="EN534" s="208"/>
      <c r="EO534" s="208"/>
      <c r="EP534" s="208"/>
      <c r="EQ534" s="208"/>
      <c r="ER534" s="208"/>
      <c r="ES534" s="208"/>
      <c r="ET534" s="208"/>
      <c r="EU534" s="208"/>
      <c r="EV534" s="208"/>
      <c r="EW534" s="208"/>
      <c r="EX534" s="208"/>
      <c r="EY534" s="208"/>
      <c r="EZ534" s="208">
        <v>0</v>
      </c>
      <c r="FA534" s="208">
        <v>0</v>
      </c>
      <c r="FB534" s="208">
        <v>0</v>
      </c>
      <c r="FC534" s="208"/>
      <c r="FD534" s="82"/>
      <c r="FE534" s="30"/>
    </row>
    <row r="535" spans="1:161" ht="15" hidden="1">
      <c r="A535" s="204" t="s">
        <v>890</v>
      </c>
      <c r="B535" s="215" t="s">
        <v>139</v>
      </c>
      <c r="C535" s="138"/>
      <c r="D535" s="221"/>
      <c r="E535" s="245">
        <v>770</v>
      </c>
      <c r="F535" s="95"/>
      <c r="G535" s="95"/>
      <c r="H535" s="147" t="s">
        <v>656</v>
      </c>
      <c r="I535" s="147"/>
      <c r="J535" s="135"/>
      <c r="K535" s="135"/>
      <c r="L535" s="139"/>
      <c r="M535" s="134"/>
      <c r="N535" s="134"/>
      <c r="O535" s="134"/>
      <c r="P535" s="134"/>
      <c r="Q535" s="134"/>
      <c r="R535" s="134"/>
      <c r="S535" s="139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  <c r="AP535" s="82"/>
      <c r="AQ535" s="82"/>
      <c r="AR535" s="82"/>
      <c r="AS535" s="82"/>
      <c r="AT535" s="82"/>
      <c r="AU535" s="82"/>
      <c r="AV535" s="82"/>
      <c r="AW535" s="82"/>
      <c r="AX535" s="82"/>
      <c r="AY535" s="82"/>
      <c r="AZ535" s="82"/>
      <c r="BA535" s="82"/>
      <c r="BB535" s="82"/>
      <c r="BC535" s="82"/>
      <c r="BD535" s="83"/>
      <c r="BE535" s="83"/>
      <c r="BF535" s="83"/>
      <c r="BG535" s="82"/>
      <c r="BH535" s="81"/>
      <c r="BI535" s="80"/>
      <c r="BJ535" s="25"/>
      <c r="BK535" s="25"/>
      <c r="BL535" s="25"/>
      <c r="BM535" s="84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  <c r="CC535" s="25"/>
      <c r="CD535" s="25"/>
      <c r="CE535" s="25"/>
      <c r="CF535" s="25"/>
      <c r="CG535" s="25"/>
      <c r="CH535" s="25"/>
      <c r="CI535" s="25"/>
      <c r="CJ535" s="25"/>
      <c r="CK535" s="25"/>
      <c r="CL535" s="25"/>
      <c r="CM535" s="25"/>
      <c r="CN535" s="25"/>
      <c r="CO535" s="25"/>
      <c r="CP535" s="25"/>
      <c r="CQ535" s="25"/>
      <c r="CR535" s="25"/>
      <c r="CS535" s="25"/>
      <c r="CT535" s="25"/>
      <c r="CU535" s="25"/>
      <c r="CV535" s="25"/>
      <c r="CW535" s="25"/>
      <c r="CX535" s="25"/>
      <c r="CY535" s="25"/>
      <c r="CZ535" s="25"/>
      <c r="DA535" s="25"/>
      <c r="DB535" s="25"/>
      <c r="DC535" s="25"/>
      <c r="DD535" s="25"/>
      <c r="DE535" s="25"/>
      <c r="DF535" s="25"/>
      <c r="DG535" s="92"/>
      <c r="DH535" s="203"/>
      <c r="DI535" s="203"/>
      <c r="DJ535" s="203"/>
      <c r="DK535" s="203"/>
      <c r="DL535" s="203"/>
      <c r="DM535" s="203"/>
      <c r="DN535" s="203"/>
      <c r="DO535" s="203"/>
      <c r="DP535" s="203"/>
      <c r="DQ535" s="208"/>
      <c r="DR535" s="208"/>
      <c r="DS535" s="208"/>
      <c r="DT535" s="208"/>
      <c r="DU535" s="208"/>
      <c r="DV535" s="208"/>
      <c r="DW535" s="208"/>
      <c r="DX535" s="208"/>
      <c r="DY535" s="208"/>
      <c r="DZ535" s="208"/>
      <c r="EA535" s="208"/>
      <c r="EB535" s="208"/>
      <c r="EC535" s="208"/>
      <c r="ED535" s="208"/>
      <c r="EE535" s="208"/>
      <c r="EF535" s="208"/>
      <c r="EG535" s="208"/>
      <c r="EH535" s="208"/>
      <c r="EI535" s="208"/>
      <c r="EJ535" s="208"/>
      <c r="EK535" s="208"/>
      <c r="EL535" s="208"/>
      <c r="EM535" s="208"/>
      <c r="EN535" s="208"/>
      <c r="EO535" s="208"/>
      <c r="EP535" s="208"/>
      <c r="EQ535" s="208"/>
      <c r="ER535" s="208"/>
      <c r="ES535" s="208"/>
      <c r="ET535" s="208"/>
      <c r="EU535" s="208"/>
      <c r="EV535" s="208"/>
      <c r="EW535" s="208"/>
      <c r="EX535" s="208"/>
      <c r="EY535" s="208"/>
      <c r="EZ535" s="208">
        <v>0</v>
      </c>
      <c r="FA535" s="208">
        <v>0</v>
      </c>
      <c r="FB535" s="208">
        <v>0</v>
      </c>
      <c r="FC535" s="208"/>
      <c r="FD535" s="82"/>
      <c r="FE535" s="30"/>
    </row>
    <row r="536" spans="1:161" ht="15" hidden="1">
      <c r="A536" s="204" t="s">
        <v>891</v>
      </c>
      <c r="B536" s="215" t="s">
        <v>153</v>
      </c>
      <c r="C536" s="138"/>
      <c r="D536" s="221"/>
      <c r="E536" s="247">
        <v>770</v>
      </c>
      <c r="F536" s="95"/>
      <c r="G536" s="95"/>
      <c r="H536" s="147" t="s">
        <v>656</v>
      </c>
      <c r="I536" s="147"/>
      <c r="J536" s="135"/>
      <c r="K536" s="135"/>
      <c r="L536" s="139"/>
      <c r="M536" s="134"/>
      <c r="N536" s="134"/>
      <c r="O536" s="134"/>
      <c r="P536" s="134"/>
      <c r="Q536" s="134"/>
      <c r="R536" s="134"/>
      <c r="S536" s="139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  <c r="AP536" s="82"/>
      <c r="AQ536" s="82"/>
      <c r="AR536" s="82"/>
      <c r="AS536" s="82"/>
      <c r="AT536" s="82"/>
      <c r="AU536" s="82"/>
      <c r="AV536" s="82"/>
      <c r="AW536" s="82"/>
      <c r="AX536" s="82"/>
      <c r="AY536" s="82"/>
      <c r="AZ536" s="82"/>
      <c r="BA536" s="82"/>
      <c r="BB536" s="82"/>
      <c r="BC536" s="82"/>
      <c r="BD536" s="83"/>
      <c r="BE536" s="83"/>
      <c r="BF536" s="83"/>
      <c r="BG536" s="82"/>
      <c r="BH536" s="81"/>
      <c r="BI536" s="80"/>
      <c r="BJ536" s="25"/>
      <c r="BK536" s="25"/>
      <c r="BL536" s="25"/>
      <c r="BM536" s="84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  <c r="CC536" s="25"/>
      <c r="CD536" s="25"/>
      <c r="CE536" s="25"/>
      <c r="CF536" s="25"/>
      <c r="CG536" s="25"/>
      <c r="CH536" s="25"/>
      <c r="CI536" s="25"/>
      <c r="CJ536" s="25"/>
      <c r="CK536" s="25"/>
      <c r="CL536" s="25"/>
      <c r="CM536" s="25"/>
      <c r="CN536" s="25"/>
      <c r="CO536" s="25"/>
      <c r="CP536" s="25"/>
      <c r="CQ536" s="25"/>
      <c r="CR536" s="25"/>
      <c r="CS536" s="25"/>
      <c r="CT536" s="25"/>
      <c r="CU536" s="25"/>
      <c r="CV536" s="25"/>
      <c r="CW536" s="25"/>
      <c r="CX536" s="25"/>
      <c r="CY536" s="25"/>
      <c r="CZ536" s="25"/>
      <c r="DA536" s="25"/>
      <c r="DB536" s="25"/>
      <c r="DC536" s="25"/>
      <c r="DD536" s="25"/>
      <c r="DE536" s="25"/>
      <c r="DF536" s="25"/>
      <c r="DG536" s="92"/>
      <c r="DH536" s="203"/>
      <c r="DI536" s="203"/>
      <c r="DJ536" s="203"/>
      <c r="DK536" s="203"/>
      <c r="DL536" s="203"/>
      <c r="DM536" s="203"/>
      <c r="DN536" s="203"/>
      <c r="DO536" s="203"/>
      <c r="DP536" s="203"/>
      <c r="DQ536" s="208"/>
      <c r="DR536" s="208"/>
      <c r="DS536" s="208"/>
      <c r="DT536" s="208"/>
      <c r="DU536" s="208"/>
      <c r="DV536" s="208"/>
      <c r="DW536" s="208"/>
      <c r="DX536" s="208"/>
      <c r="DY536" s="208"/>
      <c r="DZ536" s="208"/>
      <c r="EA536" s="208"/>
      <c r="EB536" s="208"/>
      <c r="EC536" s="208"/>
      <c r="ED536" s="208"/>
      <c r="EE536" s="208"/>
      <c r="EF536" s="208"/>
      <c r="EG536" s="208"/>
      <c r="EH536" s="208"/>
      <c r="EI536" s="208"/>
      <c r="EJ536" s="208"/>
      <c r="EK536" s="208"/>
      <c r="EL536" s="208"/>
      <c r="EM536" s="208"/>
      <c r="EN536" s="208"/>
      <c r="EO536" s="208"/>
      <c r="EP536" s="208"/>
      <c r="EQ536" s="208"/>
      <c r="ER536" s="208"/>
      <c r="ES536" s="208"/>
      <c r="ET536" s="208"/>
      <c r="EU536" s="208"/>
      <c r="EV536" s="208"/>
      <c r="EW536" s="208"/>
      <c r="EX536" s="208"/>
      <c r="EY536" s="208"/>
      <c r="EZ536" s="208">
        <v>0</v>
      </c>
      <c r="FA536" s="208">
        <v>0</v>
      </c>
      <c r="FB536" s="208">
        <v>0</v>
      </c>
      <c r="FC536" s="208"/>
      <c r="FD536" s="82"/>
      <c r="FE536" s="30"/>
    </row>
    <row r="537" spans="1:161" ht="15" hidden="1">
      <c r="A537" s="204" t="s">
        <v>892</v>
      </c>
      <c r="B537" s="215" t="s">
        <v>153</v>
      </c>
      <c r="C537" s="138"/>
      <c r="D537" s="221"/>
      <c r="E537" s="247">
        <v>770</v>
      </c>
      <c r="F537" s="95"/>
      <c r="G537" s="95"/>
      <c r="H537" s="147" t="s">
        <v>656</v>
      </c>
      <c r="I537" s="147"/>
      <c r="J537" s="135"/>
      <c r="K537" s="135"/>
      <c r="L537" s="139"/>
      <c r="M537" s="134"/>
      <c r="N537" s="134"/>
      <c r="O537" s="134"/>
      <c r="P537" s="134"/>
      <c r="Q537" s="134"/>
      <c r="R537" s="134"/>
      <c r="S537" s="139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  <c r="AY537" s="82"/>
      <c r="AZ537" s="82"/>
      <c r="BA537" s="82"/>
      <c r="BB537" s="82"/>
      <c r="BC537" s="82"/>
      <c r="BD537" s="83"/>
      <c r="BE537" s="83"/>
      <c r="BF537" s="83"/>
      <c r="BG537" s="82"/>
      <c r="BH537" s="81"/>
      <c r="BI537" s="80"/>
      <c r="BJ537" s="25"/>
      <c r="BK537" s="25"/>
      <c r="BL537" s="25"/>
      <c r="BM537" s="84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  <c r="CC537" s="25"/>
      <c r="CD537" s="25"/>
      <c r="CE537" s="25"/>
      <c r="CF537" s="25"/>
      <c r="CG537" s="25"/>
      <c r="CH537" s="25"/>
      <c r="CI537" s="25"/>
      <c r="CJ537" s="25"/>
      <c r="CK537" s="25"/>
      <c r="CL537" s="25"/>
      <c r="CM537" s="25"/>
      <c r="CN537" s="25"/>
      <c r="CO537" s="25"/>
      <c r="CP537" s="25"/>
      <c r="CQ537" s="25"/>
      <c r="CR537" s="25"/>
      <c r="CS537" s="25"/>
      <c r="CT537" s="25"/>
      <c r="CU537" s="25"/>
      <c r="CV537" s="25"/>
      <c r="CW537" s="25"/>
      <c r="CX537" s="25"/>
      <c r="CY537" s="25"/>
      <c r="CZ537" s="25"/>
      <c r="DA537" s="25"/>
      <c r="DB537" s="25"/>
      <c r="DC537" s="25"/>
      <c r="DD537" s="25"/>
      <c r="DE537" s="25"/>
      <c r="DF537" s="25"/>
      <c r="DG537" s="92"/>
      <c r="DH537" s="203"/>
      <c r="DI537" s="203"/>
      <c r="DJ537" s="203"/>
      <c r="DK537" s="203"/>
      <c r="DL537" s="203"/>
      <c r="DM537" s="203"/>
      <c r="DN537" s="203"/>
      <c r="DO537" s="203"/>
      <c r="DP537" s="203"/>
      <c r="DQ537" s="208"/>
      <c r="DR537" s="208"/>
      <c r="DS537" s="208"/>
      <c r="DT537" s="208"/>
      <c r="DU537" s="208"/>
      <c r="DV537" s="208"/>
      <c r="DW537" s="208"/>
      <c r="DX537" s="208"/>
      <c r="DY537" s="208"/>
      <c r="DZ537" s="208"/>
      <c r="EA537" s="208"/>
      <c r="EB537" s="208"/>
      <c r="EC537" s="208"/>
      <c r="ED537" s="208"/>
      <c r="EE537" s="208"/>
      <c r="EF537" s="208"/>
      <c r="EG537" s="208"/>
      <c r="EH537" s="208"/>
      <c r="EI537" s="208"/>
      <c r="EJ537" s="208"/>
      <c r="EK537" s="208"/>
      <c r="EL537" s="208"/>
      <c r="EM537" s="208"/>
      <c r="EN537" s="208"/>
      <c r="EO537" s="208"/>
      <c r="EP537" s="208"/>
      <c r="EQ537" s="208"/>
      <c r="ER537" s="208"/>
      <c r="ES537" s="208"/>
      <c r="ET537" s="208"/>
      <c r="EU537" s="208"/>
      <c r="EV537" s="208"/>
      <c r="EW537" s="208"/>
      <c r="EX537" s="208"/>
      <c r="EY537" s="208"/>
      <c r="EZ537" s="208">
        <v>0</v>
      </c>
      <c r="FA537" s="208">
        <v>0</v>
      </c>
      <c r="FB537" s="208">
        <v>0</v>
      </c>
      <c r="FC537" s="208"/>
      <c r="FD537" s="82"/>
      <c r="FE537" s="30"/>
    </row>
    <row r="538" spans="1:161" ht="15" hidden="1">
      <c r="A538" s="204" t="s">
        <v>893</v>
      </c>
      <c r="B538" s="215" t="s">
        <v>153</v>
      </c>
      <c r="C538" s="138"/>
      <c r="D538" s="221"/>
      <c r="E538" s="247">
        <v>770</v>
      </c>
      <c r="F538" s="95"/>
      <c r="G538" s="95"/>
      <c r="H538" s="147" t="s">
        <v>656</v>
      </c>
      <c r="I538" s="147"/>
      <c r="J538" s="135"/>
      <c r="K538" s="135"/>
      <c r="L538" s="139"/>
      <c r="M538" s="134"/>
      <c r="N538" s="134"/>
      <c r="O538" s="134"/>
      <c r="P538" s="134"/>
      <c r="Q538" s="134"/>
      <c r="R538" s="134"/>
      <c r="S538" s="139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82"/>
      <c r="AN538" s="82"/>
      <c r="AO538" s="82"/>
      <c r="AP538" s="82"/>
      <c r="AQ538" s="82"/>
      <c r="AR538" s="82"/>
      <c r="AS538" s="82"/>
      <c r="AT538" s="82"/>
      <c r="AU538" s="82"/>
      <c r="AV538" s="82"/>
      <c r="AW538" s="82"/>
      <c r="AX538" s="82"/>
      <c r="AY538" s="82"/>
      <c r="AZ538" s="82"/>
      <c r="BA538" s="82"/>
      <c r="BB538" s="82"/>
      <c r="BC538" s="82"/>
      <c r="BD538" s="83"/>
      <c r="BE538" s="83"/>
      <c r="BF538" s="83"/>
      <c r="BG538" s="82"/>
      <c r="BH538" s="81"/>
      <c r="BI538" s="80"/>
      <c r="BJ538" s="25"/>
      <c r="BK538" s="25"/>
      <c r="BL538" s="25"/>
      <c r="BM538" s="84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  <c r="CC538" s="25"/>
      <c r="CD538" s="25"/>
      <c r="CE538" s="25"/>
      <c r="CF538" s="25"/>
      <c r="CG538" s="25"/>
      <c r="CH538" s="25"/>
      <c r="CI538" s="25"/>
      <c r="CJ538" s="25"/>
      <c r="CK538" s="25"/>
      <c r="CL538" s="25"/>
      <c r="CM538" s="25"/>
      <c r="CN538" s="25"/>
      <c r="CO538" s="25"/>
      <c r="CP538" s="25"/>
      <c r="CQ538" s="25"/>
      <c r="CR538" s="25"/>
      <c r="CS538" s="25"/>
      <c r="CT538" s="25"/>
      <c r="CU538" s="25"/>
      <c r="CV538" s="25"/>
      <c r="CW538" s="25"/>
      <c r="CX538" s="25"/>
      <c r="CY538" s="25"/>
      <c r="CZ538" s="25"/>
      <c r="DA538" s="25"/>
      <c r="DB538" s="25"/>
      <c r="DC538" s="25"/>
      <c r="DD538" s="25"/>
      <c r="DE538" s="25"/>
      <c r="DF538" s="25"/>
      <c r="DG538" s="92"/>
      <c r="DH538" s="203"/>
      <c r="DI538" s="203"/>
      <c r="DJ538" s="203"/>
      <c r="DK538" s="203"/>
      <c r="DL538" s="203"/>
      <c r="DM538" s="203"/>
      <c r="DN538" s="203"/>
      <c r="DO538" s="203"/>
      <c r="DP538" s="203"/>
      <c r="DQ538" s="208"/>
      <c r="DR538" s="208"/>
      <c r="DS538" s="208"/>
      <c r="DT538" s="208"/>
      <c r="DU538" s="208"/>
      <c r="DV538" s="208"/>
      <c r="DW538" s="208"/>
      <c r="DX538" s="208"/>
      <c r="DY538" s="208"/>
      <c r="DZ538" s="208"/>
      <c r="EA538" s="208"/>
      <c r="EB538" s="208"/>
      <c r="EC538" s="208"/>
      <c r="ED538" s="208"/>
      <c r="EE538" s="208"/>
      <c r="EF538" s="208"/>
      <c r="EG538" s="208"/>
      <c r="EH538" s="208"/>
      <c r="EI538" s="208"/>
      <c r="EJ538" s="208"/>
      <c r="EK538" s="208"/>
      <c r="EL538" s="208"/>
      <c r="EM538" s="208"/>
      <c r="EN538" s="208"/>
      <c r="EO538" s="208"/>
      <c r="EP538" s="208"/>
      <c r="EQ538" s="208"/>
      <c r="ER538" s="208"/>
      <c r="ES538" s="208"/>
      <c r="ET538" s="208"/>
      <c r="EU538" s="208"/>
      <c r="EV538" s="208"/>
      <c r="EW538" s="208"/>
      <c r="EX538" s="208"/>
      <c r="EY538" s="208"/>
      <c r="EZ538" s="208">
        <v>0</v>
      </c>
      <c r="FA538" s="208">
        <v>0</v>
      </c>
      <c r="FB538" s="208">
        <v>0</v>
      </c>
      <c r="FC538" s="208"/>
      <c r="FD538" s="82"/>
      <c r="FE538" s="30"/>
    </row>
    <row r="539" spans="1:161" ht="15" hidden="1">
      <c r="A539" s="204" t="s">
        <v>894</v>
      </c>
      <c r="B539" s="215" t="s">
        <v>153</v>
      </c>
      <c r="C539" s="138"/>
      <c r="D539" s="221"/>
      <c r="E539" s="247">
        <v>770</v>
      </c>
      <c r="F539" s="95"/>
      <c r="G539" s="95"/>
      <c r="H539" s="147" t="s">
        <v>656</v>
      </c>
      <c r="I539" s="147"/>
      <c r="J539" s="135"/>
      <c r="K539" s="135"/>
      <c r="L539" s="139"/>
      <c r="M539" s="134"/>
      <c r="N539" s="134"/>
      <c r="O539" s="134"/>
      <c r="P539" s="134"/>
      <c r="Q539" s="134"/>
      <c r="R539" s="134"/>
      <c r="S539" s="139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  <c r="AN539" s="82"/>
      <c r="AO539" s="82"/>
      <c r="AP539" s="82"/>
      <c r="AQ539" s="82"/>
      <c r="AR539" s="82"/>
      <c r="AS539" s="82"/>
      <c r="AT539" s="82"/>
      <c r="AU539" s="82"/>
      <c r="AV539" s="82"/>
      <c r="AW539" s="82"/>
      <c r="AX539" s="82"/>
      <c r="AY539" s="82"/>
      <c r="AZ539" s="82"/>
      <c r="BA539" s="82"/>
      <c r="BB539" s="82"/>
      <c r="BC539" s="82"/>
      <c r="BD539" s="83"/>
      <c r="BE539" s="83"/>
      <c r="BF539" s="83"/>
      <c r="BG539" s="82"/>
      <c r="BH539" s="81"/>
      <c r="BI539" s="80"/>
      <c r="BJ539" s="25"/>
      <c r="BK539" s="25"/>
      <c r="BL539" s="25"/>
      <c r="BM539" s="84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  <c r="CX539" s="25"/>
      <c r="CY539" s="25"/>
      <c r="CZ539" s="25"/>
      <c r="DA539" s="25"/>
      <c r="DB539" s="25"/>
      <c r="DC539" s="25"/>
      <c r="DD539" s="25"/>
      <c r="DE539" s="25"/>
      <c r="DF539" s="25"/>
      <c r="DG539" s="92"/>
      <c r="DH539" s="203"/>
      <c r="DI539" s="203"/>
      <c r="DJ539" s="203"/>
      <c r="DK539" s="203"/>
      <c r="DL539" s="203"/>
      <c r="DM539" s="203"/>
      <c r="DN539" s="203"/>
      <c r="DO539" s="203"/>
      <c r="DP539" s="203"/>
      <c r="DQ539" s="208"/>
      <c r="DR539" s="208"/>
      <c r="DS539" s="208"/>
      <c r="DT539" s="208"/>
      <c r="DU539" s="208"/>
      <c r="DV539" s="208"/>
      <c r="DW539" s="208"/>
      <c r="DX539" s="208"/>
      <c r="DY539" s="208"/>
      <c r="DZ539" s="208"/>
      <c r="EA539" s="208"/>
      <c r="EB539" s="208"/>
      <c r="EC539" s="208"/>
      <c r="ED539" s="208"/>
      <c r="EE539" s="208"/>
      <c r="EF539" s="208"/>
      <c r="EG539" s="208"/>
      <c r="EH539" s="208"/>
      <c r="EI539" s="208"/>
      <c r="EJ539" s="208"/>
      <c r="EK539" s="208"/>
      <c r="EL539" s="208"/>
      <c r="EM539" s="208"/>
      <c r="EN539" s="208"/>
      <c r="EO539" s="208"/>
      <c r="EP539" s="208"/>
      <c r="EQ539" s="208"/>
      <c r="ER539" s="208"/>
      <c r="ES539" s="208"/>
      <c r="ET539" s="208"/>
      <c r="EU539" s="208"/>
      <c r="EV539" s="208"/>
      <c r="EW539" s="208"/>
      <c r="EX539" s="208"/>
      <c r="EY539" s="208"/>
      <c r="EZ539" s="208">
        <v>0</v>
      </c>
      <c r="FA539" s="208">
        <v>0</v>
      </c>
      <c r="FB539" s="208">
        <v>0</v>
      </c>
      <c r="FC539" s="208"/>
      <c r="FD539" s="82"/>
      <c r="FE539" s="30"/>
    </row>
    <row r="540" spans="1:161" ht="15">
      <c r="A540" s="204"/>
      <c r="B540" s="215"/>
      <c r="C540" s="138"/>
      <c r="D540" s="221"/>
      <c r="E540" s="206"/>
      <c r="F540" s="95"/>
      <c r="G540" s="95"/>
      <c r="H540" s="147"/>
      <c r="I540" s="147"/>
      <c r="J540" s="135"/>
      <c r="K540" s="135"/>
      <c r="L540" s="139"/>
      <c r="M540" s="134"/>
      <c r="N540" s="134"/>
      <c r="O540" s="134"/>
      <c r="P540" s="134"/>
      <c r="Q540" s="134"/>
      <c r="R540" s="134"/>
      <c r="S540" s="139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82"/>
      <c r="AN540" s="82"/>
      <c r="AO540" s="82"/>
      <c r="AP540" s="82"/>
      <c r="AQ540" s="82"/>
      <c r="AR540" s="82"/>
      <c r="AS540" s="82"/>
      <c r="AT540" s="82"/>
      <c r="AU540" s="82"/>
      <c r="AV540" s="82"/>
      <c r="AW540" s="82"/>
      <c r="AX540" s="82"/>
      <c r="AY540" s="82"/>
      <c r="AZ540" s="82"/>
      <c r="BA540" s="82"/>
      <c r="BB540" s="82"/>
      <c r="BC540" s="82"/>
      <c r="BD540" s="83"/>
      <c r="BE540" s="83"/>
      <c r="BF540" s="83"/>
      <c r="BG540" s="82"/>
      <c r="BH540" s="81"/>
      <c r="BI540" s="80"/>
      <c r="BJ540" s="25"/>
      <c r="BK540" s="25"/>
      <c r="BL540" s="25"/>
      <c r="BM540" s="84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5"/>
      <c r="CA540" s="25"/>
      <c r="CB540" s="25"/>
      <c r="CC540" s="25"/>
      <c r="CD540" s="25"/>
      <c r="CE540" s="25"/>
      <c r="CF540" s="25"/>
      <c r="CG540" s="25"/>
      <c r="CH540" s="25"/>
      <c r="CI540" s="25"/>
      <c r="CJ540" s="25"/>
      <c r="CK540" s="25"/>
      <c r="CL540" s="25"/>
      <c r="CM540" s="25"/>
      <c r="CN540" s="25"/>
      <c r="CO540" s="25"/>
      <c r="CP540" s="25"/>
      <c r="CQ540" s="25"/>
      <c r="CR540" s="25"/>
      <c r="CS540" s="25"/>
      <c r="CT540" s="25"/>
      <c r="CU540" s="25"/>
      <c r="CV540" s="25"/>
      <c r="CW540" s="25"/>
      <c r="CX540" s="25"/>
      <c r="CY540" s="25"/>
      <c r="CZ540" s="25"/>
      <c r="DA540" s="25"/>
      <c r="DB540" s="25"/>
      <c r="DC540" s="25"/>
      <c r="DD540" s="25"/>
      <c r="DE540" s="25"/>
      <c r="DF540" s="25"/>
      <c r="DG540" s="92"/>
      <c r="DH540" s="203"/>
      <c r="DI540" s="203"/>
      <c r="DJ540" s="203"/>
      <c r="DK540" s="203"/>
      <c r="DL540" s="203"/>
      <c r="DM540" s="203"/>
      <c r="DN540" s="203"/>
      <c r="DO540" s="203"/>
      <c r="DP540" s="203"/>
      <c r="DQ540" s="208"/>
      <c r="DR540" s="208"/>
      <c r="DS540" s="208"/>
      <c r="DT540" s="208"/>
      <c r="DU540" s="208"/>
      <c r="DV540" s="208"/>
      <c r="DW540" s="208"/>
      <c r="DX540" s="208"/>
      <c r="DY540" s="208"/>
      <c r="DZ540" s="208"/>
      <c r="EA540" s="208"/>
      <c r="EB540" s="208"/>
      <c r="EC540" s="208"/>
      <c r="ED540" s="208"/>
      <c r="EE540" s="208"/>
      <c r="EF540" s="208"/>
      <c r="EG540" s="208"/>
      <c r="EH540" s="208"/>
      <c r="EI540" s="208"/>
      <c r="EJ540" s="208"/>
      <c r="EK540" s="208"/>
      <c r="EL540" s="208"/>
      <c r="EM540" s="208"/>
      <c r="EN540" s="208"/>
      <c r="EO540" s="208"/>
      <c r="EP540" s="208"/>
      <c r="EQ540" s="208"/>
      <c r="ER540" s="208"/>
      <c r="ES540" s="208"/>
      <c r="ET540" s="208"/>
      <c r="EU540" s="208"/>
      <c r="EV540" s="208"/>
      <c r="EW540" s="208"/>
      <c r="EX540" s="208"/>
      <c r="EY540" s="208"/>
      <c r="EZ540" s="208"/>
      <c r="FA540" s="208"/>
      <c r="FB540" s="208"/>
      <c r="FC540" s="208"/>
      <c r="FD540" s="82"/>
      <c r="FE540" s="30"/>
    </row>
    <row r="541" spans="1:161" ht="15">
      <c r="A541" s="204"/>
      <c r="B541" s="215"/>
      <c r="C541" s="138"/>
      <c r="D541" s="221"/>
      <c r="E541" s="206"/>
      <c r="F541" s="95"/>
      <c r="G541" s="95"/>
      <c r="H541" s="147"/>
      <c r="I541" s="147"/>
      <c r="J541" s="135"/>
      <c r="K541" s="135"/>
      <c r="L541" s="139"/>
      <c r="M541" s="134"/>
      <c r="N541" s="134"/>
      <c r="O541" s="134"/>
      <c r="P541" s="134"/>
      <c r="Q541" s="134"/>
      <c r="R541" s="134"/>
      <c r="S541" s="139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82"/>
      <c r="AN541" s="82"/>
      <c r="AO541" s="82"/>
      <c r="AP541" s="82"/>
      <c r="AQ541" s="82"/>
      <c r="AR541" s="82"/>
      <c r="AS541" s="82"/>
      <c r="AT541" s="82"/>
      <c r="AU541" s="82"/>
      <c r="AV541" s="82"/>
      <c r="AW541" s="82"/>
      <c r="AX541" s="82"/>
      <c r="AY541" s="82"/>
      <c r="AZ541" s="82"/>
      <c r="BA541" s="82"/>
      <c r="BB541" s="82"/>
      <c r="BC541" s="82"/>
      <c r="BD541" s="83"/>
      <c r="BE541" s="83"/>
      <c r="BF541" s="83"/>
      <c r="BG541" s="82"/>
      <c r="BH541" s="81"/>
      <c r="BI541" s="80"/>
      <c r="BJ541" s="25"/>
      <c r="BK541" s="25"/>
      <c r="BL541" s="25"/>
      <c r="BM541" s="84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5"/>
      <c r="CA541" s="25"/>
      <c r="CB541" s="25"/>
      <c r="CC541" s="25"/>
      <c r="CD541" s="25"/>
      <c r="CE541" s="25"/>
      <c r="CF541" s="25"/>
      <c r="CG541" s="25"/>
      <c r="CH541" s="25"/>
      <c r="CI541" s="25"/>
      <c r="CJ541" s="25"/>
      <c r="CK541" s="25"/>
      <c r="CL541" s="25"/>
      <c r="CM541" s="25"/>
      <c r="CN541" s="25"/>
      <c r="CO541" s="25"/>
      <c r="CP541" s="25"/>
      <c r="CQ541" s="25"/>
      <c r="CR541" s="25"/>
      <c r="CS541" s="25"/>
      <c r="CT541" s="25"/>
      <c r="CU541" s="25"/>
      <c r="CV541" s="25"/>
      <c r="CW541" s="25"/>
      <c r="CX541" s="25"/>
      <c r="CY541" s="25"/>
      <c r="CZ541" s="25"/>
      <c r="DA541" s="25"/>
      <c r="DB541" s="25"/>
      <c r="DC541" s="25"/>
      <c r="DD541" s="25"/>
      <c r="DE541" s="25"/>
      <c r="DF541" s="25"/>
      <c r="DG541" s="92"/>
      <c r="DH541" s="203"/>
      <c r="DI541" s="203"/>
      <c r="DJ541" s="203"/>
      <c r="DK541" s="203"/>
      <c r="DL541" s="203"/>
      <c r="DM541" s="203"/>
      <c r="DN541" s="203"/>
      <c r="DO541" s="203"/>
      <c r="DP541" s="203"/>
      <c r="DQ541" s="208"/>
      <c r="DR541" s="208"/>
      <c r="DS541" s="208"/>
      <c r="DT541" s="208"/>
      <c r="DU541" s="208"/>
      <c r="DV541" s="208"/>
      <c r="DW541" s="208"/>
      <c r="DX541" s="208"/>
      <c r="DY541" s="208"/>
      <c r="DZ541" s="208"/>
      <c r="EA541" s="208"/>
      <c r="EB541" s="208"/>
      <c r="EC541" s="208"/>
      <c r="ED541" s="208"/>
      <c r="EE541" s="208"/>
      <c r="EF541" s="208"/>
      <c r="EG541" s="208"/>
      <c r="EH541" s="208"/>
      <c r="EI541" s="208"/>
      <c r="EJ541" s="208"/>
      <c r="EK541" s="208"/>
      <c r="EL541" s="208"/>
      <c r="EM541" s="208"/>
      <c r="EN541" s="208"/>
      <c r="EO541" s="208"/>
      <c r="EP541" s="208"/>
      <c r="EQ541" s="208"/>
      <c r="ER541" s="208"/>
      <c r="ES541" s="208"/>
      <c r="ET541" s="208"/>
      <c r="EU541" s="208"/>
      <c r="EV541" s="208"/>
      <c r="EW541" s="208"/>
      <c r="EX541" s="208"/>
      <c r="EY541" s="208"/>
      <c r="EZ541" s="208"/>
      <c r="FA541" s="208"/>
      <c r="FB541" s="208"/>
      <c r="FC541" s="208"/>
      <c r="FD541" s="82"/>
      <c r="FE541" s="30"/>
    </row>
    <row r="542" spans="1:161" ht="15">
      <c r="A542" s="204"/>
      <c r="B542" s="215"/>
      <c r="C542" s="138"/>
      <c r="D542" s="221"/>
      <c r="E542" s="206"/>
      <c r="F542" s="95"/>
      <c r="G542" s="95"/>
      <c r="H542" s="147"/>
      <c r="I542" s="147"/>
      <c r="J542" s="135"/>
      <c r="K542" s="135"/>
      <c r="L542" s="139"/>
      <c r="M542" s="134"/>
      <c r="N542" s="134"/>
      <c r="O542" s="134"/>
      <c r="P542" s="134"/>
      <c r="Q542" s="134"/>
      <c r="R542" s="134"/>
      <c r="S542" s="139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  <c r="AP542" s="82"/>
      <c r="AQ542" s="82"/>
      <c r="AR542" s="82"/>
      <c r="AS542" s="82"/>
      <c r="AT542" s="82"/>
      <c r="AU542" s="82"/>
      <c r="AV542" s="82"/>
      <c r="AW542" s="82"/>
      <c r="AX542" s="82"/>
      <c r="AY542" s="82"/>
      <c r="AZ542" s="82"/>
      <c r="BA542" s="82"/>
      <c r="BB542" s="82"/>
      <c r="BC542" s="82"/>
      <c r="BD542" s="83"/>
      <c r="BE542" s="83"/>
      <c r="BF542" s="83"/>
      <c r="BG542" s="82"/>
      <c r="BH542" s="81"/>
      <c r="BI542" s="80"/>
      <c r="BJ542" s="25"/>
      <c r="BK542" s="25"/>
      <c r="BL542" s="25"/>
      <c r="BM542" s="84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  <c r="CC542" s="25"/>
      <c r="CD542" s="25"/>
      <c r="CE542" s="25"/>
      <c r="CF542" s="25"/>
      <c r="CG542" s="25"/>
      <c r="CH542" s="25"/>
      <c r="CI542" s="25"/>
      <c r="CJ542" s="25"/>
      <c r="CK542" s="25"/>
      <c r="CL542" s="25"/>
      <c r="CM542" s="25"/>
      <c r="CN542" s="25"/>
      <c r="CO542" s="25"/>
      <c r="CP542" s="25"/>
      <c r="CQ542" s="25"/>
      <c r="CR542" s="25"/>
      <c r="CS542" s="25"/>
      <c r="CT542" s="25"/>
      <c r="CU542" s="25"/>
      <c r="CV542" s="25"/>
      <c r="CW542" s="25"/>
      <c r="CX542" s="25"/>
      <c r="CY542" s="25"/>
      <c r="CZ542" s="25"/>
      <c r="DA542" s="25"/>
      <c r="DB542" s="25"/>
      <c r="DC542" s="25"/>
      <c r="DD542" s="25"/>
      <c r="DE542" s="25"/>
      <c r="DF542" s="25"/>
      <c r="DG542" s="92"/>
      <c r="DH542" s="203"/>
      <c r="DI542" s="203"/>
      <c r="DJ542" s="203"/>
      <c r="DK542" s="203"/>
      <c r="DL542" s="203"/>
      <c r="DM542" s="203"/>
      <c r="DN542" s="203"/>
      <c r="DO542" s="203"/>
      <c r="DP542" s="203"/>
      <c r="DQ542" s="208"/>
      <c r="DR542" s="208"/>
      <c r="DS542" s="208"/>
      <c r="DT542" s="208"/>
      <c r="DU542" s="208"/>
      <c r="DV542" s="208"/>
      <c r="DW542" s="208"/>
      <c r="DX542" s="208"/>
      <c r="DY542" s="208"/>
      <c r="DZ542" s="208"/>
      <c r="EA542" s="208"/>
      <c r="EB542" s="208"/>
      <c r="EC542" s="208"/>
      <c r="ED542" s="208"/>
      <c r="EE542" s="208"/>
      <c r="EF542" s="208"/>
      <c r="EG542" s="208"/>
      <c r="EH542" s="208"/>
      <c r="EI542" s="208"/>
      <c r="EJ542" s="208"/>
      <c r="EK542" s="208"/>
      <c r="EL542" s="208"/>
      <c r="EM542" s="208"/>
      <c r="EN542" s="208"/>
      <c r="EO542" s="208"/>
      <c r="EP542" s="208"/>
      <c r="EQ542" s="208"/>
      <c r="ER542" s="208"/>
      <c r="ES542" s="208"/>
      <c r="ET542" s="208"/>
      <c r="EU542" s="208"/>
      <c r="EV542" s="208"/>
      <c r="EW542" s="208"/>
      <c r="EX542" s="208"/>
      <c r="EY542" s="208"/>
      <c r="EZ542" s="208"/>
      <c r="FA542" s="208"/>
      <c r="FB542" s="208"/>
      <c r="FC542" s="208"/>
      <c r="FD542" s="82"/>
      <c r="FE542" s="30"/>
    </row>
    <row r="543" spans="1:161" ht="15">
      <c r="A543" s="204"/>
      <c r="B543" s="215"/>
      <c r="C543" s="138"/>
      <c r="D543" s="221"/>
      <c r="E543" s="206"/>
      <c r="F543" s="95"/>
      <c r="G543" s="95"/>
      <c r="H543" s="147"/>
      <c r="I543" s="147"/>
      <c r="J543" s="135"/>
      <c r="K543" s="135"/>
      <c r="L543" s="139"/>
      <c r="M543" s="134"/>
      <c r="N543" s="134"/>
      <c r="O543" s="134"/>
      <c r="P543" s="134"/>
      <c r="Q543" s="134"/>
      <c r="R543" s="134"/>
      <c r="S543" s="139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82"/>
      <c r="AN543" s="82"/>
      <c r="AO543" s="82"/>
      <c r="AP543" s="82"/>
      <c r="AQ543" s="82"/>
      <c r="AR543" s="82"/>
      <c r="AS543" s="82"/>
      <c r="AT543" s="82"/>
      <c r="AU543" s="82"/>
      <c r="AV543" s="82"/>
      <c r="AW543" s="82"/>
      <c r="AX543" s="82"/>
      <c r="AY543" s="82"/>
      <c r="AZ543" s="82"/>
      <c r="BA543" s="82"/>
      <c r="BB543" s="82"/>
      <c r="BC543" s="82"/>
      <c r="BD543" s="83"/>
      <c r="BE543" s="83"/>
      <c r="BF543" s="83"/>
      <c r="BG543" s="82"/>
      <c r="BH543" s="81"/>
      <c r="BI543" s="80"/>
      <c r="BJ543" s="25"/>
      <c r="BK543" s="25"/>
      <c r="BL543" s="25"/>
      <c r="BM543" s="84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/>
      <c r="CO543" s="25"/>
      <c r="CP543" s="25"/>
      <c r="CQ543" s="25"/>
      <c r="CR543" s="25"/>
      <c r="CS543" s="25"/>
      <c r="CT543" s="25"/>
      <c r="CU543" s="25"/>
      <c r="CV543" s="25"/>
      <c r="CW543" s="25"/>
      <c r="CX543" s="25"/>
      <c r="CY543" s="25"/>
      <c r="CZ543" s="25"/>
      <c r="DA543" s="25"/>
      <c r="DB543" s="25"/>
      <c r="DC543" s="25"/>
      <c r="DD543" s="25"/>
      <c r="DE543" s="25"/>
      <c r="DF543" s="25"/>
      <c r="DG543" s="92"/>
      <c r="DH543" s="203"/>
      <c r="DI543" s="203"/>
      <c r="DJ543" s="203"/>
      <c r="DK543" s="203"/>
      <c r="DL543" s="203"/>
      <c r="DM543" s="203"/>
      <c r="DN543" s="203"/>
      <c r="DO543" s="203"/>
      <c r="DP543" s="203"/>
      <c r="DQ543" s="208"/>
      <c r="DR543" s="208"/>
      <c r="DS543" s="208"/>
      <c r="DT543" s="208"/>
      <c r="DU543" s="208"/>
      <c r="DV543" s="208"/>
      <c r="DW543" s="208"/>
      <c r="DX543" s="208"/>
      <c r="DY543" s="208"/>
      <c r="DZ543" s="208"/>
      <c r="EA543" s="208"/>
      <c r="EB543" s="208"/>
      <c r="EC543" s="208"/>
      <c r="ED543" s="208"/>
      <c r="EE543" s="208"/>
      <c r="EF543" s="208"/>
      <c r="EG543" s="208"/>
      <c r="EH543" s="208"/>
      <c r="EI543" s="208"/>
      <c r="EJ543" s="208"/>
      <c r="EK543" s="208"/>
      <c r="EL543" s="208"/>
      <c r="EM543" s="208"/>
      <c r="EN543" s="208"/>
      <c r="EO543" s="208"/>
      <c r="EP543" s="208"/>
      <c r="EQ543" s="208"/>
      <c r="ER543" s="208"/>
      <c r="ES543" s="208"/>
      <c r="ET543" s="208"/>
      <c r="EU543" s="208"/>
      <c r="EV543" s="208"/>
      <c r="EW543" s="208"/>
      <c r="EX543" s="208"/>
      <c r="EY543" s="208"/>
      <c r="EZ543" s="208"/>
      <c r="FA543" s="208"/>
      <c r="FB543" s="208"/>
      <c r="FC543" s="208"/>
      <c r="FD543" s="82"/>
      <c r="FE543" s="30"/>
    </row>
    <row r="544" spans="1:161" ht="15">
      <c r="A544" s="204"/>
      <c r="B544" s="215"/>
      <c r="C544" s="138"/>
      <c r="D544" s="221"/>
      <c r="E544" s="206"/>
      <c r="F544" s="95"/>
      <c r="G544" s="95"/>
      <c r="H544" s="147"/>
      <c r="I544" s="147"/>
      <c r="J544" s="135"/>
      <c r="K544" s="135"/>
      <c r="L544" s="139"/>
      <c r="M544" s="134"/>
      <c r="N544" s="134"/>
      <c r="O544" s="134"/>
      <c r="P544" s="134"/>
      <c r="Q544" s="134"/>
      <c r="R544" s="134"/>
      <c r="S544" s="139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  <c r="AP544" s="82"/>
      <c r="AQ544" s="82"/>
      <c r="AR544" s="82"/>
      <c r="AS544" s="82"/>
      <c r="AT544" s="82"/>
      <c r="AU544" s="82"/>
      <c r="AV544" s="82"/>
      <c r="AW544" s="82"/>
      <c r="AX544" s="82"/>
      <c r="AY544" s="82"/>
      <c r="AZ544" s="82"/>
      <c r="BA544" s="82"/>
      <c r="BB544" s="82"/>
      <c r="BC544" s="82"/>
      <c r="BD544" s="83"/>
      <c r="BE544" s="83"/>
      <c r="BF544" s="83"/>
      <c r="BG544" s="82"/>
      <c r="BH544" s="81"/>
      <c r="BI544" s="80"/>
      <c r="BJ544" s="25"/>
      <c r="BK544" s="25"/>
      <c r="BL544" s="25"/>
      <c r="BM544" s="84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25"/>
      <c r="CU544" s="25"/>
      <c r="CV544" s="25"/>
      <c r="CW544" s="25"/>
      <c r="CX544" s="25"/>
      <c r="CY544" s="25"/>
      <c r="CZ544" s="25"/>
      <c r="DA544" s="25"/>
      <c r="DB544" s="25"/>
      <c r="DC544" s="25"/>
      <c r="DD544" s="25"/>
      <c r="DE544" s="25"/>
      <c r="DF544" s="25"/>
      <c r="DG544" s="92"/>
      <c r="DH544" s="203"/>
      <c r="DI544" s="203"/>
      <c r="DJ544" s="203"/>
      <c r="DK544" s="203"/>
      <c r="DL544" s="203"/>
      <c r="DM544" s="203"/>
      <c r="DN544" s="203"/>
      <c r="DO544" s="203"/>
      <c r="DP544" s="203"/>
      <c r="DQ544" s="208"/>
      <c r="DR544" s="208"/>
      <c r="DS544" s="208"/>
      <c r="DT544" s="208"/>
      <c r="DU544" s="208"/>
      <c r="DV544" s="208"/>
      <c r="DW544" s="208"/>
      <c r="DX544" s="208"/>
      <c r="DY544" s="208"/>
      <c r="DZ544" s="208"/>
      <c r="EA544" s="208"/>
      <c r="EB544" s="208"/>
      <c r="EC544" s="208"/>
      <c r="ED544" s="208"/>
      <c r="EE544" s="208"/>
      <c r="EF544" s="208"/>
      <c r="EG544" s="208"/>
      <c r="EH544" s="208"/>
      <c r="EI544" s="208"/>
      <c r="EJ544" s="208"/>
      <c r="EK544" s="208"/>
      <c r="EL544" s="208"/>
      <c r="EM544" s="208"/>
      <c r="EN544" s="208"/>
      <c r="EO544" s="208"/>
      <c r="EP544" s="208"/>
      <c r="EQ544" s="208"/>
      <c r="ER544" s="208"/>
      <c r="ES544" s="208"/>
      <c r="ET544" s="208"/>
      <c r="EU544" s="208"/>
      <c r="EV544" s="208"/>
      <c r="EW544" s="208"/>
      <c r="EX544" s="208"/>
      <c r="EY544" s="208"/>
      <c r="EZ544" s="208"/>
      <c r="FA544" s="208"/>
      <c r="FB544" s="208"/>
      <c r="FC544" s="208"/>
      <c r="FD544" s="82"/>
      <c r="FE544" s="30"/>
    </row>
    <row r="545" spans="1:161" ht="15">
      <c r="A545" s="81"/>
      <c r="B545" s="213"/>
      <c r="C545" s="138"/>
      <c r="D545" s="221"/>
      <c r="E545" s="134"/>
      <c r="F545" s="134"/>
      <c r="G545" s="134"/>
      <c r="H545" s="147"/>
      <c r="I545" s="147"/>
      <c r="J545" s="135"/>
      <c r="K545" s="135"/>
      <c r="L545" s="139"/>
      <c r="M545" s="134"/>
      <c r="N545" s="134"/>
      <c r="O545" s="134"/>
      <c r="P545" s="134"/>
      <c r="Q545" s="134"/>
      <c r="R545" s="134"/>
      <c r="S545" s="139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  <c r="AP545" s="82"/>
      <c r="AQ545" s="82"/>
      <c r="AR545" s="82"/>
      <c r="AS545" s="82"/>
      <c r="AT545" s="82"/>
      <c r="AU545" s="82"/>
      <c r="AV545" s="82"/>
      <c r="AW545" s="82"/>
      <c r="AX545" s="82"/>
      <c r="AY545" s="82"/>
      <c r="AZ545" s="82"/>
      <c r="BA545" s="82"/>
      <c r="BB545" s="82"/>
      <c r="BC545" s="82"/>
      <c r="BD545" s="83"/>
      <c r="BE545" s="83"/>
      <c r="BF545" s="83"/>
      <c r="BG545" s="82"/>
      <c r="BH545" s="81"/>
      <c r="BI545" s="80"/>
      <c r="BJ545" s="25"/>
      <c r="BK545" s="25"/>
      <c r="BL545" s="25"/>
      <c r="BM545" s="84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  <c r="CC545" s="25"/>
      <c r="CD545" s="25"/>
      <c r="CE545" s="25"/>
      <c r="CF545" s="25"/>
      <c r="CG545" s="25"/>
      <c r="CH545" s="25"/>
      <c r="CI545" s="25"/>
      <c r="CJ545" s="25"/>
      <c r="CK545" s="25"/>
      <c r="CL545" s="25"/>
      <c r="CM545" s="25"/>
      <c r="CN545" s="25"/>
      <c r="CO545" s="25"/>
      <c r="CP545" s="25"/>
      <c r="CQ545" s="25"/>
      <c r="CR545" s="25"/>
      <c r="CS545" s="25"/>
      <c r="CT545" s="25"/>
      <c r="CU545" s="25"/>
      <c r="CV545" s="25"/>
      <c r="CW545" s="25"/>
      <c r="CX545" s="25"/>
      <c r="CY545" s="25"/>
      <c r="CZ545" s="25"/>
      <c r="DA545" s="25"/>
      <c r="DB545" s="25"/>
      <c r="DC545" s="25"/>
      <c r="DD545" s="25"/>
      <c r="DE545" s="25"/>
      <c r="DF545" s="25"/>
      <c r="DG545" s="25"/>
      <c r="DH545" s="25"/>
      <c r="DI545" s="25"/>
      <c r="DJ545" s="25"/>
      <c r="DK545" s="25"/>
      <c r="DL545" s="25"/>
      <c r="DM545" s="25"/>
      <c r="DN545" s="25"/>
      <c r="DO545" s="25"/>
      <c r="DP545" s="25"/>
      <c r="DQ545" s="25"/>
      <c r="DR545" s="25"/>
      <c r="DS545" s="25"/>
      <c r="DT545" s="25"/>
      <c r="DU545" s="25"/>
      <c r="DV545" s="25"/>
      <c r="DW545" s="25"/>
      <c r="DX545" s="25"/>
      <c r="DY545" s="25"/>
      <c r="DZ545" s="25"/>
      <c r="EA545" s="25"/>
      <c r="EB545" s="25"/>
      <c r="EC545" s="25"/>
      <c r="ED545" s="25"/>
      <c r="EE545" s="25"/>
      <c r="EF545" s="25"/>
      <c r="EG545" s="25"/>
      <c r="EH545" s="25"/>
      <c r="EI545" s="25"/>
      <c r="EJ545" s="25"/>
      <c r="EK545" s="25"/>
      <c r="EL545" s="25"/>
      <c r="EM545" s="25"/>
      <c r="EN545" s="25"/>
      <c r="EO545" s="25"/>
      <c r="EP545" s="25"/>
      <c r="EQ545" s="25"/>
      <c r="ER545" s="25"/>
      <c r="ES545" s="25"/>
      <c r="ET545" s="25"/>
      <c r="EU545" s="25"/>
      <c r="EV545" s="25"/>
      <c r="EW545" s="25"/>
      <c r="EX545" s="25"/>
      <c r="EY545" s="25"/>
      <c r="EZ545" s="25"/>
      <c r="FA545" s="25"/>
      <c r="FB545" s="25"/>
      <c r="FC545" s="25"/>
      <c r="FD545" s="82"/>
      <c r="FE545" s="30"/>
    </row>
    <row r="546" spans="1:161">
      <c r="L546" s="235"/>
      <c r="BM546" s="137"/>
    </row>
    <row r="547" spans="1:161">
      <c r="E547" s="192"/>
      <c r="L547" s="235"/>
      <c r="BM547" s="137"/>
    </row>
    <row r="548" spans="1:161">
      <c r="E548" s="70"/>
      <c r="L548" s="235"/>
      <c r="BM548" s="137"/>
    </row>
    <row r="549" spans="1:161">
      <c r="E549" s="70"/>
      <c r="L549" s="235"/>
      <c r="BM549" s="137"/>
    </row>
    <row r="550" spans="1:161">
      <c r="L550" s="235"/>
      <c r="BM550" s="137"/>
    </row>
  </sheetData>
  <autoFilter ref="A4:FE539" xr:uid="{00000000-0009-0000-0000-000001000000}">
    <filterColumn colId="4">
      <filters>
        <filter val="1795"/>
      </filters>
    </filterColumn>
  </autoFilter>
  <conditionalFormatting sqref="A545:A1048576 A45:A520 A1:A42">
    <cfRule type="duplicateValues" dxfId="101" priority="8748"/>
  </conditionalFormatting>
  <conditionalFormatting sqref="A545:A1048576 A518:A520 A45:A515 A1:A42">
    <cfRule type="duplicateValues" dxfId="100" priority="9609"/>
  </conditionalFormatting>
  <conditionalFormatting sqref="A545:A1048576 A518:A520 A45:A515 A1:A42">
    <cfRule type="duplicateValues" dxfId="99" priority="9615"/>
    <cfRule type="duplicateValues" dxfId="98" priority="9616"/>
  </conditionalFormatting>
  <conditionalFormatting sqref="A545:A1048576 A45:A520 A1:A42">
    <cfRule type="duplicateValues" dxfId="97" priority="9631"/>
    <cfRule type="duplicateValues" dxfId="96" priority="9632"/>
  </conditionalFormatting>
  <conditionalFormatting sqref="A545:A1048576">
    <cfRule type="duplicateValues" dxfId="95" priority="513"/>
  </conditionalFormatting>
  <conditionalFormatting sqref="A523:A524">
    <cfRule type="duplicateValues" dxfId="94" priority="445"/>
  </conditionalFormatting>
  <conditionalFormatting sqref="A523:A524">
    <cfRule type="duplicateValues" dxfId="93" priority="446"/>
  </conditionalFormatting>
  <conditionalFormatting sqref="A523:A524">
    <cfRule type="duplicateValues" dxfId="92" priority="447"/>
    <cfRule type="duplicateValues" dxfId="91" priority="448"/>
  </conditionalFormatting>
  <conditionalFormatting sqref="A523:A524">
    <cfRule type="duplicateValues" dxfId="90" priority="449"/>
  </conditionalFormatting>
  <conditionalFormatting sqref="A523:A524">
    <cfRule type="duplicateValues" dxfId="89" priority="450"/>
    <cfRule type="duplicateValues" dxfId="88" priority="451"/>
  </conditionalFormatting>
  <conditionalFormatting sqref="A523:A524">
    <cfRule type="duplicateValues" dxfId="87" priority="444"/>
  </conditionalFormatting>
  <conditionalFormatting sqref="A523:A524">
    <cfRule type="duplicateValues" dxfId="86" priority="452"/>
  </conditionalFormatting>
  <conditionalFormatting sqref="A525">
    <cfRule type="duplicateValues" dxfId="85" priority="357"/>
  </conditionalFormatting>
  <conditionalFormatting sqref="A525">
    <cfRule type="duplicateValues" dxfId="84" priority="356"/>
  </conditionalFormatting>
  <conditionalFormatting sqref="A525">
    <cfRule type="duplicateValues" dxfId="83" priority="358"/>
  </conditionalFormatting>
  <conditionalFormatting sqref="A525">
    <cfRule type="duplicateValues" dxfId="82" priority="359"/>
    <cfRule type="duplicateValues" dxfId="81" priority="360"/>
  </conditionalFormatting>
  <conditionalFormatting sqref="A525">
    <cfRule type="duplicateValues" dxfId="80" priority="361"/>
  </conditionalFormatting>
  <conditionalFormatting sqref="A525">
    <cfRule type="duplicateValues" dxfId="79" priority="362"/>
    <cfRule type="duplicateValues" dxfId="78" priority="363"/>
  </conditionalFormatting>
  <conditionalFormatting sqref="A525">
    <cfRule type="duplicateValues" dxfId="77" priority="364"/>
  </conditionalFormatting>
  <conditionalFormatting sqref="A526">
    <cfRule type="duplicateValues" dxfId="76" priority="339"/>
  </conditionalFormatting>
  <conditionalFormatting sqref="A526">
    <cfRule type="duplicateValues" dxfId="75" priority="338"/>
  </conditionalFormatting>
  <conditionalFormatting sqref="A526">
    <cfRule type="duplicateValues" dxfId="74" priority="340"/>
  </conditionalFormatting>
  <conditionalFormatting sqref="A526">
    <cfRule type="duplicateValues" dxfId="73" priority="341"/>
    <cfRule type="duplicateValues" dxfId="72" priority="342"/>
  </conditionalFormatting>
  <conditionalFormatting sqref="A526">
    <cfRule type="duplicateValues" dxfId="71" priority="343"/>
  </conditionalFormatting>
  <conditionalFormatting sqref="A526">
    <cfRule type="duplicateValues" dxfId="70" priority="344"/>
    <cfRule type="duplicateValues" dxfId="69" priority="345"/>
  </conditionalFormatting>
  <conditionalFormatting sqref="A526">
    <cfRule type="duplicateValues" dxfId="68" priority="346"/>
  </conditionalFormatting>
  <conditionalFormatting sqref="A527">
    <cfRule type="duplicateValues" dxfId="67" priority="321"/>
  </conditionalFormatting>
  <conditionalFormatting sqref="A527">
    <cfRule type="duplicateValues" dxfId="66" priority="320"/>
  </conditionalFormatting>
  <conditionalFormatting sqref="A527">
    <cfRule type="duplicateValues" dxfId="65" priority="322"/>
  </conditionalFormatting>
  <conditionalFormatting sqref="A527">
    <cfRule type="duplicateValues" dxfId="64" priority="323"/>
    <cfRule type="duplicateValues" dxfId="63" priority="324"/>
  </conditionalFormatting>
  <conditionalFormatting sqref="A527">
    <cfRule type="duplicateValues" dxfId="62" priority="325"/>
  </conditionalFormatting>
  <conditionalFormatting sqref="A527">
    <cfRule type="duplicateValues" dxfId="61" priority="326"/>
    <cfRule type="duplicateValues" dxfId="60" priority="327"/>
  </conditionalFormatting>
  <conditionalFormatting sqref="A527">
    <cfRule type="duplicateValues" dxfId="59" priority="328"/>
  </conditionalFormatting>
  <conditionalFormatting sqref="A528">
    <cfRule type="duplicateValues" dxfId="58" priority="312"/>
  </conditionalFormatting>
  <conditionalFormatting sqref="A528">
    <cfRule type="duplicateValues" dxfId="57" priority="311"/>
  </conditionalFormatting>
  <conditionalFormatting sqref="A528">
    <cfRule type="duplicateValues" dxfId="56" priority="313"/>
  </conditionalFormatting>
  <conditionalFormatting sqref="A528">
    <cfRule type="duplicateValues" dxfId="55" priority="314"/>
    <cfRule type="duplicateValues" dxfId="54" priority="315"/>
  </conditionalFormatting>
  <conditionalFormatting sqref="A528">
    <cfRule type="duplicateValues" dxfId="53" priority="316"/>
  </conditionalFormatting>
  <conditionalFormatting sqref="A528">
    <cfRule type="duplicateValues" dxfId="52" priority="317"/>
    <cfRule type="duplicateValues" dxfId="51" priority="318"/>
  </conditionalFormatting>
  <conditionalFormatting sqref="A528">
    <cfRule type="duplicateValues" dxfId="50" priority="319"/>
  </conditionalFormatting>
  <conditionalFormatting sqref="A545:A1048576 A45:A528 A1:A42">
    <cfRule type="duplicateValues" dxfId="49" priority="280"/>
  </conditionalFormatting>
  <conditionalFormatting sqref="A529">
    <cfRule type="duplicateValues" dxfId="48" priority="269"/>
  </conditionalFormatting>
  <conditionalFormatting sqref="A529">
    <cfRule type="duplicateValues" dxfId="47" priority="270"/>
  </conditionalFormatting>
  <conditionalFormatting sqref="A529">
    <cfRule type="duplicateValues" dxfId="46" priority="271"/>
    <cfRule type="duplicateValues" dxfId="45" priority="272"/>
  </conditionalFormatting>
  <conditionalFormatting sqref="A529">
    <cfRule type="duplicateValues" dxfId="44" priority="273"/>
    <cfRule type="duplicateValues" dxfId="43" priority="274"/>
  </conditionalFormatting>
  <conditionalFormatting sqref="A529">
    <cfRule type="duplicateValues" dxfId="42" priority="268"/>
  </conditionalFormatting>
  <conditionalFormatting sqref="A529">
    <cfRule type="duplicateValues" dxfId="41" priority="275"/>
  </conditionalFormatting>
  <conditionalFormatting sqref="A529">
    <cfRule type="duplicateValues" dxfId="40" priority="276"/>
    <cfRule type="duplicateValues" dxfId="39" priority="277"/>
  </conditionalFormatting>
  <conditionalFormatting sqref="A529">
    <cfRule type="duplicateValues" dxfId="38" priority="278"/>
  </conditionalFormatting>
  <conditionalFormatting sqref="A529">
    <cfRule type="duplicateValues" dxfId="37" priority="279"/>
  </conditionalFormatting>
  <conditionalFormatting sqref="A529">
    <cfRule type="duplicateValues" dxfId="36" priority="267"/>
  </conditionalFormatting>
  <conditionalFormatting sqref="A530">
    <cfRule type="duplicateValues" dxfId="35" priority="174"/>
  </conditionalFormatting>
  <conditionalFormatting sqref="A530">
    <cfRule type="duplicateValues" dxfId="34" priority="175"/>
    <cfRule type="duplicateValues" dxfId="33" priority="176"/>
  </conditionalFormatting>
  <conditionalFormatting sqref="A531">
    <cfRule type="duplicateValues" dxfId="32" priority="166"/>
  </conditionalFormatting>
  <conditionalFormatting sqref="A531">
    <cfRule type="duplicateValues" dxfId="31" priority="165"/>
  </conditionalFormatting>
  <conditionalFormatting sqref="A531">
    <cfRule type="duplicateValues" dxfId="30" priority="167"/>
  </conditionalFormatting>
  <conditionalFormatting sqref="A531">
    <cfRule type="duplicateValues" dxfId="29" priority="168"/>
    <cfRule type="duplicateValues" dxfId="28" priority="169"/>
  </conditionalFormatting>
  <conditionalFormatting sqref="A531">
    <cfRule type="duplicateValues" dxfId="27" priority="170"/>
  </conditionalFormatting>
  <conditionalFormatting sqref="A531">
    <cfRule type="duplicateValues" dxfId="26" priority="171"/>
    <cfRule type="duplicateValues" dxfId="25" priority="172"/>
  </conditionalFormatting>
  <conditionalFormatting sqref="A531">
    <cfRule type="duplicateValues" dxfId="24" priority="164"/>
  </conditionalFormatting>
  <conditionalFormatting sqref="A531">
    <cfRule type="duplicateValues" dxfId="23" priority="173"/>
  </conditionalFormatting>
  <conditionalFormatting sqref="A45:A1048576 A1:A42">
    <cfRule type="duplicateValues" dxfId="22" priority="97"/>
  </conditionalFormatting>
  <conditionalFormatting sqref="A248:A249">
    <cfRule type="duplicateValues" dxfId="21" priority="88"/>
  </conditionalFormatting>
  <conditionalFormatting sqref="A521:A522">
    <cfRule type="duplicateValues" dxfId="20" priority="68112"/>
  </conditionalFormatting>
  <conditionalFormatting sqref="A521:A522">
    <cfRule type="duplicateValues" dxfId="19" priority="68114"/>
    <cfRule type="duplicateValues" dxfId="18" priority="68115"/>
  </conditionalFormatting>
  <conditionalFormatting sqref="A248">
    <cfRule type="duplicateValues" dxfId="17" priority="69546"/>
  </conditionalFormatting>
  <conditionalFormatting sqref="A248:A249">
    <cfRule type="duplicateValues" dxfId="16" priority="69548"/>
    <cfRule type="duplicateValues" dxfId="15" priority="69549"/>
  </conditionalFormatting>
  <conditionalFormatting sqref="A43:A44">
    <cfRule type="duplicateValues" dxfId="14" priority="74960"/>
  </conditionalFormatting>
  <conditionalFormatting sqref="A43:A44">
    <cfRule type="duplicateValues" dxfId="13" priority="74962"/>
    <cfRule type="duplicateValues" dxfId="12" priority="74963"/>
  </conditionalFormatting>
  <conditionalFormatting sqref="A532:A544">
    <cfRule type="duplicateValues" dxfId="11" priority="75607"/>
  </conditionalFormatting>
  <conditionalFormatting sqref="A532:A544">
    <cfRule type="duplicateValues" dxfId="10" priority="75608"/>
    <cfRule type="duplicateValues" dxfId="9" priority="75609"/>
  </conditionalFormatting>
  <conditionalFormatting sqref="A518:A520 A45:A515 A5:A42">
    <cfRule type="duplicateValues" dxfId="8" priority="75750"/>
  </conditionalFormatting>
  <conditionalFormatting sqref="A518:A520 A45:A515 A5:A42">
    <cfRule type="duplicateValues" dxfId="7" priority="75758"/>
    <cfRule type="duplicateValues" dxfId="6" priority="75759"/>
  </conditionalFormatting>
  <conditionalFormatting sqref="A516:A517">
    <cfRule type="duplicateValues" dxfId="5" priority="75822"/>
  </conditionalFormatting>
  <conditionalFormatting sqref="A516:A517">
    <cfRule type="duplicateValues" dxfId="4" priority="75823"/>
    <cfRule type="duplicateValues" dxfId="3" priority="75824"/>
  </conditionalFormatting>
  <conditionalFormatting sqref="A45:A515 A5:A42">
    <cfRule type="duplicateValues" dxfId="2" priority="76454"/>
  </conditionalFormatting>
  <conditionalFormatting sqref="A45:A517 A5:A42">
    <cfRule type="duplicateValues" dxfId="1" priority="76461"/>
  </conditionalFormatting>
  <conditionalFormatting sqref="A45:A520 A5:A42">
    <cfRule type="duplicateValues" dxfId="0" priority="76469"/>
  </conditionalFormatting>
  <pageMargins left="0.26" right="0.18" top="0.4" bottom="0.4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S2661"/>
  <sheetViews>
    <sheetView topLeftCell="A4" zoomScale="70" zoomScaleNormal="70" workbookViewId="0">
      <selection activeCell="DA3288" sqref="DA3288:DA3311"/>
    </sheetView>
  </sheetViews>
  <sheetFormatPr defaultColWidth="32.140625" defaultRowHeight="12.75"/>
  <cols>
    <col min="1" max="25" width="27.85546875" customWidth="1"/>
    <col min="26" max="26" width="8.5703125" bestFit="1" customWidth="1"/>
  </cols>
  <sheetData>
    <row r="1" spans="1:34" ht="20.25">
      <c r="A1" s="2" t="s">
        <v>8</v>
      </c>
    </row>
    <row r="2" spans="1:34">
      <c r="A2" s="4"/>
    </row>
    <row r="4" spans="1:34" ht="15.75">
      <c r="A4" s="5"/>
      <c r="B4" s="6" t="s">
        <v>117</v>
      </c>
      <c r="C4" s="6" t="s">
        <v>121</v>
      </c>
      <c r="D4" s="6" t="s">
        <v>125</v>
      </c>
      <c r="E4" s="6" t="s">
        <v>129</v>
      </c>
      <c r="F4" s="6" t="s">
        <v>133</v>
      </c>
      <c r="G4" s="6" t="s">
        <v>139</v>
      </c>
      <c r="H4" s="6" t="s">
        <v>143</v>
      </c>
      <c r="I4" s="6" t="s">
        <v>657</v>
      </c>
      <c r="J4" s="6" t="s">
        <v>149</v>
      </c>
      <c r="K4" s="6" t="s">
        <v>151</v>
      </c>
      <c r="L4" s="6" t="s">
        <v>658</v>
      </c>
      <c r="M4" s="6" t="s">
        <v>153</v>
      </c>
      <c r="N4" s="6" t="s">
        <v>164</v>
      </c>
      <c r="O4" s="6" t="s">
        <v>165</v>
      </c>
      <c r="P4" s="6" t="s">
        <v>158</v>
      </c>
      <c r="Q4" s="6" t="s">
        <v>166</v>
      </c>
      <c r="R4" s="6" t="s">
        <v>167</v>
      </c>
      <c r="S4" s="6" t="s">
        <v>168</v>
      </c>
      <c r="T4" s="6" t="s">
        <v>169</v>
      </c>
      <c r="U4" s="6" t="s">
        <v>170</v>
      </c>
      <c r="V4" s="6" t="s">
        <v>172</v>
      </c>
      <c r="W4" s="6" t="s">
        <v>171</v>
      </c>
      <c r="X4" s="6" t="s">
        <v>173</v>
      </c>
      <c r="Y4" s="6" t="s">
        <v>174</v>
      </c>
    </row>
    <row r="5" spans="1:34" ht="15.75">
      <c r="A5" s="22" t="s">
        <v>86</v>
      </c>
      <c r="B5" s="21">
        <f>SUMIFS('Customer MIS '!E5:E499,'Customer MIS '!B5:B499,'Construction Update '!B4)</f>
        <v>23490</v>
      </c>
      <c r="C5" s="21">
        <f>SUMIFS('Customer MIS '!E5:E499,'Customer MIS '!B5:B499,'Construction Update '!C4)</f>
        <v>16815</v>
      </c>
      <c r="D5" s="21">
        <f>SUMIFS('Customer MIS '!E5:E499,'Customer MIS '!B5:B499,'Construction Update '!D4)</f>
        <v>7730</v>
      </c>
      <c r="E5" s="21">
        <f>SUMIFS('Customer MIS '!E5:E499,'Customer MIS '!B5:B499,'Construction Update '!E4)</f>
        <v>25040</v>
      </c>
      <c r="F5" s="21">
        <f>SUMIFS('Customer MIS '!E5:E499,'Customer MIS '!B5:B499,'Construction Update '!F4)</f>
        <v>31970</v>
      </c>
      <c r="G5" s="21">
        <f>SUMIFS('Customer MIS '!E5:E499,'Customer MIS '!B5:B499,'Construction Update '!G4)</f>
        <v>49880</v>
      </c>
      <c r="H5" s="21">
        <f>SUMIFS('Customer MIS '!E5:E499,'Customer MIS '!B5:B499,'Construction Update '!H4)</f>
        <v>52050</v>
      </c>
      <c r="I5" s="21">
        <f>SUMIFS('Customer MIS '!E5:E499,'Customer MIS '!B5:B499,'Construction Update '!I4)</f>
        <v>68870</v>
      </c>
      <c r="J5" s="21">
        <f>SUMIFS('Customer MIS '!E5:E499,'Customer MIS '!B5:B499,'Construction Update '!J4)</f>
        <v>26295</v>
      </c>
      <c r="K5" s="21">
        <f>SUMIFS('Customer MIS '!E5:E499,'Customer MIS '!B5:B499,'Construction Update '!K4)</f>
        <v>15525</v>
      </c>
      <c r="L5" s="21">
        <f>SUMIFS('Customer MIS '!E5:E499,'Customer MIS '!B5:B499,'Construction Update '!L4)</f>
        <v>20340</v>
      </c>
      <c r="M5" s="21">
        <f>SUMIFS('Customer MIS '!E5:E499,'Customer MIS '!B5:B499,'Construction Update '!M4)</f>
        <v>76330</v>
      </c>
      <c r="N5" s="21">
        <f>SUMIFS('Customer MIS '!E5:E499,'Customer MIS '!B5:B499,'Construction Update '!N4)</f>
        <v>34965</v>
      </c>
      <c r="O5" s="21">
        <f>SUMIFS('Customer MIS '!E5:E499,'Customer MIS '!B5:B499,'Construction Update '!O4)</f>
        <v>16480</v>
      </c>
      <c r="P5" s="21">
        <f>SUMIFS('Customer MIS '!E5:E499,'Customer MIS '!B5:B499,'Construction Update '!P4)</f>
        <v>19830</v>
      </c>
      <c r="Q5" s="21">
        <f>SUMIFS('Customer MIS '!E5:E499,'Customer MIS '!B5:B499,'Construction Update '!Q4)</f>
        <v>0</v>
      </c>
      <c r="R5" s="21">
        <f>SUMIFS('Customer MIS '!E5:E499,'Customer MIS '!B5:B499,'Construction Update '!R4)</f>
        <v>0</v>
      </c>
      <c r="S5" s="21">
        <f>SUMIFS('Customer MIS '!E5:E499,'Customer MIS '!B5:B499,'Construction Update '!S4)</f>
        <v>0</v>
      </c>
      <c r="T5" s="21">
        <f>SUMIFS('Customer MIS '!E5:E499,'Customer MIS '!B5:B499,'Construction Update '!T4)</f>
        <v>0</v>
      </c>
      <c r="U5" s="21">
        <f>SUMIFS('Customer MIS '!E5:E499,'Customer MIS '!B5:B499,'Construction Update '!U4)</f>
        <v>0</v>
      </c>
      <c r="V5" s="21">
        <f>SUMIFS('Customer MIS '!E5:E499,'Customer MIS '!B5:B499,'Construction Update '!V4)</f>
        <v>0</v>
      </c>
      <c r="W5" s="21">
        <f>SUMIFS('Customer MIS '!E5:E499,'Customer MIS '!B5:B499,'Construction Update '!W4)</f>
        <v>0</v>
      </c>
      <c r="X5" s="21">
        <f>SUMIFS('Customer MIS '!E5:E499,'Customer MIS '!B5:B499,'Construction Update '!X4)</f>
        <v>0</v>
      </c>
      <c r="Y5" s="21">
        <f>SUMIFS('Customer MIS '!E5:E499,'Customer MIS '!B5:B499,'Construction Update '!Y4)</f>
        <v>0</v>
      </c>
      <c r="Z5">
        <f>SUM(B5:Y5)</f>
        <v>485610</v>
      </c>
    </row>
    <row r="6" spans="1:34" ht="15.75">
      <c r="A6" s="22" t="s">
        <v>87</v>
      </c>
      <c r="B6" s="21" t="e">
        <f>SUMIFS('Customer MIS '!#REF!,'Customer MIS '!#REF!,'Construction Update '!B4)</f>
        <v>#REF!</v>
      </c>
      <c r="C6" s="21" t="e">
        <f>SUMIFS('Customer MIS '!#REF!,'Customer MIS '!#REF!,'Construction Update '!C4)</f>
        <v>#REF!</v>
      </c>
      <c r="D6" s="21" t="e">
        <f>SUMIFS('Customer MIS '!#REF!,'Customer MIS '!#REF!,'Construction Update '!D4)</f>
        <v>#REF!</v>
      </c>
      <c r="E6" s="21" t="e">
        <f>SUMIFS('Customer MIS '!#REF!,'Customer MIS '!#REF!,'Construction Update '!E4)</f>
        <v>#REF!</v>
      </c>
      <c r="F6" s="21" t="e">
        <f>SUMIFS('Customer MIS '!#REF!,'Customer MIS '!#REF!,'Construction Update '!F4)</f>
        <v>#REF!</v>
      </c>
      <c r="G6" s="21" t="e">
        <f>SUMIFS('Customer MIS '!#REF!,'Customer MIS '!#REF!,'Construction Update '!G4)</f>
        <v>#REF!</v>
      </c>
      <c r="H6" s="21" t="e">
        <f>SUMIFS('Customer MIS '!#REF!,'Customer MIS '!#REF!,'Construction Update '!H4)</f>
        <v>#REF!</v>
      </c>
      <c r="I6" s="21" t="e">
        <f>SUMIFS('Customer MIS '!#REF!,'Customer MIS '!#REF!,'Construction Update '!I4)</f>
        <v>#REF!</v>
      </c>
      <c r="J6" s="21" t="e">
        <f>SUMIFS('Customer MIS '!#REF!,'Customer MIS '!#REF!,'Construction Update '!J4)</f>
        <v>#REF!</v>
      </c>
      <c r="K6" s="21" t="e">
        <f>SUMIFS('Customer MIS '!#REF!,'Customer MIS '!#REF!,'Construction Update '!K4)</f>
        <v>#REF!</v>
      </c>
      <c r="L6" s="21" t="e">
        <f>SUMIFS('Customer MIS '!#REF!,'Customer MIS '!#REF!,'Construction Update '!L4)</f>
        <v>#REF!</v>
      </c>
      <c r="M6" s="21" t="e">
        <f>SUMIFS('Customer MIS '!#REF!,'Customer MIS '!#REF!,'Construction Update '!M4)</f>
        <v>#REF!</v>
      </c>
      <c r="N6" s="21" t="e">
        <f>SUMIFS('Customer MIS '!#REF!,'Customer MIS '!#REF!,'Construction Update '!N4)</f>
        <v>#REF!</v>
      </c>
      <c r="O6" s="21" t="e">
        <f>SUMIFS('Customer MIS '!#REF!,'Customer MIS '!#REF!,'Construction Update '!O4)</f>
        <v>#REF!</v>
      </c>
      <c r="P6" s="21" t="e">
        <f>SUMIFS('Customer MIS '!#REF!,'Customer MIS '!#REF!,'Construction Update '!P4)</f>
        <v>#REF!</v>
      </c>
      <c r="Q6" s="21" t="e">
        <f>SUMIFS('Customer MIS '!#REF!,'Customer MIS '!#REF!,'Construction Update '!Q4)</f>
        <v>#REF!</v>
      </c>
      <c r="R6" s="21" t="e">
        <f>SUMIFS('Customer MIS '!#REF!,'Customer MIS '!#REF!,'Construction Update '!R4)</f>
        <v>#REF!</v>
      </c>
      <c r="S6" s="21" t="e">
        <f>SUMIFS('Customer MIS '!#REF!,'Customer MIS '!#REF!,'Construction Update '!S4)</f>
        <v>#REF!</v>
      </c>
      <c r="T6" s="21" t="e">
        <f>SUMIFS('Customer MIS '!#REF!,'Customer MIS '!#REF!,'Construction Update '!T4)</f>
        <v>#REF!</v>
      </c>
      <c r="U6" s="21" t="e">
        <f>SUMIFS('Customer MIS '!#REF!,'Customer MIS '!#REF!,'Construction Update '!U4)</f>
        <v>#REF!</v>
      </c>
      <c r="V6" s="21" t="e">
        <f>SUMIFS('Customer MIS '!#REF!,'Customer MIS '!#REF!,'Construction Update '!V4)</f>
        <v>#REF!</v>
      </c>
      <c r="W6" s="21" t="e">
        <f>SUMIFS('Customer MIS '!#REF!,'Customer MIS '!#REF!,'Construction Update '!W4)</f>
        <v>#REF!</v>
      </c>
      <c r="X6" s="21" t="e">
        <f>SUMIFS('Customer MIS '!#REF!,'Customer MIS '!#REF!,'Construction Update '!X4)</f>
        <v>#REF!</v>
      </c>
      <c r="Y6" s="21" t="e">
        <f>SUMIFS('Customer MIS '!#REF!,'Customer MIS '!#REF!,'Construction Update '!Y4)</f>
        <v>#REF!</v>
      </c>
      <c r="Z6" t="e">
        <f>SUM(B6:Y6)</f>
        <v>#REF!</v>
      </c>
    </row>
    <row r="7" spans="1:34" ht="15.75">
      <c r="A7" s="22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5.75">
      <c r="A8" s="22" t="s">
        <v>39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34" ht="15.75">
      <c r="A9" s="23" t="s">
        <v>662</v>
      </c>
      <c r="B9" s="67" t="e">
        <f>B6</f>
        <v>#REF!</v>
      </c>
      <c r="C9" s="67" t="e">
        <f t="shared" ref="C9:Y9" si="0">C6</f>
        <v>#REF!</v>
      </c>
      <c r="D9" s="67" t="e">
        <f t="shared" si="0"/>
        <v>#REF!</v>
      </c>
      <c r="E9" s="67" t="e">
        <f t="shared" si="0"/>
        <v>#REF!</v>
      </c>
      <c r="F9" s="67" t="e">
        <f t="shared" si="0"/>
        <v>#REF!</v>
      </c>
      <c r="G9" s="67" t="e">
        <f t="shared" si="0"/>
        <v>#REF!</v>
      </c>
      <c r="H9" s="67" t="e">
        <f t="shared" si="0"/>
        <v>#REF!</v>
      </c>
      <c r="I9" s="67" t="e">
        <f t="shared" si="0"/>
        <v>#REF!</v>
      </c>
      <c r="J9" s="67" t="e">
        <f t="shared" si="0"/>
        <v>#REF!</v>
      </c>
      <c r="K9" s="67" t="e">
        <f t="shared" si="0"/>
        <v>#REF!</v>
      </c>
      <c r="L9" s="67" t="e">
        <f t="shared" si="0"/>
        <v>#REF!</v>
      </c>
      <c r="M9" s="67" t="e">
        <f t="shared" si="0"/>
        <v>#REF!</v>
      </c>
      <c r="N9" s="67" t="e">
        <f t="shared" si="0"/>
        <v>#REF!</v>
      </c>
      <c r="O9" s="67" t="e">
        <f t="shared" si="0"/>
        <v>#REF!</v>
      </c>
      <c r="P9" s="67" t="e">
        <f t="shared" si="0"/>
        <v>#REF!</v>
      </c>
      <c r="Q9" s="67" t="e">
        <f t="shared" si="0"/>
        <v>#REF!</v>
      </c>
      <c r="R9" s="67" t="e">
        <f t="shared" si="0"/>
        <v>#REF!</v>
      </c>
      <c r="S9" s="67" t="e">
        <f t="shared" si="0"/>
        <v>#REF!</v>
      </c>
      <c r="T9" s="67" t="e">
        <f t="shared" si="0"/>
        <v>#REF!</v>
      </c>
      <c r="U9" s="67" t="e">
        <f t="shared" si="0"/>
        <v>#REF!</v>
      </c>
      <c r="V9" s="67" t="e">
        <f t="shared" si="0"/>
        <v>#REF!</v>
      </c>
      <c r="W9" s="67" t="e">
        <f t="shared" si="0"/>
        <v>#REF!</v>
      </c>
      <c r="X9" s="67" t="e">
        <f t="shared" si="0"/>
        <v>#REF!</v>
      </c>
      <c r="Y9" s="67" t="e">
        <f t="shared" si="0"/>
        <v>#REF!</v>
      </c>
      <c r="Z9" t="e">
        <f>SUM(B9:Y9)</f>
        <v>#REF!</v>
      </c>
    </row>
    <row r="10" spans="1:34" ht="15.75">
      <c r="A10" s="23" t="s">
        <v>84</v>
      </c>
      <c r="B10" s="68">
        <f>SUMIFS('Customer MIS '!$FD:$FD,'Customer MIS '!$B:$B,'Construction Update '!B4)/10000000</f>
        <v>0</v>
      </c>
      <c r="C10" s="68">
        <f>SUMIFS('Customer MIS '!$FD:$FD,'Customer MIS '!$B:$B,'Construction Update '!C4)/10000000</f>
        <v>0</v>
      </c>
      <c r="D10" s="68">
        <f>SUMIFS('Customer MIS '!$FD:$FD,'Customer MIS '!$B:$B,'Construction Update '!D4)/10000000</f>
        <v>0</v>
      </c>
      <c r="E10" s="68">
        <f>SUMIFS('Customer MIS '!$FD:$FD,'Customer MIS '!$B:$B,'Construction Update '!E4)/10000000</f>
        <v>0</v>
      </c>
      <c r="F10" s="68">
        <f>SUMIFS('Customer MIS '!$FD:$FD,'Customer MIS '!$B:$B,'Construction Update '!F4)/10000000</f>
        <v>0</v>
      </c>
      <c r="G10" s="68">
        <f>SUMIFS('Customer MIS '!$FD:$FD,'Customer MIS '!$B:$B,'Construction Update '!G4)/10000000</f>
        <v>0</v>
      </c>
      <c r="H10" s="68">
        <f>SUMIFS('Customer MIS '!$FD:$FD,'Customer MIS '!$B:$B,'Construction Update '!H4)/10000000</f>
        <v>0</v>
      </c>
      <c r="I10" s="68">
        <f>SUMIFS('Customer MIS '!$FD:$FD,'Customer MIS '!$B:$B,'Construction Update '!I4)/10000000</f>
        <v>0</v>
      </c>
      <c r="J10" s="68">
        <f>SUMIFS('Customer MIS '!$FD:$FD,'Customer MIS '!$B:$B,'Construction Update '!J4)/10000000</f>
        <v>0</v>
      </c>
      <c r="K10" s="68">
        <f>SUMIFS('Customer MIS '!$FD:$FD,'Customer MIS '!$B:$B,'Construction Update '!K4)/10000000</f>
        <v>0</v>
      </c>
      <c r="L10" s="68">
        <f>SUMIFS('Customer MIS '!$FD:$FD,'Customer MIS '!$B:$B,'Construction Update '!L4)/10000000</f>
        <v>0</v>
      </c>
      <c r="M10" s="68">
        <f>SUMIFS('Customer MIS '!$FD:$FD,'Customer MIS '!$B:$B,'Construction Update '!M4)/10000000</f>
        <v>0</v>
      </c>
      <c r="N10" s="68">
        <f>SUMIFS('Customer MIS '!$FD:$FD,'Customer MIS '!$B:$B,'Construction Update '!N4)/10000000</f>
        <v>0</v>
      </c>
      <c r="O10" s="68">
        <f>SUMIFS('Customer MIS '!$FD:$FD,'Customer MIS '!$B:$B,'Construction Update '!O4)/10000000</f>
        <v>0</v>
      </c>
      <c r="P10" s="68">
        <f>SUMIFS('Customer MIS '!$FD:$FD,'Customer MIS '!$B:$B,'Construction Update '!P4)/10000000</f>
        <v>0</v>
      </c>
      <c r="Q10" s="68">
        <f>SUMIFS('Customer MIS '!$FD:$FD,'Customer MIS '!$B:$B,'Construction Update '!Q4)/10000000</f>
        <v>0</v>
      </c>
      <c r="R10" s="68">
        <f>SUMIFS('Customer MIS '!$FD:$FD,'Customer MIS '!$B:$B,'Construction Update '!R4)/10000000</f>
        <v>0</v>
      </c>
      <c r="S10" s="68">
        <f>SUMIFS('Customer MIS '!$FD:$FD,'Customer MIS '!$B:$B,'Construction Update '!S4)/10000000</f>
        <v>0</v>
      </c>
      <c r="T10" s="68">
        <f>SUMIFS('Customer MIS '!$FD:$FD,'Customer MIS '!$B:$B,'Construction Update '!T4)/10000000</f>
        <v>0</v>
      </c>
      <c r="U10" s="68">
        <f>SUMIFS('Customer MIS '!$FD:$FD,'Customer MIS '!$B:$B,'Construction Update '!U4)/10000000</f>
        <v>0</v>
      </c>
      <c r="V10" s="68">
        <f>SUMIFS('Customer MIS '!$FD:$FD,'Customer MIS '!$B:$B,'Construction Update '!V4)/10000000</f>
        <v>0</v>
      </c>
      <c r="W10" s="68">
        <f>SUMIFS('Customer MIS '!$FD:$FD,'Customer MIS '!$B:$B,'Construction Update '!W4)/10000000</f>
        <v>0</v>
      </c>
      <c r="X10" s="68">
        <f>SUMIFS('Customer MIS '!$FD:$FD,'Customer MIS '!$B:$B,'Construction Update '!X4)/10000000</f>
        <v>0</v>
      </c>
      <c r="Y10" s="68">
        <f>SUMIFS('Customer MIS '!$FD:$FD,'Customer MIS '!$B:$B,'Construction Update '!Y4)/10000000</f>
        <v>0</v>
      </c>
      <c r="Z10" s="70">
        <f>SUM(B10:Y10)</f>
        <v>0</v>
      </c>
    </row>
    <row r="11" spans="1:34" ht="15.75">
      <c r="A11" s="23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34" ht="96.75" customHeight="1">
      <c r="A12" s="7">
        <v>42675</v>
      </c>
      <c r="B12" s="20" t="s">
        <v>40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34" ht="75" customHeight="1">
      <c r="A13" s="7">
        <v>42705</v>
      </c>
      <c r="B13" s="63" t="s">
        <v>659</v>
      </c>
      <c r="C13" s="63" t="s">
        <v>659</v>
      </c>
      <c r="D13" s="63" t="s">
        <v>659</v>
      </c>
      <c r="E13" s="63" t="s">
        <v>659</v>
      </c>
      <c r="F13" s="63" t="s">
        <v>659</v>
      </c>
      <c r="G13" s="63" t="s">
        <v>659</v>
      </c>
      <c r="H13" s="63" t="s">
        <v>659</v>
      </c>
      <c r="I13" s="63" t="s">
        <v>659</v>
      </c>
      <c r="J13" s="63" t="s">
        <v>659</v>
      </c>
      <c r="K13" s="63" t="s">
        <v>659</v>
      </c>
      <c r="L13" s="63" t="s">
        <v>659</v>
      </c>
      <c r="M13" s="63" t="s">
        <v>659</v>
      </c>
      <c r="N13" s="63" t="s">
        <v>659</v>
      </c>
      <c r="O13" s="63" t="s">
        <v>659</v>
      </c>
      <c r="P13" s="63" t="s">
        <v>659</v>
      </c>
      <c r="Q13" s="63" t="s">
        <v>659</v>
      </c>
      <c r="R13" s="63" t="s">
        <v>659</v>
      </c>
      <c r="S13" s="63" t="s">
        <v>659</v>
      </c>
      <c r="T13" s="63" t="s">
        <v>659</v>
      </c>
      <c r="U13" s="63" t="s">
        <v>659</v>
      </c>
      <c r="V13" s="63" t="s">
        <v>659</v>
      </c>
      <c r="W13" s="63" t="s">
        <v>659</v>
      </c>
      <c r="X13" s="63" t="s">
        <v>659</v>
      </c>
      <c r="Y13" s="63" t="s">
        <v>659</v>
      </c>
    </row>
    <row r="14" spans="1:34" ht="75" customHeight="1">
      <c r="A14" s="7">
        <v>42736</v>
      </c>
      <c r="B14" s="63" t="s">
        <v>659</v>
      </c>
      <c r="C14" s="63" t="s">
        <v>659</v>
      </c>
      <c r="D14" s="63" t="s">
        <v>659</v>
      </c>
      <c r="E14" s="63" t="s">
        <v>659</v>
      </c>
      <c r="F14" s="63" t="s">
        <v>659</v>
      </c>
      <c r="G14" s="63" t="s">
        <v>659</v>
      </c>
      <c r="H14" s="63" t="s">
        <v>659</v>
      </c>
      <c r="I14" s="63" t="s">
        <v>659</v>
      </c>
      <c r="J14" s="63" t="s">
        <v>659</v>
      </c>
      <c r="K14" s="63" t="s">
        <v>659</v>
      </c>
      <c r="L14" s="63" t="s">
        <v>659</v>
      </c>
      <c r="M14" s="63" t="s">
        <v>659</v>
      </c>
      <c r="N14" s="63" t="s">
        <v>659</v>
      </c>
      <c r="O14" s="63" t="s">
        <v>659</v>
      </c>
      <c r="P14" s="63" t="s">
        <v>659</v>
      </c>
      <c r="Q14" s="63" t="s">
        <v>659</v>
      </c>
      <c r="R14" s="63" t="s">
        <v>659</v>
      </c>
      <c r="S14" s="63" t="s">
        <v>659</v>
      </c>
      <c r="T14" s="63" t="s">
        <v>659</v>
      </c>
      <c r="U14" s="63" t="s">
        <v>659</v>
      </c>
      <c r="V14" s="63" t="s">
        <v>659</v>
      </c>
      <c r="W14" s="63" t="s">
        <v>659</v>
      </c>
      <c r="X14" s="63" t="s">
        <v>659</v>
      </c>
      <c r="Y14" s="63" t="s">
        <v>659</v>
      </c>
    </row>
    <row r="15" spans="1:34" ht="75" customHeight="1">
      <c r="A15" s="7">
        <v>42767</v>
      </c>
      <c r="B15" s="63" t="s">
        <v>659</v>
      </c>
      <c r="C15" s="63" t="s">
        <v>659</v>
      </c>
      <c r="D15" s="63" t="s">
        <v>659</v>
      </c>
      <c r="E15" s="63" t="s">
        <v>659</v>
      </c>
      <c r="F15" s="63" t="s">
        <v>659</v>
      </c>
      <c r="G15" s="63" t="s">
        <v>659</v>
      </c>
      <c r="H15" s="63" t="s">
        <v>659</v>
      </c>
      <c r="I15" s="63" t="s">
        <v>659</v>
      </c>
      <c r="J15" s="63" t="s">
        <v>659</v>
      </c>
      <c r="K15" s="63" t="s">
        <v>659</v>
      </c>
      <c r="L15" s="63" t="s">
        <v>659</v>
      </c>
      <c r="M15" s="63" t="s">
        <v>659</v>
      </c>
      <c r="N15" s="63" t="s">
        <v>659</v>
      </c>
      <c r="O15" s="63" t="s">
        <v>659</v>
      </c>
      <c r="P15" s="63" t="s">
        <v>659</v>
      </c>
      <c r="Q15" s="63" t="s">
        <v>659</v>
      </c>
      <c r="R15" s="63" t="s">
        <v>659</v>
      </c>
      <c r="S15" s="63" t="s">
        <v>659</v>
      </c>
      <c r="T15" s="63" t="s">
        <v>659</v>
      </c>
      <c r="U15" s="63" t="s">
        <v>659</v>
      </c>
      <c r="V15" s="63" t="s">
        <v>659</v>
      </c>
      <c r="W15" s="63" t="s">
        <v>659</v>
      </c>
      <c r="X15" s="63" t="s">
        <v>659</v>
      </c>
      <c r="Y15" s="63" t="s">
        <v>659</v>
      </c>
    </row>
    <row r="16" spans="1:34" ht="75" customHeight="1">
      <c r="A16" s="7">
        <v>42795</v>
      </c>
      <c r="B16" s="63" t="s">
        <v>659</v>
      </c>
      <c r="C16" s="63" t="s">
        <v>659</v>
      </c>
      <c r="D16" s="63" t="s">
        <v>659</v>
      </c>
      <c r="E16" s="63" t="s">
        <v>659</v>
      </c>
      <c r="F16" s="63" t="s">
        <v>659</v>
      </c>
      <c r="G16" s="63" t="s">
        <v>659</v>
      </c>
      <c r="H16" s="63" t="s">
        <v>659</v>
      </c>
      <c r="I16" s="63" t="s">
        <v>659</v>
      </c>
      <c r="J16" s="63" t="s">
        <v>659</v>
      </c>
      <c r="K16" s="63" t="s">
        <v>659</v>
      </c>
      <c r="L16" s="63" t="s">
        <v>659</v>
      </c>
      <c r="M16" s="63" t="s">
        <v>659</v>
      </c>
      <c r="N16" s="63" t="s">
        <v>659</v>
      </c>
      <c r="O16" s="63" t="s">
        <v>659</v>
      </c>
      <c r="P16" s="63" t="s">
        <v>659</v>
      </c>
      <c r="Q16" s="63" t="s">
        <v>659</v>
      </c>
      <c r="R16" s="63" t="s">
        <v>659</v>
      </c>
      <c r="S16" s="63" t="s">
        <v>659</v>
      </c>
      <c r="T16" s="63" t="s">
        <v>659</v>
      </c>
      <c r="U16" s="63" t="s">
        <v>659</v>
      </c>
      <c r="V16" s="63" t="s">
        <v>659</v>
      </c>
      <c r="W16" s="63" t="s">
        <v>659</v>
      </c>
      <c r="X16" s="63" t="s">
        <v>659</v>
      </c>
      <c r="Y16" s="63" t="s">
        <v>659</v>
      </c>
    </row>
    <row r="17" spans="1:25" ht="75" customHeight="1">
      <c r="A17" s="7">
        <v>42826</v>
      </c>
      <c r="B17" s="63" t="s">
        <v>659</v>
      </c>
      <c r="C17" s="63" t="s">
        <v>659</v>
      </c>
      <c r="D17" s="63" t="s">
        <v>659</v>
      </c>
      <c r="E17" s="63" t="s">
        <v>659</v>
      </c>
      <c r="F17" s="63" t="s">
        <v>659</v>
      </c>
      <c r="G17" s="63" t="s">
        <v>659</v>
      </c>
      <c r="H17" s="63" t="s">
        <v>659</v>
      </c>
      <c r="I17" s="63" t="s">
        <v>659</v>
      </c>
      <c r="J17" s="63" t="s">
        <v>659</v>
      </c>
      <c r="K17" s="63" t="s">
        <v>659</v>
      </c>
      <c r="L17" s="63" t="s">
        <v>659</v>
      </c>
      <c r="M17" s="63" t="s">
        <v>659</v>
      </c>
      <c r="N17" s="63" t="s">
        <v>659</v>
      </c>
      <c r="O17" s="63" t="s">
        <v>659</v>
      </c>
      <c r="P17" s="63" t="s">
        <v>659</v>
      </c>
      <c r="Q17" s="63" t="s">
        <v>659</v>
      </c>
      <c r="R17" s="63" t="s">
        <v>659</v>
      </c>
      <c r="S17" s="63" t="s">
        <v>659</v>
      </c>
      <c r="T17" s="63" t="s">
        <v>659</v>
      </c>
      <c r="U17" s="63" t="s">
        <v>659</v>
      </c>
      <c r="V17" s="63" t="s">
        <v>659</v>
      </c>
      <c r="W17" s="63" t="s">
        <v>659</v>
      </c>
      <c r="X17" s="63" t="s">
        <v>659</v>
      </c>
      <c r="Y17" s="63" t="s">
        <v>659</v>
      </c>
    </row>
    <row r="18" spans="1:25" ht="75" customHeight="1">
      <c r="A18" s="7">
        <v>42856</v>
      </c>
      <c r="B18" s="63" t="s">
        <v>659</v>
      </c>
      <c r="C18" s="63" t="s">
        <v>659</v>
      </c>
      <c r="D18" s="63" t="s">
        <v>659</v>
      </c>
      <c r="E18" s="63" t="s">
        <v>659</v>
      </c>
      <c r="F18" s="63" t="s">
        <v>659</v>
      </c>
      <c r="G18" s="63" t="s">
        <v>659</v>
      </c>
      <c r="H18" s="63" t="s">
        <v>659</v>
      </c>
      <c r="I18" s="63" t="s">
        <v>659</v>
      </c>
      <c r="J18" s="63" t="s">
        <v>659</v>
      </c>
      <c r="K18" s="63" t="s">
        <v>659</v>
      </c>
      <c r="L18" s="63" t="s">
        <v>659</v>
      </c>
      <c r="M18" s="63" t="s">
        <v>659</v>
      </c>
      <c r="N18" s="63" t="s">
        <v>659</v>
      </c>
      <c r="O18" s="63" t="s">
        <v>659</v>
      </c>
      <c r="P18" s="63" t="s">
        <v>659</v>
      </c>
      <c r="Q18" s="63" t="s">
        <v>659</v>
      </c>
      <c r="R18" s="63" t="s">
        <v>659</v>
      </c>
      <c r="S18" s="63" t="s">
        <v>659</v>
      </c>
      <c r="T18" s="63" t="s">
        <v>659</v>
      </c>
      <c r="U18" s="63" t="s">
        <v>659</v>
      </c>
      <c r="V18" s="63" t="s">
        <v>659</v>
      </c>
      <c r="W18" s="63" t="s">
        <v>659</v>
      </c>
      <c r="X18" s="63" t="s">
        <v>659</v>
      </c>
      <c r="Y18" s="63" t="s">
        <v>659</v>
      </c>
    </row>
    <row r="19" spans="1:25" ht="75" customHeight="1">
      <c r="A19" s="7">
        <v>42887</v>
      </c>
      <c r="B19" s="63" t="s">
        <v>659</v>
      </c>
      <c r="C19" s="63" t="s">
        <v>659</v>
      </c>
      <c r="D19" s="63" t="s">
        <v>659</v>
      </c>
      <c r="E19" s="63" t="s">
        <v>659</v>
      </c>
      <c r="F19" s="63" t="s">
        <v>659</v>
      </c>
      <c r="G19" s="63" t="s">
        <v>659</v>
      </c>
      <c r="H19" s="63" t="s">
        <v>659</v>
      </c>
      <c r="I19" s="63" t="s">
        <v>659</v>
      </c>
      <c r="J19" s="63" t="s">
        <v>659</v>
      </c>
      <c r="K19" s="63" t="s">
        <v>659</v>
      </c>
      <c r="L19" s="63" t="s">
        <v>659</v>
      </c>
      <c r="M19" s="63" t="s">
        <v>659</v>
      </c>
      <c r="N19" s="63" t="s">
        <v>659</v>
      </c>
      <c r="O19" s="63" t="s">
        <v>659</v>
      </c>
      <c r="P19" s="63" t="s">
        <v>659</v>
      </c>
      <c r="Q19" s="63" t="s">
        <v>659</v>
      </c>
      <c r="R19" s="63" t="s">
        <v>659</v>
      </c>
      <c r="S19" s="63" t="s">
        <v>659</v>
      </c>
      <c r="T19" s="63" t="s">
        <v>659</v>
      </c>
      <c r="U19" s="63" t="s">
        <v>659</v>
      </c>
      <c r="V19" s="63" t="s">
        <v>659</v>
      </c>
      <c r="W19" s="63" t="s">
        <v>659</v>
      </c>
      <c r="X19" s="63" t="s">
        <v>659</v>
      </c>
      <c r="Y19" s="63" t="s">
        <v>659</v>
      </c>
    </row>
    <row r="20" spans="1:25" ht="75" customHeight="1">
      <c r="A20" s="7">
        <v>42917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63" t="s">
        <v>659</v>
      </c>
      <c r="R20" s="63" t="s">
        <v>659</v>
      </c>
      <c r="S20" s="63" t="s">
        <v>659</v>
      </c>
      <c r="T20" s="63" t="s">
        <v>659</v>
      </c>
      <c r="U20" s="63" t="s">
        <v>659</v>
      </c>
      <c r="V20" s="63" t="s">
        <v>659</v>
      </c>
      <c r="W20" s="63" t="s">
        <v>659</v>
      </c>
      <c r="X20" s="63" t="s">
        <v>659</v>
      </c>
      <c r="Y20" s="63" t="s">
        <v>659</v>
      </c>
    </row>
    <row r="21" spans="1:25" ht="75" customHeight="1">
      <c r="A21" s="7">
        <v>42948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63" t="s">
        <v>659</v>
      </c>
      <c r="R21" s="63" t="s">
        <v>659</v>
      </c>
      <c r="S21" s="63" t="s">
        <v>659</v>
      </c>
      <c r="T21" s="63" t="s">
        <v>659</v>
      </c>
      <c r="U21" s="63" t="s">
        <v>659</v>
      </c>
      <c r="V21" s="63" t="s">
        <v>659</v>
      </c>
      <c r="W21" s="63" t="s">
        <v>659</v>
      </c>
      <c r="X21" s="63" t="s">
        <v>659</v>
      </c>
      <c r="Y21" s="63" t="s">
        <v>659</v>
      </c>
    </row>
    <row r="22" spans="1:25" ht="75" customHeight="1">
      <c r="A22" s="7">
        <v>42979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63" t="s">
        <v>659</v>
      </c>
      <c r="R22" s="63" t="s">
        <v>659</v>
      </c>
      <c r="S22" s="63" t="s">
        <v>659</v>
      </c>
      <c r="T22" s="63" t="s">
        <v>659</v>
      </c>
      <c r="U22" s="63" t="s">
        <v>659</v>
      </c>
      <c r="V22" s="63" t="s">
        <v>659</v>
      </c>
      <c r="W22" s="63" t="s">
        <v>659</v>
      </c>
      <c r="X22" s="63" t="s">
        <v>659</v>
      </c>
      <c r="Y22" s="63" t="s">
        <v>659</v>
      </c>
    </row>
    <row r="23" spans="1:25" ht="15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804" spans="45:45">
      <c r="AS804">
        <v>22400</v>
      </c>
    </row>
    <row r="1086" spans="45:45">
      <c r="AS1086">
        <v>831600</v>
      </c>
    </row>
    <row r="1149" spans="45:45">
      <c r="AS1149">
        <v>268423</v>
      </c>
    </row>
    <row r="1153" spans="45:45">
      <c r="AS1153">
        <v>831138</v>
      </c>
    </row>
    <row r="1391" spans="45:45">
      <c r="AS1391">
        <v>889547</v>
      </c>
    </row>
    <row r="1456" spans="45:45">
      <c r="AS1456">
        <v>1067053</v>
      </c>
    </row>
    <row r="1458" spans="45:45">
      <c r="AS1458">
        <v>917952</v>
      </c>
    </row>
    <row r="1463" spans="45:45">
      <c r="AS1463">
        <v>826166</v>
      </c>
    </row>
    <row r="1464" spans="45:45">
      <c r="AS1464">
        <v>89094</v>
      </c>
    </row>
    <row r="1465" spans="45:45">
      <c r="AS1465">
        <v>602089</v>
      </c>
    </row>
    <row r="1466" spans="45:45">
      <c r="AS1466">
        <v>1050089</v>
      </c>
    </row>
    <row r="1467" spans="45:45">
      <c r="AS1467">
        <v>437984</v>
      </c>
    </row>
    <row r="1470" spans="45:45">
      <c r="AS1470">
        <v>520674</v>
      </c>
    </row>
    <row r="1473" spans="45:45">
      <c r="AS1473">
        <v>772871</v>
      </c>
    </row>
    <row r="1474" spans="45:45">
      <c r="AS1474">
        <v>536198</v>
      </c>
    </row>
    <row r="1477" spans="45:45">
      <c r="AS1477">
        <v>844635</v>
      </c>
    </row>
    <row r="1479" spans="45:45">
      <c r="AS1479">
        <v>776231</v>
      </c>
    </row>
    <row r="1481" spans="45:45">
      <c r="AS1481">
        <v>833276</v>
      </c>
    </row>
    <row r="1482" spans="45:45">
      <c r="AS1482">
        <v>814728</v>
      </c>
    </row>
    <row r="1484" spans="45:45">
      <c r="AS1484">
        <v>510973</v>
      </c>
    </row>
    <row r="1486" spans="45:45">
      <c r="AS1486">
        <v>728504</v>
      </c>
    </row>
    <row r="1487" spans="45:45">
      <c r="AS1487">
        <v>501271</v>
      </c>
    </row>
    <row r="1490" spans="45:45">
      <c r="AS1490">
        <v>825216</v>
      </c>
    </row>
    <row r="1569" spans="45:45">
      <c r="AS1569">
        <v>693840</v>
      </c>
    </row>
    <row r="1573" spans="45:45">
      <c r="AS1573">
        <v>529200</v>
      </c>
    </row>
    <row r="1580" spans="45:45">
      <c r="AS1580">
        <v>690371</v>
      </c>
    </row>
    <row r="1588" spans="45:45">
      <c r="AS1588">
        <v>529200</v>
      </c>
    </row>
    <row r="1589" spans="45:45">
      <c r="AS1589">
        <v>693840</v>
      </c>
    </row>
    <row r="1593" spans="45:45">
      <c r="AS1593">
        <v>529200</v>
      </c>
    </row>
    <row r="1623" spans="45:45">
      <c r="AS1623">
        <v>607936</v>
      </c>
    </row>
    <row r="1655" spans="45:45">
      <c r="AS1655">
        <v>498120</v>
      </c>
    </row>
    <row r="1656" spans="45:45">
      <c r="AS1656">
        <v>652680</v>
      </c>
    </row>
    <row r="1667" spans="45:45">
      <c r="AS1667">
        <v>498120</v>
      </c>
    </row>
    <row r="1680" spans="45:45">
      <c r="AS1680">
        <v>630000</v>
      </c>
    </row>
    <row r="1685" spans="45:45">
      <c r="AS1685">
        <v>490560</v>
      </c>
    </row>
    <row r="1835" spans="45:45">
      <c r="AS1835">
        <v>493024</v>
      </c>
    </row>
    <row r="1837" spans="45:45">
      <c r="AS1837">
        <v>491646</v>
      </c>
    </row>
    <row r="1838" spans="45:45">
      <c r="AS1838">
        <v>689696</v>
      </c>
    </row>
    <row r="1840" spans="45:45">
      <c r="AS1840">
        <v>678497</v>
      </c>
    </row>
    <row r="1841" spans="45:45">
      <c r="AS1841">
        <v>501424</v>
      </c>
    </row>
    <row r="1843" spans="45:45">
      <c r="AS1843">
        <v>487193</v>
      </c>
    </row>
    <row r="1844" spans="45:45">
      <c r="AS1844">
        <v>675428</v>
      </c>
    </row>
    <row r="1846" spans="45:45">
      <c r="AS1846">
        <v>501424</v>
      </c>
    </row>
    <row r="1847" spans="45:45">
      <c r="AS1847">
        <v>493024</v>
      </c>
    </row>
    <row r="1848" spans="45:45">
      <c r="AS1848">
        <v>487193</v>
      </c>
    </row>
    <row r="1849" spans="45:45">
      <c r="AS1849">
        <v>725536</v>
      </c>
    </row>
    <row r="1852" spans="45:45">
      <c r="AS1852">
        <v>501424</v>
      </c>
    </row>
    <row r="1854" spans="45:45">
      <c r="AS1854">
        <v>487193</v>
      </c>
    </row>
    <row r="1856" spans="45:45">
      <c r="AS1856">
        <v>501424</v>
      </c>
    </row>
    <row r="1857" spans="45:45">
      <c r="AS1857">
        <v>501816</v>
      </c>
    </row>
    <row r="1858" spans="45:45">
      <c r="AS1858">
        <v>487193</v>
      </c>
    </row>
    <row r="1860" spans="45:45">
      <c r="AS1860">
        <v>372862</v>
      </c>
    </row>
    <row r="1861" spans="45:45">
      <c r="AS1861">
        <v>494789</v>
      </c>
    </row>
    <row r="1862" spans="45:45">
      <c r="AS1862">
        <v>487845</v>
      </c>
    </row>
    <row r="1863" spans="45:45">
      <c r="AS1863">
        <v>541932</v>
      </c>
    </row>
    <row r="1864" spans="45:45">
      <c r="AS1864">
        <v>666904</v>
      </c>
    </row>
    <row r="1865" spans="45:45">
      <c r="AS1865">
        <v>679112</v>
      </c>
    </row>
    <row r="1866" spans="45:45">
      <c r="AS1866">
        <v>493277</v>
      </c>
    </row>
    <row r="1867" spans="45:45">
      <c r="AS1867">
        <v>493669</v>
      </c>
    </row>
    <row r="1868" spans="45:45">
      <c r="AS1868">
        <v>487845</v>
      </c>
    </row>
    <row r="1871" spans="45:45">
      <c r="AS1871">
        <v>493277</v>
      </c>
    </row>
    <row r="1873" spans="45:45">
      <c r="AS1873">
        <v>487845</v>
      </c>
    </row>
    <row r="1875" spans="45:45">
      <c r="AS1875">
        <v>653016</v>
      </c>
    </row>
    <row r="1876" spans="45:45">
      <c r="AS1876">
        <v>690088</v>
      </c>
    </row>
    <row r="1877" spans="45:45">
      <c r="AS1877">
        <v>493277</v>
      </c>
    </row>
    <row r="1880" spans="45:45">
      <c r="AS1880">
        <v>705544</v>
      </c>
    </row>
    <row r="1882" spans="45:45">
      <c r="AS1882">
        <v>493277</v>
      </c>
    </row>
    <row r="1885" spans="45:45">
      <c r="AS1885">
        <v>702296</v>
      </c>
    </row>
    <row r="1886" spans="45:45">
      <c r="AS1886">
        <v>471222</v>
      </c>
    </row>
    <row r="1887" spans="45:45">
      <c r="AS1887">
        <v>471222</v>
      </c>
    </row>
    <row r="1888" spans="45:45">
      <c r="AS1888">
        <v>479696</v>
      </c>
    </row>
    <row r="1889" spans="45:45">
      <c r="AS1889">
        <v>590728</v>
      </c>
    </row>
    <row r="1890" spans="45:45">
      <c r="AS1890">
        <v>685060</v>
      </c>
    </row>
    <row r="1891" spans="45:45">
      <c r="AS1891">
        <v>485128</v>
      </c>
    </row>
    <row r="1892" spans="45:45">
      <c r="AS1892">
        <v>485128</v>
      </c>
    </row>
    <row r="1893" spans="45:45">
      <c r="AS1893">
        <v>479696</v>
      </c>
    </row>
    <row r="1894" spans="45:45">
      <c r="AS1894">
        <v>655312</v>
      </c>
    </row>
    <row r="1895" spans="45:45">
      <c r="AS1895">
        <v>485128</v>
      </c>
    </row>
    <row r="1896" spans="45:45">
      <c r="AS1896">
        <v>423914</v>
      </c>
    </row>
    <row r="1897" spans="45:45">
      <c r="AS1897">
        <v>479696</v>
      </c>
    </row>
    <row r="1899" spans="45:45">
      <c r="AS1899">
        <v>636560</v>
      </c>
    </row>
    <row r="1900" spans="45:45">
      <c r="AS1900">
        <v>694624</v>
      </c>
    </row>
    <row r="1902" spans="45:45">
      <c r="AS1902">
        <v>476981</v>
      </c>
    </row>
    <row r="1903" spans="45:45">
      <c r="AS1903">
        <v>467419</v>
      </c>
    </row>
    <row r="1904" spans="45:45">
      <c r="AS1904">
        <v>654920</v>
      </c>
    </row>
    <row r="1905" spans="45:45">
      <c r="AS1905">
        <v>463237</v>
      </c>
    </row>
    <row r="1906" spans="45:45">
      <c r="AS1906">
        <v>463237</v>
      </c>
    </row>
    <row r="1907" spans="45:45">
      <c r="AS1907">
        <v>471549</v>
      </c>
    </row>
    <row r="1908" spans="45:45">
      <c r="AS1908">
        <v>591192</v>
      </c>
    </row>
    <row r="1911" spans="45:45">
      <c r="AS1911">
        <v>468581</v>
      </c>
    </row>
    <row r="1912" spans="45:45">
      <c r="AS1912">
        <v>471549</v>
      </c>
    </row>
    <row r="1913" spans="45:45">
      <c r="AS1913">
        <v>654920</v>
      </c>
    </row>
    <row r="1914" spans="45:45">
      <c r="AS1914">
        <v>463400</v>
      </c>
    </row>
    <row r="1915" spans="45:45">
      <c r="AS1915">
        <v>469224</v>
      </c>
    </row>
    <row r="1916" spans="45:45">
      <c r="AS1916">
        <v>463400</v>
      </c>
    </row>
    <row r="1917" spans="45:45">
      <c r="AS1917">
        <v>579600</v>
      </c>
    </row>
    <row r="1918" spans="45:45">
      <c r="AS1918">
        <v>468832</v>
      </c>
    </row>
    <row r="1920" spans="45:45">
      <c r="AS1920">
        <v>463400</v>
      </c>
    </row>
    <row r="1921" spans="45:45">
      <c r="AS1921">
        <v>479976</v>
      </c>
    </row>
    <row r="1923" spans="45:45">
      <c r="AS1923">
        <v>470344</v>
      </c>
    </row>
    <row r="1924" spans="45:45">
      <c r="AS1924">
        <v>455253</v>
      </c>
    </row>
    <row r="1925" spans="45:45">
      <c r="AS1925">
        <v>614376</v>
      </c>
    </row>
    <row r="1926" spans="45:45">
      <c r="AS1926">
        <v>463400</v>
      </c>
    </row>
    <row r="1927" spans="45:45">
      <c r="AS1927">
        <v>463400</v>
      </c>
    </row>
    <row r="1928" spans="45:45">
      <c r="AS1928">
        <v>463400</v>
      </c>
    </row>
    <row r="1929" spans="45:45">
      <c r="AS1929">
        <v>624400</v>
      </c>
    </row>
    <row r="1931" spans="45:45">
      <c r="AS1931">
        <v>463400</v>
      </c>
    </row>
    <row r="1932" spans="45:45">
      <c r="AS1932">
        <v>463400</v>
      </c>
    </row>
    <row r="1933" spans="45:45">
      <c r="AS1933">
        <v>463400</v>
      </c>
    </row>
    <row r="1934" spans="45:45">
      <c r="AS1934">
        <v>636608</v>
      </c>
    </row>
    <row r="1935" spans="45:45">
      <c r="AS1935">
        <v>468832</v>
      </c>
    </row>
    <row r="1936" spans="45:45">
      <c r="AS1936">
        <v>463400</v>
      </c>
    </row>
    <row r="1937" spans="45:45">
      <c r="AS1937">
        <v>457968</v>
      </c>
    </row>
    <row r="1938" spans="45:45">
      <c r="AS1938">
        <v>457968</v>
      </c>
    </row>
    <row r="1939" spans="45:45">
      <c r="AS1939">
        <v>452536</v>
      </c>
    </row>
    <row r="1943" spans="45:45">
      <c r="AS1943">
        <v>457968</v>
      </c>
    </row>
    <row r="1944" spans="45:45">
      <c r="AS1944">
        <v>464704</v>
      </c>
    </row>
    <row r="1945" spans="45:45">
      <c r="AS1945">
        <v>457968</v>
      </c>
    </row>
    <row r="1947" spans="45:45">
      <c r="AS1947">
        <v>407568</v>
      </c>
    </row>
    <row r="1971" spans="45:45">
      <c r="AS1971">
        <v>732018</v>
      </c>
    </row>
    <row r="1977" spans="45:45">
      <c r="AS1977">
        <v>82823</v>
      </c>
    </row>
    <row r="1979" spans="45:45">
      <c r="AS1979">
        <v>824040</v>
      </c>
    </row>
    <row r="1990" spans="45:45">
      <c r="AS1990">
        <v>521640</v>
      </c>
    </row>
    <row r="1991" spans="45:45">
      <c r="AS1991">
        <v>626640</v>
      </c>
    </row>
    <row r="2016" spans="45:45">
      <c r="AS2016">
        <v>401464</v>
      </c>
    </row>
    <row r="2020" spans="45:45">
      <c r="AS2020">
        <v>718200</v>
      </c>
    </row>
    <row r="2030" spans="45:45">
      <c r="AS2030">
        <v>848904</v>
      </c>
    </row>
    <row r="2051" spans="45:45">
      <c r="AS2051">
        <v>700224</v>
      </c>
    </row>
    <row r="2053" spans="45:45">
      <c r="AS2053">
        <v>968856</v>
      </c>
    </row>
    <row r="2056" spans="45:45">
      <c r="AS2056">
        <v>776538</v>
      </c>
    </row>
    <row r="2099" spans="45:45">
      <c r="AS2099">
        <v>622104</v>
      </c>
    </row>
    <row r="2129" spans="45:45">
      <c r="AS2129">
        <v>790720</v>
      </c>
    </row>
    <row r="2130" spans="45:45">
      <c r="AS2130">
        <v>613200</v>
      </c>
    </row>
    <row r="2131" spans="45:45">
      <c r="AS2131">
        <v>613200</v>
      </c>
    </row>
    <row r="2138" spans="45:45">
      <c r="AS2138">
        <v>840757</v>
      </c>
    </row>
    <row r="2139" spans="45:45">
      <c r="AS2139">
        <v>906696</v>
      </c>
    </row>
    <row r="2189" spans="45:45">
      <c r="AS2189">
        <v>472584</v>
      </c>
    </row>
    <row r="2190" spans="45:45">
      <c r="AS2190">
        <v>450240</v>
      </c>
    </row>
    <row r="2191" spans="45:45">
      <c r="AS2191">
        <v>626640</v>
      </c>
    </row>
    <row r="2208" spans="45:45">
      <c r="AS2208">
        <v>622104</v>
      </c>
    </row>
    <row r="2210" spans="45:45">
      <c r="AS2210">
        <v>688800</v>
      </c>
    </row>
    <row r="2249" spans="45:45">
      <c r="AS2249">
        <v>968856</v>
      </c>
    </row>
    <row r="2250" spans="45:45">
      <c r="AS2250">
        <v>968856</v>
      </c>
    </row>
    <row r="2251" spans="45:45">
      <c r="AS2251">
        <v>611561</v>
      </c>
    </row>
    <row r="2252" spans="45:45">
      <c r="AS2252">
        <v>611561</v>
      </c>
    </row>
    <row r="2254" spans="45:45">
      <c r="AS2254">
        <v>980448</v>
      </c>
    </row>
    <row r="2268" spans="45:45">
      <c r="AS2268">
        <v>656544</v>
      </c>
    </row>
    <row r="2269" spans="45:45">
      <c r="AS2269">
        <v>621600</v>
      </c>
    </row>
    <row r="2271" spans="45:45">
      <c r="AS2271">
        <v>699720</v>
      </c>
    </row>
    <row r="2272" spans="45:45">
      <c r="AS2272">
        <v>700224</v>
      </c>
    </row>
    <row r="2314" spans="45:45">
      <c r="AS2314">
        <v>506101</v>
      </c>
    </row>
    <row r="2315" spans="45:45">
      <c r="AS2315">
        <v>462000</v>
      </c>
    </row>
    <row r="2349" spans="45:45">
      <c r="AS2349">
        <v>707784</v>
      </c>
    </row>
    <row r="2378" spans="45:45">
      <c r="AS2378">
        <v>1139125</v>
      </c>
    </row>
    <row r="2379" spans="45:45">
      <c r="AS2379">
        <v>462000</v>
      </c>
    </row>
    <row r="2401" spans="45:45">
      <c r="AS2401">
        <v>672000</v>
      </c>
    </row>
    <row r="2402" spans="45:45">
      <c r="AS2402">
        <v>632311</v>
      </c>
    </row>
    <row r="2403" spans="45:45">
      <c r="AS2403">
        <v>632311</v>
      </c>
    </row>
    <row r="2429" spans="45:45">
      <c r="AS2429">
        <v>158491</v>
      </c>
    </row>
    <row r="2432" spans="45:45">
      <c r="AS2432">
        <v>251720</v>
      </c>
    </row>
    <row r="2449" spans="45:45">
      <c r="AS2449">
        <v>1313760</v>
      </c>
    </row>
    <row r="2450" spans="45:45">
      <c r="AS2450">
        <v>1129045</v>
      </c>
    </row>
    <row r="2451" spans="45:45">
      <c r="AS2451">
        <v>1174573</v>
      </c>
    </row>
    <row r="2456" spans="45:45">
      <c r="AS2456">
        <v>246400</v>
      </c>
    </row>
    <row r="2457" spans="45:45">
      <c r="AS2457">
        <v>733824</v>
      </c>
    </row>
    <row r="2458" spans="45:45">
      <c r="AS2458">
        <v>733320</v>
      </c>
    </row>
    <row r="2459" spans="45:45">
      <c r="AS2459">
        <v>733320</v>
      </c>
    </row>
    <row r="2460" spans="45:45">
      <c r="AS2460">
        <v>733320</v>
      </c>
    </row>
    <row r="2470" spans="45:45">
      <c r="AS2470">
        <v>1152704</v>
      </c>
    </row>
    <row r="2474" spans="45:45">
      <c r="AS2474">
        <v>730564</v>
      </c>
    </row>
    <row r="2475" spans="45:45">
      <c r="AS2475">
        <v>723004</v>
      </c>
    </row>
    <row r="2477" spans="45:45">
      <c r="AS2477">
        <v>496104</v>
      </c>
    </row>
    <row r="2481" spans="45:45">
      <c r="AS2481">
        <v>991200</v>
      </c>
    </row>
    <row r="2482" spans="45:45">
      <c r="AS2482">
        <v>2133264</v>
      </c>
    </row>
    <row r="2483" spans="45:45">
      <c r="AS2483">
        <v>902917</v>
      </c>
    </row>
    <row r="2484" spans="45:45">
      <c r="AS2484">
        <v>534744</v>
      </c>
    </row>
    <row r="2485" spans="45:45">
      <c r="AS2485">
        <v>666960</v>
      </c>
    </row>
    <row r="2486" spans="45:45">
      <c r="AS2486">
        <v>668304</v>
      </c>
    </row>
    <row r="2487" spans="45:45">
      <c r="AS2487">
        <v>516264</v>
      </c>
    </row>
    <row r="2488" spans="45:45">
      <c r="AS2488">
        <v>668304</v>
      </c>
    </row>
    <row r="2491" spans="45:45">
      <c r="AS2491">
        <v>737520</v>
      </c>
    </row>
    <row r="2494" spans="45:45">
      <c r="AS2494">
        <v>1313760</v>
      </c>
    </row>
    <row r="2495" spans="45:45">
      <c r="AS2495">
        <v>1251600</v>
      </c>
    </row>
    <row r="2497" spans="45:45">
      <c r="AS2497">
        <v>1007698</v>
      </c>
    </row>
    <row r="2498" spans="45:45">
      <c r="AS2498">
        <v>1008000</v>
      </c>
    </row>
    <row r="2499" spans="45:45">
      <c r="AS2499">
        <v>785400</v>
      </c>
    </row>
    <row r="2513" spans="45:45">
      <c r="AS2513">
        <v>988512</v>
      </c>
    </row>
    <row r="2514" spans="45:45">
      <c r="AS2514">
        <v>927696</v>
      </c>
    </row>
    <row r="2515" spans="45:45">
      <c r="AS2515">
        <v>729960</v>
      </c>
    </row>
    <row r="2516" spans="45:45">
      <c r="AS2516">
        <v>668304</v>
      </c>
    </row>
    <row r="2517" spans="45:45">
      <c r="AS2517">
        <v>1010016</v>
      </c>
    </row>
    <row r="2520" spans="45:45">
      <c r="AS2520">
        <v>951216</v>
      </c>
    </row>
    <row r="2523" spans="45:45">
      <c r="AS2523">
        <v>1313845</v>
      </c>
    </row>
    <row r="2524" spans="45:45">
      <c r="AS2524">
        <v>5331496</v>
      </c>
    </row>
    <row r="2526" spans="45:45">
      <c r="AS2526">
        <v>2133264</v>
      </c>
    </row>
    <row r="2531" spans="45:45">
      <c r="AS2531">
        <v>532156</v>
      </c>
    </row>
    <row r="2532" spans="45:45">
      <c r="AS2532">
        <v>532156</v>
      </c>
    </row>
    <row r="2533" spans="45:45">
      <c r="AS2533">
        <v>785317</v>
      </c>
    </row>
    <row r="2537" spans="45:45">
      <c r="AS2537">
        <v>785317</v>
      </c>
    </row>
    <row r="2538" spans="45:45">
      <c r="AS2538">
        <v>534744</v>
      </c>
    </row>
    <row r="2540" spans="45:45">
      <c r="AS2540">
        <v>902917</v>
      </c>
    </row>
    <row r="2541" spans="45:45">
      <c r="AS2541">
        <v>1010016</v>
      </c>
    </row>
    <row r="2544" spans="45:45">
      <c r="AS2544">
        <v>714000</v>
      </c>
    </row>
    <row r="2547" spans="45:45">
      <c r="AS2547">
        <v>1255045</v>
      </c>
    </row>
    <row r="2551" spans="45:45">
      <c r="AS2551">
        <v>2009245</v>
      </c>
    </row>
    <row r="2553" spans="45:45">
      <c r="AS2553">
        <v>951216</v>
      </c>
    </row>
    <row r="2560" spans="45:45">
      <c r="AS2560">
        <v>726264</v>
      </c>
    </row>
    <row r="2568" spans="45:45">
      <c r="AS2568">
        <v>1009290</v>
      </c>
    </row>
    <row r="2594" spans="45:45">
      <c r="AS2594">
        <v>1894816</v>
      </c>
    </row>
    <row r="2595" spans="45:45">
      <c r="AS2595">
        <v>2845696</v>
      </c>
    </row>
    <row r="2596" spans="45:45">
      <c r="AS2596">
        <v>301392</v>
      </c>
    </row>
    <row r="2597" spans="45:45">
      <c r="AS2597">
        <v>1043616</v>
      </c>
    </row>
    <row r="2598" spans="45:45">
      <c r="AS2598">
        <v>1043616</v>
      </c>
    </row>
    <row r="2610" spans="1:1">
      <c r="A2610" s="76"/>
    </row>
    <row r="2660" spans="45:45">
      <c r="AS2660">
        <v>305835</v>
      </c>
    </row>
    <row r="2661" spans="45:45">
      <c r="AS2661">
        <v>294253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29"/>
  <sheetViews>
    <sheetView view="pageBreakPreview" topLeftCell="A10" zoomScale="80" zoomScaleSheetLayoutView="80" workbookViewId="0">
      <selection activeCell="D10" sqref="D10:E10"/>
    </sheetView>
  </sheetViews>
  <sheetFormatPr defaultColWidth="9.140625" defaultRowHeight="15"/>
  <cols>
    <col min="1" max="1" width="9.42578125" style="146" customWidth="1"/>
    <col min="2" max="2" width="16.85546875" style="146" customWidth="1"/>
    <col min="3" max="3" width="42.7109375" style="146" customWidth="1"/>
    <col min="4" max="5" width="54.42578125" style="146" customWidth="1"/>
    <col min="6" max="6" width="9.140625" style="146"/>
    <col min="7" max="7" width="10" style="146" customWidth="1"/>
    <col min="8" max="16384" width="9.140625" style="146"/>
  </cols>
  <sheetData>
    <row r="1" spans="1:5" s="140" customFormat="1" ht="27" customHeight="1">
      <c r="A1" s="258" t="s">
        <v>747</v>
      </c>
      <c r="B1" s="259"/>
      <c r="C1" s="259"/>
      <c r="D1" s="259"/>
      <c r="E1" s="260"/>
    </row>
    <row r="2" spans="1:5" s="140" customFormat="1" ht="27" customHeight="1">
      <c r="A2" s="261" t="s">
        <v>723</v>
      </c>
      <c r="B2" s="262"/>
      <c r="C2" s="262"/>
      <c r="D2" s="262"/>
      <c r="E2" s="263"/>
    </row>
    <row r="3" spans="1:5" s="140" customFormat="1" ht="27" customHeight="1">
      <c r="A3" s="264" t="s">
        <v>813</v>
      </c>
      <c r="B3" s="264"/>
      <c r="C3" s="264"/>
      <c r="D3" s="264"/>
      <c r="E3" s="264"/>
    </row>
    <row r="4" spans="1:5" s="140" customFormat="1" ht="42.75" customHeight="1">
      <c r="A4" s="141" t="s">
        <v>748</v>
      </c>
      <c r="B4" s="142" t="s">
        <v>689</v>
      </c>
      <c r="C4" s="142" t="s">
        <v>690</v>
      </c>
      <c r="D4" s="142" t="s">
        <v>724</v>
      </c>
      <c r="E4" s="143" t="s">
        <v>785</v>
      </c>
    </row>
    <row r="5" spans="1:5" s="140" customFormat="1" ht="31.5" customHeight="1">
      <c r="A5" s="141">
        <v>1</v>
      </c>
      <c r="B5" s="142" t="s">
        <v>117</v>
      </c>
      <c r="C5" s="144" t="s">
        <v>725</v>
      </c>
      <c r="D5" s="256" t="s">
        <v>749</v>
      </c>
      <c r="E5" s="257"/>
    </row>
    <row r="6" spans="1:5" s="140" customFormat="1" ht="31.5" customHeight="1">
      <c r="A6" s="141">
        <v>2</v>
      </c>
      <c r="B6" s="142" t="s">
        <v>121</v>
      </c>
      <c r="C6" s="144" t="s">
        <v>725</v>
      </c>
      <c r="D6" s="256" t="s">
        <v>749</v>
      </c>
      <c r="E6" s="257"/>
    </row>
    <row r="7" spans="1:5" s="140" customFormat="1" ht="31.5" customHeight="1">
      <c r="A7" s="141">
        <v>3</v>
      </c>
      <c r="B7" s="142" t="s">
        <v>125</v>
      </c>
      <c r="C7" s="144" t="s">
        <v>725</v>
      </c>
      <c r="D7" s="256" t="s">
        <v>749</v>
      </c>
      <c r="E7" s="257"/>
    </row>
    <row r="8" spans="1:5" s="140" customFormat="1" ht="31.5" customHeight="1">
      <c r="A8" s="141">
        <v>4</v>
      </c>
      <c r="B8" s="142" t="s">
        <v>129</v>
      </c>
      <c r="C8" s="144" t="s">
        <v>725</v>
      </c>
      <c r="D8" s="256" t="s">
        <v>749</v>
      </c>
      <c r="E8" s="257"/>
    </row>
    <row r="9" spans="1:5" s="140" customFormat="1" ht="31.5" customHeight="1">
      <c r="A9" s="141">
        <v>5</v>
      </c>
      <c r="B9" s="142" t="s">
        <v>133</v>
      </c>
      <c r="C9" s="144" t="s">
        <v>725</v>
      </c>
      <c r="D9" s="256" t="s">
        <v>749</v>
      </c>
      <c r="E9" s="257"/>
    </row>
    <row r="10" spans="1:5" s="140" customFormat="1" ht="31.5" customHeight="1">
      <c r="A10" s="141">
        <v>6</v>
      </c>
      <c r="B10" s="142" t="s">
        <v>139</v>
      </c>
      <c r="C10" s="144" t="s">
        <v>725</v>
      </c>
      <c r="D10" s="256" t="s">
        <v>749</v>
      </c>
      <c r="E10" s="257"/>
    </row>
    <row r="11" spans="1:5" s="140" customFormat="1" ht="31.5" customHeight="1" thickBot="1">
      <c r="A11" s="141">
        <v>7</v>
      </c>
      <c r="B11" s="142" t="s">
        <v>143</v>
      </c>
      <c r="C11" s="144" t="s">
        <v>725</v>
      </c>
      <c r="D11" s="256" t="s">
        <v>749</v>
      </c>
      <c r="E11" s="257"/>
    </row>
    <row r="12" spans="1:5" s="140" customFormat="1" ht="31.5" customHeight="1">
      <c r="A12" s="141">
        <v>8</v>
      </c>
      <c r="B12" s="175" t="s">
        <v>657</v>
      </c>
      <c r="C12" s="189" t="s">
        <v>786</v>
      </c>
      <c r="D12" s="271" t="s">
        <v>814</v>
      </c>
      <c r="E12" s="272"/>
    </row>
    <row r="13" spans="1:5" s="140" customFormat="1" ht="31.5" customHeight="1">
      <c r="A13" s="141">
        <v>9</v>
      </c>
      <c r="B13" s="142" t="s">
        <v>149</v>
      </c>
      <c r="C13" s="144" t="s">
        <v>725</v>
      </c>
      <c r="D13" s="256" t="s">
        <v>749</v>
      </c>
      <c r="E13" s="257"/>
    </row>
    <row r="14" spans="1:5" s="140" customFormat="1" ht="31.5" customHeight="1">
      <c r="A14" s="141">
        <v>10</v>
      </c>
      <c r="B14" s="142" t="s">
        <v>151</v>
      </c>
      <c r="C14" s="144" t="s">
        <v>725</v>
      </c>
      <c r="D14" s="256" t="s">
        <v>749</v>
      </c>
      <c r="E14" s="257"/>
    </row>
    <row r="15" spans="1:5" s="140" customFormat="1" ht="31.5" customHeight="1">
      <c r="A15" s="141">
        <v>11</v>
      </c>
      <c r="B15" s="155" t="s">
        <v>658</v>
      </c>
      <c r="C15" s="156" t="s">
        <v>815</v>
      </c>
      <c r="D15" s="156" t="s">
        <v>816</v>
      </c>
      <c r="E15" s="157" t="s">
        <v>817</v>
      </c>
    </row>
    <row r="16" spans="1:5" s="140" customFormat="1" ht="31.5" customHeight="1">
      <c r="A16" s="141">
        <v>12</v>
      </c>
      <c r="B16" s="155" t="s">
        <v>153</v>
      </c>
      <c r="C16" s="156" t="s">
        <v>753</v>
      </c>
      <c r="D16" s="267" t="s">
        <v>749</v>
      </c>
      <c r="E16" s="268"/>
    </row>
    <row r="17" spans="1:5" s="140" customFormat="1" ht="31.5" customHeight="1">
      <c r="A17" s="141">
        <v>13</v>
      </c>
      <c r="B17" s="155" t="s">
        <v>164</v>
      </c>
      <c r="C17" s="156" t="s">
        <v>804</v>
      </c>
      <c r="D17" s="269" t="s">
        <v>818</v>
      </c>
      <c r="E17" s="270"/>
    </row>
    <row r="18" spans="1:5" s="140" customFormat="1" ht="31.5" customHeight="1">
      <c r="A18" s="141">
        <v>14</v>
      </c>
      <c r="B18" s="155" t="s">
        <v>165</v>
      </c>
      <c r="C18" s="156" t="s">
        <v>796</v>
      </c>
      <c r="D18" s="269" t="s">
        <v>819</v>
      </c>
      <c r="E18" s="270"/>
    </row>
    <row r="19" spans="1:5" s="140" customFormat="1" ht="31.5" customHeight="1" thickBot="1">
      <c r="A19" s="145">
        <v>15</v>
      </c>
      <c r="B19" s="174" t="s">
        <v>158</v>
      </c>
      <c r="C19" s="158" t="s">
        <v>753</v>
      </c>
      <c r="D19" s="265" t="s">
        <v>749</v>
      </c>
      <c r="E19" s="266"/>
    </row>
    <row r="20" spans="1:5" ht="15.75">
      <c r="A20" s="141">
        <v>16</v>
      </c>
      <c r="B20" s="175" t="s">
        <v>166</v>
      </c>
      <c r="C20" s="189" t="s">
        <v>820</v>
      </c>
      <c r="D20" s="190" t="s">
        <v>797</v>
      </c>
      <c r="E20" s="191" t="s">
        <v>805</v>
      </c>
    </row>
    <row r="21" spans="1:5" ht="15.75">
      <c r="A21" s="141">
        <v>17</v>
      </c>
      <c r="B21" s="155" t="s">
        <v>167</v>
      </c>
      <c r="C21" s="156" t="s">
        <v>821</v>
      </c>
      <c r="D21" s="156" t="s">
        <v>822</v>
      </c>
      <c r="E21" s="157" t="s">
        <v>823</v>
      </c>
    </row>
    <row r="22" spans="1:5" ht="15.75">
      <c r="A22" s="141">
        <v>18</v>
      </c>
      <c r="B22" s="155" t="s">
        <v>168</v>
      </c>
      <c r="C22" s="156" t="s">
        <v>824</v>
      </c>
      <c r="D22" s="156" t="s">
        <v>825</v>
      </c>
      <c r="E22" s="157" t="s">
        <v>826</v>
      </c>
    </row>
    <row r="23" spans="1:5" ht="15.75">
      <c r="A23" s="141">
        <v>19</v>
      </c>
      <c r="B23" s="155" t="s">
        <v>169</v>
      </c>
      <c r="C23" s="156" t="s">
        <v>823</v>
      </c>
      <c r="D23" s="156" t="s">
        <v>827</v>
      </c>
      <c r="E23" s="157" t="s">
        <v>828</v>
      </c>
    </row>
    <row r="24" spans="1:5" ht="15.75">
      <c r="A24" s="141">
        <v>20</v>
      </c>
      <c r="B24" s="155" t="s">
        <v>170</v>
      </c>
      <c r="C24" s="156" t="s">
        <v>725</v>
      </c>
      <c r="D24" s="267" t="s">
        <v>749</v>
      </c>
      <c r="E24" s="268"/>
    </row>
    <row r="25" spans="1:5" ht="15.75">
      <c r="A25" s="141">
        <v>21</v>
      </c>
      <c r="B25" s="155" t="s">
        <v>172</v>
      </c>
      <c r="C25" s="156" t="s">
        <v>725</v>
      </c>
      <c r="D25" s="269" t="s">
        <v>749</v>
      </c>
      <c r="E25" s="270"/>
    </row>
    <row r="26" spans="1:5" ht="15.75">
      <c r="A26" s="141">
        <v>22</v>
      </c>
      <c r="B26" s="155" t="s">
        <v>171</v>
      </c>
      <c r="C26" s="156" t="s">
        <v>798</v>
      </c>
      <c r="D26" s="269" t="s">
        <v>710</v>
      </c>
      <c r="E26" s="270"/>
    </row>
    <row r="27" spans="1:5" ht="15.75">
      <c r="A27" s="141">
        <v>23</v>
      </c>
      <c r="B27" s="155" t="s">
        <v>173</v>
      </c>
      <c r="C27" s="156" t="s">
        <v>805</v>
      </c>
      <c r="D27" s="156" t="s">
        <v>822</v>
      </c>
      <c r="E27" s="157" t="s">
        <v>823</v>
      </c>
    </row>
    <row r="28" spans="1:5" ht="15.75">
      <c r="A28" s="141">
        <v>24</v>
      </c>
      <c r="B28" s="155" t="s">
        <v>174</v>
      </c>
      <c r="C28" s="156" t="s">
        <v>797</v>
      </c>
      <c r="D28" s="156" t="s">
        <v>805</v>
      </c>
      <c r="E28" s="157" t="s">
        <v>829</v>
      </c>
    </row>
    <row r="29" spans="1:5" ht="16.5" thickBot="1">
      <c r="A29" s="145">
        <v>25</v>
      </c>
      <c r="B29" s="174" t="s">
        <v>750</v>
      </c>
      <c r="C29" s="158" t="s">
        <v>799</v>
      </c>
      <c r="D29" s="265" t="s">
        <v>800</v>
      </c>
      <c r="E29" s="266"/>
    </row>
  </sheetData>
  <mergeCells count="21">
    <mergeCell ref="D29:E29"/>
    <mergeCell ref="D8:E8"/>
    <mergeCell ref="D9:E9"/>
    <mergeCell ref="D10:E10"/>
    <mergeCell ref="D11:E11"/>
    <mergeCell ref="D13:E13"/>
    <mergeCell ref="D14:E14"/>
    <mergeCell ref="D16:E16"/>
    <mergeCell ref="D19:E19"/>
    <mergeCell ref="D24:E24"/>
    <mergeCell ref="D25:E25"/>
    <mergeCell ref="D26:E26"/>
    <mergeCell ref="D18:E18"/>
    <mergeCell ref="D12:E12"/>
    <mergeCell ref="D17:E17"/>
    <mergeCell ref="D7:E7"/>
    <mergeCell ref="A1:E1"/>
    <mergeCell ref="A2:E2"/>
    <mergeCell ref="D5:E5"/>
    <mergeCell ref="D6:E6"/>
    <mergeCell ref="A3:E3"/>
  </mergeCells>
  <pageMargins left="0.17" right="0.17" top="0.74803149606299213" bottom="0.35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99"/>
  <sheetViews>
    <sheetView workbookViewId="0">
      <selection activeCell="C73" sqref="C73"/>
    </sheetView>
  </sheetViews>
  <sheetFormatPr defaultRowHeight="12.75"/>
  <cols>
    <col min="1" max="1" width="7.140625" customWidth="1"/>
    <col min="2" max="2" width="21" bestFit="1" customWidth="1"/>
    <col min="3" max="3" width="12.7109375" bestFit="1" customWidth="1"/>
    <col min="4" max="4" width="15.28515625" bestFit="1" customWidth="1"/>
    <col min="5" max="5" width="23.85546875" bestFit="1" customWidth="1"/>
    <col min="6" max="6" width="15.28515625" bestFit="1" customWidth="1"/>
    <col min="7" max="7" width="9.85546875" bestFit="1" customWidth="1"/>
    <col min="8" max="8" width="16.42578125" bestFit="1" customWidth="1"/>
    <col min="9" max="9" width="8" bestFit="1" customWidth="1"/>
  </cols>
  <sheetData>
    <row r="1" spans="1:16" ht="21">
      <c r="A1" s="29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ht="15">
      <c r="A3" s="26" t="s">
        <v>47</v>
      </c>
      <c r="B3" s="24" t="s">
        <v>41</v>
      </c>
      <c r="C3" s="26" t="s">
        <v>42</v>
      </c>
      <c r="D3" s="24" t="s">
        <v>49</v>
      </c>
      <c r="E3" s="24" t="s">
        <v>50</v>
      </c>
      <c r="F3" s="24" t="s">
        <v>43</v>
      </c>
      <c r="G3" s="24" t="s">
        <v>44</v>
      </c>
      <c r="H3" s="24" t="s">
        <v>45</v>
      </c>
    </row>
    <row r="4" spans="1:16" ht="15">
      <c r="A4" s="27">
        <v>1</v>
      </c>
      <c r="B4" s="25" t="s">
        <v>48</v>
      </c>
      <c r="C4" s="28">
        <v>42710</v>
      </c>
      <c r="D4" s="60">
        <v>42500000</v>
      </c>
      <c r="E4" s="60">
        <v>44625000</v>
      </c>
      <c r="F4" s="60">
        <v>44625000</v>
      </c>
      <c r="G4" s="28">
        <v>42711</v>
      </c>
      <c r="H4" s="25" t="s">
        <v>104</v>
      </c>
    </row>
    <row r="5" spans="1:16" ht="15">
      <c r="A5" s="27">
        <v>2</v>
      </c>
      <c r="B5" s="25" t="s">
        <v>46</v>
      </c>
      <c r="C5" s="28">
        <v>42735</v>
      </c>
      <c r="D5" s="60">
        <v>34420492</v>
      </c>
      <c r="E5" s="60">
        <v>30978443</v>
      </c>
      <c r="F5" s="60">
        <v>30978443</v>
      </c>
      <c r="G5" s="28">
        <v>42733</v>
      </c>
      <c r="H5" s="25" t="s">
        <v>104</v>
      </c>
    </row>
    <row r="6" spans="1:16" ht="15">
      <c r="A6" s="27">
        <v>3</v>
      </c>
      <c r="B6" s="25" t="s">
        <v>46</v>
      </c>
      <c r="C6" s="28">
        <v>42825</v>
      </c>
      <c r="D6" s="60">
        <v>112364384</v>
      </c>
      <c r="E6" s="60">
        <v>101127945</v>
      </c>
      <c r="F6" s="60">
        <v>101127945</v>
      </c>
      <c r="G6" s="28">
        <v>42825</v>
      </c>
      <c r="H6" s="25" t="s">
        <v>104</v>
      </c>
    </row>
    <row r="7" spans="1:16" ht="15">
      <c r="A7" s="27">
        <v>4</v>
      </c>
      <c r="B7" s="25" t="s">
        <v>46</v>
      </c>
      <c r="C7" s="28">
        <v>42916</v>
      </c>
      <c r="D7" s="60">
        <v>114015617</v>
      </c>
      <c r="E7" s="60">
        <v>102614055</v>
      </c>
      <c r="F7" s="60">
        <v>102614055</v>
      </c>
      <c r="G7" s="28">
        <v>42916</v>
      </c>
      <c r="H7" s="25" t="s">
        <v>104</v>
      </c>
    </row>
    <row r="8" spans="1:16" ht="15">
      <c r="A8" s="27">
        <v>5</v>
      </c>
      <c r="B8" s="25" t="s">
        <v>46</v>
      </c>
      <c r="C8" s="28">
        <v>43008</v>
      </c>
      <c r="D8" s="60">
        <v>133387397</v>
      </c>
      <c r="E8" s="60">
        <v>120048658</v>
      </c>
      <c r="F8" s="60">
        <v>120048658</v>
      </c>
      <c r="G8" s="28">
        <v>43006</v>
      </c>
      <c r="H8" s="25" t="s">
        <v>104</v>
      </c>
    </row>
    <row r="9" spans="1:16" ht="15">
      <c r="A9" s="27">
        <v>6</v>
      </c>
      <c r="B9" s="25" t="s">
        <v>46</v>
      </c>
      <c r="C9" s="28">
        <v>43100</v>
      </c>
      <c r="D9" s="60">
        <v>125013699</v>
      </c>
      <c r="E9" s="60">
        <v>112512329</v>
      </c>
      <c r="F9" s="60">
        <v>112512329</v>
      </c>
      <c r="G9" s="28">
        <v>43098</v>
      </c>
      <c r="H9" s="25" t="s">
        <v>104</v>
      </c>
    </row>
    <row r="10" spans="1:16" ht="15">
      <c r="A10" s="27">
        <v>7</v>
      </c>
      <c r="B10" s="25" t="s">
        <v>46</v>
      </c>
      <c r="C10" s="28">
        <v>43190</v>
      </c>
      <c r="D10" s="60">
        <v>133150685</v>
      </c>
      <c r="E10" s="60">
        <v>119835616</v>
      </c>
      <c r="F10" s="60">
        <v>119835616</v>
      </c>
      <c r="G10" s="28">
        <v>43187</v>
      </c>
      <c r="H10" s="25" t="s">
        <v>104</v>
      </c>
    </row>
    <row r="11" spans="1:16" ht="15">
      <c r="A11" s="27">
        <v>8</v>
      </c>
      <c r="B11" s="25" t="s">
        <v>46</v>
      </c>
      <c r="C11" s="28">
        <v>43281</v>
      </c>
      <c r="D11" s="60">
        <f>138669039+832191</f>
        <v>139501230</v>
      </c>
      <c r="E11" s="60">
        <f>124802136+832191</f>
        <v>125634327</v>
      </c>
      <c r="F11" s="60">
        <f>124802136+832191</f>
        <v>125634327</v>
      </c>
      <c r="G11" s="28">
        <v>43280</v>
      </c>
      <c r="H11" s="25" t="s">
        <v>104</v>
      </c>
    </row>
    <row r="12" spans="1:16" ht="15">
      <c r="A12" s="27">
        <v>9</v>
      </c>
      <c r="B12" s="25" t="s">
        <v>46</v>
      </c>
      <c r="C12" s="28">
        <v>43373</v>
      </c>
      <c r="D12" s="60">
        <f>25804110+141213699</f>
        <v>167017809</v>
      </c>
      <c r="E12" s="60">
        <f>127092329+23223699</f>
        <v>150316028</v>
      </c>
      <c r="F12" s="60">
        <v>150316028</v>
      </c>
      <c r="G12" s="28">
        <v>43371</v>
      </c>
      <c r="H12" s="25" t="s">
        <v>104</v>
      </c>
    </row>
    <row r="13" spans="1:16" ht="15">
      <c r="A13" s="27">
        <v>10</v>
      </c>
      <c r="B13" s="25" t="s">
        <v>46</v>
      </c>
      <c r="C13" s="28">
        <v>43465</v>
      </c>
      <c r="D13" s="60">
        <f>141213699+26276712</f>
        <v>167490411</v>
      </c>
      <c r="E13" s="60">
        <f>23649041+127092329</f>
        <v>150741370</v>
      </c>
      <c r="F13" s="60">
        <f>23649041+127092329</f>
        <v>150741370</v>
      </c>
      <c r="G13" s="28">
        <v>43465</v>
      </c>
      <c r="H13" s="25" t="s">
        <v>104</v>
      </c>
    </row>
    <row r="14" spans="1:16" ht="15">
      <c r="A14" s="27">
        <v>11</v>
      </c>
      <c r="B14" s="25" t="s">
        <v>46</v>
      </c>
      <c r="C14" s="28">
        <v>43523</v>
      </c>
      <c r="D14" s="60">
        <v>111300000</v>
      </c>
      <c r="E14" s="60">
        <v>111300000</v>
      </c>
      <c r="F14" s="60">
        <v>111300000</v>
      </c>
      <c r="G14" s="28">
        <v>43523</v>
      </c>
      <c r="H14" s="79" t="s">
        <v>769</v>
      </c>
    </row>
    <row r="15" spans="1:16" ht="15">
      <c r="A15" s="27">
        <v>12</v>
      </c>
      <c r="B15" s="25" t="s">
        <v>46</v>
      </c>
      <c r="C15" s="28">
        <v>43560</v>
      </c>
      <c r="D15" s="60">
        <v>180024288</v>
      </c>
      <c r="E15" s="60">
        <f>D15*0.9</f>
        <v>162021859.20000002</v>
      </c>
      <c r="F15" s="60">
        <v>162021859</v>
      </c>
      <c r="G15" s="28">
        <v>43550</v>
      </c>
      <c r="H15" s="79" t="s">
        <v>769</v>
      </c>
    </row>
    <row r="16" spans="1:16" ht="15">
      <c r="A16" s="27">
        <v>13</v>
      </c>
      <c r="B16" s="25" t="s">
        <v>46</v>
      </c>
      <c r="C16" s="28">
        <v>43651</v>
      </c>
      <c r="D16" s="60">
        <v>193810963</v>
      </c>
      <c r="E16" s="60">
        <v>174429866</v>
      </c>
      <c r="F16" s="60">
        <v>174429866</v>
      </c>
      <c r="G16" s="28">
        <v>43645</v>
      </c>
      <c r="H16" s="79" t="s">
        <v>769</v>
      </c>
    </row>
    <row r="17" spans="1:9" ht="15">
      <c r="A17" s="27"/>
      <c r="B17" s="25"/>
      <c r="C17" s="25"/>
      <c r="D17" s="25"/>
      <c r="E17" s="25"/>
      <c r="F17" s="25"/>
      <c r="G17" s="25"/>
      <c r="H17" s="25"/>
    </row>
    <row r="18" spans="1:9">
      <c r="A18" s="30"/>
      <c r="B18" s="19" t="s">
        <v>52</v>
      </c>
      <c r="C18" s="1"/>
      <c r="D18" s="1">
        <f>SUBTOTAL(9,D4:D14)</f>
        <v>1280161724</v>
      </c>
      <c r="E18" s="1">
        <f>SUBTOTAL(9,E4:E14)</f>
        <v>1169733771</v>
      </c>
      <c r="F18" s="1">
        <f>SUBTOTAL(9,F4:F14)</f>
        <v>1169733771</v>
      </c>
      <c r="G18" s="1"/>
      <c r="H18" s="1"/>
    </row>
    <row r="21" spans="1:9" ht="15">
      <c r="A21" s="31" t="s">
        <v>53</v>
      </c>
      <c r="B21" s="32"/>
      <c r="C21" s="33"/>
      <c r="D21" s="33"/>
      <c r="E21" s="33"/>
      <c r="F21" s="33"/>
      <c r="G21" s="33"/>
      <c r="H21" s="34"/>
      <c r="I21" s="34"/>
    </row>
    <row r="22" spans="1:9" ht="45">
      <c r="A22" s="35" t="s">
        <v>47</v>
      </c>
      <c r="B22" s="36" t="s">
        <v>54</v>
      </c>
      <c r="C22" s="37" t="s">
        <v>55</v>
      </c>
      <c r="D22" s="38" t="s">
        <v>60</v>
      </c>
      <c r="E22" s="37" t="s">
        <v>38</v>
      </c>
      <c r="F22" s="37" t="s">
        <v>56</v>
      </c>
      <c r="G22" s="37" t="s">
        <v>57</v>
      </c>
      <c r="H22" s="36" t="s">
        <v>58</v>
      </c>
      <c r="I22" s="65" t="s">
        <v>59</v>
      </c>
    </row>
    <row r="23" spans="1:9" ht="15">
      <c r="A23" s="30">
        <v>1</v>
      </c>
      <c r="B23" s="62" t="s">
        <v>110</v>
      </c>
      <c r="C23" s="61">
        <v>96335342</v>
      </c>
      <c r="D23" s="1" t="s">
        <v>108</v>
      </c>
      <c r="E23" s="28">
        <v>42706</v>
      </c>
      <c r="F23" s="1" t="s">
        <v>103</v>
      </c>
      <c r="G23" s="1"/>
      <c r="H23" s="61"/>
      <c r="I23" s="1" t="s">
        <v>109</v>
      </c>
    </row>
    <row r="24" spans="1:9" ht="15">
      <c r="A24" s="30">
        <v>2</v>
      </c>
      <c r="B24" s="62" t="s">
        <v>112</v>
      </c>
      <c r="C24" s="61">
        <v>18526027</v>
      </c>
      <c r="D24" s="1" t="s">
        <v>108</v>
      </c>
      <c r="E24" s="28">
        <v>42731</v>
      </c>
      <c r="F24" s="1" t="s">
        <v>103</v>
      </c>
      <c r="G24" s="66"/>
      <c r="H24" s="61"/>
      <c r="I24" s="1" t="s">
        <v>109</v>
      </c>
    </row>
    <row r="25" spans="1:9" ht="15">
      <c r="A25" s="30">
        <v>3</v>
      </c>
      <c r="B25" s="62" t="s">
        <v>663</v>
      </c>
      <c r="C25" s="61">
        <v>16900000</v>
      </c>
      <c r="D25" s="1" t="s">
        <v>664</v>
      </c>
      <c r="E25" s="28">
        <v>42754</v>
      </c>
      <c r="F25" s="19"/>
      <c r="G25" s="28">
        <v>42824</v>
      </c>
      <c r="H25" s="61">
        <v>17029389</v>
      </c>
      <c r="I25" s="1" t="s">
        <v>670</v>
      </c>
    </row>
    <row r="26" spans="1:9" ht="15">
      <c r="A26" s="30">
        <v>4</v>
      </c>
      <c r="B26" s="62" t="s">
        <v>667</v>
      </c>
      <c r="C26" s="61">
        <v>9100000</v>
      </c>
      <c r="D26" s="1" t="s">
        <v>664</v>
      </c>
      <c r="E26" s="28">
        <v>42780</v>
      </c>
      <c r="F26" s="19"/>
      <c r="G26" s="28">
        <v>42824</v>
      </c>
      <c r="H26" s="61">
        <v>9153066</v>
      </c>
      <c r="I26" s="1" t="s">
        <v>670</v>
      </c>
    </row>
    <row r="27" spans="1:9" ht="15">
      <c r="A27" s="30">
        <v>5</v>
      </c>
      <c r="B27" s="62" t="s">
        <v>674</v>
      </c>
      <c r="C27" s="61">
        <v>21300000</v>
      </c>
      <c r="D27" s="1" t="s">
        <v>664</v>
      </c>
      <c r="E27" s="28">
        <v>42850</v>
      </c>
      <c r="F27" s="19" t="s">
        <v>675</v>
      </c>
      <c r="G27" s="28">
        <v>42909</v>
      </c>
      <c r="H27" s="61">
        <v>21454936</v>
      </c>
      <c r="I27" s="1" t="s">
        <v>670</v>
      </c>
    </row>
    <row r="28" spans="1:9" ht="15">
      <c r="A28" s="30">
        <v>6</v>
      </c>
      <c r="B28" s="62" t="s">
        <v>676</v>
      </c>
      <c r="C28" s="61">
        <v>9800000</v>
      </c>
      <c r="D28" s="1" t="s">
        <v>664</v>
      </c>
      <c r="E28" s="28">
        <v>42851</v>
      </c>
      <c r="F28" s="19" t="s">
        <v>677</v>
      </c>
      <c r="G28" s="28">
        <v>42914</v>
      </c>
      <c r="H28" s="61">
        <v>9897262</v>
      </c>
      <c r="I28" s="1" t="s">
        <v>670</v>
      </c>
    </row>
    <row r="29" spans="1:9" ht="15">
      <c r="A29" s="30">
        <v>7</v>
      </c>
      <c r="B29" s="62" t="s">
        <v>680</v>
      </c>
      <c r="C29" s="61">
        <v>11200000</v>
      </c>
      <c r="D29" s="1" t="s">
        <v>664</v>
      </c>
      <c r="E29" s="28">
        <v>42864</v>
      </c>
      <c r="F29" s="19" t="s">
        <v>681</v>
      </c>
      <c r="G29" s="28">
        <v>42909</v>
      </c>
      <c r="H29" s="61">
        <v>11258685</v>
      </c>
      <c r="I29" s="1" t="s">
        <v>670</v>
      </c>
    </row>
    <row r="30" spans="1:9" ht="15">
      <c r="A30" s="30">
        <v>8</v>
      </c>
      <c r="B30" s="62" t="s">
        <v>682</v>
      </c>
      <c r="C30" s="61">
        <v>5500000</v>
      </c>
      <c r="D30" s="1" t="s">
        <v>664</v>
      </c>
      <c r="E30" s="28">
        <v>42866</v>
      </c>
      <c r="F30" s="19" t="s">
        <v>683</v>
      </c>
      <c r="G30" s="28">
        <v>42914</v>
      </c>
      <c r="H30" s="61">
        <v>5541589</v>
      </c>
      <c r="I30" s="1" t="s">
        <v>670</v>
      </c>
    </row>
    <row r="31" spans="1:9" ht="15">
      <c r="A31" s="30">
        <v>9</v>
      </c>
      <c r="B31" s="62" t="s">
        <v>684</v>
      </c>
      <c r="C31" s="61">
        <v>10000000</v>
      </c>
      <c r="D31" s="1" t="s">
        <v>664</v>
      </c>
      <c r="E31" s="28">
        <v>42885</v>
      </c>
      <c r="F31" s="1" t="s">
        <v>685</v>
      </c>
      <c r="G31" s="28">
        <v>42914</v>
      </c>
      <c r="H31" s="61">
        <v>10033767</v>
      </c>
      <c r="I31" s="1" t="s">
        <v>670</v>
      </c>
    </row>
    <row r="32" spans="1:9" ht="15">
      <c r="A32" s="30">
        <v>10</v>
      </c>
      <c r="B32" s="62" t="s">
        <v>691</v>
      </c>
      <c r="C32" s="61">
        <v>20000000</v>
      </c>
      <c r="D32" s="1" t="s">
        <v>664</v>
      </c>
      <c r="E32" s="28">
        <v>42888</v>
      </c>
      <c r="F32" s="1" t="s">
        <v>692</v>
      </c>
      <c r="G32" s="28">
        <v>42912</v>
      </c>
      <c r="H32" s="61">
        <v>20055890</v>
      </c>
      <c r="I32" s="1" t="s">
        <v>670</v>
      </c>
    </row>
    <row r="33" spans="1:9" ht="15">
      <c r="A33" s="30">
        <v>11</v>
      </c>
      <c r="B33" s="62" t="s">
        <v>693</v>
      </c>
      <c r="C33" s="61">
        <v>18526027</v>
      </c>
      <c r="D33" s="1" t="s">
        <v>108</v>
      </c>
      <c r="E33" s="28">
        <v>42915</v>
      </c>
      <c r="F33" s="1" t="s">
        <v>103</v>
      </c>
      <c r="G33" s="1"/>
      <c r="H33" s="1"/>
      <c r="I33" s="1" t="s">
        <v>109</v>
      </c>
    </row>
    <row r="34" spans="1:9" ht="15">
      <c r="A34" s="30">
        <v>12</v>
      </c>
      <c r="B34" s="62" t="s">
        <v>701</v>
      </c>
      <c r="C34" s="61">
        <v>25000000</v>
      </c>
      <c r="D34" s="1" t="s">
        <v>664</v>
      </c>
      <c r="E34" s="28">
        <v>42978</v>
      </c>
      <c r="F34" s="1" t="s">
        <v>702</v>
      </c>
      <c r="G34" s="28">
        <v>43006</v>
      </c>
      <c r="H34" s="61">
        <v>25081507</v>
      </c>
      <c r="I34" s="1" t="s">
        <v>670</v>
      </c>
    </row>
    <row r="35" spans="1:9" ht="15">
      <c r="A35" s="30">
        <v>13</v>
      </c>
      <c r="B35" s="62" t="s">
        <v>705</v>
      </c>
      <c r="C35" s="61">
        <v>30000000</v>
      </c>
      <c r="D35" s="1" t="s">
        <v>664</v>
      </c>
      <c r="E35" s="28">
        <v>43038</v>
      </c>
      <c r="F35" s="1" t="s">
        <v>706</v>
      </c>
      <c r="G35" s="28">
        <v>43096</v>
      </c>
      <c r="H35" s="61">
        <v>30286027</v>
      </c>
      <c r="I35" s="1" t="s">
        <v>670</v>
      </c>
    </row>
    <row r="36" spans="1:9" ht="15">
      <c r="A36" s="30">
        <v>14</v>
      </c>
      <c r="B36" s="71" t="s">
        <v>711</v>
      </c>
      <c r="C36" s="61">
        <v>27000000</v>
      </c>
      <c r="D36" s="1" t="s">
        <v>664</v>
      </c>
      <c r="E36" s="28">
        <v>43056</v>
      </c>
      <c r="F36" s="19" t="s">
        <v>708</v>
      </c>
      <c r="G36" s="28">
        <v>43096</v>
      </c>
      <c r="H36" s="1"/>
      <c r="I36" s="1" t="s">
        <v>670</v>
      </c>
    </row>
    <row r="37" spans="1:9" ht="15">
      <c r="A37" s="30">
        <v>15</v>
      </c>
      <c r="B37" s="71" t="s">
        <v>712</v>
      </c>
      <c r="C37" s="61">
        <v>2722192</v>
      </c>
      <c r="D37" s="1" t="s">
        <v>108</v>
      </c>
      <c r="E37" s="28">
        <v>43095</v>
      </c>
      <c r="F37" s="1" t="s">
        <v>713</v>
      </c>
      <c r="G37" s="28">
        <v>43825</v>
      </c>
      <c r="H37" s="1"/>
      <c r="I37" s="1" t="s">
        <v>109</v>
      </c>
    </row>
    <row r="38" spans="1:9" ht="15">
      <c r="A38" s="30">
        <v>16</v>
      </c>
      <c r="B38" s="71" t="s">
        <v>715</v>
      </c>
      <c r="C38" s="61">
        <v>30000000</v>
      </c>
      <c r="D38" s="1" t="s">
        <v>664</v>
      </c>
      <c r="E38" s="28">
        <v>43122</v>
      </c>
      <c r="F38" s="1" t="s">
        <v>716</v>
      </c>
      <c r="G38" s="28">
        <v>43188</v>
      </c>
      <c r="H38" s="1"/>
      <c r="I38" s="1" t="s">
        <v>670</v>
      </c>
    </row>
    <row r="39" spans="1:9" ht="15">
      <c r="A39" s="30">
        <v>17</v>
      </c>
      <c r="B39" s="71" t="s">
        <v>718</v>
      </c>
      <c r="C39" s="61">
        <v>25000000</v>
      </c>
      <c r="D39" s="1" t="s">
        <v>664</v>
      </c>
      <c r="E39" s="28">
        <v>43157</v>
      </c>
      <c r="F39" s="1" t="s">
        <v>719</v>
      </c>
      <c r="G39" s="28">
        <v>43188</v>
      </c>
      <c r="H39" s="1"/>
      <c r="I39" s="1" t="s">
        <v>670</v>
      </c>
    </row>
    <row r="40" spans="1:9" ht="15">
      <c r="A40" s="30">
        <v>19</v>
      </c>
      <c r="B40" s="71" t="s">
        <v>726</v>
      </c>
      <c r="C40" s="61">
        <v>30000000</v>
      </c>
      <c r="D40" s="1" t="s">
        <v>664</v>
      </c>
      <c r="E40" s="28">
        <v>43214</v>
      </c>
      <c r="F40" s="1" t="s">
        <v>727</v>
      </c>
      <c r="G40" s="28">
        <v>43277</v>
      </c>
      <c r="H40" s="1">
        <v>30298109</v>
      </c>
      <c r="I40" s="1" t="s">
        <v>670</v>
      </c>
    </row>
    <row r="41" spans="1:9" ht="15">
      <c r="A41" s="30">
        <v>20</v>
      </c>
      <c r="B41" s="71" t="s">
        <v>728</v>
      </c>
      <c r="C41" s="61">
        <v>10000000</v>
      </c>
      <c r="D41" s="1" t="s">
        <v>664</v>
      </c>
      <c r="E41" s="28">
        <v>43223</v>
      </c>
      <c r="F41" s="1" t="s">
        <v>729</v>
      </c>
      <c r="G41" s="28">
        <v>43277</v>
      </c>
      <c r="H41" s="1">
        <v>20095547</v>
      </c>
      <c r="I41" s="1" t="s">
        <v>670</v>
      </c>
    </row>
    <row r="42" spans="1:9" ht="15">
      <c r="A42" s="30">
        <v>21</v>
      </c>
      <c r="B42" s="71" t="s">
        <v>730</v>
      </c>
      <c r="C42" s="61">
        <v>20000000</v>
      </c>
      <c r="D42" s="1" t="s">
        <v>664</v>
      </c>
      <c r="E42" s="28">
        <v>43248</v>
      </c>
      <c r="F42" s="1" t="s">
        <v>731</v>
      </c>
      <c r="G42" s="28">
        <v>43279</v>
      </c>
      <c r="H42" s="1">
        <v>10089753</v>
      </c>
      <c r="I42" s="1" t="s">
        <v>670</v>
      </c>
    </row>
    <row r="43" spans="1:9" ht="15">
      <c r="A43" s="30">
        <v>22</v>
      </c>
      <c r="B43" s="71" t="s">
        <v>737</v>
      </c>
      <c r="C43" s="61">
        <v>8599315</v>
      </c>
      <c r="D43" s="1" t="s">
        <v>108</v>
      </c>
      <c r="E43" s="28">
        <v>43279</v>
      </c>
      <c r="F43" s="1" t="s">
        <v>736</v>
      </c>
      <c r="G43" s="28">
        <v>44375</v>
      </c>
      <c r="H43" s="1"/>
      <c r="I43" s="1" t="s">
        <v>670</v>
      </c>
    </row>
    <row r="44" spans="1:9" ht="15">
      <c r="A44" s="30">
        <v>23</v>
      </c>
      <c r="B44" s="71" t="s">
        <v>735</v>
      </c>
      <c r="C44" s="61">
        <v>25000000</v>
      </c>
      <c r="D44" s="1" t="s">
        <v>664</v>
      </c>
      <c r="E44" s="28">
        <v>43305</v>
      </c>
      <c r="F44" s="1" t="s">
        <v>727</v>
      </c>
      <c r="G44" s="28">
        <v>43369</v>
      </c>
      <c r="H44" s="1"/>
      <c r="I44" s="1" t="s">
        <v>670</v>
      </c>
    </row>
    <row r="45" spans="1:9" ht="15">
      <c r="A45" s="30">
        <v>24</v>
      </c>
      <c r="B45" s="71" t="s">
        <v>741</v>
      </c>
      <c r="C45" s="61">
        <v>10000000</v>
      </c>
      <c r="D45" s="1" t="s">
        <v>664</v>
      </c>
      <c r="E45" s="28">
        <v>43318</v>
      </c>
      <c r="F45" s="1" t="s">
        <v>743</v>
      </c>
      <c r="G45" s="28">
        <v>43369</v>
      </c>
      <c r="H45" s="1"/>
      <c r="I45" s="1" t="s">
        <v>670</v>
      </c>
    </row>
    <row r="46" spans="1:9" ht="15">
      <c r="A46" s="30">
        <v>25</v>
      </c>
      <c r="B46" s="71" t="s">
        <v>742</v>
      </c>
      <c r="C46" s="61">
        <v>25000000</v>
      </c>
      <c r="D46" s="1" t="s">
        <v>664</v>
      </c>
      <c r="E46" s="28">
        <v>43340</v>
      </c>
      <c r="F46" s="1" t="s">
        <v>744</v>
      </c>
      <c r="G46" s="28">
        <v>43369</v>
      </c>
      <c r="H46" s="1"/>
      <c r="I46" s="1" t="s">
        <v>670</v>
      </c>
    </row>
    <row r="47" spans="1:9" ht="15">
      <c r="A47" s="30">
        <v>26</v>
      </c>
      <c r="B47" s="71" t="s">
        <v>754</v>
      </c>
      <c r="C47" s="61">
        <v>30000000</v>
      </c>
      <c r="D47" s="1" t="s">
        <v>664</v>
      </c>
      <c r="E47" s="28">
        <v>43395</v>
      </c>
      <c r="F47" s="1" t="s">
        <v>716</v>
      </c>
      <c r="G47" s="28">
        <v>43462</v>
      </c>
      <c r="H47" s="1"/>
      <c r="I47" s="1" t="s">
        <v>670</v>
      </c>
    </row>
    <row r="48" spans="1:9" ht="15">
      <c r="A48" s="30">
        <v>27</v>
      </c>
      <c r="B48" s="71" t="s">
        <v>759</v>
      </c>
      <c r="C48" s="61">
        <v>20000000</v>
      </c>
      <c r="D48" s="1" t="s">
        <v>664</v>
      </c>
      <c r="E48" s="28">
        <v>43405</v>
      </c>
      <c r="F48" s="1" t="s">
        <v>758</v>
      </c>
      <c r="G48" s="28">
        <v>43462</v>
      </c>
      <c r="H48" s="1"/>
      <c r="I48" s="1" t="s">
        <v>670</v>
      </c>
    </row>
    <row r="49" spans="1:9" ht="15">
      <c r="A49" s="30">
        <v>28</v>
      </c>
      <c r="B49" s="71" t="s">
        <v>764</v>
      </c>
      <c r="C49" s="61">
        <v>30000000</v>
      </c>
      <c r="D49" s="1" t="s">
        <v>664</v>
      </c>
      <c r="E49" s="28">
        <v>43483</v>
      </c>
      <c r="F49" s="1" t="s">
        <v>766</v>
      </c>
      <c r="G49" s="28">
        <v>43551</v>
      </c>
      <c r="H49" s="1"/>
      <c r="I49" s="1" t="s">
        <v>670</v>
      </c>
    </row>
    <row r="50" spans="1:9" ht="15">
      <c r="A50" s="30">
        <v>29</v>
      </c>
      <c r="B50" s="71" t="s">
        <v>765</v>
      </c>
      <c r="C50" s="61">
        <v>20000000</v>
      </c>
      <c r="D50" s="1" t="s">
        <v>664</v>
      </c>
      <c r="E50" s="28">
        <v>43493</v>
      </c>
      <c r="F50" s="1" t="s">
        <v>706</v>
      </c>
      <c r="G50" s="28">
        <v>43551</v>
      </c>
      <c r="H50" s="1"/>
      <c r="I50" s="1" t="s">
        <v>670</v>
      </c>
    </row>
    <row r="51" spans="1:9" ht="15">
      <c r="A51" s="30"/>
      <c r="B51" s="71"/>
      <c r="C51" s="61"/>
      <c r="D51" s="1"/>
      <c r="E51" s="28"/>
      <c r="F51" s="1"/>
      <c r="G51" s="28"/>
      <c r="H51" s="1"/>
      <c r="I51" s="1"/>
    </row>
    <row r="52" spans="1:9">
      <c r="A52" s="30"/>
      <c r="B52" s="1"/>
      <c r="C52" s="61"/>
      <c r="D52" s="1"/>
      <c r="E52" s="1"/>
      <c r="F52" s="1"/>
      <c r="G52" s="1"/>
      <c r="H52" s="1"/>
      <c r="I52" s="1"/>
    </row>
    <row r="53" spans="1:9">
      <c r="A53" s="30"/>
      <c r="B53" s="1"/>
      <c r="C53" s="61">
        <f>SUBTOTAL(9,C23:C52)</f>
        <v>605508903</v>
      </c>
      <c r="D53" s="1"/>
      <c r="E53" s="1"/>
      <c r="F53" s="1"/>
      <c r="G53" s="1"/>
      <c r="H53" s="61">
        <f>SUBTOTAL(9,H23:H52)</f>
        <v>220275527</v>
      </c>
      <c r="I53" s="1"/>
    </row>
    <row r="57" spans="1:9" ht="15">
      <c r="B57" s="39" t="s">
        <v>61</v>
      </c>
      <c r="C57" s="40" t="s">
        <v>62</v>
      </c>
      <c r="D57" s="41" t="s">
        <v>63</v>
      </c>
    </row>
    <row r="58" spans="1:9">
      <c r="B58" s="42" t="s">
        <v>64</v>
      </c>
      <c r="C58" s="43">
        <v>2600000000</v>
      </c>
      <c r="D58" s="44">
        <v>42704</v>
      </c>
    </row>
    <row r="59" spans="1:9">
      <c r="B59" s="42" t="s">
        <v>65</v>
      </c>
      <c r="C59" s="43">
        <v>500000000</v>
      </c>
      <c r="D59" s="44">
        <v>42731</v>
      </c>
    </row>
    <row r="60" spans="1:9">
      <c r="B60" s="42" t="s">
        <v>66</v>
      </c>
      <c r="C60" s="43">
        <v>500000000</v>
      </c>
      <c r="D60" s="44">
        <v>42915</v>
      </c>
    </row>
    <row r="61" spans="1:9">
      <c r="B61" s="42" t="s">
        <v>67</v>
      </c>
      <c r="C61" s="45">
        <v>200000000</v>
      </c>
      <c r="D61" s="44">
        <v>43073</v>
      </c>
    </row>
    <row r="62" spans="1:9">
      <c r="B62" s="42" t="s">
        <v>68</v>
      </c>
      <c r="C62" s="45">
        <v>200000000</v>
      </c>
      <c r="D62" s="44">
        <v>43095</v>
      </c>
    </row>
    <row r="63" spans="1:9">
      <c r="B63" s="42" t="s">
        <v>69</v>
      </c>
      <c r="C63" s="46">
        <v>10000000</v>
      </c>
      <c r="D63" s="44">
        <v>43187</v>
      </c>
    </row>
    <row r="64" spans="1:9">
      <c r="B64" s="42" t="s">
        <v>70</v>
      </c>
      <c r="C64" s="46">
        <v>90000000</v>
      </c>
      <c r="D64" s="44">
        <v>43203</v>
      </c>
    </row>
    <row r="65" spans="2:4">
      <c r="B65" s="42" t="s">
        <v>71</v>
      </c>
      <c r="C65" s="46">
        <v>50000000</v>
      </c>
      <c r="D65" s="44">
        <v>43224</v>
      </c>
    </row>
    <row r="66" spans="2:4">
      <c r="B66" s="42" t="s">
        <v>72</v>
      </c>
      <c r="C66" s="46">
        <v>750000000</v>
      </c>
      <c r="D66" s="44">
        <v>43279</v>
      </c>
    </row>
    <row r="67" spans="2:4">
      <c r="B67" s="42" t="s">
        <v>73</v>
      </c>
      <c r="C67" s="46">
        <v>50000000</v>
      </c>
      <c r="D67" s="44">
        <v>43476</v>
      </c>
    </row>
    <row r="68" spans="2:4">
      <c r="B68" s="42" t="s">
        <v>74</v>
      </c>
      <c r="C68" s="46">
        <v>50000000</v>
      </c>
      <c r="D68" s="44">
        <v>43501</v>
      </c>
    </row>
    <row r="69" spans="2:4">
      <c r="B69" s="42" t="s">
        <v>75</v>
      </c>
      <c r="C69" s="46">
        <v>50000000</v>
      </c>
      <c r="D69" s="44">
        <v>43536</v>
      </c>
    </row>
    <row r="70" spans="2:4">
      <c r="B70" s="42" t="s">
        <v>76</v>
      </c>
      <c r="C70" s="46">
        <v>50000000</v>
      </c>
      <c r="D70" s="44">
        <v>43570</v>
      </c>
    </row>
    <row r="71" spans="2:4">
      <c r="B71" s="42" t="s">
        <v>77</v>
      </c>
      <c r="C71" s="46">
        <v>50000000</v>
      </c>
      <c r="D71" s="44">
        <v>43634</v>
      </c>
    </row>
    <row r="72" spans="2:4">
      <c r="B72" s="42" t="s">
        <v>78</v>
      </c>
      <c r="C72" s="46">
        <v>120000000</v>
      </c>
      <c r="D72" s="44">
        <v>43644</v>
      </c>
    </row>
    <row r="73" spans="2:4">
      <c r="B73" s="42" t="s">
        <v>79</v>
      </c>
      <c r="C73" s="46"/>
      <c r="D73" s="44"/>
    </row>
    <row r="74" spans="2:4">
      <c r="B74" s="42" t="s">
        <v>80</v>
      </c>
      <c r="C74" s="46"/>
      <c r="D74" s="44"/>
    </row>
    <row r="75" spans="2:4">
      <c r="B75" s="42" t="s">
        <v>81</v>
      </c>
      <c r="C75" s="46"/>
      <c r="D75" s="44"/>
    </row>
    <row r="76" spans="2:4">
      <c r="B76" s="42" t="s">
        <v>82</v>
      </c>
      <c r="C76" s="46"/>
      <c r="D76" s="44"/>
    </row>
    <row r="77" spans="2:4" ht="15">
      <c r="B77" s="47" t="s">
        <v>52</v>
      </c>
      <c r="C77" s="48">
        <f>SUBTOTAL(9,C58:C76)</f>
        <v>5270000000</v>
      </c>
      <c r="D77" s="49"/>
    </row>
    <row r="79" spans="2:4" ht="15">
      <c r="B79" s="39" t="s">
        <v>83</v>
      </c>
      <c r="C79" s="40" t="s">
        <v>62</v>
      </c>
      <c r="D79" s="41" t="s">
        <v>63</v>
      </c>
    </row>
    <row r="80" spans="2:4">
      <c r="B80" s="42" t="s">
        <v>64</v>
      </c>
      <c r="C80" s="43"/>
      <c r="D80" s="44"/>
    </row>
    <row r="81" spans="2:4">
      <c r="B81" s="42" t="s">
        <v>65</v>
      </c>
      <c r="C81" s="43"/>
      <c r="D81" s="44"/>
    </row>
    <row r="82" spans="2:4">
      <c r="B82" s="42" t="s">
        <v>66</v>
      </c>
      <c r="C82" s="45"/>
      <c r="D82" s="44"/>
    </row>
    <row r="83" spans="2:4">
      <c r="B83" s="42" t="s">
        <v>67</v>
      </c>
      <c r="C83" s="45"/>
      <c r="D83" s="44"/>
    </row>
    <row r="84" spans="2:4">
      <c r="B84" s="42" t="s">
        <v>68</v>
      </c>
      <c r="C84" s="45"/>
      <c r="D84" s="44"/>
    </row>
    <row r="85" spans="2:4">
      <c r="B85" s="42" t="s">
        <v>69</v>
      </c>
      <c r="C85" s="46"/>
      <c r="D85" s="44"/>
    </row>
    <row r="86" spans="2:4">
      <c r="B86" s="42" t="s">
        <v>70</v>
      </c>
      <c r="C86" s="46"/>
      <c r="D86" s="44"/>
    </row>
    <row r="87" spans="2:4">
      <c r="B87" s="42" t="s">
        <v>71</v>
      </c>
      <c r="C87" s="46"/>
      <c r="D87" s="44"/>
    </row>
    <row r="88" spans="2:4">
      <c r="B88" s="42" t="s">
        <v>72</v>
      </c>
      <c r="C88" s="46"/>
      <c r="D88" s="44"/>
    </row>
    <row r="89" spans="2:4">
      <c r="B89" s="42" t="s">
        <v>73</v>
      </c>
      <c r="C89" s="46"/>
      <c r="D89" s="44"/>
    </row>
    <row r="90" spans="2:4">
      <c r="B90" s="42" t="s">
        <v>74</v>
      </c>
      <c r="C90" s="46"/>
      <c r="D90" s="44"/>
    </row>
    <row r="91" spans="2:4">
      <c r="B91" s="42" t="s">
        <v>75</v>
      </c>
      <c r="C91" s="46"/>
      <c r="D91" s="44"/>
    </row>
    <row r="92" spans="2:4">
      <c r="B92" s="42" t="s">
        <v>76</v>
      </c>
      <c r="C92" s="46"/>
      <c r="D92" s="44"/>
    </row>
    <row r="93" spans="2:4">
      <c r="B93" s="42" t="s">
        <v>77</v>
      </c>
      <c r="C93" s="46"/>
      <c r="D93" s="44"/>
    </row>
    <row r="94" spans="2:4">
      <c r="B94" s="42" t="s">
        <v>78</v>
      </c>
      <c r="C94" s="46"/>
      <c r="D94" s="44"/>
    </row>
    <row r="95" spans="2:4">
      <c r="B95" s="42" t="s">
        <v>79</v>
      </c>
      <c r="C95" s="46"/>
      <c r="D95" s="44"/>
    </row>
    <row r="96" spans="2:4">
      <c r="B96" s="42" t="s">
        <v>80</v>
      </c>
      <c r="C96" s="46"/>
      <c r="D96" s="44"/>
    </row>
    <row r="97" spans="2:4">
      <c r="B97" s="42" t="s">
        <v>81</v>
      </c>
      <c r="C97" s="46"/>
      <c r="D97" s="44"/>
    </row>
    <row r="98" spans="2:4">
      <c r="B98" s="42" t="s">
        <v>82</v>
      </c>
      <c r="C98" s="46"/>
      <c r="D98" s="44"/>
    </row>
    <row r="99" spans="2:4" ht="15">
      <c r="B99" s="47" t="s">
        <v>52</v>
      </c>
      <c r="C99" s="48">
        <f>SUBTOTAL(9,C80:C98)</f>
        <v>0</v>
      </c>
      <c r="D99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29"/>
  <sheetViews>
    <sheetView workbookViewId="0">
      <selection activeCell="D44" sqref="D44"/>
    </sheetView>
  </sheetViews>
  <sheetFormatPr defaultRowHeight="12.75"/>
  <cols>
    <col min="2" max="2" width="19.7109375" bestFit="1" customWidth="1"/>
    <col min="3" max="3" width="16.140625" bestFit="1" customWidth="1"/>
    <col min="4" max="5" width="9.85546875" bestFit="1" customWidth="1"/>
  </cols>
  <sheetData>
    <row r="1" spans="1:5" ht="21">
      <c r="A1" s="50" t="s">
        <v>92</v>
      </c>
    </row>
    <row r="3" spans="1:5" ht="15.75">
      <c r="A3" s="51" t="s">
        <v>47</v>
      </c>
      <c r="B3" s="51" t="s">
        <v>88</v>
      </c>
      <c r="C3" s="51" t="s">
        <v>89</v>
      </c>
      <c r="D3" s="51" t="s">
        <v>90</v>
      </c>
      <c r="E3" s="51" t="s">
        <v>91</v>
      </c>
    </row>
    <row r="4" spans="1:5" ht="15">
      <c r="A4" s="27">
        <v>1</v>
      </c>
      <c r="B4" s="19"/>
      <c r="C4" s="1"/>
      <c r="D4" s="56"/>
      <c r="E4" s="1"/>
    </row>
    <row r="5" spans="1:5" ht="15">
      <c r="A5" s="27">
        <v>2</v>
      </c>
      <c r="B5" s="19"/>
      <c r="C5" s="1"/>
      <c r="D5" s="56"/>
      <c r="E5" s="1"/>
    </row>
    <row r="6" spans="1:5" ht="15">
      <c r="A6" s="27">
        <v>3</v>
      </c>
      <c r="B6" s="1"/>
      <c r="C6" s="1"/>
      <c r="D6" s="56"/>
      <c r="E6" s="1"/>
    </row>
    <row r="7" spans="1:5" ht="15">
      <c r="A7" s="27">
        <v>4</v>
      </c>
      <c r="B7" s="1"/>
      <c r="C7" s="1"/>
      <c r="D7" s="57"/>
      <c r="E7" s="1"/>
    </row>
    <row r="8" spans="1:5" ht="15">
      <c r="A8" s="27">
        <v>5</v>
      </c>
      <c r="B8" s="1"/>
      <c r="C8" s="1"/>
      <c r="D8" s="58"/>
      <c r="E8" s="1"/>
    </row>
    <row r="9" spans="1:5" ht="15">
      <c r="A9" s="27">
        <v>6</v>
      </c>
      <c r="B9" s="1"/>
      <c r="C9" s="1"/>
      <c r="D9" s="1"/>
      <c r="E9" s="1"/>
    </row>
    <row r="10" spans="1:5" ht="15">
      <c r="A10" s="27">
        <v>7</v>
      </c>
      <c r="B10" s="1"/>
      <c r="C10" s="1"/>
      <c r="D10" s="1"/>
      <c r="E10" s="1"/>
    </row>
    <row r="11" spans="1:5" ht="15">
      <c r="A11" s="27">
        <v>8</v>
      </c>
      <c r="B11" s="1"/>
      <c r="C11" s="1"/>
      <c r="D11" s="1"/>
      <c r="E11" s="1"/>
    </row>
    <row r="12" spans="1:5" ht="15">
      <c r="A12" s="27">
        <v>9</v>
      </c>
      <c r="B12" s="1"/>
      <c r="C12" s="1"/>
      <c r="D12" s="1"/>
      <c r="E12" s="1"/>
    </row>
    <row r="13" spans="1:5" ht="15">
      <c r="A13" s="27">
        <v>10</v>
      </c>
      <c r="B13" s="1"/>
      <c r="C13" s="1"/>
      <c r="D13" s="1"/>
      <c r="E13" s="1"/>
    </row>
    <row r="14" spans="1:5" ht="15">
      <c r="A14" s="27">
        <v>11</v>
      </c>
      <c r="B14" s="1"/>
      <c r="C14" s="1"/>
      <c r="D14" s="1"/>
      <c r="E14" s="1"/>
    </row>
    <row r="15" spans="1:5" ht="15">
      <c r="A15" s="27">
        <v>12</v>
      </c>
      <c r="B15" s="1"/>
      <c r="C15" s="1"/>
      <c r="D15" s="1"/>
      <c r="E15" s="1"/>
    </row>
    <row r="16" spans="1:5" ht="15">
      <c r="A16" s="27">
        <v>13</v>
      </c>
      <c r="B16" s="1"/>
      <c r="C16" s="1"/>
      <c r="D16" s="1"/>
      <c r="E16" s="1"/>
    </row>
    <row r="17" spans="1:5" ht="15">
      <c r="A17" s="27">
        <v>14</v>
      </c>
      <c r="B17" s="1"/>
      <c r="C17" s="1"/>
      <c r="D17" s="1"/>
      <c r="E17" s="1"/>
    </row>
    <row r="18" spans="1:5" ht="15">
      <c r="A18" s="27">
        <v>15</v>
      </c>
      <c r="B18" s="1"/>
      <c r="C18" s="1"/>
      <c r="D18" s="1"/>
      <c r="E18" s="1"/>
    </row>
    <row r="19" spans="1:5" ht="15">
      <c r="A19" s="27">
        <v>16</v>
      </c>
      <c r="B19" s="1"/>
      <c r="C19" s="1"/>
      <c r="D19" s="1"/>
      <c r="E19" s="1"/>
    </row>
    <row r="20" spans="1:5" ht="15">
      <c r="A20" s="27">
        <v>17</v>
      </c>
      <c r="B20" s="1"/>
      <c r="C20" s="1"/>
      <c r="D20" s="1"/>
      <c r="E20" s="1"/>
    </row>
    <row r="21" spans="1:5" ht="15">
      <c r="A21" s="27">
        <v>18</v>
      </c>
      <c r="B21" s="1"/>
      <c r="C21" s="1"/>
      <c r="D21" s="1"/>
      <c r="E21" s="1"/>
    </row>
    <row r="22" spans="1:5" ht="15">
      <c r="A22" s="27">
        <v>19</v>
      </c>
      <c r="B22" s="1"/>
      <c r="C22" s="1"/>
      <c r="D22" s="1"/>
      <c r="E22" s="1"/>
    </row>
    <row r="23" spans="1:5" ht="15">
      <c r="A23" s="27">
        <v>20</v>
      </c>
      <c r="B23" s="1"/>
      <c r="C23" s="1"/>
      <c r="D23" s="1"/>
      <c r="E23" s="1"/>
    </row>
    <row r="24" spans="1:5" ht="15">
      <c r="A24" s="27">
        <v>21</v>
      </c>
      <c r="B24" s="1"/>
      <c r="C24" s="1"/>
      <c r="D24" s="1"/>
      <c r="E24" s="1"/>
    </row>
    <row r="25" spans="1:5" ht="15">
      <c r="A25" s="27">
        <v>22</v>
      </c>
      <c r="B25" s="1"/>
      <c r="C25" s="1"/>
      <c r="D25" s="1"/>
      <c r="E25" s="1"/>
    </row>
    <row r="26" spans="1:5" ht="15">
      <c r="A26" s="27">
        <v>23</v>
      </c>
      <c r="B26" s="1"/>
      <c r="C26" s="1"/>
      <c r="D26" s="1"/>
      <c r="E26" s="1"/>
    </row>
    <row r="27" spans="1:5" ht="15">
      <c r="A27" s="27">
        <v>24</v>
      </c>
      <c r="B27" s="1"/>
      <c r="C27" s="1"/>
      <c r="D27" s="1"/>
      <c r="E27" s="1"/>
    </row>
    <row r="28" spans="1:5" ht="15">
      <c r="A28" s="27">
        <v>25</v>
      </c>
      <c r="B28" s="1"/>
      <c r="C28" s="1"/>
      <c r="D28" s="1"/>
      <c r="E28" s="1"/>
    </row>
    <row r="29" spans="1:5" ht="15">
      <c r="A29" s="27">
        <v>26</v>
      </c>
      <c r="B29" s="1"/>
      <c r="C29" s="1"/>
      <c r="D29" s="1"/>
      <c r="E2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8"/>
  <sheetViews>
    <sheetView workbookViewId="0">
      <selection activeCell="G4" sqref="G4"/>
    </sheetView>
  </sheetViews>
  <sheetFormatPr defaultColWidth="17.7109375" defaultRowHeight="12.75"/>
  <cols>
    <col min="7" max="7" width="28.5703125" customWidth="1"/>
  </cols>
  <sheetData>
    <row r="1" spans="1:11" ht="21">
      <c r="A1" s="50" t="s">
        <v>102</v>
      </c>
    </row>
    <row r="4" spans="1:11" ht="47.25">
      <c r="A4" s="54" t="s">
        <v>47</v>
      </c>
      <c r="B4" s="52" t="s">
        <v>93</v>
      </c>
      <c r="C4" s="52" t="s">
        <v>101</v>
      </c>
      <c r="D4" s="52" t="s">
        <v>94</v>
      </c>
      <c r="E4" s="52" t="s">
        <v>95</v>
      </c>
      <c r="F4" s="52" t="s">
        <v>85</v>
      </c>
      <c r="G4" s="52" t="s">
        <v>96</v>
      </c>
      <c r="H4" s="52" t="s">
        <v>97</v>
      </c>
      <c r="I4" s="52" t="s">
        <v>98</v>
      </c>
      <c r="J4" s="52" t="s">
        <v>99</v>
      </c>
      <c r="K4" s="52" t="s">
        <v>100</v>
      </c>
    </row>
    <row r="5" spans="1:11" ht="15">
      <c r="A5" s="27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5">
      <c r="A6" s="27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5">
      <c r="A7" s="27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15">
      <c r="A8" s="27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5">
      <c r="A9" s="27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15">
      <c r="A10" s="27">
        <v>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15">
      <c r="A11" s="27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15">
      <c r="A12" s="27"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15">
      <c r="A13" s="27">
        <v>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">
      <c r="A14" s="27">
        <v>10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">
      <c r="A15" s="27">
        <v>11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15">
      <c r="A16" s="27">
        <v>12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5">
      <c r="A17" s="27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5">
      <c r="A18" s="27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5">
      <c r="A19" s="27">
        <v>15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5">
      <c r="A20" s="27">
        <v>16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5">
      <c r="A21" s="27">
        <v>17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15">
      <c r="A22" s="27">
        <v>18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15">
      <c r="A23" s="27">
        <v>19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5">
      <c r="A24" s="27">
        <v>20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5">
      <c r="A25" s="27">
        <v>21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15">
      <c r="A26" s="27">
        <v>22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5">
      <c r="A27" s="27">
        <v>23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15">
      <c r="A28" s="27">
        <v>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15">
      <c r="A29" s="27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5">
      <c r="A30" s="27">
        <v>26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">
      <c r="A31" s="27">
        <v>27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">
      <c r="A32" s="27">
        <v>28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>
      <c r="A33" s="27">
        <v>29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">
      <c r="A34" s="27">
        <v>30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">
      <c r="A35" s="27">
        <v>31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">
      <c r="A36" s="27">
        <v>32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5">
      <c r="A37" s="27">
        <v>33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5.75">
      <c r="A38" s="55"/>
      <c r="B38" s="53"/>
      <c r="C38" s="53"/>
      <c r="D38" s="53"/>
      <c r="E38" s="53"/>
      <c r="F38" s="53">
        <f>SUBTOTAL(9,F5:F37)</f>
        <v>0</v>
      </c>
      <c r="G38" s="53">
        <f>SUBTOTAL(9,G5:G37)</f>
        <v>0</v>
      </c>
      <c r="H38" s="53"/>
      <c r="I38" s="53"/>
      <c r="J38" s="53">
        <f>SUBTOTAL(9,J5:J37)</f>
        <v>0</v>
      </c>
      <c r="K3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Customer MIS </vt:lpstr>
      <vt:lpstr>Construction Update </vt:lpstr>
      <vt:lpstr>Construction Status</vt:lpstr>
      <vt:lpstr>Payment Details </vt:lpstr>
      <vt:lpstr>Approvals Status </vt:lpstr>
      <vt:lpstr>NOC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Tarun</dc:creator>
  <cp:lastModifiedBy>mohd shahid</cp:lastModifiedBy>
  <cp:lastPrinted>2023-01-18T08:42:51Z</cp:lastPrinted>
  <dcterms:created xsi:type="dcterms:W3CDTF">2016-05-26T05:48:21Z</dcterms:created>
  <dcterms:modified xsi:type="dcterms:W3CDTF">2023-04-07T11:16:43Z</dcterms:modified>
</cp:coreProperties>
</file>