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Z:\In Progress Files\Manas Upmanyu\VIS(2023-24)-PL028-024-024_Ms. AIMIL Limited, Chennai\Report\"/>
    </mc:Choice>
  </mc:AlternateContent>
  <xr:revisionPtr revIDLastSave="0" documentId="13_ncr:1_{78463DC8-CB92-40EC-A752-2350ECEB6F38}" xr6:coauthVersionLast="47" xr6:coauthVersionMax="47" xr10:uidLastSave="{00000000-0000-0000-0000-000000000000}"/>
  <bookViews>
    <workbookView showVerticalScroll="0" xWindow="-120" yWindow="-120" windowWidth="20730" windowHeight="11160" xr2:uid="{00000000-000D-0000-FFFF-FFFF00000000}"/>
  </bookViews>
  <sheets>
    <sheet name="Building Valuation" sheetId="1" r:id="rId1"/>
    <sheet name="Building Area Details" sheetId="3" state="hidden" r:id="rId2"/>
    <sheet name="Land" sheetId="4" r:id="rId3"/>
  </sheets>
  <definedNames>
    <definedName name="_xlnm.Print_Area" localSheetId="0">'Building Valuation'!$B$1:$T$11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7" i="1"/>
  <c r="F5" i="1"/>
  <c r="F6" i="1"/>
  <c r="G6" i="1" s="1"/>
  <c r="F7" i="1"/>
  <c r="W7" i="1" s="1"/>
  <c r="W4" i="1"/>
  <c r="P27" i="1"/>
  <c r="P26" i="1"/>
  <c r="P28" i="1" s="1"/>
  <c r="L28" i="1"/>
  <c r="E19" i="4"/>
  <c r="E4" i="4"/>
  <c r="E9" i="4" s="1"/>
  <c r="D12" i="4"/>
  <c r="D11" i="4"/>
  <c r="Y14" i="1"/>
  <c r="Y10" i="1"/>
  <c r="K6" i="1"/>
  <c r="K7" i="1"/>
  <c r="N7" i="1"/>
  <c r="G10" i="3"/>
  <c r="W5" i="1"/>
  <c r="P19" i="1"/>
  <c r="P20" i="1" s="1"/>
  <c r="T18" i="1"/>
  <c r="E16" i="4"/>
  <c r="E15" i="4"/>
  <c r="E21" i="4"/>
  <c r="U35" i="1"/>
  <c r="T35" i="1"/>
  <c r="P35" i="1"/>
  <c r="L35" i="1"/>
  <c r="K35" i="1"/>
  <c r="B2" i="1"/>
  <c r="W6" i="1"/>
  <c r="F10" i="3"/>
  <c r="F8" i="1" l="1"/>
  <c r="W8" i="1"/>
  <c r="P7" i="1"/>
  <c r="Q7" i="1" s="1"/>
  <c r="R7" i="1" s="1"/>
  <c r="T7" i="1" s="1"/>
  <c r="P21" i="1"/>
  <c r="B8" i="3"/>
  <c r="G8" i="1" l="1"/>
  <c r="P4" i="1"/>
  <c r="N6" i="1" l="1"/>
  <c r="K5" i="1"/>
  <c r="P5" i="1" l="1"/>
  <c r="N5" i="1"/>
  <c r="Q5" i="1" l="1"/>
  <c r="R5" i="1" s="1"/>
  <c r="T5" i="1" l="1"/>
  <c r="X5" i="1" s="1"/>
  <c r="N4" i="1"/>
  <c r="K4" i="1" l="1"/>
  <c r="Q4" i="1" s="1"/>
  <c r="R4" i="1" l="1"/>
  <c r="T4" i="1" l="1"/>
  <c r="Z4" i="1" s="1"/>
  <c r="X4" i="1" l="1"/>
  <c r="P6" i="1"/>
  <c r="P8" i="1" s="1"/>
  <c r="I15" i="1" s="1"/>
  <c r="Q6" i="1" l="1"/>
  <c r="R6" i="1" s="1"/>
  <c r="R8" i="1" s="1"/>
  <c r="T6" i="1" l="1"/>
  <c r="T8" i="1" l="1"/>
  <c r="E10" i="4" s="1"/>
  <c r="E13" i="4" s="1"/>
  <c r="X6" i="1"/>
</calcChain>
</file>

<file path=xl/sharedStrings.xml><?xml version="1.0" encoding="utf-8"?>
<sst xmlns="http://schemas.openxmlformats.org/spreadsheetml/2006/main" count="82" uniqueCount="61">
  <si>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</si>
  <si>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</si>
  <si>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</si>
  <si>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</si>
  <si>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</si>
  <si>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</si>
  <si>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</si>
  <si>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>Discounting Factor</t>
  </si>
  <si>
    <t>Remarks:</t>
  </si>
  <si>
    <t>First Floor</t>
  </si>
  <si>
    <t xml:space="preserve"> RCC frame structure with  brick wall </t>
  </si>
  <si>
    <r>
      <t>2.</t>
    </r>
    <r>
      <rPr>
        <b/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</si>
  <si>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Sr. No.</t>
  </si>
  <si>
    <t>Gross Replacement Value</t>
  </si>
  <si>
    <t>Depreciation</t>
  </si>
  <si>
    <t>Depreciated Value</t>
  </si>
  <si>
    <t>Depreciated Replacement Market Value</t>
  </si>
  <si>
    <t>Area
(in sq.mtr.)</t>
  </si>
  <si>
    <t>Area
(in sq.ft.)</t>
  </si>
  <si>
    <t>Height (in ft.)</t>
  </si>
  <si>
    <t>Total Life Consumed 
(in years)</t>
  </si>
  <si>
    <t>Total Economical Life
(in years)</t>
  </si>
  <si>
    <t>Plinth Area  Rate 
(in per sq.ft.)</t>
  </si>
  <si>
    <t>Ground Floor</t>
  </si>
  <si>
    <r>
      <t xml:space="preserve">Area
</t>
    </r>
    <r>
      <rPr>
        <b/>
        <i/>
        <sz val="9"/>
        <rFont val="Calibri"/>
        <family val="2"/>
        <scheme val="minor"/>
      </rPr>
      <t>(in sq.mtr.)</t>
    </r>
  </si>
  <si>
    <r>
      <t xml:space="preserve">Height </t>
    </r>
    <r>
      <rPr>
        <b/>
        <sz val="9"/>
        <rFont val="Calibri"/>
        <family val="2"/>
        <scheme val="minor"/>
      </rPr>
      <t>(</t>
    </r>
    <r>
      <rPr>
        <b/>
        <i/>
        <sz val="9"/>
        <rFont val="Calibri"/>
        <family val="2"/>
        <scheme val="minor"/>
      </rPr>
      <t>in ft.)</t>
    </r>
  </si>
  <si>
    <r>
      <t xml:space="preserve">Area
</t>
    </r>
    <r>
      <rPr>
        <b/>
        <i/>
        <sz val="9"/>
        <rFont val="Calibri"/>
        <family val="2"/>
        <scheme val="minor"/>
      </rPr>
      <t>(in sq.ft.)</t>
    </r>
  </si>
  <si>
    <t>Guideline Value
(in Rs.)</t>
  </si>
  <si>
    <t>Particulars</t>
  </si>
  <si>
    <t xml:space="preserve"> RCC frame structure with brick wall </t>
  </si>
  <si>
    <t>Rate</t>
  </si>
  <si>
    <t>Guideline Rate</t>
  </si>
  <si>
    <t>sq.mtr.</t>
  </si>
  <si>
    <t>Guideline Rate
(in Rs. per sq.mtr.)</t>
  </si>
  <si>
    <t>Age Factor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</si>
  <si>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pertaining to the building area statement such as area, floor, etc. has been taken on the basis of the measurement by the surveyor during the site survey.</t>
    </r>
  </si>
  <si>
    <t>Land Value</t>
  </si>
  <si>
    <t>Rate Adopted</t>
  </si>
  <si>
    <t>LAND VALUE</t>
  </si>
  <si>
    <t>Building Value</t>
  </si>
  <si>
    <t>Total Value</t>
  </si>
  <si>
    <t>Second Floor</t>
  </si>
  <si>
    <r>
      <t>3.</t>
    </r>
    <r>
      <rPr>
        <b/>
        <i/>
        <sz val="10"/>
        <color theme="1"/>
        <rFont val="Calibri"/>
        <family val="2"/>
        <scheme val="minor"/>
      </rPr>
      <t xml:space="preserve"> All the building structures are situated at Khata Khatauni No. 197, Fasli Year 1414 To 1419, Khasra No. 423, Mauja Tapovan, Pargana Tehsil Narendrranagar, District Tehri Garhwal, Uttarakhand.</t>
    </r>
  </si>
  <si>
    <t xml:space="preserve">Guideline </t>
  </si>
  <si>
    <t>Third Floor</t>
  </si>
  <si>
    <t>Fourth Floor</t>
  </si>
  <si>
    <t>Reception, play area, café, kitchen, 1 washroom</t>
  </si>
  <si>
    <t>3 private rooms, 2 rooms, 7 washrooms</t>
  </si>
  <si>
    <t>4 rooms, 4 washrooms</t>
  </si>
  <si>
    <t>3 rooms, 3 washrooms</t>
  </si>
  <si>
    <t>1 hall, 1 washroom</t>
  </si>
  <si>
    <t xml:space="preserve"> RCC frame structure with Tin shed roof</t>
  </si>
  <si>
    <t>Stilt Floor</t>
  </si>
  <si>
    <t>Plot Area</t>
  </si>
  <si>
    <t>sq.ft.</t>
  </si>
  <si>
    <t>per sq.ft.</t>
  </si>
  <si>
    <t>Boundary Wall</t>
  </si>
  <si>
    <t>insurance</t>
  </si>
  <si>
    <t>Pavement</t>
  </si>
  <si>
    <t>10,000 - 12,000</t>
  </si>
  <si>
    <t xml:space="preserve"> RCC frame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</si>
</sst>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&quot;₹&quot;\ * #,##0.0000_ ;_ &quot;₹&quot;\ * \-#,##0.0000_ ;_ &quot;₹&quot;\ * &quot;-&quot;????_ ;_ @_ "/>
    <numFmt numFmtId="168" formatCode="_ * #,##0.0_ ;_ * \-#,##0.0_ ;_ * &quot;-&quot;?_ ;_ @_ "/>
    <numFmt numFmtId="169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5" fillId="2" borderId="1" xfId="3" applyNumberFormat="1" applyFont="1" applyFill="1" applyBorder="1" applyAlignment="1">
      <alignment horizontal="center" vertical="center" wrapText="1"/>
    </xf>
    <xf numFmtId="164" fontId="0" fillId="0" borderId="0" xfId="3" applyNumberFormat="1" applyFont="1" applyAlignment="1">
      <alignment horizontal="center"/>
    </xf>
    <xf numFmtId="164" fontId="0" fillId="0" borderId="1" xfId="3" applyNumberFormat="1" applyFont="1" applyBorder="1" applyAlignment="1">
      <alignment horizontal="center" vertical="center"/>
    </xf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7" fontId="0" fillId="0" borderId="0" xfId="0" applyNumberFormat="1"/>
    <xf numFmtId="2" fontId="2" fillId="0" borderId="4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/>
    </xf>
    <xf numFmtId="164" fontId="0" fillId="0" borderId="0" xfId="3" applyNumberFormat="1" applyFont="1"/>
    <xf numFmtId="43" fontId="0" fillId="0" borderId="0" xfId="3" applyFont="1" applyBorder="1" applyAlignment="1">
      <alignment horizontal="center" vertical="center" wrapText="1"/>
    </xf>
    <xf numFmtId="164" fontId="0" fillId="0" borderId="0" xfId="3" applyNumberFormat="1" applyFont="1" applyBorder="1" applyAlignment="1">
      <alignment horizontal="center" wrapText="1"/>
    </xf>
    <xf numFmtId="166" fontId="0" fillId="0" borderId="0" xfId="1" applyNumberFormat="1" applyFont="1"/>
    <xf numFmtId="168" fontId="0" fillId="0" borderId="0" xfId="0" applyNumberFormat="1"/>
    <xf numFmtId="0" fontId="5" fillId="4" borderId="1" xfId="0" applyFont="1" applyFill="1" applyBorder="1" applyAlignment="1">
      <alignment horizontal="center" vertical="center" wrapText="1"/>
    </xf>
    <xf numFmtId="166" fontId="0" fillId="0" borderId="1" xfId="1" applyNumberFormat="1" applyFont="1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center" vertical="center" wrapText="1"/>
    </xf>
    <xf numFmtId="164" fontId="2" fillId="0" borderId="0" xfId="3" applyNumberFormat="1" applyFont="1" applyBorder="1" applyAlignment="1">
      <alignment horizontal="center" vertical="center" wrapText="1"/>
    </xf>
    <xf numFmtId="164" fontId="0" fillId="0" borderId="0" xfId="3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0" xfId="3" applyNumberFormat="1" applyFont="1"/>
    <xf numFmtId="164" fontId="2" fillId="0" borderId="0" xfId="3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3" applyNumberFormat="1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 vertical="center" wrapText="1"/>
    </xf>
    <xf numFmtId="166" fontId="0" fillId="0" borderId="0" xfId="1" applyNumberFormat="1" applyFont="1" applyAlignment="1">
      <alignment wrapText="1"/>
    </xf>
    <xf numFmtId="166" fontId="2" fillId="0" borderId="0" xfId="0" applyNumberFormat="1" applyFont="1" applyAlignment="1">
      <alignment wrapText="1"/>
    </xf>
    <xf numFmtId="164" fontId="0" fillId="0" borderId="0" xfId="3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169" fontId="0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166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wrapText="1"/>
    </xf>
    <xf numFmtId="43" fontId="0" fillId="0" borderId="0" xfId="3" applyFont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1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" fontId="0" fillId="0" borderId="0" xfId="0" applyNumberFormat="1" applyAlignment="1">
      <alignment vertical="center"/>
    </xf>
    <xf numFmtId="164" fontId="0" fillId="0" borderId="0" xfId="3" applyNumberFormat="1" applyFont="1" applyAlignment="1">
      <alignment vertical="center"/>
    </xf>
    <xf numFmtId="164" fontId="2" fillId="0" borderId="1" xfId="3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1" fillId="0" borderId="1" xfId="3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164" fontId="1" fillId="0" borderId="0" xfId="3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6" fontId="2" fillId="0" borderId="2" xfId="1" applyNumberFormat="1" applyFont="1" applyBorder="1" applyAlignment="1">
      <alignment horizontal="center" vertical="center"/>
    </xf>
    <xf numFmtId="166" fontId="2" fillId="0" borderId="4" xfId="1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64" fontId="2" fillId="0" borderId="5" xfId="3" applyNumberFormat="1" applyFont="1" applyBorder="1" applyAlignment="1">
      <alignment horizontal="center" vertical="center"/>
    </xf>
    <xf numFmtId="164" fontId="2" fillId="0" borderId="6" xfId="3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35"/>
  <sheetViews>
    <sheetView tabSelected="1" zoomScale="85" zoomScaleNormal="85" zoomScaleSheetLayoutView="85" workbookViewId="0">
      <selection activeCell="Y3" sqref="Y3"/>
    </sheetView>
  </sheetViews>
  <sheetFormatPr defaultRowHeight="15" x14ac:dyDescent="0.25"/>
  <cols>
    <col min="1" max="1" width="5.140625" customWidth="1"/>
    <col min="2" max="2" width="6.5703125" customWidth="1"/>
    <col min="3" max="3" width="12.7109375" style="14" customWidth="1"/>
    <col min="4" max="4" width="15" style="14" hidden="1" customWidth="1"/>
    <col min="5" max="5" width="20.42578125" style="14" customWidth="1"/>
    <col min="6" max="6" width="9.42578125" style="14" customWidth="1"/>
    <col min="7" max="7" width="8.85546875" style="17" customWidth="1"/>
    <col min="8" max="8" width="8.85546875" customWidth="1"/>
    <col min="9" max="9" width="12.42578125" customWidth="1"/>
    <col min="10" max="10" width="11.7109375" hidden="1" customWidth="1"/>
    <col min="11" max="12" width="11.140625" customWidth="1"/>
    <col min="13" max="13" width="7.7109375" hidden="1" customWidth="1"/>
    <col min="14" max="14" width="16.28515625" hidden="1" customWidth="1"/>
    <col min="15" max="15" width="12.85546875" customWidth="1"/>
    <col min="16" max="16" width="14.28515625" bestFit="1" customWidth="1"/>
    <col min="17" max="17" width="13.42578125" hidden="1" customWidth="1"/>
    <col min="18" max="18" width="16.140625" hidden="1" customWidth="1"/>
    <col min="19" max="19" width="14.28515625" hidden="1" customWidth="1"/>
    <col min="20" max="20" width="15.42578125" style="15" bestFit="1" customWidth="1"/>
    <col min="21" max="21" width="9.85546875" style="15" hidden="1" customWidth="1"/>
    <col min="22" max="22" width="6.85546875" style="15" hidden="1" customWidth="1"/>
    <col min="23" max="23" width="14.42578125" style="15" hidden="1" customWidth="1"/>
    <col min="24" max="24" width="17" bestFit="1" customWidth="1"/>
    <col min="25" max="25" width="16.42578125" bestFit="1" customWidth="1"/>
    <col min="26" max="27" width="15.42578125" bestFit="1" customWidth="1"/>
  </cols>
  <sheetData>
    <row r="2" spans="2:27" ht="53.25" customHeight="1" x14ac:dyDescent="0.25">
      <c r="B2" s="78" t="str">
        <f>UPPER(("BUILDING VALUATION
SITUATED AT KHATA KHATAUNI NO. 197, FASLI YEAR 1414 TO 1419, KHASRA NO. 423, MAUJA TAPOVAN, PARGANA TEHSIL NARENDRRANAGAR, DISTRICT TEHRI GARHWAL, UTTARAKHAND"))</f>
        <v>BUILDING VALUATION
SITUATED AT KHATA KHATAUNI NO. 197, FASLI YEAR 1414 TO 1419, KHASRA NO. 423, MAUJA TAPOVAN, PARGANA TEHSIL NARENDRRANAGAR, DISTRICT TEHRI GARHWAL, UTTARAKHAND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80"/>
    </row>
    <row r="3" spans="2:27" s="12" customFormat="1" ht="60" x14ac:dyDescent="0.25">
      <c r="B3" s="10" t="s">
        <v>12</v>
      </c>
      <c r="C3" s="11" t="s">
        <v>0</v>
      </c>
      <c r="D3" s="11" t="s">
        <v>28</v>
      </c>
      <c r="E3" s="11" t="s">
        <v>3</v>
      </c>
      <c r="F3" s="11" t="s">
        <v>17</v>
      </c>
      <c r="G3" s="16" t="s">
        <v>18</v>
      </c>
      <c r="H3" s="11" t="s">
        <v>19</v>
      </c>
      <c r="I3" s="11" t="s">
        <v>1</v>
      </c>
      <c r="J3" s="35" t="s">
        <v>2</v>
      </c>
      <c r="K3" s="11" t="s">
        <v>20</v>
      </c>
      <c r="L3" s="11" t="s">
        <v>21</v>
      </c>
      <c r="M3" s="35" t="s">
        <v>4</v>
      </c>
      <c r="N3" s="35" t="s">
        <v>6</v>
      </c>
      <c r="O3" s="11" t="s">
        <v>22</v>
      </c>
      <c r="P3" s="11" t="s">
        <v>13</v>
      </c>
      <c r="Q3" s="35" t="s">
        <v>14</v>
      </c>
      <c r="R3" s="35" t="s">
        <v>15</v>
      </c>
      <c r="S3" s="35" t="s">
        <v>7</v>
      </c>
      <c r="T3" s="11" t="s">
        <v>16</v>
      </c>
      <c r="U3" s="11" t="s">
        <v>33</v>
      </c>
      <c r="V3" s="11" t="s">
        <v>34</v>
      </c>
      <c r="W3" s="11" t="s">
        <v>27</v>
      </c>
    </row>
    <row r="4" spans="2:27" x14ac:dyDescent="0.25">
      <c r="B4" s="2">
        <v>1</v>
      </c>
      <c r="C4" s="13" t="s">
        <v>52</v>
      </c>
      <c r="D4" s="13"/>
      <c r="E4" s="13" t="s">
        <v>60</v>
      </c>
      <c r="F4" s="38">
        <v>28.19</v>
      </c>
      <c r="G4" s="59">
        <f>F4*10.7639</f>
        <v>303.43434100000002</v>
      </c>
      <c r="H4" s="8">
        <v>10</v>
      </c>
      <c r="I4" s="2">
        <v>2013</v>
      </c>
      <c r="J4" s="2">
        <v>2023</v>
      </c>
      <c r="K4" s="2">
        <f>J4-I4</f>
        <v>10</v>
      </c>
      <c r="L4" s="2">
        <v>60</v>
      </c>
      <c r="M4" s="3">
        <v>0.1</v>
      </c>
      <c r="N4" s="4">
        <f>(1-M4)/L4</f>
        <v>1.5000000000000001E-2</v>
      </c>
      <c r="O4" s="36">
        <v>1300</v>
      </c>
      <c r="P4" s="36">
        <f>O4*G4</f>
        <v>394464.6433</v>
      </c>
      <c r="Q4" s="36">
        <f t="shared" ref="Q4" si="0">P4*N4*K4</f>
        <v>59169.696495000011</v>
      </c>
      <c r="R4" s="36">
        <f t="shared" ref="R4" si="1">MAX(P4-Q4,0)</f>
        <v>335294.94680499996</v>
      </c>
      <c r="S4" s="37">
        <v>0</v>
      </c>
      <c r="T4" s="36">
        <f t="shared" ref="T4:T6" si="2">IF(R4&gt;M4*P4,R4*(1-S4),P4*M4)</f>
        <v>335294.94680499996</v>
      </c>
      <c r="U4" s="36"/>
      <c r="V4" s="53">
        <v>1</v>
      </c>
      <c r="W4" s="36">
        <f>U4*F4*V4</f>
        <v>0</v>
      </c>
      <c r="X4" s="9">
        <f>T4/G4</f>
        <v>1104.9999999999998</v>
      </c>
      <c r="Y4" s="1"/>
      <c r="Z4" s="19">
        <f>T4/P4</f>
        <v>0.84999999999999987</v>
      </c>
    </row>
    <row r="5" spans="2:27" ht="30" x14ac:dyDescent="0.25">
      <c r="B5" s="2">
        <v>2</v>
      </c>
      <c r="C5" s="13" t="s">
        <v>9</v>
      </c>
      <c r="D5" s="13"/>
      <c r="E5" s="13" t="s">
        <v>10</v>
      </c>
      <c r="F5" s="38">
        <f>206.64+10.17</f>
        <v>216.80999999999997</v>
      </c>
      <c r="G5" s="59">
        <f t="shared" ref="G5:G7" si="3">F5*10.7639</f>
        <v>2333.7211589999997</v>
      </c>
      <c r="H5" s="8">
        <v>10</v>
      </c>
      <c r="I5" s="2">
        <v>2013</v>
      </c>
      <c r="J5" s="2">
        <v>2023</v>
      </c>
      <c r="K5" s="2">
        <f>J5-I5</f>
        <v>10</v>
      </c>
      <c r="L5" s="2">
        <v>60</v>
      </c>
      <c r="M5" s="3">
        <v>0.1</v>
      </c>
      <c r="N5" s="4">
        <f>(1-M5)/L5</f>
        <v>1.5000000000000001E-2</v>
      </c>
      <c r="O5" s="36">
        <v>1600</v>
      </c>
      <c r="P5" s="5">
        <f>O5*G5</f>
        <v>3733953.8543999996</v>
      </c>
      <c r="Q5" s="5">
        <f>P5*N5*K5</f>
        <v>560093.07816000003</v>
      </c>
      <c r="R5" s="5">
        <f>MAX(P5-Q5,0)</f>
        <v>3173860.7762399996</v>
      </c>
      <c r="S5" s="37">
        <v>0</v>
      </c>
      <c r="T5" s="5">
        <f t="shared" si="2"/>
        <v>3173860.7762399996</v>
      </c>
      <c r="U5" s="36"/>
      <c r="V5" s="53">
        <v>1</v>
      </c>
      <c r="W5" s="36">
        <f t="shared" ref="W5:W6" si="4">U5*F5*V5</f>
        <v>0</v>
      </c>
      <c r="X5" s="9">
        <f t="shared" ref="X5:X6" si="5">T5/G5</f>
        <v>1360</v>
      </c>
      <c r="Y5" s="1"/>
      <c r="Z5" s="1"/>
    </row>
    <row r="6" spans="2:27" ht="30" x14ac:dyDescent="0.25">
      <c r="B6" s="2">
        <v>3</v>
      </c>
      <c r="C6" s="13" t="s">
        <v>41</v>
      </c>
      <c r="D6" s="13"/>
      <c r="E6" s="13" t="s">
        <v>10</v>
      </c>
      <c r="F6" s="38">
        <f t="shared" ref="F6:F7" si="6">206.64+10.17</f>
        <v>216.80999999999997</v>
      </c>
      <c r="G6" s="59">
        <f t="shared" si="3"/>
        <v>2333.7211589999997</v>
      </c>
      <c r="H6" s="8">
        <v>10</v>
      </c>
      <c r="I6" s="2">
        <v>2013</v>
      </c>
      <c r="J6" s="2">
        <v>2023</v>
      </c>
      <c r="K6" s="2">
        <f>J6-I6</f>
        <v>10</v>
      </c>
      <c r="L6" s="2">
        <v>60</v>
      </c>
      <c r="M6" s="3">
        <v>0.1</v>
      </c>
      <c r="N6" s="4">
        <f>(1-M6)/L6</f>
        <v>1.5000000000000001E-2</v>
      </c>
      <c r="O6" s="36">
        <v>1600</v>
      </c>
      <c r="P6" s="5">
        <f>O6*G6</f>
        <v>3733953.8543999996</v>
      </c>
      <c r="Q6" s="5">
        <f>P6*N6*K6</f>
        <v>560093.07816000003</v>
      </c>
      <c r="R6" s="5">
        <f>MAX(P6-Q6,0)</f>
        <v>3173860.7762399996</v>
      </c>
      <c r="S6" s="37">
        <v>0</v>
      </c>
      <c r="T6" s="5">
        <f t="shared" si="2"/>
        <v>3173860.7762399996</v>
      </c>
      <c r="U6" s="36"/>
      <c r="V6" s="53">
        <v>1</v>
      </c>
      <c r="W6" s="36">
        <f t="shared" si="4"/>
        <v>0</v>
      </c>
      <c r="X6" s="9">
        <f t="shared" si="5"/>
        <v>1360</v>
      </c>
      <c r="Y6" s="1"/>
      <c r="Z6" s="1"/>
    </row>
    <row r="7" spans="2:27" ht="30" x14ac:dyDescent="0.25">
      <c r="B7" s="2">
        <v>4</v>
      </c>
      <c r="C7" s="13" t="s">
        <v>44</v>
      </c>
      <c r="D7" s="13"/>
      <c r="E7" s="13" t="s">
        <v>10</v>
      </c>
      <c r="F7" s="38">
        <f t="shared" si="6"/>
        <v>216.80999999999997</v>
      </c>
      <c r="G7" s="59">
        <f t="shared" si="3"/>
        <v>2333.7211589999997</v>
      </c>
      <c r="H7" s="8">
        <v>10</v>
      </c>
      <c r="I7" s="2">
        <v>2013</v>
      </c>
      <c r="J7" s="2">
        <v>2023</v>
      </c>
      <c r="K7" s="2">
        <f>J7-I7</f>
        <v>10</v>
      </c>
      <c r="L7" s="2">
        <v>60</v>
      </c>
      <c r="M7" s="3">
        <v>0.1</v>
      </c>
      <c r="N7" s="4">
        <f>(1-M7)/L7</f>
        <v>1.5000000000000001E-2</v>
      </c>
      <c r="O7" s="36">
        <v>1600</v>
      </c>
      <c r="P7" s="5">
        <f>O7*G7</f>
        <v>3733953.8543999996</v>
      </c>
      <c r="Q7" s="5">
        <f>P7*N7*K7</f>
        <v>560093.07816000003</v>
      </c>
      <c r="R7" s="5">
        <f>MAX(P7-Q7,0)</f>
        <v>3173860.7762399996</v>
      </c>
      <c r="S7" s="37">
        <v>0</v>
      </c>
      <c r="T7" s="5">
        <f t="shared" ref="T7" si="7">IF(R7&gt;M7*P7,R7*(1-S7),P7*M7)</f>
        <v>3173860.7762399996</v>
      </c>
      <c r="U7" s="36"/>
      <c r="V7" s="53">
        <v>1</v>
      </c>
      <c r="W7" s="36">
        <f t="shared" ref="W7" si="8">U7*F7*V7</f>
        <v>0</v>
      </c>
      <c r="X7" s="9"/>
      <c r="Y7" s="1"/>
      <c r="Z7" s="1"/>
    </row>
    <row r="8" spans="2:27" x14ac:dyDescent="0.25">
      <c r="B8" s="81" t="s">
        <v>5</v>
      </c>
      <c r="C8" s="81"/>
      <c r="D8" s="81"/>
      <c r="E8" s="81"/>
      <c r="F8" s="42">
        <f>SUM(F4:F7)</f>
        <v>678.61999999999989</v>
      </c>
      <c r="G8" s="42">
        <f>SUM(G4:G7)</f>
        <v>7304.5978179999993</v>
      </c>
      <c r="H8" s="82"/>
      <c r="I8" s="83"/>
      <c r="J8" s="83"/>
      <c r="K8" s="83"/>
      <c r="L8" s="83"/>
      <c r="M8" s="83"/>
      <c r="N8" s="83"/>
      <c r="O8" s="84"/>
      <c r="P8" s="6">
        <f>SUM(P4:P7)</f>
        <v>11596326.206499999</v>
      </c>
      <c r="Q8" s="6"/>
      <c r="R8" s="6">
        <f>SUM(R4:R6)</f>
        <v>6683016.4992849994</v>
      </c>
      <c r="S8" s="6"/>
      <c r="T8" s="6">
        <f>SUM(T4:T7)</f>
        <v>9856877.2755249999</v>
      </c>
      <c r="U8" s="85"/>
      <c r="V8" s="86"/>
      <c r="W8" s="6">
        <f>SUM(W4:W7)</f>
        <v>0</v>
      </c>
      <c r="X8" s="9"/>
    </row>
    <row r="9" spans="2:27" x14ac:dyDescent="0.25">
      <c r="B9" s="76" t="s">
        <v>8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61"/>
      <c r="V9" s="61"/>
      <c r="W9" s="62"/>
      <c r="X9" s="9"/>
    </row>
    <row r="10" spans="2:27" ht="15" customHeight="1" x14ac:dyDescent="0.25">
      <c r="B10" s="76" t="s">
        <v>35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63"/>
      <c r="V10" s="63"/>
      <c r="W10" s="64"/>
      <c r="X10" s="9"/>
      <c r="Y10">
        <f>71*4000</f>
        <v>284000</v>
      </c>
    </row>
    <row r="11" spans="2:27" x14ac:dyDescent="0.25">
      <c r="B11" s="76" t="s">
        <v>11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61"/>
      <c r="V11" s="61"/>
      <c r="W11" s="62"/>
      <c r="X11" s="9"/>
      <c r="Y11" s="25"/>
      <c r="AA11" s="30"/>
    </row>
    <row r="12" spans="2:27" ht="30" customHeight="1" x14ac:dyDescent="0.25">
      <c r="B12" s="77" t="s">
        <v>42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61"/>
      <c r="V12" s="61"/>
      <c r="W12" s="62"/>
      <c r="X12" s="9"/>
      <c r="AA12" s="1"/>
    </row>
    <row r="13" spans="2:27" x14ac:dyDescent="0.25">
      <c r="T13" s="28"/>
      <c r="U13" s="28"/>
      <c r="V13" s="28"/>
      <c r="W13" s="28"/>
      <c r="X13" s="9"/>
      <c r="AA13" s="30"/>
    </row>
    <row r="14" spans="2:27" x14ac:dyDescent="0.25">
      <c r="T14" s="29"/>
      <c r="X14" s="9"/>
      <c r="Y14">
        <f>527.5*43060</f>
        <v>22714150</v>
      </c>
      <c r="AA14" s="19"/>
    </row>
    <row r="15" spans="2:27" x14ac:dyDescent="0.25">
      <c r="C15" s="21"/>
      <c r="D15" s="40"/>
      <c r="E15" s="24"/>
      <c r="F15" s="41"/>
      <c r="H15" t="s">
        <v>57</v>
      </c>
      <c r="I15" s="46">
        <f>(90%*P8)*Z4</f>
        <v>8871189.5479724985</v>
      </c>
      <c r="P15" s="54"/>
      <c r="Q15" s="54"/>
      <c r="R15" s="54"/>
      <c r="S15" s="54"/>
      <c r="T15" s="55"/>
      <c r="U15" s="29"/>
      <c r="V15" s="29"/>
      <c r="W15" s="29"/>
    </row>
    <row r="16" spans="2:27" x14ac:dyDescent="0.25">
      <c r="C16" s="21"/>
      <c r="E16" s="51"/>
      <c r="G16" s="46"/>
      <c r="H16" s="47"/>
      <c r="T16" s="29"/>
      <c r="U16" s="29"/>
      <c r="V16" s="29"/>
      <c r="W16" s="29"/>
      <c r="Z16" s="30"/>
    </row>
    <row r="17" spans="3:27" ht="15" customHeight="1" x14ac:dyDescent="0.25">
      <c r="C17" s="23"/>
      <c r="D17" s="22"/>
      <c r="E17" s="48"/>
      <c r="F17" s="41"/>
      <c r="G17" s="46"/>
      <c r="H17" s="47"/>
      <c r="P17">
        <v>169.36</v>
      </c>
      <c r="Z17" s="30"/>
    </row>
    <row r="18" spans="3:27" x14ac:dyDescent="0.25">
      <c r="D18" s="31"/>
      <c r="E18" s="48"/>
      <c r="F18" s="20"/>
      <c r="G18" s="46"/>
      <c r="H18" s="47"/>
      <c r="P18" s="57">
        <v>1822.97587</v>
      </c>
      <c r="T18" s="58">
        <f>1.35*P18</f>
        <v>2461.0174245000003</v>
      </c>
      <c r="U18" s="27"/>
      <c r="V18" s="27"/>
      <c r="W18" s="27"/>
      <c r="Z18" s="30"/>
      <c r="AA18" s="30"/>
    </row>
    <row r="19" spans="3:27" x14ac:dyDescent="0.25">
      <c r="D19" s="32"/>
      <c r="E19" s="24"/>
      <c r="F19" s="20"/>
      <c r="G19" s="46"/>
      <c r="H19" s="47"/>
      <c r="P19" s="19">
        <f>P18*50%</f>
        <v>911.48793499999999</v>
      </c>
      <c r="T19" s="27"/>
      <c r="U19" s="27"/>
      <c r="V19" s="27"/>
      <c r="W19" s="27"/>
      <c r="Z19" s="30"/>
      <c r="AA19" s="34"/>
    </row>
    <row r="20" spans="3:27" x14ac:dyDescent="0.25">
      <c r="E20" s="49"/>
      <c r="F20"/>
      <c r="G20" s="46"/>
      <c r="H20" s="47"/>
      <c r="P20" s="19">
        <f>P19</f>
        <v>911.48793499999999</v>
      </c>
      <c r="T20" s="33"/>
      <c r="U20" s="33"/>
      <c r="V20" s="33"/>
      <c r="W20" s="33"/>
      <c r="Z20" s="19"/>
      <c r="AA20" s="19"/>
    </row>
    <row r="21" spans="3:27" x14ac:dyDescent="0.25">
      <c r="D21" s="52"/>
      <c r="E21" s="50"/>
      <c r="G21" s="46"/>
      <c r="H21" s="47"/>
      <c r="P21" s="19">
        <f>((T18-(P19+P20)))</f>
        <v>638.0415545000003</v>
      </c>
    </row>
    <row r="22" spans="3:27" x14ac:dyDescent="0.25">
      <c r="G22" s="46"/>
      <c r="H22" s="47"/>
      <c r="O22" s="30"/>
      <c r="T22" s="27"/>
      <c r="Y22" s="33"/>
    </row>
    <row r="23" spans="3:27" x14ac:dyDescent="0.25">
      <c r="G23" s="46"/>
      <c r="H23" s="47"/>
      <c r="O23" s="30"/>
      <c r="T23" s="44"/>
      <c r="U23" s="45"/>
      <c r="V23" s="45"/>
      <c r="X23" s="14"/>
      <c r="Y23" s="33"/>
    </row>
    <row r="24" spans="3:27" x14ac:dyDescent="0.25">
      <c r="D24" s="52"/>
      <c r="E24" s="56"/>
      <c r="I24" s="19"/>
      <c r="O24" s="43"/>
      <c r="T24" s="17"/>
    </row>
    <row r="25" spans="3:27" x14ac:dyDescent="0.25">
      <c r="E25" s="49"/>
      <c r="T25" s="17"/>
    </row>
    <row r="26" spans="3:27" x14ac:dyDescent="0.25">
      <c r="E26" s="49"/>
      <c r="L26">
        <v>6675</v>
      </c>
      <c r="P26">
        <f>1500*2225</f>
        <v>3337500</v>
      </c>
    </row>
    <row r="27" spans="3:27" x14ac:dyDescent="0.25">
      <c r="D27" s="52"/>
      <c r="E27" s="56"/>
      <c r="L27">
        <v>2225</v>
      </c>
      <c r="P27">
        <f>2000*3*2225</f>
        <v>13350000</v>
      </c>
    </row>
    <row r="28" spans="3:27" x14ac:dyDescent="0.25">
      <c r="L28">
        <f>SUM(L26:L27)</f>
        <v>8900</v>
      </c>
      <c r="P28">
        <f>SUM(P26:P27)</f>
        <v>16687500</v>
      </c>
    </row>
    <row r="30" spans="3:27" x14ac:dyDescent="0.25">
      <c r="E30" s="49"/>
    </row>
    <row r="31" spans="3:27" x14ac:dyDescent="0.25">
      <c r="E31" s="49"/>
    </row>
    <row r="32" spans="3:27" x14ac:dyDescent="0.25">
      <c r="E32" s="56"/>
    </row>
    <row r="34" spans="11:21" x14ac:dyDescent="0.25">
      <c r="K34">
        <v>120000</v>
      </c>
      <c r="L34">
        <v>100000</v>
      </c>
      <c r="P34">
        <v>30000000</v>
      </c>
      <c r="T34" s="15">
        <v>15000000</v>
      </c>
      <c r="U34" s="15">
        <v>70000000</v>
      </c>
    </row>
    <row r="35" spans="11:21" x14ac:dyDescent="0.25">
      <c r="K35">
        <f>K34/9</f>
        <v>13333.333333333334</v>
      </c>
      <c r="L35">
        <f>L34/9</f>
        <v>11111.111111111111</v>
      </c>
      <c r="P35">
        <f>P34/1800</f>
        <v>16666.666666666668</v>
      </c>
      <c r="T35" s="15">
        <f>T34/900</f>
        <v>16666.666666666668</v>
      </c>
      <c r="U35" s="15">
        <f>U34/3400</f>
        <v>20588.235294117647</v>
      </c>
    </row>
  </sheetData>
  <mergeCells count="8">
    <mergeCell ref="B10:T10"/>
    <mergeCell ref="B11:T11"/>
    <mergeCell ref="B12:T12"/>
    <mergeCell ref="B2:W2"/>
    <mergeCell ref="B8:E8"/>
    <mergeCell ref="H8:O8"/>
    <mergeCell ref="U8:V8"/>
    <mergeCell ref="B9:T9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I10"/>
  <sheetViews>
    <sheetView zoomScaleNormal="100" workbookViewId="0">
      <selection activeCell="G16" sqref="G16"/>
    </sheetView>
  </sheetViews>
  <sheetFormatPr defaultRowHeight="15" x14ac:dyDescent="0.25"/>
  <cols>
    <col min="2" max="2" width="6.85546875" bestFit="1" customWidth="1"/>
    <col min="3" max="3" width="14.7109375" style="14" bestFit="1" customWidth="1"/>
    <col min="4" max="4" width="21" style="14" customWidth="1"/>
    <col min="5" max="5" width="23.85546875" style="14" bestFit="1" customWidth="1"/>
    <col min="6" max="6" width="9.7109375" style="14" hidden="1" customWidth="1"/>
    <col min="7" max="7" width="7.7109375" style="17" bestFit="1" customWidth="1"/>
    <col min="8" max="8" width="7.140625" bestFit="1" customWidth="1"/>
    <col min="9" max="9" width="12.28515625" bestFit="1" customWidth="1"/>
  </cols>
  <sheetData>
    <row r="3" spans="2:9" ht="46.5" customHeight="1" x14ac:dyDescent="0.25">
      <c r="B3" s="87"/>
      <c r="C3" s="88"/>
      <c r="D3" s="88"/>
      <c r="E3" s="88"/>
      <c r="F3" s="88"/>
      <c r="G3" s="88"/>
      <c r="H3" s="88"/>
      <c r="I3" s="88"/>
    </row>
    <row r="4" spans="2:9" s="12" customFormat="1" ht="30" x14ac:dyDescent="0.25">
      <c r="B4" s="10" t="s">
        <v>12</v>
      </c>
      <c r="C4" s="11" t="s">
        <v>0</v>
      </c>
      <c r="D4" s="11" t="s">
        <v>28</v>
      </c>
      <c r="E4" s="11" t="s">
        <v>3</v>
      </c>
      <c r="F4" s="11" t="s">
        <v>24</v>
      </c>
      <c r="G4" s="39" t="s">
        <v>26</v>
      </c>
      <c r="H4" s="11" t="s">
        <v>25</v>
      </c>
      <c r="I4" s="11" t="s">
        <v>1</v>
      </c>
    </row>
    <row r="5" spans="2:9" ht="45" x14ac:dyDescent="0.25">
      <c r="B5" s="2">
        <v>1</v>
      </c>
      <c r="C5" s="13" t="s">
        <v>23</v>
      </c>
      <c r="D5" s="13" t="s">
        <v>46</v>
      </c>
      <c r="E5" s="13" t="s">
        <v>29</v>
      </c>
      <c r="F5" s="38"/>
      <c r="G5" s="18">
        <v>1681</v>
      </c>
      <c r="H5" s="8">
        <v>10</v>
      </c>
      <c r="I5" s="2">
        <v>2021</v>
      </c>
    </row>
    <row r="6" spans="2:9" ht="30" x14ac:dyDescent="0.25">
      <c r="B6" s="2">
        <v>2</v>
      </c>
      <c r="C6" s="13" t="s">
        <v>9</v>
      </c>
      <c r="D6" s="13" t="s">
        <v>47</v>
      </c>
      <c r="E6" s="13" t="s">
        <v>29</v>
      </c>
      <c r="F6" s="38"/>
      <c r="G6" s="18">
        <v>1681</v>
      </c>
      <c r="H6" s="8">
        <v>10</v>
      </c>
      <c r="I6" s="2">
        <v>2021</v>
      </c>
    </row>
    <row r="7" spans="2:9" ht="30" x14ac:dyDescent="0.25">
      <c r="B7" s="2">
        <v>3</v>
      </c>
      <c r="C7" s="13" t="s">
        <v>41</v>
      </c>
      <c r="D7" s="13" t="s">
        <v>48</v>
      </c>
      <c r="E7" s="13" t="s">
        <v>29</v>
      </c>
      <c r="F7" s="38"/>
      <c r="G7" s="18">
        <v>1107</v>
      </c>
      <c r="H7" s="8">
        <v>10</v>
      </c>
      <c r="I7" s="2">
        <v>2021</v>
      </c>
    </row>
    <row r="8" spans="2:9" ht="30" x14ac:dyDescent="0.25">
      <c r="B8" s="2">
        <f>B7+1</f>
        <v>4</v>
      </c>
      <c r="C8" s="13" t="s">
        <v>44</v>
      </c>
      <c r="D8" s="13" t="s">
        <v>49</v>
      </c>
      <c r="E8" s="13" t="s">
        <v>29</v>
      </c>
      <c r="F8" s="38"/>
      <c r="G8" s="18">
        <v>1107</v>
      </c>
      <c r="H8" s="8">
        <v>10</v>
      </c>
      <c r="I8" s="2">
        <v>2021</v>
      </c>
    </row>
    <row r="9" spans="2:9" ht="30" x14ac:dyDescent="0.25">
      <c r="B9" s="2">
        <v>5</v>
      </c>
      <c r="C9" s="13" t="s">
        <v>45</v>
      </c>
      <c r="D9" s="13" t="s">
        <v>50</v>
      </c>
      <c r="E9" s="13" t="s">
        <v>51</v>
      </c>
      <c r="F9" s="38"/>
      <c r="G9" s="18">
        <v>1107</v>
      </c>
      <c r="H9" s="8">
        <v>12</v>
      </c>
      <c r="I9" s="2">
        <v>2021</v>
      </c>
    </row>
    <row r="10" spans="2:9" x14ac:dyDescent="0.25">
      <c r="B10" s="82" t="s">
        <v>5</v>
      </c>
      <c r="C10" s="83"/>
      <c r="D10" s="83"/>
      <c r="E10" s="84"/>
      <c r="F10" s="26">
        <f>SUM(F5:F9)</f>
        <v>0</v>
      </c>
      <c r="G10" s="60">
        <f>SUM(G5:G9)</f>
        <v>6683</v>
      </c>
      <c r="H10" s="7"/>
      <c r="I10" s="7"/>
    </row>
  </sheetData>
  <mergeCells count="2">
    <mergeCell ref="B3:I3"/>
    <mergeCell ref="B10:E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CCE18-510E-4D6F-86AF-0AD6D0C06686}">
  <dimension ref="B2:H21"/>
  <sheetViews>
    <sheetView topLeftCell="A4" workbookViewId="0">
      <selection activeCell="F12" sqref="F12"/>
    </sheetView>
  </sheetViews>
  <sheetFormatPr defaultRowHeight="15" x14ac:dyDescent="0.25"/>
  <cols>
    <col min="1" max="2" width="9.140625" style="65"/>
    <col min="3" max="3" width="21.85546875" style="65" customWidth="1"/>
    <col min="4" max="4" width="13.7109375" style="65" customWidth="1"/>
    <col min="5" max="5" width="14.28515625" style="65" bestFit="1" customWidth="1"/>
    <col min="6" max="16384" width="9.140625" style="65"/>
  </cols>
  <sheetData>
    <row r="2" spans="2:8" x14ac:dyDescent="0.25">
      <c r="C2" s="66" t="s">
        <v>38</v>
      </c>
      <c r="D2" s="66"/>
    </row>
    <row r="3" spans="2:8" x14ac:dyDescent="0.25">
      <c r="C3" s="66"/>
      <c r="D3" s="66"/>
    </row>
    <row r="4" spans="2:8" x14ac:dyDescent="0.25">
      <c r="C4" s="65" t="s">
        <v>53</v>
      </c>
      <c r="E4" s="67">
        <f>E5*10.7639</f>
        <v>5495.8320619999995</v>
      </c>
      <c r="F4" s="65" t="s">
        <v>54</v>
      </c>
      <c r="H4" s="65">
        <v>5678</v>
      </c>
    </row>
    <row r="5" spans="2:8" x14ac:dyDescent="0.25">
      <c r="C5" s="65" t="s">
        <v>53</v>
      </c>
      <c r="E5" s="65">
        <v>510.58</v>
      </c>
      <c r="F5" s="65" t="s">
        <v>32</v>
      </c>
      <c r="H5" s="65">
        <v>527.5</v>
      </c>
    </row>
    <row r="7" spans="2:8" x14ac:dyDescent="0.25">
      <c r="C7" s="65" t="s">
        <v>30</v>
      </c>
      <c r="E7" s="68" t="s">
        <v>59</v>
      </c>
      <c r="F7" s="65" t="s">
        <v>55</v>
      </c>
    </row>
    <row r="8" spans="2:8" x14ac:dyDescent="0.25">
      <c r="C8" s="65" t="s">
        <v>37</v>
      </c>
      <c r="E8" s="68">
        <v>11000</v>
      </c>
    </row>
    <row r="9" spans="2:8" x14ac:dyDescent="0.25">
      <c r="B9" s="2">
        <v>1</v>
      </c>
      <c r="C9" s="93" t="s">
        <v>36</v>
      </c>
      <c r="D9" s="94"/>
      <c r="E9" s="69">
        <f>E8*E4</f>
        <v>60454152.681999996</v>
      </c>
    </row>
    <row r="10" spans="2:8" x14ac:dyDescent="0.25">
      <c r="B10" s="2">
        <v>2</v>
      </c>
      <c r="C10" s="93" t="s">
        <v>39</v>
      </c>
      <c r="D10" s="94"/>
      <c r="E10" s="69">
        <f>'Building Valuation'!T8</f>
        <v>9856877.2755249999</v>
      </c>
    </row>
    <row r="11" spans="2:8" x14ac:dyDescent="0.25">
      <c r="B11" s="91">
        <v>3</v>
      </c>
      <c r="C11" s="70" t="s">
        <v>56</v>
      </c>
      <c r="D11" s="71">
        <f>71*4000</f>
        <v>284000</v>
      </c>
      <c r="E11" s="89">
        <v>700000</v>
      </c>
    </row>
    <row r="12" spans="2:8" x14ac:dyDescent="0.25">
      <c r="B12" s="92"/>
      <c r="C12" s="70" t="s">
        <v>58</v>
      </c>
      <c r="D12" s="71">
        <f>278.71*1500</f>
        <v>418064.99999999994</v>
      </c>
      <c r="E12" s="90"/>
    </row>
    <row r="13" spans="2:8" x14ac:dyDescent="0.25">
      <c r="B13" s="95" t="s">
        <v>40</v>
      </c>
      <c r="C13" s="96"/>
      <c r="D13" s="97"/>
      <c r="E13" s="72">
        <f>SUM(E9:E12)</f>
        <v>71011029.957525</v>
      </c>
    </row>
    <row r="14" spans="2:8" x14ac:dyDescent="0.25">
      <c r="E14" s="68">
        <v>71000000</v>
      </c>
    </row>
    <row r="15" spans="2:8" x14ac:dyDescent="0.25">
      <c r="E15" s="73">
        <f>E14*0.85</f>
        <v>60350000</v>
      </c>
    </row>
    <row r="16" spans="2:8" x14ac:dyDescent="0.25">
      <c r="E16" s="73">
        <f>E14*0.75</f>
        <v>53250000</v>
      </c>
    </row>
    <row r="18" spans="2:6" x14ac:dyDescent="0.25">
      <c r="C18" s="65" t="s">
        <v>31</v>
      </c>
      <c r="E18" s="68">
        <v>43060</v>
      </c>
      <c r="F18" s="65" t="s">
        <v>32</v>
      </c>
    </row>
    <row r="19" spans="2:6" x14ac:dyDescent="0.25">
      <c r="B19" s="65" t="s">
        <v>43</v>
      </c>
      <c r="C19" s="65" t="s">
        <v>36</v>
      </c>
      <c r="E19" s="74">
        <f>E18*E5</f>
        <v>21985574.800000001</v>
      </c>
    </row>
    <row r="20" spans="2:6" x14ac:dyDescent="0.25">
      <c r="B20" s="65" t="s">
        <v>43</v>
      </c>
      <c r="C20" s="65" t="s">
        <v>39</v>
      </c>
      <c r="E20" s="68"/>
    </row>
    <row r="21" spans="2:6" x14ac:dyDescent="0.25">
      <c r="B21" s="65" t="s">
        <v>43</v>
      </c>
      <c r="C21" s="65" t="s">
        <v>40</v>
      </c>
      <c r="E21" s="75">
        <f>SUM(E19:E20)</f>
        <v>21985574.800000001</v>
      </c>
    </row>
  </sheetData>
  <mergeCells count="5">
    <mergeCell ref="E11:E12"/>
    <mergeCell ref="B11:B12"/>
    <mergeCell ref="C9:D9"/>
    <mergeCell ref="C10:D10"/>
    <mergeCell ref="B13:D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Building Valuation</vt:lpstr>
      <vt:lpstr>Building Area Details</vt:lpstr>
      <vt:lpstr>Land</vt:lpstr>
      <vt:lpstr>'Building Valuation'!Print_Area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admin</cp:lastModifiedBy>
  <cp:lastPrinted>2022-01-07T08:12:53Z</cp:lastPrinted>
  <dcterms:created xsi:type="dcterms:W3CDTF">2021-09-16T11:33:35Z</dcterms:created>
  <dcterms:modified xsi:type="dcterms:W3CDTF">2023-05-05T12:49:31Z</dcterms:modified>
</cp:coreProperties>
</file>