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49A9986A-C055-4F64-9F42-6DFD9A95FC2F}" xr6:coauthVersionLast="47" xr6:coauthVersionMax="47" xr10:uidLastSave="{00000000-0000-0000-0000-000000000000}"/>
  <bookViews>
    <workbookView xWindow="-120" yWindow="-120" windowWidth="21840" windowHeight="13140" tabRatio="711" activeTab="6" xr2:uid="{00000000-000D-0000-FFFF-FFFF00000000}"/>
  </bookViews>
  <sheets>
    <sheet name="Assumptions" sheetId="1" r:id="rId1"/>
    <sheet name="Historical" sheetId="9" r:id="rId2"/>
    <sheet name="RKA P&amp;L" sheetId="7" r:id="rId3"/>
    <sheet name="Debt Sch" sheetId="6" r:id="rId4"/>
    <sheet name="RKA CAPM" sheetId="5" state="hidden" r:id="rId5"/>
    <sheet name="Depreciation Schedule" sheetId="3" r:id="rId6"/>
    <sheet name="Summary_S1 PSA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</externalReferences>
  <definedNames>
    <definedName name="\0">#REF!</definedName>
    <definedName name="\a" localSheetId="3">#REF!</definedName>
    <definedName name="\a" localSheetId="4">#REF!</definedName>
    <definedName name="\a" localSheetId="6">#REF!</definedName>
    <definedName name="\a">#REF!</definedName>
    <definedName name="\b" localSheetId="3">#REF!</definedName>
    <definedName name="\b" localSheetId="4">#REF!</definedName>
    <definedName name="\b" localSheetId="6">#REF!</definedName>
    <definedName name="\b">#REF!</definedName>
    <definedName name="\c" localSheetId="3">#REF!</definedName>
    <definedName name="\c" localSheetId="4">#REF!</definedName>
    <definedName name="\c" localSheetId="6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>#REF!</definedName>
    <definedName name="\i">#REF!</definedName>
    <definedName name="\j" localSheetId="4">#REF!</definedName>
    <definedName name="\j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o" localSheetId="4">#REF!</definedName>
    <definedName name="\o">#REF!</definedName>
    <definedName name="\p" localSheetId="4">#REF!</definedName>
    <definedName name="\p">#REF!</definedName>
    <definedName name="\s" localSheetId="4">#REF!</definedName>
    <definedName name="\s">#REF!</definedName>
    <definedName name="\t" localSheetId="4">#REF!</definedName>
    <definedName name="\t">#REF!</definedName>
    <definedName name="\w" localSheetId="4">#REF!</definedName>
    <definedName name="\w">#REF!</definedName>
    <definedName name="\x" localSheetId="4">#REF!</definedName>
    <definedName name="\x">#REF!</definedName>
    <definedName name="\y">#REF!</definedName>
    <definedName name="\z" localSheetId="4">#REF!</definedName>
    <definedName name="\z">#REF!</definedName>
    <definedName name="_" localSheetId="4">#REF!</definedName>
    <definedName name="_">#REF!</definedName>
    <definedName name="_.._D__D__D__D_" localSheetId="4">#REF!</definedName>
    <definedName name="_.._D__D__D__D_">#REF!</definedName>
    <definedName name="____________________SCH1" localSheetId="4">#REF!</definedName>
    <definedName name="____________________SCH1">#REF!</definedName>
    <definedName name="____________________SCH10" localSheetId="4">#REF!</definedName>
    <definedName name="____________________SCH10">#REF!</definedName>
    <definedName name="____________________SCH11" localSheetId="4">#REF!</definedName>
    <definedName name="____________________SCH11">#REF!</definedName>
    <definedName name="____________________SCH2" localSheetId="4">#REF!</definedName>
    <definedName name="____________________SCH2">#REF!</definedName>
    <definedName name="____________________SCH3" localSheetId="4">#REF!</definedName>
    <definedName name="____________________SCH3">#REF!</definedName>
    <definedName name="____________________SCH4" localSheetId="4">#REF!</definedName>
    <definedName name="____________________SCH4">#REF!</definedName>
    <definedName name="____________________SCH5" localSheetId="4">#REF!</definedName>
    <definedName name="____________________SCH5">#REF!</definedName>
    <definedName name="____________________SCH6" localSheetId="4">#REF!</definedName>
    <definedName name="____________________SCH6">#REF!</definedName>
    <definedName name="____________________SCH7" localSheetId="4">#REF!</definedName>
    <definedName name="____________________SCH7">#REF!</definedName>
    <definedName name="____________________SCH8" localSheetId="4">#REF!</definedName>
    <definedName name="____________________SCH8">#REF!</definedName>
    <definedName name="____________________SCH9" localSheetId="4">#REF!</definedName>
    <definedName name="____________________SCH9">#REF!</definedName>
    <definedName name="___________________SCH1" localSheetId="4">#REF!</definedName>
    <definedName name="___________________SCH1">#REF!</definedName>
    <definedName name="___________________SCH10" localSheetId="4">#REF!</definedName>
    <definedName name="___________________SCH10">#REF!</definedName>
    <definedName name="___________________SCH11" localSheetId="4">#REF!</definedName>
    <definedName name="___________________SCH11">#REF!</definedName>
    <definedName name="___________________SCH2" localSheetId="4">#REF!</definedName>
    <definedName name="___________________SCH2">#REF!</definedName>
    <definedName name="___________________SCH3" localSheetId="4">#REF!</definedName>
    <definedName name="___________________SCH3">#REF!</definedName>
    <definedName name="___________________SCH4" localSheetId="4">#REF!</definedName>
    <definedName name="___________________SCH4">#REF!</definedName>
    <definedName name="___________________SCH5" localSheetId="4">#REF!</definedName>
    <definedName name="___________________SCH5">#REF!</definedName>
    <definedName name="___________________SCH6" localSheetId="4">#REF!</definedName>
    <definedName name="___________________SCH6">#REF!</definedName>
    <definedName name="___________________SCH7" localSheetId="4">#REF!</definedName>
    <definedName name="___________________SCH7">#REF!</definedName>
    <definedName name="___________________SCH8" localSheetId="4">#REF!</definedName>
    <definedName name="___________________SCH8">#REF!</definedName>
    <definedName name="___________________SCH9" localSheetId="4">#REF!</definedName>
    <definedName name="___________________SCH9">#REF!</definedName>
    <definedName name="__________________SCH1" localSheetId="4">#REF!</definedName>
    <definedName name="__________________SCH1">#REF!</definedName>
    <definedName name="__________________SCH10" localSheetId="4">#REF!</definedName>
    <definedName name="__________________SCH10">#REF!</definedName>
    <definedName name="__________________SCH11" localSheetId="4">#REF!</definedName>
    <definedName name="__________________SCH11">#REF!</definedName>
    <definedName name="__________________SCH2" localSheetId="4">#REF!</definedName>
    <definedName name="__________________SCH2">#REF!</definedName>
    <definedName name="__________________SCH3" localSheetId="4">#REF!</definedName>
    <definedName name="__________________SCH3">#REF!</definedName>
    <definedName name="__________________SCH4" localSheetId="4">#REF!</definedName>
    <definedName name="__________________SCH4">#REF!</definedName>
    <definedName name="__________________SCH5" localSheetId="4">#REF!</definedName>
    <definedName name="__________________SCH5">#REF!</definedName>
    <definedName name="__________________SCH6" localSheetId="4">#REF!</definedName>
    <definedName name="__________________SCH6">#REF!</definedName>
    <definedName name="__________________SCH7" localSheetId="4">#REF!</definedName>
    <definedName name="__________________SCH7">#REF!</definedName>
    <definedName name="__________________SCH8" localSheetId="4">#REF!</definedName>
    <definedName name="__________________SCH8">#REF!</definedName>
    <definedName name="__________________SCH9" localSheetId="4">#REF!</definedName>
    <definedName name="__________________SCH9">#REF!</definedName>
    <definedName name="_________________SCH1" localSheetId="4">#REF!</definedName>
    <definedName name="_________________SCH1">#REF!</definedName>
    <definedName name="_________________SCH10" localSheetId="4">#REF!</definedName>
    <definedName name="_________________SCH10">#REF!</definedName>
    <definedName name="_________________SCH11" localSheetId="4">#REF!</definedName>
    <definedName name="_________________SCH11">#REF!</definedName>
    <definedName name="_________________SCH2" localSheetId="4">#REF!</definedName>
    <definedName name="_________________SCH2">#REF!</definedName>
    <definedName name="_________________SCH3" localSheetId="4">#REF!</definedName>
    <definedName name="_________________SCH3">#REF!</definedName>
    <definedName name="_________________SCH4" localSheetId="4">#REF!</definedName>
    <definedName name="_________________SCH4">#REF!</definedName>
    <definedName name="_________________SCH5" localSheetId="4">#REF!</definedName>
    <definedName name="_________________SCH5">#REF!</definedName>
    <definedName name="_________________SCH6" localSheetId="4">#REF!</definedName>
    <definedName name="_________________SCH6">#REF!</definedName>
    <definedName name="_________________SCH7" localSheetId="4">#REF!</definedName>
    <definedName name="_________________SCH7">#REF!</definedName>
    <definedName name="_________________SCH8" localSheetId="4">#REF!</definedName>
    <definedName name="_________________SCH8">#REF!</definedName>
    <definedName name="_________________SCH9" localSheetId="4">#REF!</definedName>
    <definedName name="_________________SCH9">#REF!</definedName>
    <definedName name="________________SCH1" localSheetId="4">#REF!</definedName>
    <definedName name="________________SCH1">#REF!</definedName>
    <definedName name="________________SCH10" localSheetId="4">#REF!</definedName>
    <definedName name="________________SCH10">#REF!</definedName>
    <definedName name="________________SCH11" localSheetId="4">#REF!</definedName>
    <definedName name="________________SCH11">#REF!</definedName>
    <definedName name="________________SCH2" localSheetId="4">#REF!</definedName>
    <definedName name="________________SCH2">#REF!</definedName>
    <definedName name="________________SCH3" localSheetId="4">#REF!</definedName>
    <definedName name="________________SCH3">#REF!</definedName>
    <definedName name="________________SCH4" localSheetId="4">#REF!</definedName>
    <definedName name="________________SCH4">#REF!</definedName>
    <definedName name="________________SCH5" localSheetId="4">#REF!</definedName>
    <definedName name="________________SCH5">#REF!</definedName>
    <definedName name="________________SCH6" localSheetId="4">#REF!</definedName>
    <definedName name="________________SCH6">#REF!</definedName>
    <definedName name="________________SCH7" localSheetId="4">#REF!</definedName>
    <definedName name="________________SCH7">#REF!</definedName>
    <definedName name="________________SCH8" localSheetId="4">#REF!</definedName>
    <definedName name="________________SCH8">#REF!</definedName>
    <definedName name="________________SCH9" localSheetId="4">#REF!</definedName>
    <definedName name="________________SCH9">#REF!</definedName>
    <definedName name="_______________SCH1" localSheetId="4">#REF!</definedName>
    <definedName name="_______________SCH1">#REF!</definedName>
    <definedName name="_______________SCH10" localSheetId="4">#REF!</definedName>
    <definedName name="_______________SCH10">#REF!</definedName>
    <definedName name="_______________SCH11" localSheetId="4">#REF!</definedName>
    <definedName name="_______________SCH11">#REF!</definedName>
    <definedName name="_______________SCH2" localSheetId="4">#REF!</definedName>
    <definedName name="_______________SCH2">#REF!</definedName>
    <definedName name="_______________SCH3" localSheetId="4">#REF!</definedName>
    <definedName name="_______________SCH3">#REF!</definedName>
    <definedName name="_______________SCH4" localSheetId="4">#REF!</definedName>
    <definedName name="_______________SCH4">#REF!</definedName>
    <definedName name="_______________SCH5" localSheetId="4">#REF!</definedName>
    <definedName name="_______________SCH5">#REF!</definedName>
    <definedName name="_______________SCH6" localSheetId="4">#REF!</definedName>
    <definedName name="_______________SCH6">#REF!</definedName>
    <definedName name="_______________SCH7" localSheetId="4">#REF!</definedName>
    <definedName name="_______________SCH7">#REF!</definedName>
    <definedName name="_______________SCH8" localSheetId="4">#REF!</definedName>
    <definedName name="_______________SCH8">#REF!</definedName>
    <definedName name="_______________SCH9" localSheetId="4">#REF!</definedName>
    <definedName name="_______________SCH9">#REF!</definedName>
    <definedName name="______________SCH1" localSheetId="4">#REF!</definedName>
    <definedName name="______________SCH1">#REF!</definedName>
    <definedName name="______________SCH10" localSheetId="4">#REF!</definedName>
    <definedName name="______________SCH10">#REF!</definedName>
    <definedName name="______________SCH11" localSheetId="4">#REF!</definedName>
    <definedName name="______________SCH11">#REF!</definedName>
    <definedName name="______________SCH2" localSheetId="4">#REF!</definedName>
    <definedName name="______________SCH2">#REF!</definedName>
    <definedName name="______________SCH3" localSheetId="4">#REF!</definedName>
    <definedName name="______________SCH3">#REF!</definedName>
    <definedName name="______________SCH4" localSheetId="4">#REF!</definedName>
    <definedName name="______________SCH4">#REF!</definedName>
    <definedName name="______________SCH5" localSheetId="4">#REF!</definedName>
    <definedName name="______________SCH5">#REF!</definedName>
    <definedName name="______________SCH6" localSheetId="4">#REF!</definedName>
    <definedName name="______________SCH6">#REF!</definedName>
    <definedName name="______________SCH7" localSheetId="4">#REF!</definedName>
    <definedName name="______________SCH7">#REF!</definedName>
    <definedName name="______________SCH8" localSheetId="4">#REF!</definedName>
    <definedName name="______________SCH8">#REF!</definedName>
    <definedName name="______________SCH9" localSheetId="4">#REF!</definedName>
    <definedName name="______________SCH9">#REF!</definedName>
    <definedName name="_____________SCH1" localSheetId="4">#REF!</definedName>
    <definedName name="_____________SCH1">#REF!</definedName>
    <definedName name="_____________SCH10" localSheetId="4">#REF!</definedName>
    <definedName name="_____________SCH10">#REF!</definedName>
    <definedName name="_____________SCH11" localSheetId="4">#REF!</definedName>
    <definedName name="_____________SCH11">#REF!</definedName>
    <definedName name="_____________SCH2" localSheetId="4">#REF!</definedName>
    <definedName name="_____________SCH2">#REF!</definedName>
    <definedName name="_____________SCH3" localSheetId="4">#REF!</definedName>
    <definedName name="_____________SCH3">#REF!</definedName>
    <definedName name="_____________SCH4" localSheetId="4">#REF!</definedName>
    <definedName name="_____________SCH4">#REF!</definedName>
    <definedName name="_____________SCH5" localSheetId="4">#REF!</definedName>
    <definedName name="_____________SCH5">#REF!</definedName>
    <definedName name="_____________SCH6" localSheetId="4">#REF!</definedName>
    <definedName name="_____________SCH6">#REF!</definedName>
    <definedName name="_____________SCH7" localSheetId="4">#REF!</definedName>
    <definedName name="_____________SCH7">#REF!</definedName>
    <definedName name="_____________SCH8" localSheetId="4">#REF!</definedName>
    <definedName name="_____________SCH8">#REF!</definedName>
    <definedName name="_____________SCH9" localSheetId="4">#REF!</definedName>
    <definedName name="_____________SCH9">#REF!</definedName>
    <definedName name="____________SCH1" localSheetId="4">#REF!</definedName>
    <definedName name="____________SCH1">#REF!</definedName>
    <definedName name="____________SCH10" localSheetId="4">#REF!</definedName>
    <definedName name="____________SCH10">#REF!</definedName>
    <definedName name="____________SCH11" localSheetId="4">#REF!</definedName>
    <definedName name="____________SCH11">#REF!</definedName>
    <definedName name="____________SCH2" localSheetId="4">#REF!</definedName>
    <definedName name="____________SCH2">#REF!</definedName>
    <definedName name="____________SCH3" localSheetId="4">#REF!</definedName>
    <definedName name="____________SCH3">#REF!</definedName>
    <definedName name="____________SCH4" localSheetId="4">#REF!</definedName>
    <definedName name="____________SCH4">#REF!</definedName>
    <definedName name="____________SCH5" localSheetId="4">#REF!</definedName>
    <definedName name="____________SCH5">#REF!</definedName>
    <definedName name="____________SCH6" localSheetId="4">#REF!</definedName>
    <definedName name="____________SCH6">#REF!</definedName>
    <definedName name="____________SCH7" localSheetId="4">#REF!</definedName>
    <definedName name="____________SCH7">#REF!</definedName>
    <definedName name="____________SCH8" localSheetId="4">#REF!</definedName>
    <definedName name="____________SCH8">#REF!</definedName>
    <definedName name="____________SCH9" localSheetId="4">#REF!</definedName>
    <definedName name="____________SCH9">#REF!</definedName>
    <definedName name="___________SCH1" localSheetId="4">#REF!</definedName>
    <definedName name="___________SCH1">#REF!</definedName>
    <definedName name="___________SCH10" localSheetId="4">#REF!</definedName>
    <definedName name="___________SCH10">#REF!</definedName>
    <definedName name="___________SCH11" localSheetId="4">#REF!</definedName>
    <definedName name="___________SCH11">#REF!</definedName>
    <definedName name="___________SCH2" localSheetId="4">#REF!</definedName>
    <definedName name="___________SCH2">#REF!</definedName>
    <definedName name="___________SCH3" localSheetId="4">#REF!</definedName>
    <definedName name="___________SCH3">#REF!</definedName>
    <definedName name="___________SCH4" localSheetId="4">#REF!</definedName>
    <definedName name="___________SCH4">#REF!</definedName>
    <definedName name="___________SCH5" localSheetId="4">#REF!</definedName>
    <definedName name="___________SCH5">#REF!</definedName>
    <definedName name="___________SCH6" localSheetId="4">#REF!</definedName>
    <definedName name="___________SCH6">#REF!</definedName>
    <definedName name="___________SCH7" localSheetId="4">#REF!</definedName>
    <definedName name="___________SCH7">#REF!</definedName>
    <definedName name="___________SCH8" localSheetId="4">#REF!</definedName>
    <definedName name="___________SCH8">#REF!</definedName>
    <definedName name="___________SCH9" localSheetId="4">#REF!</definedName>
    <definedName name="___________SCH9">#REF!</definedName>
    <definedName name="__________SCH1" localSheetId="4">#REF!</definedName>
    <definedName name="__________SCH1">#REF!</definedName>
    <definedName name="__________SCH10" localSheetId="4">#REF!</definedName>
    <definedName name="__________SCH10">#REF!</definedName>
    <definedName name="__________SCH11" localSheetId="4">#REF!</definedName>
    <definedName name="__________SCH11">#REF!</definedName>
    <definedName name="__________SCH2" localSheetId="4">#REF!</definedName>
    <definedName name="__________SCH2">#REF!</definedName>
    <definedName name="__________SCH3" localSheetId="4">#REF!</definedName>
    <definedName name="__________SCH3">#REF!</definedName>
    <definedName name="__________SCH4" localSheetId="4">#REF!</definedName>
    <definedName name="__________SCH4">#REF!</definedName>
    <definedName name="__________SCH5" localSheetId="4">#REF!</definedName>
    <definedName name="__________SCH5">#REF!</definedName>
    <definedName name="__________SCH6" localSheetId="4">#REF!</definedName>
    <definedName name="__________SCH6">#REF!</definedName>
    <definedName name="__________SCH7" localSheetId="4">#REF!</definedName>
    <definedName name="__________SCH7">#REF!</definedName>
    <definedName name="__________SCH8" localSheetId="4">#REF!</definedName>
    <definedName name="__________SCH8">#REF!</definedName>
    <definedName name="__________SCH9" localSheetId="4">#REF!</definedName>
    <definedName name="__________SCH9">#REF!</definedName>
    <definedName name="_________SCH1" localSheetId="4">#REF!</definedName>
    <definedName name="_________SCH1">#REF!</definedName>
    <definedName name="_________SCH10" localSheetId="4">#REF!</definedName>
    <definedName name="_________SCH10">#REF!</definedName>
    <definedName name="_________SCH11" localSheetId="4">#REF!</definedName>
    <definedName name="_________SCH11">#REF!</definedName>
    <definedName name="_________SCH2" localSheetId="4">#REF!</definedName>
    <definedName name="_________SCH2">#REF!</definedName>
    <definedName name="_________SCH3" localSheetId="4">#REF!</definedName>
    <definedName name="_________SCH3">#REF!</definedName>
    <definedName name="_________SCH4" localSheetId="4">#REF!</definedName>
    <definedName name="_________SCH4">#REF!</definedName>
    <definedName name="_________SCH5" localSheetId="4">#REF!</definedName>
    <definedName name="_________SCH5">#REF!</definedName>
    <definedName name="_________SCH6" localSheetId="4">#REF!</definedName>
    <definedName name="_________SCH6">#REF!</definedName>
    <definedName name="_________SCH7" localSheetId="4">#REF!</definedName>
    <definedName name="_________SCH7">#REF!</definedName>
    <definedName name="_________SCH8" localSheetId="4">#REF!</definedName>
    <definedName name="_________SCH8">#REF!</definedName>
    <definedName name="_________SCH9" localSheetId="4">#REF!</definedName>
    <definedName name="_________SCH9">#REF!</definedName>
    <definedName name="_________XL__ENTER_UNIT" localSheetId="4">#REF!</definedName>
    <definedName name="_________XL__ENTER_UNIT">#REF!</definedName>
    <definedName name="________SCH1" localSheetId="4">#REF!</definedName>
    <definedName name="________SCH1">#REF!</definedName>
    <definedName name="________SCH10" localSheetId="4">#REF!</definedName>
    <definedName name="________SCH10">#REF!</definedName>
    <definedName name="________SCH11" localSheetId="4">#REF!</definedName>
    <definedName name="________SCH11">#REF!</definedName>
    <definedName name="________SCH2" localSheetId="4">#REF!</definedName>
    <definedName name="________SCH2">#REF!</definedName>
    <definedName name="________SCH3" localSheetId="4">#REF!</definedName>
    <definedName name="________SCH3">#REF!</definedName>
    <definedName name="________SCH4" localSheetId="4">#REF!</definedName>
    <definedName name="________SCH4">#REF!</definedName>
    <definedName name="________SCH5" localSheetId="4">#REF!</definedName>
    <definedName name="________SCH5">#REF!</definedName>
    <definedName name="________SCH6" localSheetId="4">#REF!</definedName>
    <definedName name="________SCH6">#REF!</definedName>
    <definedName name="________SCH7" localSheetId="4">#REF!</definedName>
    <definedName name="________SCH7">#REF!</definedName>
    <definedName name="________SCH8" localSheetId="4">#REF!</definedName>
    <definedName name="________SCH8">#REF!</definedName>
    <definedName name="________SCH9" localSheetId="4">#REF!</definedName>
    <definedName name="________SCH9">#REF!</definedName>
    <definedName name="_______SCH1" localSheetId="4">#REF!</definedName>
    <definedName name="_______SCH1">#REF!</definedName>
    <definedName name="_______SCH10" localSheetId="4">#REF!</definedName>
    <definedName name="_______SCH10">#REF!</definedName>
    <definedName name="_______SCH11" localSheetId="4">#REF!</definedName>
    <definedName name="_______SCH11">#REF!</definedName>
    <definedName name="_______SCH2" localSheetId="4">#REF!</definedName>
    <definedName name="_______SCH2">#REF!</definedName>
    <definedName name="_______SCH3" localSheetId="4">#REF!</definedName>
    <definedName name="_______SCH3">#REF!</definedName>
    <definedName name="_______SCH4" localSheetId="4">#REF!</definedName>
    <definedName name="_______SCH4">#REF!</definedName>
    <definedName name="_______SCH5" localSheetId="4">#REF!</definedName>
    <definedName name="_______SCH5">#REF!</definedName>
    <definedName name="_______SCH6" localSheetId="4">'[1]04REL'!#REF!</definedName>
    <definedName name="_______SCH6">'[1]04REL'!#REF!</definedName>
    <definedName name="_______SCH7" localSheetId="3">#REF!</definedName>
    <definedName name="_______SCH7" localSheetId="4">#REF!</definedName>
    <definedName name="_______SCH7" localSheetId="6">#REF!</definedName>
    <definedName name="_______SCH7">#REF!</definedName>
    <definedName name="_______SCH8" localSheetId="3">#REF!</definedName>
    <definedName name="_______SCH8" localSheetId="4">#REF!</definedName>
    <definedName name="_______SCH8" localSheetId="6">#REF!</definedName>
    <definedName name="_______SCH8">#REF!</definedName>
    <definedName name="_______SCH9" localSheetId="3">#REF!</definedName>
    <definedName name="_______SCH9" localSheetId="4">#REF!</definedName>
    <definedName name="_______SCH9" localSheetId="6">#REF!</definedName>
    <definedName name="_______SCH9">#REF!</definedName>
    <definedName name="_______XL__ENTER_UNIT" localSheetId="4">#REF!</definedName>
    <definedName name="_______XL__ENTER_UNIT">#REF!</definedName>
    <definedName name="______SCH1" localSheetId="4">#REF!</definedName>
    <definedName name="______SCH1">#REF!</definedName>
    <definedName name="______SCH10" localSheetId="4">#REF!</definedName>
    <definedName name="______SCH10">#REF!</definedName>
    <definedName name="______SCH11" localSheetId="4">#REF!</definedName>
    <definedName name="______SCH11">#REF!</definedName>
    <definedName name="______SCH2" localSheetId="4">#REF!</definedName>
    <definedName name="______SCH2">#REF!</definedName>
    <definedName name="______SCH3" localSheetId="4">#REF!</definedName>
    <definedName name="______SCH3">#REF!</definedName>
    <definedName name="______SCH4" localSheetId="4">#REF!</definedName>
    <definedName name="______SCH4">#REF!</definedName>
    <definedName name="______SCH5" localSheetId="4">#REF!</definedName>
    <definedName name="______SCH5">#REF!</definedName>
    <definedName name="______SCH6" localSheetId="4">'[1]04REL'!#REF!</definedName>
    <definedName name="______SCH6">'[1]04REL'!#REF!</definedName>
    <definedName name="______SCH7" localSheetId="3">#REF!</definedName>
    <definedName name="______SCH7" localSheetId="4">#REF!</definedName>
    <definedName name="______SCH7" localSheetId="6">#REF!</definedName>
    <definedName name="______SCH7">#REF!</definedName>
    <definedName name="______SCH8" localSheetId="3">#REF!</definedName>
    <definedName name="______SCH8" localSheetId="4">#REF!</definedName>
    <definedName name="______SCH8" localSheetId="6">#REF!</definedName>
    <definedName name="______SCH8">#REF!</definedName>
    <definedName name="______SCH9" localSheetId="3">#REF!</definedName>
    <definedName name="______SCH9" localSheetId="4">#REF!</definedName>
    <definedName name="______SCH9" localSheetId="6">#REF!</definedName>
    <definedName name="______SCH9">#REF!</definedName>
    <definedName name="______XL__ENTER_UNIT" localSheetId="4">#REF!</definedName>
    <definedName name="______XL__ENTER_UNIT">#REF!</definedName>
    <definedName name="_____SCH1" localSheetId="4">#REF!</definedName>
    <definedName name="_____SCH1">#REF!</definedName>
    <definedName name="_____SCH10" localSheetId="4">#REF!</definedName>
    <definedName name="_____SCH10">#REF!</definedName>
    <definedName name="_____SCH11" localSheetId="4">#REF!</definedName>
    <definedName name="_____SCH11">#REF!</definedName>
    <definedName name="_____SCH2" localSheetId="4">#REF!</definedName>
    <definedName name="_____SCH2">#REF!</definedName>
    <definedName name="_____SCH3" localSheetId="4">#REF!</definedName>
    <definedName name="_____SCH3">#REF!</definedName>
    <definedName name="_____SCH4" localSheetId="4">#REF!</definedName>
    <definedName name="_____SCH4">#REF!</definedName>
    <definedName name="_____SCH5" localSheetId="4">#REF!</definedName>
    <definedName name="_____SCH5">#REF!</definedName>
    <definedName name="_____SCH6" localSheetId="4">'[1]04REL'!#REF!</definedName>
    <definedName name="_____SCH6">'[1]04REL'!#REF!</definedName>
    <definedName name="_____SCH7" localSheetId="3">#REF!</definedName>
    <definedName name="_____SCH7" localSheetId="4">#REF!</definedName>
    <definedName name="_____SCH7" localSheetId="6">#REF!</definedName>
    <definedName name="_____SCH7">#REF!</definedName>
    <definedName name="_____SCH8" localSheetId="3">#REF!</definedName>
    <definedName name="_____SCH8" localSheetId="4">#REF!</definedName>
    <definedName name="_____SCH8" localSheetId="6">#REF!</definedName>
    <definedName name="_____SCH8">#REF!</definedName>
    <definedName name="_____SCH9" localSheetId="3">#REF!</definedName>
    <definedName name="_____SCH9" localSheetId="4">#REF!</definedName>
    <definedName name="_____SCH9" localSheetId="6">#REF!</definedName>
    <definedName name="_____SCH9">#REF!</definedName>
    <definedName name="____SCH1" localSheetId="4">#REF!</definedName>
    <definedName name="____SCH1">#REF!</definedName>
    <definedName name="____SCH10" localSheetId="4">#REF!</definedName>
    <definedName name="____SCH10">#REF!</definedName>
    <definedName name="____SCH11" localSheetId="4">#REF!</definedName>
    <definedName name="____SCH11">#REF!</definedName>
    <definedName name="____SCH2" localSheetId="4">#REF!</definedName>
    <definedName name="____SCH2">#REF!</definedName>
    <definedName name="____SCH3" localSheetId="4">#REF!</definedName>
    <definedName name="____SCH3">#REF!</definedName>
    <definedName name="____SCH4" localSheetId="4">#REF!</definedName>
    <definedName name="____SCH4">#REF!</definedName>
    <definedName name="____SCH5" localSheetId="4">#REF!</definedName>
    <definedName name="____SCH5">#REF!</definedName>
    <definedName name="____SCH6" localSheetId="4">'[1]04REL'!#REF!</definedName>
    <definedName name="____SCH6">'[1]04REL'!#REF!</definedName>
    <definedName name="____SCH7" localSheetId="3">#REF!</definedName>
    <definedName name="____SCH7" localSheetId="4">#REF!</definedName>
    <definedName name="____SCH7" localSheetId="6">#REF!</definedName>
    <definedName name="____SCH7">#REF!</definedName>
    <definedName name="____SCH8" localSheetId="3">#REF!</definedName>
    <definedName name="____SCH8" localSheetId="4">#REF!</definedName>
    <definedName name="____SCH8" localSheetId="6">#REF!</definedName>
    <definedName name="____SCH8">#REF!</definedName>
    <definedName name="____SCH9" localSheetId="3">#REF!</definedName>
    <definedName name="____SCH9" localSheetId="4">#REF!</definedName>
    <definedName name="____SCH9" localSheetId="6">#REF!</definedName>
    <definedName name="____SCH9">#REF!</definedName>
    <definedName name="____XL__ENTER_UNIT" localSheetId="4">#REF!</definedName>
    <definedName name="____XL__ENTER_UNIT">#REF!</definedName>
    <definedName name="___INDEX_SHEET___ASAP_Utilities" localSheetId="4">#REF!</definedName>
    <definedName name="___INDEX_SHEET___ASAP_Utilities">#REF!</definedName>
    <definedName name="___SCH1" localSheetId="4">#REF!</definedName>
    <definedName name="___SCH1">#REF!</definedName>
    <definedName name="___SCH10" localSheetId="4">#REF!</definedName>
    <definedName name="___SCH10">#REF!</definedName>
    <definedName name="___SCH11" localSheetId="4">#REF!</definedName>
    <definedName name="___SCH11">#REF!</definedName>
    <definedName name="___SCH2" localSheetId="4">#REF!</definedName>
    <definedName name="___SCH2">#REF!</definedName>
    <definedName name="___SCH3" localSheetId="4">#REF!</definedName>
    <definedName name="___SCH3">#REF!</definedName>
    <definedName name="___SCH4" localSheetId="4">#REF!</definedName>
    <definedName name="___SCH4">#REF!</definedName>
    <definedName name="___SCH5" localSheetId="4">#REF!</definedName>
    <definedName name="___SCH5">#REF!</definedName>
    <definedName name="___SCH6" localSheetId="4">'[1]04REL'!#REF!</definedName>
    <definedName name="___SCH6">'[1]04REL'!#REF!</definedName>
    <definedName name="___SCH7" localSheetId="3">#REF!</definedName>
    <definedName name="___SCH7" localSheetId="4">#REF!</definedName>
    <definedName name="___SCH7" localSheetId="6">#REF!</definedName>
    <definedName name="___SCH7">#REF!</definedName>
    <definedName name="___SCH8" localSheetId="3">#REF!</definedName>
    <definedName name="___SCH8" localSheetId="4">#REF!</definedName>
    <definedName name="___SCH8" localSheetId="6">#REF!</definedName>
    <definedName name="___SCH8">#REF!</definedName>
    <definedName name="___SCH9" localSheetId="3">#REF!</definedName>
    <definedName name="___SCH9" localSheetId="4">#REF!</definedName>
    <definedName name="___SCH9" localSheetId="6">#REF!</definedName>
    <definedName name="___SCH9">#REF!</definedName>
    <definedName name="___XL__ENTER_UNIT" localSheetId="4">#REF!</definedName>
    <definedName name="___XL__ENTER_UNIT">#REF!</definedName>
    <definedName name="__123Graph_A" localSheetId="4" hidden="1">[2]CE!#REF!</definedName>
    <definedName name="__123Graph_A" hidden="1">[2]CE!#REF!</definedName>
    <definedName name="__123Graph_ASTNPLF" localSheetId="4" hidden="1">[2]CE!#REF!</definedName>
    <definedName name="__123Graph_ASTNPLF" hidden="1">[2]CE!#REF!</definedName>
    <definedName name="__123Graph_B" localSheetId="4" hidden="1">[2]CE!#REF!</definedName>
    <definedName name="__123Graph_B" hidden="1">[2]CE!#REF!</definedName>
    <definedName name="__123Graph_BSTNPLF" localSheetId="4" hidden="1">[2]CE!#REF!</definedName>
    <definedName name="__123Graph_BSTNPLF" hidden="1">[2]CE!#REF!</definedName>
    <definedName name="__123Graph_C" localSheetId="4" hidden="1">[2]CE!#REF!</definedName>
    <definedName name="__123Graph_C" hidden="1">[2]CE!#REF!</definedName>
    <definedName name="__123Graph_CSTNPLF" localSheetId="4" hidden="1">[2]CE!#REF!</definedName>
    <definedName name="__123Graph_CSTNPLF" hidden="1">[2]CE!#REF!</definedName>
    <definedName name="__123Graph_X" localSheetId="4" hidden="1">[2]CE!#REF!</definedName>
    <definedName name="__123Graph_X" hidden="1">[2]CE!#REF!</definedName>
    <definedName name="__123Graph_XSTNPLF" localSheetId="4" hidden="1">[2]CE!#REF!</definedName>
    <definedName name="__123Graph_XSTNPLF" hidden="1">[2]CE!#REF!</definedName>
    <definedName name="__DOWN_10__GOTO" localSheetId="3">#REF!</definedName>
    <definedName name="__DOWN_10__GOTO" localSheetId="4">#REF!</definedName>
    <definedName name="__DOWN_10__GOTO" localSheetId="6">#REF!</definedName>
    <definedName name="__DOWN_10__GOTO">#REF!</definedName>
    <definedName name="__ES84__EW84_0." localSheetId="3">#REF!</definedName>
    <definedName name="__ES84__EW84_0." localSheetId="4">#REF!</definedName>
    <definedName name="__ES84__EW84_0." localSheetId="6">#REF!</definedName>
    <definedName name="__ES84__EW84_0.">#REF!</definedName>
    <definedName name="__FDS_HYPERLINK_TOGGLE_STATE__" hidden="1">"ON"</definedName>
    <definedName name="__GOTO_EP84__AV" localSheetId="3">#REF!</definedName>
    <definedName name="__GOTO_EP84__AV" localSheetId="4">#REF!</definedName>
    <definedName name="__GOTO_EP84__AV">#REF!</definedName>
    <definedName name="__SCH1" localSheetId="4">#REF!</definedName>
    <definedName name="__SCH1">#REF!</definedName>
    <definedName name="__SCH10" localSheetId="4">#REF!</definedName>
    <definedName name="__SCH10">#REF!</definedName>
    <definedName name="__SCH11" localSheetId="4">#REF!</definedName>
    <definedName name="__SCH11">#REF!</definedName>
    <definedName name="__SCH2" localSheetId="4">#REF!</definedName>
    <definedName name="__SCH2">#REF!</definedName>
    <definedName name="__SCH3" localSheetId="4">#REF!</definedName>
    <definedName name="__SCH3">#REF!</definedName>
    <definedName name="__SCH4" localSheetId="4">#REF!</definedName>
    <definedName name="__SCH4">#REF!</definedName>
    <definedName name="__SCH5" localSheetId="4">#REF!</definedName>
    <definedName name="__SCH5">#REF!</definedName>
    <definedName name="__SCH6" localSheetId="4">'[1]04REL'!#REF!</definedName>
    <definedName name="__SCH6">'[1]04REL'!#REF!</definedName>
    <definedName name="__SCH7" localSheetId="3">#REF!</definedName>
    <definedName name="__SCH7" localSheetId="4">#REF!</definedName>
    <definedName name="__SCH7" localSheetId="6">#REF!</definedName>
    <definedName name="__SCH7">#REF!</definedName>
    <definedName name="__SCH8" localSheetId="3">#REF!</definedName>
    <definedName name="__SCH8" localSheetId="4">#REF!</definedName>
    <definedName name="__SCH8" localSheetId="6">#REF!</definedName>
    <definedName name="__SCH8">#REF!</definedName>
    <definedName name="__SCH9" localSheetId="3">#REF!</definedName>
    <definedName name="__SCH9" localSheetId="4">#REF!</definedName>
    <definedName name="__SCH9" localSheetId="6">#REF!</definedName>
    <definedName name="__SCH9">#REF!</definedName>
    <definedName name="__SUM_CS57..CS6" localSheetId="4">#REF!</definedName>
    <definedName name="__SUM_CS57..CS6">#REF!</definedName>
    <definedName name="__SUM_CS65..CS7" localSheetId="4">#REF!</definedName>
    <definedName name="__SUM_CS65..CS7">#REF!</definedName>
    <definedName name="__SUM_FQ20..FQ2" localSheetId="4">#REF!</definedName>
    <definedName name="__SUM_FQ20..FQ2">#REF!</definedName>
    <definedName name="__SUM_FQ28..FQ3" localSheetId="4">#REF!</definedName>
    <definedName name="__SUM_FQ28..FQ3">#REF!</definedName>
    <definedName name="__XL__ENTER_UNIT" localSheetId="4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4">#REF!</definedName>
    <definedName name="_5">#REF!</definedName>
    <definedName name="_6" localSheetId="4">#REF!</definedName>
    <definedName name="_6">#REF!</definedName>
    <definedName name="_ann2" localSheetId="4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3">#REF!</definedName>
    <definedName name="_D___GOTO_GK112" localSheetId="4">#REF!</definedName>
    <definedName name="_D___GOTO_GK112" localSheetId="6">#REF!</definedName>
    <definedName name="_D___GOTO_GK112">#REF!</definedName>
    <definedName name="_D___GOTO_GK56_" localSheetId="3">#REF!</definedName>
    <definedName name="_D___GOTO_GK56_" localSheetId="4">#REF!</definedName>
    <definedName name="_D___GOTO_GK56_" localSheetId="6">#REF!</definedName>
    <definedName name="_D___GOTO_GK56_">#REF!</definedName>
    <definedName name="_D__D___L___GOT" localSheetId="3">#REF!</definedName>
    <definedName name="_D__D___L___GOT" localSheetId="4">#REF!</definedName>
    <definedName name="_D__D___L___GOT" localSheetId="6">#REF!</definedName>
    <definedName name="_D__D___L___GOT">#REF!</definedName>
    <definedName name="_D__D__D___D__D" localSheetId="4">#REF!</definedName>
    <definedName name="_D__D__D___D__D">#REF!</definedName>
    <definedName name="_D_19__U_19_" localSheetId="4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4">#REF!</definedName>
    <definedName name="_DOWN_9__RIGHT_">#REF!</definedName>
    <definedName name="_eva97">#REF!</definedName>
    <definedName name="_fcf97">#REF!</definedName>
    <definedName name="_Fill" localSheetId="4" hidden="1">#REF!</definedName>
    <definedName name="_Fill" hidden="1">#REF!</definedName>
    <definedName name="_FROM__R__R__08" localSheetId="4">#REF!</definedName>
    <definedName name="_FROM__R__R__08">#REF!</definedName>
    <definedName name="_FROM__R__R__16" localSheetId="4">#REF!</definedName>
    <definedName name="_FROM__R__R__16">#REF!</definedName>
    <definedName name="_FSTEMP_">#REF!</definedName>
    <definedName name="_GENERATION__R_" localSheetId="4">#REF!</definedName>
    <definedName name="_GENERATION__R_">#REF!</definedName>
    <definedName name="_GOTO_BT49__R__" localSheetId="4">#REF!</definedName>
    <definedName name="_GOTO_BT49__R__">#REF!</definedName>
    <definedName name="_GOTO_CF11__?__" localSheetId="4">#REF!</definedName>
    <definedName name="_GOTO_CF11__?__">#REF!</definedName>
    <definedName name="_GOTO_EO75__WEK" localSheetId="4">#REF!</definedName>
    <definedName name="_GOTO_EO75__WEK">#REF!</definedName>
    <definedName name="_GOTO_EP82__PEA" localSheetId="4">#REF!</definedName>
    <definedName name="_GOTO_EP82__PEA">#REF!</definedName>
    <definedName name="_GOTO_EP86__PER" localSheetId="4">#REF!</definedName>
    <definedName name="_GOTO_EP86__PER">#REF!</definedName>
    <definedName name="_GOTO_FO112__RV" localSheetId="4">#REF!</definedName>
    <definedName name="_GOTO_FO112__RV">#REF!</definedName>
    <definedName name="_GOTO_FO56__RV_" localSheetId="4">#REF!</definedName>
    <definedName name="_GOTO_FO56__RV_">#REF!</definedName>
    <definedName name="_HOME__GOTO_M14" localSheetId="4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3">#REF!</definedName>
    <definedName name="_PLF__R__R___ES" localSheetId="4">#REF!</definedName>
    <definedName name="_PLF__R__R___ES" localSheetId="6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3">#REF!</definedName>
    <definedName name="_RV_DOWN_6__LEF" localSheetId="4">#REF!</definedName>
    <definedName name="_RV_DOWN_6__LEF" localSheetId="6">#REF!</definedName>
    <definedName name="_RV_DOWN_6__LEF">#REF!</definedName>
    <definedName name="_SCH1" localSheetId="3">#REF!</definedName>
    <definedName name="_SCH1" localSheetId="4">#REF!</definedName>
    <definedName name="_SCH1" localSheetId="6">#REF!</definedName>
    <definedName name="_SCH1">#REF!</definedName>
    <definedName name="_SCH10" localSheetId="4">#REF!</definedName>
    <definedName name="_SCH10">#REF!</definedName>
    <definedName name="_SCH11" localSheetId="4">#REF!</definedName>
    <definedName name="_SCH11">#REF!</definedName>
    <definedName name="_SCH12">[4]BSPL!$A$655:$D$692</definedName>
    <definedName name="_sch13">[4]BSPL!$A$694:$D$744</definedName>
    <definedName name="_SCH2" localSheetId="3">#REF!</definedName>
    <definedName name="_SCH2" localSheetId="4">#REF!</definedName>
    <definedName name="_SCH2" localSheetId="6">#REF!</definedName>
    <definedName name="_SCH2">#REF!</definedName>
    <definedName name="_SCH3" localSheetId="3">#REF!</definedName>
    <definedName name="_SCH3" localSheetId="4">#REF!</definedName>
    <definedName name="_SCH3" localSheetId="6">#REF!</definedName>
    <definedName name="_SCH3">#REF!</definedName>
    <definedName name="_SCH4" localSheetId="3">#REF!</definedName>
    <definedName name="_SCH4" localSheetId="4">#REF!</definedName>
    <definedName name="_SCH4" localSheetId="6">#REF!</definedName>
    <definedName name="_SCH4">#REF!</definedName>
    <definedName name="_SCH5" localSheetId="4">#REF!</definedName>
    <definedName name="_SCH5">#REF!</definedName>
    <definedName name="_SCH6" localSheetId="4">'[1]04REL'!#REF!</definedName>
    <definedName name="_SCH6">'[1]04REL'!#REF!</definedName>
    <definedName name="_SCH7" localSheetId="3">#REF!</definedName>
    <definedName name="_SCH7" localSheetId="4">#REF!</definedName>
    <definedName name="_SCH7" localSheetId="6">#REF!</definedName>
    <definedName name="_SCH7">#REF!</definedName>
    <definedName name="_SCH8" localSheetId="3">#REF!</definedName>
    <definedName name="_SCH8" localSheetId="4">#REF!</definedName>
    <definedName name="_SCH8" localSheetId="6">#REF!</definedName>
    <definedName name="_SCH8">#REF!</definedName>
    <definedName name="_SCH9" localSheetId="3">#REF!</definedName>
    <definedName name="_SCH9" localSheetId="4">#REF!</definedName>
    <definedName name="_SCH9" localSheetId="6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3">#REF!</definedName>
    <definedName name="_SUM_DI14..DI21" localSheetId="4">#REF!</definedName>
    <definedName name="_SUM_DI14..DI21">#REF!</definedName>
    <definedName name="_SUM_DI22..DI29" localSheetId="4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3">#REF!</definedName>
    <definedName name="_U__END__U__D__" localSheetId="4">#REF!</definedName>
    <definedName name="_U__END__U__D__" localSheetId="6">#REF!</definedName>
    <definedName name="_U__END__U__D__">#REF!</definedName>
    <definedName name="_U__U__END__U__" localSheetId="4">#REF!</definedName>
    <definedName name="_U__U__END__U__">#REF!</definedName>
    <definedName name="_U__U__U__U__U_" localSheetId="4">#REF!</definedName>
    <definedName name="_U__U__U__U__U_">#REF!</definedName>
    <definedName name="_WGPD_GOTO_CO10" localSheetId="4">#REF!</definedName>
    <definedName name="_WGPD_GOTO_CO10">#REF!</definedName>
    <definedName name="A" localSheetId="4">#REF!</definedName>
    <definedName name="A">#REF!</definedName>
    <definedName name="A_GEN1.DomesticCompFlg">[6]GENERAL!$AQ$15</definedName>
    <definedName name="A_GEN1.ResidentialStatus">[6]GENERAL!$U$32</definedName>
    <definedName name="AA" localSheetId="3">#REF!</definedName>
    <definedName name="AA" localSheetId="4">#REF!</definedName>
    <definedName name="AA" localSheetId="6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3">#REF!</definedName>
    <definedName name="achscs" localSheetId="4">#REF!</definedName>
    <definedName name="achscs" localSheetId="6">#REF!</definedName>
    <definedName name="achscs">#REF!</definedName>
    <definedName name="ACL">#REF!</definedName>
    <definedName name="Acq" localSheetId="4">#REF!</definedName>
    <definedName name="Acq">#REF!</definedName>
    <definedName name="Act_DSCR" localSheetId="4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3">#REF!</definedName>
    <definedName name="adsds" localSheetId="4">#REF!</definedName>
    <definedName name="adsds" localSheetId="6">#REF!</definedName>
    <definedName name="adsds">#REF!</definedName>
    <definedName name="afasfasf" localSheetId="3">#REF!</definedName>
    <definedName name="afasfasf" localSheetId="4">#REF!</definedName>
    <definedName name="afasfasf" localSheetId="6">#REF!</definedName>
    <definedName name="afasfasf">#REF!</definedName>
    <definedName name="AggregateInc">[6]Calculator!$M$3</definedName>
    <definedName name="ahjsdhjkdh" localSheetId="3">#REF!</definedName>
    <definedName name="ahjsdhjkdh" localSheetId="4">#REF!</definedName>
    <definedName name="ahjsdhjkdh" localSheetId="6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3">#REF!</definedName>
    <definedName name="asaaa" localSheetId="4">#REF!</definedName>
    <definedName name="asaaa" localSheetId="6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3">#REF!</definedName>
    <definedName name="atyfafa" localSheetId="4">#REF!</definedName>
    <definedName name="atyfafa" localSheetId="6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3">#REF!</definedName>
    <definedName name="AUX_Base" localSheetId="4">#REF!</definedName>
    <definedName name="AUX_Base" localSheetId="6">#REF!</definedName>
    <definedName name="AUX_Base">#REF!</definedName>
    <definedName name="Aux_Sen" localSheetId="3">#REF!</definedName>
    <definedName name="Aux_Sen" localSheetId="4">#REF!</definedName>
    <definedName name="Aux_Sen" localSheetId="6">#REF!</definedName>
    <definedName name="Aux_Sen">#REF!</definedName>
    <definedName name="AV" localSheetId="3">#REF!</definedName>
    <definedName name="AV" localSheetId="4">#REF!</definedName>
    <definedName name="AV" localSheetId="6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3">#REF!</definedName>
    <definedName name="b" localSheetId="4">#REF!</definedName>
    <definedName name="b" localSheetId="6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3">#REF!</definedName>
    <definedName name="Base_Case" localSheetId="4">#REF!</definedName>
    <definedName name="Base_Case" localSheetId="6">#REF!</definedName>
    <definedName name="Base_Case">#REF!</definedName>
    <definedName name="BASE_DSCR" localSheetId="3">#REF!</definedName>
    <definedName name="BASE_DSCR" localSheetId="4">#REF!</definedName>
    <definedName name="BASE_DSCR" localSheetId="6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3">#REF!</definedName>
    <definedName name="bfjksbnf" localSheetId="4">#REF!</definedName>
    <definedName name="bfjksbnf" localSheetId="6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3">#REF!,#REF!</definedName>
    <definedName name="bgbgb" localSheetId="4">#REF!,#REF!</definedName>
    <definedName name="bgbgb" localSheetId="6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3">#REF!</definedName>
    <definedName name="BS" localSheetId="4">#REF!</definedName>
    <definedName name="BS" localSheetId="6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3">[26]Schedule1!#REF!</definedName>
    <definedName name="BuiltIn_Print_Area___0" localSheetId="4">[26]Schedule1!#REF!</definedName>
    <definedName name="BuiltIn_Print_Area___0" localSheetId="6">[26]Schedule1!#REF!</definedName>
    <definedName name="BuiltIn_Print_Area___0">[26]Schedule1!#REF!</definedName>
    <definedName name="BuiltIn_Print_Area___0___0" localSheetId="3">[27]GROUPING!#REF!</definedName>
    <definedName name="BuiltIn_Print_Area___0___0" localSheetId="4">[27]GROUPING!#REF!</definedName>
    <definedName name="BuiltIn_Print_Area___0___0" localSheetId="6">[27]GROUPING!#REF!</definedName>
    <definedName name="BuiltIn_Print_Area___0___0">[27]GROUPING!#REF!</definedName>
    <definedName name="BuiltIn_Print_Area___0___0___0___0" localSheetId="4">[27]GROUPING!#REF!</definedName>
    <definedName name="BuiltIn_Print_Area___0___0___0___0">[27]GROUPING!#REF!</definedName>
    <definedName name="BuiltIn_Print_Area___0___0___0___0___0" localSheetId="4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3">'[28]2000-01'!#REF!</definedName>
    <definedName name="C_Data_1" localSheetId="4">'[28]2000-01'!#REF!</definedName>
    <definedName name="C_Data_1" localSheetId="6">'[28]2000-01'!#REF!</definedName>
    <definedName name="C_Data_1">'[28]2000-01'!#REF!</definedName>
    <definedName name="C_Data_2" localSheetId="3">'[28]2000-01'!#REF!</definedName>
    <definedName name="C_Data_2" localSheetId="4">'[28]2000-01'!#REF!</definedName>
    <definedName name="C_Data_2" localSheetId="6">'[28]2000-01'!#REF!</definedName>
    <definedName name="C_Data_2">'[28]2000-01'!#REF!</definedName>
    <definedName name="C_Eligible">'[6]80G'!$L$1</definedName>
    <definedName name="CAL_MEL" localSheetId="3">#REF!</definedName>
    <definedName name="CAL_MEL" localSheetId="4">#REF!</definedName>
    <definedName name="CAL_MEL" localSheetId="6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3">#REF!</definedName>
    <definedName name="CAP_Base" localSheetId="4">#REF!</definedName>
    <definedName name="CAP_Base" localSheetId="6">#REF!</definedName>
    <definedName name="CAP_Base">#REF!</definedName>
    <definedName name="CAP_SEN" localSheetId="3">#REF!</definedName>
    <definedName name="CAP_SEN" localSheetId="4">#REF!</definedName>
    <definedName name="CAP_SEN" localSheetId="6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3">#REF!</definedName>
    <definedName name="CM10_C_RIGHT___" localSheetId="4">#REF!</definedName>
    <definedName name="CM10_C_RIGHT___" localSheetId="6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3">#REF!</definedName>
    <definedName name="COAL_ESC_BASE" localSheetId="4">#REF!</definedName>
    <definedName name="COAL_ESC_BASE" localSheetId="6">#REF!</definedName>
    <definedName name="COAL_ESC_BASE">#REF!</definedName>
    <definedName name="COAL_ESC_SEN" localSheetId="3">#REF!</definedName>
    <definedName name="COAL_ESC_SEN" localSheetId="4">#REF!</definedName>
    <definedName name="COAL_ESC_SEN" localSheetId="6">#REF!</definedName>
    <definedName name="COAL_ESC_SEN">#REF!</definedName>
    <definedName name="CoalSPV_DSCR" localSheetId="3">#REF!</definedName>
    <definedName name="CoalSPV_DSCR" localSheetId="4">#REF!</definedName>
    <definedName name="CoalSPV_DSCR" localSheetId="6">#REF!</definedName>
    <definedName name="CoalSPV_DSCR">#REF!</definedName>
    <definedName name="COALSPV_FLAG" localSheetId="3">[11]Input!#REF!</definedName>
    <definedName name="COALSPV_FLAG" localSheetId="4">[11]Input!#REF!</definedName>
    <definedName name="COALSPV_FLAG" localSheetId="6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3">#REF!</definedName>
    <definedName name="CUF_.5" localSheetId="4">#REF!</definedName>
    <definedName name="CUF_.5" localSheetId="6">#REF!</definedName>
    <definedName name="CUF_.5">#REF!</definedName>
    <definedName name="CUF_1" localSheetId="3">#REF!</definedName>
    <definedName name="CUF_1" localSheetId="4">#REF!</definedName>
    <definedName name="CUF_1" localSheetId="6">#REF!</definedName>
    <definedName name="CUF_1">#REF!</definedName>
    <definedName name="CUF_1.5" localSheetId="3">#REF!</definedName>
    <definedName name="CUF_1.5" localSheetId="4">#REF!</definedName>
    <definedName name="CUF_1.5" localSheetId="6">#REF!</definedName>
    <definedName name="CUF_1.5">#REF!</definedName>
    <definedName name="CUF_2" localSheetId="4">#REF!</definedName>
    <definedName name="CUF_2">#REF!</definedName>
    <definedName name="CUF_2.5" localSheetId="4">#REF!</definedName>
    <definedName name="CUF_2.5">#REF!</definedName>
    <definedName name="CUF_3" localSheetId="4">#REF!</definedName>
    <definedName name="CUF_3">#REF!</definedName>
    <definedName name="CUF_P50" localSheetId="4">#REF!</definedName>
    <definedName name="CUF_P50">#REF!</definedName>
    <definedName name="CUF_P75" localSheetId="4">#REF!</definedName>
    <definedName name="CUF_P75">#REF!</definedName>
    <definedName name="Cum_Int">#REF!</definedName>
    <definedName name="CurA" localSheetId="4">#REF!</definedName>
    <definedName name="CurA">#REF!</definedName>
    <definedName name="CurT" localSheetId="4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3">#REF!</definedName>
    <definedName name="CV" localSheetId="4">#REF!</definedName>
    <definedName name="CV" localSheetId="6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3">#REF!</definedName>
    <definedName name="D_1" localSheetId="4">#REF!</definedName>
    <definedName name="D_1" localSheetId="6">#REF!</definedName>
    <definedName name="D_1">#REF!</definedName>
    <definedName name="D_2" localSheetId="3">#REF!</definedName>
    <definedName name="D_2" localSheetId="4">#REF!</definedName>
    <definedName name="D_2" localSheetId="6">#REF!</definedName>
    <definedName name="D_2">#REF!</definedName>
    <definedName name="D_3" localSheetId="3">#REF!</definedName>
    <definedName name="D_3" localSheetId="4">#REF!</definedName>
    <definedName name="D_3" localSheetId="6">#REF!</definedName>
    <definedName name="D_3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RANGE">#REF!</definedName>
    <definedName name="d1_range">#REF!</definedName>
    <definedName name="dadfsdf" localSheetId="4">#REF!</definedName>
    <definedName name="dadfsdf">#REF!</definedName>
    <definedName name="dafsff" localSheetId="4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3">#REF!,#REF!</definedName>
    <definedName name="dargad" localSheetId="4">#REF!,#REF!</definedName>
    <definedName name="dargad" localSheetId="6">#REF!,#REF!</definedName>
    <definedName name="dargad">#REF!,#REF!</definedName>
    <definedName name="Data" localSheetId="4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3">'[39]04REL'!#REF!</definedName>
    <definedName name="ddd" localSheetId="4">'[39]04REL'!#REF!</definedName>
    <definedName name="ddd" localSheetId="6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3">#REF!</definedName>
    <definedName name="Deal" localSheetId="4">#REF!</definedName>
    <definedName name="Deal" localSheetId="6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3">#REF!</definedName>
    <definedName name="Dec_Proj_Cost" localSheetId="4">#REF!</definedName>
    <definedName name="Dec_Proj_Cost" localSheetId="6">#REF!</definedName>
    <definedName name="Dec_Proj_Cost">#REF!</definedName>
    <definedName name="ded_usincome">[6]Calculator!$Q$7</definedName>
    <definedName name="Deg_.25" localSheetId="3">#REF!</definedName>
    <definedName name="Deg_.25" localSheetId="4">#REF!</definedName>
    <definedName name="Deg_.25" localSheetId="6">#REF!</definedName>
    <definedName name="Deg_.25">#REF!</definedName>
    <definedName name="Deg_.5" localSheetId="3">#REF!</definedName>
    <definedName name="Deg_.5" localSheetId="4">#REF!</definedName>
    <definedName name="Deg_.5" localSheetId="6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3">#REF!</definedName>
    <definedName name="DER_1" localSheetId="4">#REF!</definedName>
    <definedName name="DER_1" localSheetId="6">#REF!</definedName>
    <definedName name="DER_1">#REF!</definedName>
    <definedName name="DER_2" localSheetId="3">#REF!</definedName>
    <definedName name="DER_2" localSheetId="4">#REF!</definedName>
    <definedName name="DER_2" localSheetId="6">#REF!</definedName>
    <definedName name="DER_2">#REF!</definedName>
    <definedName name="DER_3" localSheetId="3">#REF!</definedName>
    <definedName name="DER_3" localSheetId="4">#REF!</definedName>
    <definedName name="DER_3" localSheetId="6">#REF!</definedName>
    <definedName name="DER_3">#REF!</definedName>
    <definedName name="DER_4" localSheetId="4">#REF!</definedName>
    <definedName name="DER_4">#REF!</definedName>
    <definedName name="DER_5" localSheetId="4">#REF!</definedName>
    <definedName name="DER_5">#REF!</definedName>
    <definedName name="DER_6" localSheetId="4">#REF!</definedName>
    <definedName name="DER_6">#REF!</definedName>
    <definedName name="DETAIL">#REF!</definedName>
    <definedName name="dgxgfzdg" localSheetId="3">#REF!,#REF!</definedName>
    <definedName name="dgxgfzdg" localSheetId="4">#REF!,#REF!</definedName>
    <definedName name="dgxgfzdg" localSheetId="6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3">#REF!</definedName>
    <definedName name="DIFF_SPV" localSheetId="4">#REF!</definedName>
    <definedName name="DIFF_SPV" localSheetId="6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3">#REF!</definedName>
    <definedName name="ds" localSheetId="4">#REF!</definedName>
    <definedName name="ds" localSheetId="6">#REF!</definedName>
    <definedName name="ds">#REF!</definedName>
    <definedName name="dsd" localSheetId="3">#REF!</definedName>
    <definedName name="dsd" localSheetId="4">#REF!</definedName>
    <definedName name="dsd" localSheetId="6">#REF!</definedName>
    <definedName name="dsd">#REF!</definedName>
    <definedName name="dsfdfADF" localSheetId="3">#REF!</definedName>
    <definedName name="dsfdfADF" localSheetId="4">#REF!</definedName>
    <definedName name="dsfdfADF" localSheetId="6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3">#REF!,#REF!</definedName>
    <definedName name="dxzxxx" localSheetId="4">#REF!,#REF!</definedName>
    <definedName name="dxzxxx" localSheetId="6">#REF!,#REF!</definedName>
    <definedName name="dxzxxx">#REF!,#REF!</definedName>
    <definedName name="E" localSheetId="3">#REF!</definedName>
    <definedName name="E" localSheetId="4">#REF!</definedName>
    <definedName name="E" localSheetId="6">#REF!</definedName>
    <definedName name="E">#REF!</definedName>
    <definedName name="E_1" localSheetId="3">#REF!</definedName>
    <definedName name="E_1" localSheetId="4">#REF!</definedName>
    <definedName name="E_1" localSheetId="6">#REF!</definedName>
    <definedName name="E_1">#REF!</definedName>
    <definedName name="E_2" localSheetId="3">#REF!</definedName>
    <definedName name="E_2" localSheetId="4">#REF!</definedName>
    <definedName name="E_2" localSheetId="6">#REF!</definedName>
    <definedName name="E_2">#REF!</definedName>
    <definedName name="E_3" localSheetId="4">#REF!</definedName>
    <definedName name="E_3">#REF!</definedName>
    <definedName name="E_315MVA_Addl_Page1" localSheetId="4">#REF!</definedName>
    <definedName name="E_315MVA_Addl_Page1">#REF!</definedName>
    <definedName name="E_315MVA_Addl_Page2" localSheetId="4">#REF!</definedName>
    <definedName name="E_315MVA_Addl_Page2">#REF!</definedName>
    <definedName name="E_4" localSheetId="4">#REF!</definedName>
    <definedName name="E_4">#REF!</definedName>
    <definedName name="E_5" localSheetId="4">#REF!</definedName>
    <definedName name="E_5">#REF!</definedName>
    <definedName name="E_6" localSheetId="4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3">[11]Input!#REF!</definedName>
    <definedName name="ECB" localSheetId="4">[11]Input!#REF!</definedName>
    <definedName name="ECB" localSheetId="6">[11]Input!#REF!</definedName>
    <definedName name="ECB">[11]Input!#REF!</definedName>
    <definedName name="ECB_BASE" localSheetId="3">[11]Input!#REF!</definedName>
    <definedName name="ECB_BASE" localSheetId="4">[11]Input!#REF!</definedName>
    <definedName name="ECB_BASE" localSheetId="6">[11]Input!#REF!</definedName>
    <definedName name="ECB_BASE">[11]Input!#REF!</definedName>
    <definedName name="ECB_REFI" localSheetId="3">[11]Input!#REF!</definedName>
    <definedName name="ECB_REFI" localSheetId="4">[11]Input!#REF!</definedName>
    <definedName name="ECB_REFI" localSheetId="6">[11]Input!#REF!</definedName>
    <definedName name="ECB_REFI">[11]Input!#REF!</definedName>
    <definedName name="Eco_Transport_Base" localSheetId="3">#REF!</definedName>
    <definedName name="Eco_Transport_Base" localSheetId="4">#REF!</definedName>
    <definedName name="Eco_Transport_Base" localSheetId="6">#REF!</definedName>
    <definedName name="Eco_Transport_Base">#REF!</definedName>
    <definedName name="Eco_Transport_SEN" localSheetId="3">#REF!</definedName>
    <definedName name="Eco_Transport_SEN" localSheetId="4">#REF!</definedName>
    <definedName name="Eco_Transport_SEN" localSheetId="6">#REF!</definedName>
    <definedName name="Eco_Transport_SEN">#REF!</definedName>
    <definedName name="ECOEsc_Base" localSheetId="3">#REF!</definedName>
    <definedName name="ECOEsc_Base" localSheetId="4">#REF!</definedName>
    <definedName name="ECOEsc_Base" localSheetId="6">#REF!</definedName>
    <definedName name="ECOEsc_Base">#REF!</definedName>
    <definedName name="ECOEsc_SEN" localSheetId="4">#REF!</definedName>
    <definedName name="ECOEsc_SEN">#REF!</definedName>
    <definedName name="ECOPrice_Base" localSheetId="4">#REF!</definedName>
    <definedName name="ECOPrice_Base">#REF!</definedName>
    <definedName name="ECOPrice_SEN" localSheetId="4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3">#REF!</definedName>
    <definedName name="egtdgtgxdg" localSheetId="4">#REF!</definedName>
    <definedName name="egtdgtgxdg" localSheetId="6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3">#REF!</definedName>
    <definedName name="EmpExp_Base" localSheetId="4">#REF!</definedName>
    <definedName name="EmpExp_Base" localSheetId="6">#REF!</definedName>
    <definedName name="EmpExp_Base">#REF!</definedName>
    <definedName name="EmpExp_SEN" localSheetId="3">#REF!</definedName>
    <definedName name="EmpExp_SEN" localSheetId="4">#REF!</definedName>
    <definedName name="EmpExp_SEN" localSheetId="6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3">#REF!</definedName>
    <definedName name="EscAGExp" localSheetId="4">#REF!</definedName>
    <definedName name="EscAGExp" localSheetId="6">#REF!</definedName>
    <definedName name="EscAGExp">#REF!</definedName>
    <definedName name="EscCoal" localSheetId="3">#REF!</definedName>
    <definedName name="EscCoal" localSheetId="4">#REF!</definedName>
    <definedName name="EscCoal" localSheetId="6">#REF!</definedName>
    <definedName name="EscCoal">#REF!</definedName>
    <definedName name="EscDomGas" localSheetId="3">#REF!</definedName>
    <definedName name="EscDomGas" localSheetId="4">#REF!</definedName>
    <definedName name="EscDomGas" localSheetId="6">#REF!</definedName>
    <definedName name="EscDomGas">#REF!</definedName>
    <definedName name="EscEmpExp" localSheetId="4">#REF!</definedName>
    <definedName name="EscEmpExp">#REF!</definedName>
    <definedName name="EscLNGas" localSheetId="4">#REF!</definedName>
    <definedName name="EscLNGas">#REF!</definedName>
    <definedName name="EscOil" localSheetId="4">#REF!</definedName>
    <definedName name="EscOil">#REF!</definedName>
    <definedName name="EscOtherIncome" localSheetId="4">#REF!</definedName>
    <definedName name="EscOtherIncome">#REF!</definedName>
    <definedName name="EscOtherVarCharge" localSheetId="4">#REF!</definedName>
    <definedName name="EscOtherVarCharge">#REF!</definedName>
    <definedName name="EscRMExp" localSheetId="4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4">#REF!</definedName>
    <definedName name="ex">#REF!</definedName>
    <definedName name="EXC" localSheetId="4">#REF!</definedName>
    <definedName name="EXC">#REF!</definedName>
    <definedName name="Excel_BuiltIn_Print_Area_3" localSheetId="4">[50]EPS!#REF!</definedName>
    <definedName name="Excel_BuiltIn_Print_Area_3">[50]EPS!#REF!</definedName>
    <definedName name="exfactcost">'[47]HI-TARGE'!#REF!</definedName>
    <definedName name="EXH" localSheetId="3">#REF!</definedName>
    <definedName name="EXH" localSheetId="4">#REF!</definedName>
    <definedName name="EXH" localSheetId="6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3">#REF!</definedName>
    <definedName name="F" localSheetId="4">#REF!</definedName>
    <definedName name="F" localSheetId="6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3">#REF!</definedName>
    <definedName name="FAX" localSheetId="4">#REF!</definedName>
    <definedName name="FAX" localSheetId="6">#REF!</definedName>
    <definedName name="FAX">#REF!</definedName>
    <definedName name="fbdfhsh" localSheetId="3">#REF!</definedName>
    <definedName name="fbdfhsh" localSheetId="4">#REF!</definedName>
    <definedName name="fbdfhsh" localSheetId="6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3">#REF!</definedName>
    <definedName name="fdfdgdgd" localSheetId="4">#REF!</definedName>
    <definedName name="fdfdgdgd" localSheetId="6">#REF!</definedName>
    <definedName name="fdfdgdgd">#REF!</definedName>
    <definedName name="fdsfdsf" localSheetId="3">#REF!</definedName>
    <definedName name="fdsfdsf" localSheetId="4">#REF!</definedName>
    <definedName name="fdsfdsf" localSheetId="6">#REF!</definedName>
    <definedName name="fdsfdsf">#REF!</definedName>
    <definedName name="fdxfds" localSheetId="3">#REF!</definedName>
    <definedName name="fdxfds" localSheetId="4">#REF!</definedName>
    <definedName name="fdxfds" localSheetId="6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3">#REF!</definedName>
    <definedName name="fgdgchjgd" localSheetId="4">#REF!</definedName>
    <definedName name="fgdgchjgd">#REF!</definedName>
    <definedName name="fgvdata">#REF!</definedName>
    <definedName name="Fhandling">[11]Assumptions!$D$61</definedName>
    <definedName name="FHandling_Base" localSheetId="3">#REF!</definedName>
    <definedName name="FHandling_Base" localSheetId="4">#REF!</definedName>
    <definedName name="FHandling_Base" localSheetId="6">#REF!</definedName>
    <definedName name="FHandling_Base">#REF!</definedName>
    <definedName name="FHandling_SEN" localSheetId="3">#REF!</definedName>
    <definedName name="FHandling_SEN" localSheetId="4">#REF!</definedName>
    <definedName name="FHandling_SEN" localSheetId="6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3">#REF!</definedName>
    <definedName name="Forex_Base" localSheetId="4">#REF!</definedName>
    <definedName name="Forex_Base" localSheetId="6">#REF!</definedName>
    <definedName name="Forex_Base">#REF!</definedName>
    <definedName name="Forex_SEN" localSheetId="3">#REF!</definedName>
    <definedName name="Forex_SEN" localSheetId="4">#REF!</definedName>
    <definedName name="Forex_SEN" localSheetId="6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3">#REF!</definedName>
    <definedName name="fssdzfzsdffzsdf" localSheetId="4">#REF!</definedName>
    <definedName name="fssdzfzsdffzsdf" localSheetId="6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3">#REF!</definedName>
    <definedName name="Fuel_Base" localSheetId="4">#REF!</definedName>
    <definedName name="Fuel_Base" localSheetId="6">#REF!</definedName>
    <definedName name="Fuel_Base">#REF!</definedName>
    <definedName name="Fuel_Exp_CY" localSheetId="3">#REF!</definedName>
    <definedName name="Fuel_Exp_CY" localSheetId="4">#REF!</definedName>
    <definedName name="Fuel_Exp_CY" localSheetId="6">#REF!</definedName>
    <definedName name="Fuel_Exp_CY">#REF!</definedName>
    <definedName name="Fuel_Exp_EY" localSheetId="3">#REF!</definedName>
    <definedName name="Fuel_Exp_EY" localSheetId="4">#REF!</definedName>
    <definedName name="Fuel_Exp_EY" localSheetId="6">#REF!</definedName>
    <definedName name="Fuel_Exp_EY">#REF!</definedName>
    <definedName name="Fuel_Exp_PY" localSheetId="4">#REF!</definedName>
    <definedName name="Fuel_Exp_PY">#REF!</definedName>
    <definedName name="FUEL_SEN" localSheetId="4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3">#REF!</definedName>
    <definedName name="Fx_Base" localSheetId="4">#REF!</definedName>
    <definedName name="Fx_Base" localSheetId="6">#REF!</definedName>
    <definedName name="Fx_Base">#REF!</definedName>
    <definedName name="Fx_SEN" localSheetId="3">#REF!</definedName>
    <definedName name="Fx_SEN" localSheetId="4">#REF!</definedName>
    <definedName name="Fx_SEN" localSheetId="6">#REF!</definedName>
    <definedName name="Fx_SEN">#REF!</definedName>
    <definedName name="fy" localSheetId="3">#REF!</definedName>
    <definedName name="fy" localSheetId="4">#REF!</definedName>
    <definedName name="fy" localSheetId="6">#REF!</definedName>
    <definedName name="fy">#REF!</definedName>
    <definedName name="FYMonths">[29]ReportsParameters!$B$42</definedName>
    <definedName name="g" localSheetId="3">#REF!</definedName>
    <definedName name="g" localSheetId="4">#REF!</definedName>
    <definedName name="g" localSheetId="6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3">#REF!</definedName>
    <definedName name="gaga" localSheetId="4">#REF!</definedName>
    <definedName name="gaga" localSheetId="6">#REF!</definedName>
    <definedName name="gaga">#REF!</definedName>
    <definedName name="gahZh" localSheetId="4">#REF!</definedName>
    <definedName name="gahZh">#REF!</definedName>
    <definedName name="gajkahuah" localSheetId="4">#REF!</definedName>
    <definedName name="gajkahuah">#REF!</definedName>
    <definedName name="gasgdskhdu" localSheetId="3">#REF!,#REF!</definedName>
    <definedName name="gasgdskhdu" localSheetId="4">#REF!,#REF!</definedName>
    <definedName name="gasgdskhdu" localSheetId="6">#REF!,#REF!</definedName>
    <definedName name="gasgdskhdu">#REF!,#REF!</definedName>
    <definedName name="gdgfg" localSheetId="3">#REF!,#REF!</definedName>
    <definedName name="gdgfg" localSheetId="4">#REF!,#REF!</definedName>
    <definedName name="gdgfg" localSheetId="6">#REF!,#REF!</definedName>
    <definedName name="gdgfg">#REF!,#REF!</definedName>
    <definedName name="gf" localSheetId="3">#REF!</definedName>
    <definedName name="gf" localSheetId="4">#REF!</definedName>
    <definedName name="gf" localSheetId="6">#REF!</definedName>
    <definedName name="gf">#REF!</definedName>
    <definedName name="gfg" localSheetId="3">#REF!</definedName>
    <definedName name="gfg" localSheetId="4">#REF!</definedName>
    <definedName name="gfg" localSheetId="6">#REF!</definedName>
    <definedName name="gfg">#REF!</definedName>
    <definedName name="gggggg">'[33]ANNX -II'!$X$20:$AG$41</definedName>
    <definedName name="ghhfh" localSheetId="3">#REF!</definedName>
    <definedName name="ghhfh" localSheetId="4">#REF!</definedName>
    <definedName name="ghhfh" localSheetId="6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3">#REF!</definedName>
    <definedName name="GR" localSheetId="4">#REF!</definedName>
    <definedName name="GR" localSheetId="6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3">#REF!</definedName>
    <definedName name="gshjgshgs" localSheetId="4">#REF!</definedName>
    <definedName name="gshjgshgs" localSheetId="6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3">#REF!,#REF!</definedName>
    <definedName name="gydgdg" localSheetId="4">#REF!,#REF!</definedName>
    <definedName name="gydgdg" localSheetId="6">#REF!,#REF!</definedName>
    <definedName name="gydgdg">#REF!,#REF!</definedName>
    <definedName name="h" localSheetId="3">'[55]04REL'!#REF!</definedName>
    <definedName name="h" localSheetId="4">'[55]04REL'!#REF!</definedName>
    <definedName name="h" localSheetId="6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3">#REF!</definedName>
    <definedName name="hahshuis" localSheetId="4">#REF!</definedName>
    <definedName name="hahshuis" localSheetId="6">#REF!</definedName>
    <definedName name="hahshuis">#REF!</definedName>
    <definedName name="halol">[56]HALOL!$A$10:$D$182</definedName>
    <definedName name="hasnain" localSheetId="3">#REF!</definedName>
    <definedName name="hasnain" localSheetId="4">#REF!</definedName>
    <definedName name="hasnain" localSheetId="6">#REF!</definedName>
    <definedName name="hasnain">#REF!</definedName>
    <definedName name="hdhdjh" localSheetId="3">#REF!</definedName>
    <definedName name="hdhdjh" localSheetId="4">#REF!</definedName>
    <definedName name="hdhdjh" localSheetId="6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3">'[39]04REL'!#REF!</definedName>
    <definedName name="hgtfhdh" localSheetId="4">'[39]04REL'!#REF!</definedName>
    <definedName name="hgtfhdh" localSheetId="6">'[39]04REL'!#REF!</definedName>
    <definedName name="hgtfhdh">'[39]04REL'!#REF!</definedName>
    <definedName name="hhhuh" localSheetId="3">#REF!</definedName>
    <definedName name="hhhuh" localSheetId="4">#REF!</definedName>
    <definedName name="hhhuh" localSheetId="6">#REF!</definedName>
    <definedName name="hhhuh">#REF!</definedName>
    <definedName name="hHzhzh" localSheetId="3">#REF!</definedName>
    <definedName name="hHzhzh" localSheetId="4">#REF!</definedName>
    <definedName name="hHzhzh" localSheetId="6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3">#REF!</definedName>
    <definedName name="hshhxuhxu" localSheetId="4">#REF!</definedName>
    <definedName name="hshhxuhxu" localSheetId="6">#REF!</definedName>
    <definedName name="hshhxuhxu">#REF!</definedName>
    <definedName name="hvdc.avlblty">'[15]PPT Inputs'!$C$27</definedName>
    <definedName name="HWSheet">1</definedName>
    <definedName name="i" localSheetId="3">#REF!</definedName>
    <definedName name="i" localSheetId="4">#REF!</definedName>
    <definedName name="i" localSheetId="6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3">#REF!</definedName>
    <definedName name="idc_copy_3" localSheetId="4">#REF!</definedName>
    <definedName name="idc_copy_3" localSheetId="6">#REF!</definedName>
    <definedName name="idc_copy_3">#REF!</definedName>
    <definedName name="idc_diff" localSheetId="3">#REF!</definedName>
    <definedName name="idc_diff" localSheetId="4">#REF!</definedName>
    <definedName name="idc_diff" localSheetId="6">#REF!</definedName>
    <definedName name="idc_diff">#REF!</definedName>
    <definedName name="IDC_DIFF_1" localSheetId="3">'[23]Capex Scheduling'!#REF!</definedName>
    <definedName name="IDC_DIFF_1" localSheetId="4">'[23]Capex Scheduling'!#REF!</definedName>
    <definedName name="IDC_DIFF_1" localSheetId="6">'[23]Capex Scheduling'!#REF!</definedName>
    <definedName name="IDC_DIFF_1">'[23]Capex Scheduling'!#REF!</definedName>
    <definedName name="idc_p">'[58]Debt Scheduling'!$E$50:$Q$50</definedName>
    <definedName name="idc_paste" localSheetId="3">#REF!</definedName>
    <definedName name="idc_paste" localSheetId="4">#REF!</definedName>
    <definedName name="idc_paste" localSheetId="6">#REF!</definedName>
    <definedName name="idc_paste">#REF!</definedName>
    <definedName name="idc_paste_3" localSheetId="3">#REF!</definedName>
    <definedName name="idc_paste_3" localSheetId="4">#REF!</definedName>
    <definedName name="idc_paste_3" localSheetId="6">#REF!</definedName>
    <definedName name="idc_paste_3">#REF!</definedName>
    <definedName name="IdcDiff" localSheetId="3">'[23]Capex Scheduling'!#REF!</definedName>
    <definedName name="IdcDiff" localSheetId="4">'[23]Capex Scheduling'!#REF!</definedName>
    <definedName name="IdcDiff" localSheetId="6">'[23]Capex Scheduling'!#REF!</definedName>
    <definedName name="IdcDiff">'[23]Capex Scheduling'!#REF!</definedName>
    <definedName name="IDCDifference" localSheetId="3">'[23]Capex Scheduling'!#REF!</definedName>
    <definedName name="IDCDifference" localSheetId="4">'[23]Capex Scheduling'!#REF!</definedName>
    <definedName name="IDCDifference" localSheetId="6">'[23]Capex Scheduling'!#REF!</definedName>
    <definedName name="IDCDifference">'[23]Capex Scheduling'!#REF!</definedName>
    <definedName name="idcPaste1">'[23]Capex Scheduling'!$F$35:$W$35</definedName>
    <definedName name="Inc_Proj_Cost" localSheetId="3">#REF!</definedName>
    <definedName name="Inc_Proj_Cost" localSheetId="4">#REF!</definedName>
    <definedName name="Inc_Proj_Cost" localSheetId="6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3">'[60]LTC-Insulation_Volume'!#REF!</definedName>
    <definedName name="Insulation_Volume" localSheetId="4">'[60]LTC-Insulation_Volume'!#REF!</definedName>
    <definedName name="Insulation_Volume" localSheetId="6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3">#REF!</definedName>
    <definedName name="IntRate_100" localSheetId="4">#REF!</definedName>
    <definedName name="IntRate_100" localSheetId="6">#REF!</definedName>
    <definedName name="IntRate_100">#REF!</definedName>
    <definedName name="IntRate_11">[41]Assumptions!$B$11</definedName>
    <definedName name="IntRate_12">[41]Assumptions!$B$12</definedName>
    <definedName name="IntRate_25" localSheetId="3">#REF!</definedName>
    <definedName name="IntRate_25" localSheetId="4">#REF!</definedName>
    <definedName name="IntRate_25" localSheetId="6">#REF!</definedName>
    <definedName name="IntRate_25">#REF!</definedName>
    <definedName name="IntRate_50" localSheetId="3">#REF!</definedName>
    <definedName name="IntRate_50" localSheetId="4">#REF!</definedName>
    <definedName name="IntRate_50" localSheetId="6">#REF!</definedName>
    <definedName name="IntRate_50">#REF!</definedName>
    <definedName name="IntRate_75" localSheetId="3">#REF!</definedName>
    <definedName name="IntRate_75" localSheetId="4">#REF!</definedName>
    <definedName name="IntRate_75" localSheetId="6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3">#REF!</definedName>
    <definedName name="IntRate12" localSheetId="4">#REF!</definedName>
    <definedName name="IntRate12" localSheetId="6">#REF!</definedName>
    <definedName name="IntRate12">#REF!</definedName>
    <definedName name="IntRate13" localSheetId="3">#REF!</definedName>
    <definedName name="IntRate13" localSheetId="4">#REF!</definedName>
    <definedName name="IntRate13" localSheetId="6">#REF!</definedName>
    <definedName name="IntRate13">#REF!</definedName>
    <definedName name="IntRateWC11" localSheetId="3">#REF!</definedName>
    <definedName name="IntRateWC11" localSheetId="4">#REF!</definedName>
    <definedName name="IntRateWC11" localSheetId="6">#REF!</definedName>
    <definedName name="IntRateWC11">#REF!</definedName>
    <definedName name="IntRateWC12" localSheetId="4">#REF!</definedName>
    <definedName name="IntRateWC12">#REF!</definedName>
    <definedName name="IntRateWC13" localSheetId="4">#REF!</definedName>
    <definedName name="IntRateWC13">#REF!</definedName>
    <definedName name="Intt_Charge_cY" localSheetId="3">#REF!,#REF!</definedName>
    <definedName name="Intt_Charge_cY" localSheetId="4">#REF!,#REF!</definedName>
    <definedName name="Intt_Charge_cY" localSheetId="6">#REF!,#REF!</definedName>
    <definedName name="Intt_Charge_cY">#REF!,#REF!</definedName>
    <definedName name="Intt_Charge_cy_1">'[62]A 3.7'!$H$35,'[62]A 3.7'!$H$44</definedName>
    <definedName name="Intt_Charge_eY" localSheetId="3">#REF!,#REF!</definedName>
    <definedName name="Intt_Charge_eY" localSheetId="4">#REF!,#REF!</definedName>
    <definedName name="Intt_Charge_eY" localSheetId="6">#REF!,#REF!</definedName>
    <definedName name="Intt_Charge_eY">#REF!,#REF!</definedName>
    <definedName name="Intt_Charge_ey_1">'[62]A 3.7'!$I$35,'[62]A 3.7'!$I$44</definedName>
    <definedName name="Intt_Charge_PY" localSheetId="3">#REF!,#REF!</definedName>
    <definedName name="Intt_Charge_PY" localSheetId="4">#REF!,#REF!</definedName>
    <definedName name="Intt_Charge_PY" localSheetId="6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3">#REF!</definedName>
    <definedName name="IsCircular" localSheetId="4">#REF!</definedName>
    <definedName name="IsCircular" localSheetId="6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3">#REF!</definedName>
    <definedName name="j" localSheetId="4">#REF!</definedName>
    <definedName name="j" localSheetId="6">#REF!</definedName>
    <definedName name="j">#REF!</definedName>
    <definedName name="JDCL_MISC">#REF!</definedName>
    <definedName name="jjjj">#REF!</definedName>
    <definedName name="jjkjklj" localSheetId="3">#REF!,#REF!</definedName>
    <definedName name="jjkjklj" localSheetId="4">#REF!,#REF!</definedName>
    <definedName name="jjkjklj" localSheetId="6">#REF!,#REF!</definedName>
    <definedName name="jjkjklj">#REF!,#REF!</definedName>
    <definedName name="jjskjsklj" localSheetId="3">#REF!</definedName>
    <definedName name="jjskjsklj" localSheetId="4">#REF!</definedName>
    <definedName name="jjskjsklj" localSheetId="6">#REF!</definedName>
    <definedName name="jjskjsklj">#REF!</definedName>
    <definedName name="jsdkf3" localSheetId="3">#REF!</definedName>
    <definedName name="jsdkf3" localSheetId="4">#REF!</definedName>
    <definedName name="jsdkf3" localSheetId="6">#REF!</definedName>
    <definedName name="jsdkf3">#REF!</definedName>
    <definedName name="jsjssij" localSheetId="3">#REF!</definedName>
    <definedName name="jsjssij" localSheetId="4">#REF!</definedName>
    <definedName name="jsjssij" localSheetId="6">#REF!</definedName>
    <definedName name="jsjssij">#REF!</definedName>
    <definedName name="k" localSheetId="4">#REF!</definedName>
    <definedName name="k">#REF!</definedName>
    <definedName name="K2000_">#N/A</definedName>
    <definedName name="Kettex">#REF!</definedName>
    <definedName name="kettex98">#REF!</definedName>
    <definedName name="kishor" localSheetId="3">#REF!</definedName>
    <definedName name="kishor" localSheetId="4">#REF!</definedName>
    <definedName name="kishor" localSheetId="6">#REF!</definedName>
    <definedName name="kishor">#REF!</definedName>
    <definedName name="kk">#REF!</definedName>
    <definedName name="kkJJ" localSheetId="3">#REF!</definedName>
    <definedName name="kkJJ" localSheetId="4">#REF!</definedName>
    <definedName name="kkJJ" localSheetId="6">#REF!</definedName>
    <definedName name="kkJJ">#REF!</definedName>
    <definedName name="kkk">#REF!</definedName>
    <definedName name="Korea_Telecom">[16]List_ratios!#REF!</definedName>
    <definedName name="ksokskosk" localSheetId="3">#REF!</definedName>
    <definedName name="ksokskosk" localSheetId="4">#REF!</definedName>
    <definedName name="ksokskosk" localSheetId="6">#REF!</definedName>
    <definedName name="ksokskosk">#REF!</definedName>
    <definedName name="kv.avlblty">'[15]PPT Inputs'!$C$28</definedName>
    <definedName name="l" localSheetId="3">#REF!</definedName>
    <definedName name="l" localSheetId="4">#REF!</definedName>
    <definedName name="l" localSheetId="6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3">#REF!</definedName>
    <definedName name="llJkljl" localSheetId="4">#REF!</definedName>
    <definedName name="llJkljl" localSheetId="6">#REF!</definedName>
    <definedName name="llJkljl">#REF!</definedName>
    <definedName name="Loan_Amount">#REF!</definedName>
    <definedName name="loan_cntr">'[65]Capital Cost'!$A$111:$IV$111</definedName>
    <definedName name="Loan_CoalSPV" localSheetId="3">#REF!</definedName>
    <definedName name="Loan_CoalSPV" localSheetId="4">#REF!</definedName>
    <definedName name="Loan_CoalSPV" localSheetId="6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3">#REF!</definedName>
    <definedName name="LTR_M_NEW" localSheetId="4">#REF!</definedName>
    <definedName name="LTR_M_NEW" localSheetId="6">#REF!</definedName>
    <definedName name="LTR_M_NEW">#REF!</definedName>
    <definedName name="LTR_MOR" localSheetId="3">#REF!</definedName>
    <definedName name="LTR_MOR" localSheetId="4">#REF!</definedName>
    <definedName name="LTR_MOR" localSheetId="6">#REF!</definedName>
    <definedName name="LTR_MOR">#REF!</definedName>
    <definedName name="lvkfeqvlkqe" localSheetId="4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3">#REF!</definedName>
    <definedName name="m105." localSheetId="4">#REF!</definedName>
    <definedName name="m105." localSheetId="6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3">#REF!</definedName>
    <definedName name="Melawan_Transport_Base" localSheetId="4">#REF!</definedName>
    <definedName name="Melawan_Transport_Base" localSheetId="6">#REF!</definedName>
    <definedName name="Melawan_Transport_Base">#REF!</definedName>
    <definedName name="Melawan_Transport_SEN" localSheetId="3">#REF!</definedName>
    <definedName name="Melawan_Transport_SEN" localSheetId="4">#REF!</definedName>
    <definedName name="Melawan_Transport_SEN" localSheetId="6">#REF!</definedName>
    <definedName name="Melawan_Transport_SEN">#REF!</definedName>
    <definedName name="MelawanEsc_Base" localSheetId="3">#REF!</definedName>
    <definedName name="MelawanEsc_Base" localSheetId="4">#REF!</definedName>
    <definedName name="MelawanEsc_Base" localSheetId="6">#REF!</definedName>
    <definedName name="MelawanEsc_Base">#REF!</definedName>
    <definedName name="MelawanEsc_SEN" localSheetId="4">#REF!</definedName>
    <definedName name="MelawanEsc_SEN">#REF!</definedName>
    <definedName name="Melawanprice_Base" localSheetId="4">#REF!</definedName>
    <definedName name="Melawanprice_Base">#REF!</definedName>
    <definedName name="MelawanPrice_SEN" localSheetId="4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3">#REF!</definedName>
    <definedName name="Min_SPV" localSheetId="4">#REF!</definedName>
    <definedName name="Min_SPV" localSheetId="6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3">#REF!</definedName>
    <definedName name="Mix_Eco_Base" localSheetId="4">#REF!</definedName>
    <definedName name="Mix_Eco_Base" localSheetId="6">#REF!</definedName>
    <definedName name="Mix_Eco_Base">#REF!</definedName>
    <definedName name="Mix_Eco_Sen" localSheetId="3">#REF!</definedName>
    <definedName name="Mix_Eco_Sen" localSheetId="4">#REF!</definedName>
    <definedName name="Mix_Eco_Sen" localSheetId="6">#REF!</definedName>
    <definedName name="Mix_Eco_Sen">#REF!</definedName>
    <definedName name="MIX_MEL">[11]Assumptions!$C$92</definedName>
    <definedName name="Mix_Melawan_Base" localSheetId="3">#REF!</definedName>
    <definedName name="Mix_Melawan_Base" localSheetId="4">#REF!</definedName>
    <definedName name="Mix_Melawan_Base" localSheetId="6">#REF!</definedName>
    <definedName name="Mix_Melawan_Base">#REF!</definedName>
    <definedName name="Mix_Melawan_SEN" localSheetId="3">#REF!</definedName>
    <definedName name="Mix_Melawan_SEN" localSheetId="4">#REF!</definedName>
    <definedName name="Mix_Melawan_SEN" localSheetId="6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3" hidden="1">[67]CE!#REF!</definedName>
    <definedName name="new" localSheetId="4" hidden="1">[67]CE!#REF!</definedName>
    <definedName name="new" localSheetId="6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3">#REF!</definedName>
    <definedName name="nnkklj" localSheetId="4">#REF!</definedName>
    <definedName name="nnkklj" localSheetId="6">#REF!</definedName>
    <definedName name="nnkklj">#REF!</definedName>
    <definedName name="NO_G" localSheetId="3">#REF!</definedName>
    <definedName name="NO_G" localSheetId="4">#REF!</definedName>
    <definedName name="NO_G" localSheetId="6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3">#REF!</definedName>
    <definedName name="O" localSheetId="4">#REF!</definedName>
    <definedName name="O" localSheetId="6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3">#REF!</definedName>
    <definedName name="Olklkk" localSheetId="4">#REF!</definedName>
    <definedName name="Olklkk" localSheetId="6">#REF!</definedName>
    <definedName name="Olklkk">#REF!</definedName>
    <definedName name="OM.5" localSheetId="3">#REF!</definedName>
    <definedName name="OM.5" localSheetId="4">#REF!</definedName>
    <definedName name="OM.5" localSheetId="6">#REF!</definedName>
    <definedName name="OM.5">#REF!</definedName>
    <definedName name="OM_1" localSheetId="3">#REF!</definedName>
    <definedName name="OM_1" localSheetId="4">#REF!</definedName>
    <definedName name="OM_1" localSheetId="6">#REF!</definedName>
    <definedName name="OM_1">#REF!</definedName>
    <definedName name="OM_1.5" localSheetId="4">#REF!</definedName>
    <definedName name="OM_1.5">#REF!</definedName>
    <definedName name="OM_2" localSheetId="4">#REF!</definedName>
    <definedName name="OM_2">#REF!</definedName>
    <definedName name="OM_2.5" localSheetId="4">#REF!</definedName>
    <definedName name="OM_2.5">#REF!</definedName>
    <definedName name="OM_3" localSheetId="4">#REF!</definedName>
    <definedName name="OM_3">#REF!</definedName>
    <definedName name="ONM_Base" localSheetId="4">#REF!</definedName>
    <definedName name="ONM_Base">#REF!</definedName>
    <definedName name="ONM_SEN" localSheetId="4">#REF!</definedName>
    <definedName name="ONM_SEN">#REF!</definedName>
    <definedName name="order_value" localSheetId="4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4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3">#REF!</definedName>
    <definedName name="PAF_Base" localSheetId="4">#REF!</definedName>
    <definedName name="PAF_Base" localSheetId="6">#REF!</definedName>
    <definedName name="PAF_Base">#REF!</definedName>
    <definedName name="PAF_SEN" localSheetId="3">#REF!</definedName>
    <definedName name="PAF_SEN" localSheetId="4">#REF!</definedName>
    <definedName name="PAF_SEN" localSheetId="6">#REF!</definedName>
    <definedName name="PAF_SEN">#REF!</definedName>
    <definedName name="PAGE1" localSheetId="3">#REF!</definedName>
    <definedName name="PAGE1" localSheetId="4">#REF!</definedName>
    <definedName name="PAGE1" localSheetId="6">#REF!</definedName>
    <definedName name="PAGE1">#REF!</definedName>
    <definedName name="page10" localSheetId="4">#REF!</definedName>
    <definedName name="page10">#REF!</definedName>
    <definedName name="PAGE10_6" localSheetId="4">#REF!</definedName>
    <definedName name="PAGE10_6">#REF!</definedName>
    <definedName name="PAGE11_6" localSheetId="4">#REF!</definedName>
    <definedName name="PAGE11_6">#REF!</definedName>
    <definedName name="PAGE12_6" localSheetId="4">#REF!</definedName>
    <definedName name="PAGE12_6">#REF!</definedName>
    <definedName name="PAGE14" localSheetId="4">#REF!</definedName>
    <definedName name="PAGE14">#REF!</definedName>
    <definedName name="PAGE15" localSheetId="4">#REF!</definedName>
    <definedName name="PAGE15">#REF!</definedName>
    <definedName name="PAGE16" localSheetId="4">#REF!</definedName>
    <definedName name="PAGE16">#REF!</definedName>
    <definedName name="PAGE17" localSheetId="4">#REF!</definedName>
    <definedName name="PAGE17">#REF!</definedName>
    <definedName name="PAGE18" localSheetId="4">#REF!</definedName>
    <definedName name="PAGE18">#REF!</definedName>
    <definedName name="PAGE19" localSheetId="4">#REF!</definedName>
    <definedName name="PAGE19">#REF!</definedName>
    <definedName name="PAGE2" localSheetId="4">#REF!</definedName>
    <definedName name="PAGE2">#REF!</definedName>
    <definedName name="PAGE2_6" localSheetId="4">#REF!</definedName>
    <definedName name="PAGE2_6">#REF!</definedName>
    <definedName name="PAGE20" localSheetId="4">#REF!</definedName>
    <definedName name="PAGE20">#REF!</definedName>
    <definedName name="PAGE21" localSheetId="4">#REF!</definedName>
    <definedName name="PAGE21">#REF!</definedName>
    <definedName name="PAGE210" localSheetId="4">#REF!</definedName>
    <definedName name="PAGE210">#REF!</definedName>
    <definedName name="PAGE22" localSheetId="4">#REF!</definedName>
    <definedName name="PAGE22">#REF!</definedName>
    <definedName name="PAGE23" localSheetId="4">#REF!</definedName>
    <definedName name="PAGE23">#REF!</definedName>
    <definedName name="PAGE24" localSheetId="4">#REF!</definedName>
    <definedName name="PAGE24">#REF!</definedName>
    <definedName name="PAGE25" localSheetId="4">#REF!</definedName>
    <definedName name="PAGE25">#REF!</definedName>
    <definedName name="PAGE26" localSheetId="4">#REF!</definedName>
    <definedName name="PAGE26">#REF!</definedName>
    <definedName name="PAGE27" localSheetId="4">#REF!</definedName>
    <definedName name="PAGE27">#REF!</definedName>
    <definedName name="PAGE28" localSheetId="4">#REF!</definedName>
    <definedName name="PAGE28">#REF!</definedName>
    <definedName name="PAGE29" localSheetId="4">#REF!</definedName>
    <definedName name="PAGE29">#REF!</definedName>
    <definedName name="PAGE3_6" localSheetId="4">#REF!</definedName>
    <definedName name="PAGE3_6">#REF!</definedName>
    <definedName name="page34" localSheetId="4">#REF!</definedName>
    <definedName name="page34">#REF!</definedName>
    <definedName name="Page35" localSheetId="4">#REF!</definedName>
    <definedName name="Page35">#REF!</definedName>
    <definedName name="PAGE4_6" localSheetId="4">#REF!</definedName>
    <definedName name="PAGE4_6">#REF!</definedName>
    <definedName name="PAGE5_6" localSheetId="4">#REF!</definedName>
    <definedName name="PAGE5_6">#REF!</definedName>
    <definedName name="page50" localSheetId="4">#REF!</definedName>
    <definedName name="page50">#REF!</definedName>
    <definedName name="page51" localSheetId="4">#REF!</definedName>
    <definedName name="page51">#REF!</definedName>
    <definedName name="page52" localSheetId="4">#REF!</definedName>
    <definedName name="page52">#REF!</definedName>
    <definedName name="PAGE6" localSheetId="4">#REF!</definedName>
    <definedName name="PAGE6">#REF!</definedName>
    <definedName name="PAGE6_6" localSheetId="4">#REF!</definedName>
    <definedName name="PAGE6_6">#REF!</definedName>
    <definedName name="PAGE7" localSheetId="4">#REF!</definedName>
    <definedName name="PAGE7">#REF!</definedName>
    <definedName name="PAGE7_6" localSheetId="4">#REF!</definedName>
    <definedName name="PAGE7_6">#REF!</definedName>
    <definedName name="PAGE8" localSheetId="4">#REF!</definedName>
    <definedName name="PAGE8">#REF!</definedName>
    <definedName name="PAGE8_6U1A" localSheetId="4">#REF!</definedName>
    <definedName name="PAGE8_6U1A">#REF!</definedName>
    <definedName name="PAGE8_6U1B" localSheetId="4">#REF!</definedName>
    <definedName name="PAGE8_6U1B">#REF!</definedName>
    <definedName name="PAGE8_6U2A" localSheetId="4">#REF!</definedName>
    <definedName name="PAGE8_6U2A">#REF!</definedName>
    <definedName name="PAGE8_6U2B" localSheetId="4">#REF!</definedName>
    <definedName name="PAGE8_6U2B">#REF!</definedName>
    <definedName name="PAGE8_6U3A" localSheetId="4">#REF!</definedName>
    <definedName name="PAGE8_6U3A">#REF!</definedName>
    <definedName name="PAGE8_6U3B" localSheetId="4">#REF!</definedName>
    <definedName name="PAGE8_6U3B">#REF!</definedName>
    <definedName name="PAGE9" localSheetId="4">#REF!</definedName>
    <definedName name="PAGE9">#REF!</definedName>
    <definedName name="PAGE9_6" localSheetId="4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3">#REF!</definedName>
    <definedName name="PASTE_LoanCOALSPV" localSheetId="4">#REF!</definedName>
    <definedName name="PASTE_LoanCOALSPV" localSheetId="6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3">#REF!</definedName>
    <definedName name="PC_1" localSheetId="4">#REF!</definedName>
    <definedName name="PC_1" localSheetId="6">#REF!</definedName>
    <definedName name="PC_1">#REF!</definedName>
    <definedName name="PC_2" localSheetId="4">#REF!</definedName>
    <definedName name="PC_2">#REF!</definedName>
    <definedName name="PC_3" localSheetId="4">#REF!</definedName>
    <definedName name="PC_3">#REF!</definedName>
    <definedName name="PC_4" localSheetId="4">#REF!</definedName>
    <definedName name="PC_4">#REF!</definedName>
    <definedName name="PC_5" localSheetId="4">#REF!</definedName>
    <definedName name="PC_5">#REF!</definedName>
    <definedName name="PC_6" localSheetId="4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3">#REF!</definedName>
    <definedName name="PL" localSheetId="4">#REF!</definedName>
    <definedName name="PL" localSheetId="6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3">#REF!</definedName>
    <definedName name="PLF_Base" localSheetId="4">#REF!</definedName>
    <definedName name="PLF_Base" localSheetId="6">#REF!</definedName>
    <definedName name="PLF_Base">#REF!</definedName>
    <definedName name="PLF_SEN" localSheetId="3">#REF!</definedName>
    <definedName name="PLF_SEN" localSheetId="4">#REF!</definedName>
    <definedName name="PLF_SEN" localSheetId="6">#REF!</definedName>
    <definedName name="PLF_SEN">#REF!</definedName>
    <definedName name="Pop_Ratio" localSheetId="3">#REF!</definedName>
    <definedName name="Pop_Ratio" localSheetId="4">#REF!</definedName>
    <definedName name="Pop_Ratio" localSheetId="6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3">#REF!</definedName>
    <definedName name="Premium" localSheetId="4">#REF!</definedName>
    <definedName name="Premium" localSheetId="6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3">#REF!</definedName>
    <definedName name="PRF_1" localSheetId="4">#REF!</definedName>
    <definedName name="PRF_1" localSheetId="6">#REF!</definedName>
    <definedName name="PRF_1">#REF!</definedName>
    <definedName name="PRF_2_P1" localSheetId="3">#REF!</definedName>
    <definedName name="PRF_2_P1" localSheetId="4">#REF!</definedName>
    <definedName name="PRF_2_P1" localSheetId="6">#REF!</definedName>
    <definedName name="PRF_2_P1">#REF!</definedName>
    <definedName name="PRF_2_P2" localSheetId="4">#REF!</definedName>
    <definedName name="PRF_2_P2">#REF!</definedName>
    <definedName name="PRF_3_AN1" localSheetId="4">#REF!</definedName>
    <definedName name="PRF_3_AN1">#REF!</definedName>
    <definedName name="PRF_3_AN2" localSheetId="4">#REF!</definedName>
    <definedName name="PRF_3_AN2">#REF!</definedName>
    <definedName name="PRF_3_AN3" localSheetId="4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3">#REF!</definedName>
    <definedName name="_xlnm.Print_Area" localSheetId="4">'[73]Dep It'!#REF!</definedName>
    <definedName name="_xlnm.Print_Area" localSheetId="6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3">#REF!</definedName>
    <definedName name="Print_Area_MI" localSheetId="4">#REF!</definedName>
    <definedName name="PRINT_AREA_MI" localSheetId="6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3">#REF!</definedName>
    <definedName name="RAUX" localSheetId="4">#REF!</definedName>
    <definedName name="RAUX" localSheetId="6">#REF!</definedName>
    <definedName name="RAUX">#REF!</definedName>
    <definedName name="RAWMAT">'[47]Data Input'!$B$195:$P$272</definedName>
    <definedName name="RBASE" localSheetId="3">#REF!</definedName>
    <definedName name="RBASE" localSheetId="4">#REF!</definedName>
    <definedName name="RBASE" localSheetId="6">#REF!</definedName>
    <definedName name="RBASE">#REF!</definedName>
    <definedName name="RCAP" localSheetId="3">#REF!</definedName>
    <definedName name="RCAP" localSheetId="4">#REF!</definedName>
    <definedName name="RCAP" localSheetId="6">#REF!</definedName>
    <definedName name="RCAP">#REF!</definedName>
    <definedName name="RCERC" localSheetId="4">#REF!</definedName>
    <definedName name="RCERC">#REF!</definedName>
    <definedName name="RCOALCOST" localSheetId="4">#REF!</definedName>
    <definedName name="RCOALCOST">#REF!</definedName>
    <definedName name="RCoalScenario" localSheetId="4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3">#REF!</definedName>
    <definedName name="Red_Tariff_.25" localSheetId="4">#REF!</definedName>
    <definedName name="Red_Tariff_.25" localSheetId="6">#REF!</definedName>
    <definedName name="Red_Tariff_.25">#REF!</definedName>
    <definedName name="Red_Tariff_.5" localSheetId="3">#REF!</definedName>
    <definedName name="Red_Tariff_.5" localSheetId="4">#REF!</definedName>
    <definedName name="Red_Tariff_.5" localSheetId="6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3">#REF!</definedName>
    <definedName name="refin" localSheetId="4">#REF!</definedName>
    <definedName name="refin" localSheetId="6">#REF!</definedName>
    <definedName name="refin">#REF!</definedName>
    <definedName name="Reinvest">#REF!</definedName>
    <definedName name="REmpExp" localSheetId="4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3">#REF!</definedName>
    <definedName name="REsc_Melawan" localSheetId="4">#REF!</definedName>
    <definedName name="REsc_Melawan" localSheetId="6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3">#REF!</definedName>
    <definedName name="RFHandling" localSheetId="4">#REF!</definedName>
    <definedName name="RFHandling" localSheetId="6">#REF!</definedName>
    <definedName name="RFHandling">#REF!</definedName>
    <definedName name="RFOREX" localSheetId="3">#REF!</definedName>
    <definedName name="RFOREX" localSheetId="4">#REF!</definedName>
    <definedName name="RFOREX" localSheetId="6">#REF!</definedName>
    <definedName name="RFOREX">#REF!</definedName>
    <definedName name="RFUEL" localSheetId="3">#REF!</definedName>
    <definedName name="RFUEL" localSheetId="4">#REF!</definedName>
    <definedName name="RFUEL" localSheetId="6">#REF!</definedName>
    <definedName name="RFUEL">#REF!</definedName>
    <definedName name="RFx" localSheetId="4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4">#REF!</definedName>
    <definedName name="RMelawan_Price">#REF!</definedName>
    <definedName name="RMIX" localSheetId="4">#REF!</definedName>
    <definedName name="RMIX">#REF!</definedName>
    <definedName name="ROA">[16]List_ratios!#REF!</definedName>
    <definedName name="ROE">[16]List_ratios!#REF!</definedName>
    <definedName name="RONM" localSheetId="3">#REF!</definedName>
    <definedName name="RONM" localSheetId="4">#REF!</definedName>
    <definedName name="RONM" localSheetId="6">#REF!</definedName>
    <definedName name="RONM">#REF!</definedName>
    <definedName name="RPAF" localSheetId="4">#REF!</definedName>
    <definedName name="RPAF">#REF!</definedName>
    <definedName name="RPLF" localSheetId="4">#REF!</definedName>
    <definedName name="RPLF">#REF!</definedName>
    <definedName name="rr">[78]STATE!$A$2:$A$65536</definedName>
    <definedName name="rradj">nopatadj/capitaladj</definedName>
    <definedName name="RRTL_Int" localSheetId="3">#REF!</definedName>
    <definedName name="RRTL_Int" localSheetId="4">#REF!</definedName>
    <definedName name="RRTL_Int" localSheetId="6">#REF!</definedName>
    <definedName name="RRTL_Int">#REF!</definedName>
    <definedName name="Rsin">[79]Main!$B$2</definedName>
    <definedName name="RSL" localSheetId="3">#REF!</definedName>
    <definedName name="RSL" localSheetId="4">#REF!</definedName>
    <definedName name="RSL" localSheetId="6">#REF!</definedName>
    <definedName name="RSL">#REF!</definedName>
    <definedName name="RTariff" localSheetId="3">#REF!</definedName>
    <definedName name="RTariff" localSheetId="4">#REF!</definedName>
    <definedName name="RTariff" localSheetId="6">#REF!</definedName>
    <definedName name="RTariff">#REF!</definedName>
    <definedName name="RTL_BASE" localSheetId="3">[11]Input!#REF!</definedName>
    <definedName name="RTL_BASE" localSheetId="4">[11]Input!#REF!</definedName>
    <definedName name="RTL_BASE" localSheetId="6">[11]Input!#REF!</definedName>
    <definedName name="RTL_BASE">[11]Input!#REF!</definedName>
    <definedName name="RTL_INT_Base" localSheetId="3">#REF!</definedName>
    <definedName name="RTL_INT_Base" localSheetId="4">#REF!</definedName>
    <definedName name="RTL_INT_Base" localSheetId="6">#REF!</definedName>
    <definedName name="RTL_INT_Base">#REF!</definedName>
    <definedName name="RTL_INT_SEN" localSheetId="3">#REF!</definedName>
    <definedName name="RTL_INT_SEN" localSheetId="4">#REF!</definedName>
    <definedName name="RTL_INT_SEN" localSheetId="6">#REF!</definedName>
    <definedName name="RTL_INT_SEN">#REF!</definedName>
    <definedName name="RTransporation" localSheetId="3">#REF!</definedName>
    <definedName name="RTransporation" localSheetId="4">#REF!</definedName>
    <definedName name="RTransporation" localSheetId="6">#REF!</definedName>
    <definedName name="RTransporation">#REF!</definedName>
    <definedName name="RTransport" localSheetId="4">#REF!</definedName>
    <definedName name="RTransport">#REF!</definedName>
    <definedName name="RTransportation" localSheetId="4">#REF!</definedName>
    <definedName name="RTransportation">#REF!</definedName>
    <definedName name="S" localSheetId="4">#REF!</definedName>
    <definedName name="S">#REF!</definedName>
    <definedName name="S_0" localSheetId="4">#REF!</definedName>
    <definedName name="S_0">#REF!</definedName>
    <definedName name="S_0.5" localSheetId="4">#REF!</definedName>
    <definedName name="S_0.5">#REF!</definedName>
    <definedName name="S_1" localSheetId="4">#REF!</definedName>
    <definedName name="S_1">#REF!</definedName>
    <definedName name="S_10" localSheetId="4">#REF!</definedName>
    <definedName name="S_10">#REF!</definedName>
    <definedName name="S_11" localSheetId="4">#REF!</definedName>
    <definedName name="S_11">#REF!</definedName>
    <definedName name="S_12" localSheetId="4">#REF!</definedName>
    <definedName name="S_12">#REF!</definedName>
    <definedName name="S_13" localSheetId="4">#REF!</definedName>
    <definedName name="S_13">#REF!</definedName>
    <definedName name="S_14" localSheetId="4">#REF!</definedName>
    <definedName name="S_14">#REF!</definedName>
    <definedName name="S_15" localSheetId="4">#REF!</definedName>
    <definedName name="S_15">#REF!</definedName>
    <definedName name="S_16" localSheetId="4">#REF!</definedName>
    <definedName name="S_16">#REF!</definedName>
    <definedName name="S_17" localSheetId="4">#REF!</definedName>
    <definedName name="S_17">#REF!</definedName>
    <definedName name="S_18" localSheetId="4">#REF!</definedName>
    <definedName name="S_18">#REF!</definedName>
    <definedName name="S_19" localSheetId="4">#REF!</definedName>
    <definedName name="S_19">#REF!</definedName>
    <definedName name="S_2" localSheetId="4">#REF!</definedName>
    <definedName name="S_2">#REF!</definedName>
    <definedName name="S_20" localSheetId="4">#REF!</definedName>
    <definedName name="S_20">#REF!</definedName>
    <definedName name="S_21" localSheetId="4">#REF!</definedName>
    <definedName name="S_21">#REF!</definedName>
    <definedName name="S_22" localSheetId="4">#REF!</definedName>
    <definedName name="S_22">#REF!</definedName>
    <definedName name="S_23" localSheetId="4">#REF!</definedName>
    <definedName name="S_23">#REF!</definedName>
    <definedName name="S_24" localSheetId="4">#REF!</definedName>
    <definedName name="S_24">#REF!</definedName>
    <definedName name="S_25" localSheetId="4">#REF!</definedName>
    <definedName name="S_25">#REF!</definedName>
    <definedName name="S_26" localSheetId="4">#REF!</definedName>
    <definedName name="S_26">#REF!</definedName>
    <definedName name="S_27" localSheetId="4">#REF!</definedName>
    <definedName name="S_27">#REF!</definedName>
    <definedName name="S_28" localSheetId="4">#REF!</definedName>
    <definedName name="S_28">#REF!</definedName>
    <definedName name="S_29" localSheetId="4">#REF!</definedName>
    <definedName name="S_29">#REF!</definedName>
    <definedName name="S_3" localSheetId="4">#REF!</definedName>
    <definedName name="S_3">#REF!</definedName>
    <definedName name="S_30" localSheetId="4">#REF!</definedName>
    <definedName name="S_30">#REF!</definedName>
    <definedName name="S_4" localSheetId="4">#REF!</definedName>
    <definedName name="S_4">#REF!</definedName>
    <definedName name="S_5" localSheetId="4">#REF!</definedName>
    <definedName name="S_5">#REF!</definedName>
    <definedName name="S_6" localSheetId="4">#REF!</definedName>
    <definedName name="S_6">#REF!</definedName>
    <definedName name="S_7" localSheetId="4">#REF!</definedName>
    <definedName name="S_7">#REF!</definedName>
    <definedName name="S_8" localSheetId="4">#REF!</definedName>
    <definedName name="S_8">#REF!</definedName>
    <definedName name="S_9" localSheetId="4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4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3">#REF!</definedName>
    <definedName name="sdsdsdsd" localSheetId="4">#REF!</definedName>
    <definedName name="sdsdsdsd" localSheetId="6">#REF!</definedName>
    <definedName name="sdsdsdsd">#REF!</definedName>
    <definedName name="sdsfszsfzs" localSheetId="3">#REF!,#REF!</definedName>
    <definedName name="sdsfszsfzs" localSheetId="4">#REF!,#REF!</definedName>
    <definedName name="sdsfszsfzs" localSheetId="6">#REF!,#REF!</definedName>
    <definedName name="sdsfszsfzs">#REF!,#REF!</definedName>
    <definedName name="SE_NAME">""</definedName>
    <definedName name="SECOAL" localSheetId="3">#REF!</definedName>
    <definedName name="SECOAL" localSheetId="4">#REF!</definedName>
    <definedName name="SECOAL" localSheetId="6">#REF!</definedName>
    <definedName name="SECOAL">#REF!</definedName>
    <definedName name="SECTOR_LIST">[71]SECTOR!$A$2:$A$65536</definedName>
    <definedName name="SELECT" localSheetId="3">#REF!</definedName>
    <definedName name="SELECT" localSheetId="4">#REF!</definedName>
    <definedName name="SELECT" localSheetId="6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3">#REF!</definedName>
    <definedName name="SEOREP" localSheetId="4">#REF!</definedName>
    <definedName name="SEOREP" localSheetId="6">#REF!</definedName>
    <definedName name="SEOREP">#REF!</definedName>
    <definedName name="SEREPORT" localSheetId="3">#REF!</definedName>
    <definedName name="SEREPORT" localSheetId="4">#REF!</definedName>
    <definedName name="SEREPORT" localSheetId="6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3">#REF!,#REF!</definedName>
    <definedName name="shshshsh" localSheetId="4">#REF!,#REF!</definedName>
    <definedName name="shshshsh" localSheetId="6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3">[11]Input!#REF!</definedName>
    <definedName name="SL" localSheetId="4">[11]Input!#REF!</definedName>
    <definedName name="SL" localSheetId="6">[11]Input!#REF!</definedName>
    <definedName name="SL">[11]Input!#REF!</definedName>
    <definedName name="SL_Base" localSheetId="3">#REF!</definedName>
    <definedName name="SL_Base" localSheetId="4">#REF!</definedName>
    <definedName name="SL_Base" localSheetId="6">#REF!</definedName>
    <definedName name="SL_Base">#REF!</definedName>
    <definedName name="SL_SEN" localSheetId="3">#REF!</definedName>
    <definedName name="SL_SEN" localSheetId="4">#REF!</definedName>
    <definedName name="SL_SEN" localSheetId="6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3">#REF!</definedName>
    <definedName name="SPV_DSCR" localSheetId="4">#REF!</definedName>
    <definedName name="SPV_DSCR" localSheetId="6">#REF!</definedName>
    <definedName name="SPV_DSCR">#REF!</definedName>
    <definedName name="SPV_Loan" localSheetId="4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3">#REF!</definedName>
    <definedName name="Stock" localSheetId="4">#REF!</definedName>
    <definedName name="Stock" localSheetId="6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3">#REF!</definedName>
    <definedName name="sub_total" localSheetId="4">#REF!</definedName>
    <definedName name="sub_total" localSheetId="6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3">#REF!</definedName>
    <definedName name="t" localSheetId="4">#REF!</definedName>
    <definedName name="t" localSheetId="6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3">#REF!</definedName>
    <definedName name="Target" localSheetId="4">#REF!</definedName>
    <definedName name="Target" localSheetId="6">#REF!</definedName>
    <definedName name="Target">#REF!</definedName>
    <definedName name="Tariff">[23]Assumptions!$H$8</definedName>
    <definedName name="tariff_var_mod">[23]Assumptions!$L$37</definedName>
    <definedName name="TAX_DIFF" localSheetId="3">#REF!</definedName>
    <definedName name="TAX_DIFF" localSheetId="4">#REF!</definedName>
    <definedName name="TAX_DIFF" localSheetId="6">#REF!</definedName>
    <definedName name="TAX_DIFF">#REF!</definedName>
    <definedName name="TAX_PAS" localSheetId="3">#REF!</definedName>
    <definedName name="TAX_PAS" localSheetId="4">#REF!</definedName>
    <definedName name="TAX_PAS" localSheetId="6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3">#REF!</definedName>
    <definedName name="Taxrate12" localSheetId="4">#REF!</definedName>
    <definedName name="Taxrate12" localSheetId="6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3">#REF!</definedName>
    <definedName name="TDSCR_FCSPV" localSheetId="4">#REF!</definedName>
    <definedName name="TDSCR_FCSPV" localSheetId="6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3">#REF!</definedName>
    <definedName name="Tgt" localSheetId="4">#REF!</definedName>
    <definedName name="Tgt" localSheetId="6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3">#REF!</definedName>
    <definedName name="title" localSheetId="4">#REF!</definedName>
    <definedName name="title" localSheetId="6">#REF!</definedName>
    <definedName name="title">#REF!</definedName>
    <definedName name="Tolerance">0.0025</definedName>
    <definedName name="total_A" localSheetId="3">#REF!</definedName>
    <definedName name="total_A" localSheetId="4">#REF!</definedName>
    <definedName name="total_A" localSheetId="6">#REF!</definedName>
    <definedName name="total_A">#REF!</definedName>
    <definedName name="total_B" localSheetId="3">#REF!</definedName>
    <definedName name="total_B" localSheetId="4">#REF!</definedName>
    <definedName name="total_B" localSheetId="6">#REF!</definedName>
    <definedName name="total_B">#REF!</definedName>
    <definedName name="total_budget" localSheetId="3">#REF!</definedName>
    <definedName name="total_budget" localSheetId="4">#REF!</definedName>
    <definedName name="total_budget" localSheetId="6">#REF!</definedName>
    <definedName name="total_budget">#REF!</definedName>
    <definedName name="total_C" localSheetId="4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3">[11]Assumptions!#REF!</definedName>
    <definedName name="TPS" localSheetId="4">[11]Assumptions!#REF!</definedName>
    <definedName name="TPS" localSheetId="6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3">#REF!</definedName>
    <definedName name="Transportation_Base" localSheetId="4">#REF!</definedName>
    <definedName name="Transportation_Base" localSheetId="6">#REF!</definedName>
    <definedName name="Transportation_Base">#REF!</definedName>
    <definedName name="Transportation_SEN" localSheetId="3">#REF!</definedName>
    <definedName name="Transportation_SEN" localSheetId="4">#REF!</definedName>
    <definedName name="Transportation_SEN" localSheetId="6">#REF!</definedName>
    <definedName name="Transportation_SEN">#REF!</definedName>
    <definedName name="TRAVEL">#REF!</definedName>
    <definedName name="tripping" localSheetId="3">#REF!</definedName>
    <definedName name="tripping" localSheetId="4">#REF!</definedName>
    <definedName name="tripping" localSheetId="6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3">#REF!</definedName>
    <definedName name="uNIT1" localSheetId="4">#REF!</definedName>
    <definedName name="uNIT1" localSheetId="6">#REF!</definedName>
    <definedName name="uNIT1">#REF!</definedName>
    <definedName name="uNIT2" localSheetId="3">#REF!</definedName>
    <definedName name="uNIT2" localSheetId="4">#REF!</definedName>
    <definedName name="uNIT2" localSheetId="6">#REF!</definedName>
    <definedName name="uNIT2">#REF!</definedName>
    <definedName name="uNIT3" localSheetId="3">#REF!</definedName>
    <definedName name="uNIT3" localSheetId="4">#REF!</definedName>
    <definedName name="uNIT3" localSheetId="6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4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3">#REF!</definedName>
    <definedName name="VAR_1" localSheetId="4">#REF!</definedName>
    <definedName name="VAR_1" localSheetId="6">#REF!</definedName>
    <definedName name="VAR_1">#REF!</definedName>
    <definedName name="VAR_10" localSheetId="3">#REF!</definedName>
    <definedName name="VAR_10" localSheetId="4">#REF!</definedName>
    <definedName name="VAR_10" localSheetId="6">#REF!</definedName>
    <definedName name="VAR_10">#REF!</definedName>
    <definedName name="VAR_11" localSheetId="3">#REF!</definedName>
    <definedName name="VAR_11" localSheetId="4">#REF!</definedName>
    <definedName name="VAR_11" localSheetId="6">#REF!</definedName>
    <definedName name="VAR_11">#REF!</definedName>
    <definedName name="VAR_12" localSheetId="4">#REF!</definedName>
    <definedName name="VAR_12">#REF!</definedName>
    <definedName name="VAR_13" localSheetId="4">#REF!</definedName>
    <definedName name="VAR_13">#REF!</definedName>
    <definedName name="VAR_14" localSheetId="4">#REF!</definedName>
    <definedName name="VAR_14">#REF!</definedName>
    <definedName name="VAR_15" localSheetId="4">#REF!</definedName>
    <definedName name="VAR_15">#REF!</definedName>
    <definedName name="VAR_16" localSheetId="4">#REF!</definedName>
    <definedName name="VAR_16">#REF!</definedName>
    <definedName name="VAR_17" localSheetId="4">#REF!</definedName>
    <definedName name="VAR_17">#REF!</definedName>
    <definedName name="VAR_18" localSheetId="4">#REF!</definedName>
    <definedName name="VAR_18">#REF!</definedName>
    <definedName name="VAR_19" localSheetId="4">#REF!</definedName>
    <definedName name="VAR_19">#REF!</definedName>
    <definedName name="VAR_2" localSheetId="4">#REF!</definedName>
    <definedName name="VAR_2">#REF!</definedName>
    <definedName name="VAR_20" localSheetId="4">#REF!</definedName>
    <definedName name="VAR_20">#REF!</definedName>
    <definedName name="VAR_21" localSheetId="4">#REF!</definedName>
    <definedName name="VAR_21">#REF!</definedName>
    <definedName name="VAR_22" localSheetId="4">#REF!</definedName>
    <definedName name="VAR_22">#REF!</definedName>
    <definedName name="VAR_23" localSheetId="4">#REF!</definedName>
    <definedName name="VAR_23">#REF!</definedName>
    <definedName name="VAR_24" localSheetId="4">#REF!</definedName>
    <definedName name="VAR_24">#REF!</definedName>
    <definedName name="VAR_25" localSheetId="4">#REF!</definedName>
    <definedName name="VAR_25">#REF!</definedName>
    <definedName name="VAR_26" localSheetId="4">#REF!</definedName>
    <definedName name="VAR_26">#REF!</definedName>
    <definedName name="VAR_27" localSheetId="4">#REF!</definedName>
    <definedName name="VAR_27">#REF!</definedName>
    <definedName name="VAR_28" localSheetId="4">#REF!</definedName>
    <definedName name="VAR_28">#REF!</definedName>
    <definedName name="VAR_29" localSheetId="4">#REF!</definedName>
    <definedName name="VAR_29">#REF!</definedName>
    <definedName name="VAR_3" localSheetId="4">#REF!</definedName>
    <definedName name="VAR_3">#REF!</definedName>
    <definedName name="VAR_30" localSheetId="4">#REF!</definedName>
    <definedName name="VAR_30">#REF!</definedName>
    <definedName name="VAR_4" localSheetId="4">#REF!</definedName>
    <definedName name="VAR_4">#REF!</definedName>
    <definedName name="VAR_5" localSheetId="4">#REF!</definedName>
    <definedName name="VAR_5">#REF!</definedName>
    <definedName name="VAR_6" localSheetId="4">#REF!</definedName>
    <definedName name="VAR_6">#REF!</definedName>
    <definedName name="VAR_7" localSheetId="4">#REF!</definedName>
    <definedName name="VAR_7">#REF!</definedName>
    <definedName name="VAR_8" localSheetId="4">#REF!</definedName>
    <definedName name="VAR_8">#REF!</definedName>
    <definedName name="VAR_9" localSheetId="4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3">#REF!</definedName>
    <definedName name="W" localSheetId="4">#REF!</definedName>
    <definedName name="W" localSheetId="6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3">#REF!</definedName>
    <definedName name="WEEK_1A" localSheetId="4">#REF!</definedName>
    <definedName name="WEEK_1A" localSheetId="6">#REF!</definedName>
    <definedName name="WEEK_1A">#REF!</definedName>
    <definedName name="WEEK_1B" localSheetId="3">#REF!</definedName>
    <definedName name="WEEK_1B" localSheetId="4">#REF!</definedName>
    <definedName name="WEEK_1B" localSheetId="6">#REF!</definedName>
    <definedName name="WEEK_1B">#REF!</definedName>
    <definedName name="WEEK_2A" localSheetId="4">#REF!</definedName>
    <definedName name="WEEK_2A">#REF!</definedName>
    <definedName name="WEEK_2B" localSheetId="4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3">#REF!</definedName>
    <definedName name="X1_" localSheetId="4">#REF!</definedName>
    <definedName name="X1_" localSheetId="6">#REF!</definedName>
    <definedName name="X1_">#REF!</definedName>
    <definedName name="X11__?___QUIT_" localSheetId="3">#REF!</definedName>
    <definedName name="X11__?___QUIT_" localSheetId="4">#REF!</definedName>
    <definedName name="X11__?___QUIT_" localSheetId="6">#REF!</definedName>
    <definedName name="X11__?___QUIT_">#REF!</definedName>
    <definedName name="xc">[90]Company!$J$16</definedName>
    <definedName name="xcxcxcc" localSheetId="3">#REF!</definedName>
    <definedName name="xcxcxcc" localSheetId="4">#REF!</definedName>
    <definedName name="xcxcxcc" localSheetId="6">#REF!</definedName>
    <definedName name="xcxcxcc">#REF!</definedName>
    <definedName name="xcxvxv" localSheetId="3">'[39]04REL'!#REF!</definedName>
    <definedName name="xcxvxv" localSheetId="4">'[39]04REL'!#REF!</definedName>
    <definedName name="xcxvxv" localSheetId="6">'[39]04REL'!#REF!</definedName>
    <definedName name="xcxvxv">'[39]04REL'!#REF!</definedName>
    <definedName name="xczczczc" localSheetId="3">#REF!</definedName>
    <definedName name="xczczczc" localSheetId="4">#REF!</definedName>
    <definedName name="xczczczc" localSheetId="6">#REF!</definedName>
    <definedName name="xczczczc">#REF!</definedName>
    <definedName name="xczxzxz" localSheetId="3">#REF!,#REF!</definedName>
    <definedName name="xczxzxz" localSheetId="4">#REF!,#REF!</definedName>
    <definedName name="xczxzxz" localSheetId="6">#REF!,#REF!</definedName>
    <definedName name="xczxzxz">#REF!,#REF!</definedName>
    <definedName name="xfzdsfzsf" localSheetId="3">#REF!</definedName>
    <definedName name="xfzdsfzsf" localSheetId="4">#REF!</definedName>
    <definedName name="xfzdsfzsf" localSheetId="6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3" hidden="1">[93]CE!#REF!</definedName>
    <definedName name="xxxx" localSheetId="4" hidden="1">[93]CE!#REF!</definedName>
    <definedName name="xxxx" localSheetId="6" hidden="1">[93]CE!#REF!</definedName>
    <definedName name="xxxx" hidden="1">[93]CE!#REF!</definedName>
    <definedName name="xzxzxcxc" localSheetId="3">#REF!</definedName>
    <definedName name="xzxzxcxc" localSheetId="4">#REF!</definedName>
    <definedName name="xzxzxcxc" localSheetId="6">#REF!</definedName>
    <definedName name="xzxzxcxc">#REF!</definedName>
    <definedName name="year" localSheetId="3">#REF!</definedName>
    <definedName name="year" localSheetId="4">#REF!</definedName>
    <definedName name="year" localSheetId="6">#REF!</definedName>
    <definedName name="year">#REF!</definedName>
    <definedName name="Year1" localSheetId="3">#REF!</definedName>
    <definedName name="Year1" localSheetId="4">#REF!</definedName>
    <definedName name="Year1" localSheetId="6">#REF!</definedName>
    <definedName name="Year1">#REF!</definedName>
    <definedName name="year2011" localSheetId="4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3">#REF!</definedName>
    <definedName name="ygshjshua" localSheetId="4">#REF!</definedName>
    <definedName name="ygshjshua" localSheetId="6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3">#REF!</definedName>
    <definedName name="zbhh" localSheetId="4">#REF!</definedName>
    <definedName name="zbhh">#REF!</definedName>
    <definedName name="zzxxx" localSheetId="3">#REF!,#REF!</definedName>
    <definedName name="zzxxx" localSheetId="4">#REF!,#REF!</definedName>
    <definedName name="zzxxx" localSheetId="6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N84" i="1"/>
  <c r="N79" i="1"/>
  <c r="C62" i="1"/>
  <c r="C35" i="1"/>
  <c r="C34" i="1"/>
  <c r="M13" i="6"/>
  <c r="M12" i="6"/>
  <c r="L13" i="6"/>
  <c r="F6" i="6"/>
  <c r="D45" i="8"/>
  <c r="B34" i="8" s="1"/>
  <c r="C59" i="1"/>
  <c r="U29" i="1"/>
  <c r="T29" i="1"/>
  <c r="S29" i="1"/>
  <c r="B47" i="1"/>
  <c r="C37" i="1" l="1"/>
  <c r="N27" i="7" l="1"/>
  <c r="E11" i="9" l="1"/>
  <c r="E9" i="9"/>
  <c r="E12" i="9" s="1"/>
  <c r="E15" i="9" s="1"/>
  <c r="C9" i="9"/>
  <c r="C12" i="9" s="1"/>
  <c r="C15" i="9" s="1"/>
  <c r="D9" i="9"/>
  <c r="D10" i="9" s="1"/>
  <c r="B9" i="9"/>
  <c r="B12" i="9" s="1"/>
  <c r="B15" i="9" l="1"/>
  <c r="B18" i="9" s="1"/>
  <c r="B19" i="9" s="1"/>
  <c r="B13" i="9"/>
  <c r="B10" i="9"/>
  <c r="B16" i="9"/>
  <c r="E13" i="9"/>
  <c r="E10" i="9"/>
  <c r="D12" i="9"/>
  <c r="C13" i="9"/>
  <c r="C10" i="9"/>
  <c r="D15" i="9" l="1"/>
  <c r="D16" i="9" s="1"/>
  <c r="E18" i="9"/>
  <c r="E19" i="9" s="1"/>
  <c r="E16" i="9"/>
  <c r="D13" i="9"/>
  <c r="C16" i="9"/>
  <c r="C18" i="9"/>
  <c r="C19" i="9" s="1"/>
  <c r="D18" i="9" l="1"/>
  <c r="D19" i="9" s="1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H11" i="8"/>
  <c r="C4" i="6"/>
  <c r="D41" i="1"/>
  <c r="M46" i="1"/>
  <c r="C30" i="5"/>
  <c r="C29" i="5"/>
  <c r="E1" i="8" l="1"/>
  <c r="F1" i="8"/>
  <c r="G1" i="8"/>
  <c r="E5" i="8"/>
  <c r="E6" i="8" s="1"/>
  <c r="F5" i="8"/>
  <c r="G5" i="8"/>
  <c r="E7" i="8"/>
  <c r="F7" i="8"/>
  <c r="G7" i="8"/>
  <c r="E9" i="8"/>
  <c r="F9" i="8"/>
  <c r="G9" i="8"/>
  <c r="G10" i="8" s="1"/>
  <c r="E11" i="8"/>
  <c r="F11" i="8"/>
  <c r="G11" i="8"/>
  <c r="G15" i="8"/>
  <c r="E16" i="8"/>
  <c r="F16" i="8"/>
  <c r="G16" i="8"/>
  <c r="G17" i="8" s="1"/>
  <c r="N26" i="7"/>
  <c r="N25" i="7"/>
  <c r="B48" i="1"/>
  <c r="J46" i="1"/>
  <c r="K46" i="1"/>
  <c r="L46" i="1"/>
  <c r="L36" i="1"/>
  <c r="K36" i="1"/>
  <c r="M36" i="1"/>
  <c r="E17" i="8" l="1"/>
  <c r="G8" i="8"/>
  <c r="F6" i="8"/>
  <c r="E8" i="8"/>
  <c r="F8" i="8"/>
  <c r="G12" i="8"/>
  <c r="F10" i="8"/>
  <c r="F12" i="8"/>
  <c r="F13" i="8" s="1"/>
  <c r="F15" i="8"/>
  <c r="E12" i="8"/>
  <c r="F17" i="8"/>
  <c r="E15" i="8"/>
  <c r="G6" i="8"/>
  <c r="G13" i="8"/>
  <c r="E10" i="8"/>
  <c r="B33" i="8"/>
  <c r="O25" i="7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D94" i="3"/>
  <c r="D66" i="3"/>
  <c r="D65" i="3"/>
  <c r="C10" i="5"/>
  <c r="J36" i="1"/>
  <c r="C36" i="1" s="1"/>
  <c r="G36" i="1"/>
  <c r="E13" i="8" l="1"/>
  <c r="X1" i="8"/>
  <c r="W1" i="8"/>
  <c r="O27" i="7"/>
  <c r="P27" i="7" s="1"/>
  <c r="Q27" i="7" s="1"/>
  <c r="R27" i="7" s="1"/>
  <c r="S27" i="7" s="1"/>
  <c r="T27" i="7" s="1"/>
  <c r="U27" i="7" s="1"/>
  <c r="V27" i="7" s="1"/>
  <c r="W27" i="7" s="1"/>
  <c r="X27" i="7" s="1"/>
  <c r="Y27" i="7" s="1"/>
  <c r="Z27" i="7" s="1"/>
  <c r="AA27" i="7" s="1"/>
  <c r="AB27" i="7" s="1"/>
  <c r="AC27" i="7" s="1"/>
  <c r="AD27" i="7" s="1"/>
  <c r="O26" i="7"/>
  <c r="P26" i="7" s="1"/>
  <c r="Q26" i="7" s="1"/>
  <c r="R26" i="7" s="1"/>
  <c r="S26" i="7" s="1"/>
  <c r="T26" i="7" s="1"/>
  <c r="U26" i="7" s="1"/>
  <c r="V26" i="7" s="1"/>
  <c r="W26" i="7" s="1"/>
  <c r="X26" i="7" s="1"/>
  <c r="Y26" i="7" s="1"/>
  <c r="Z26" i="7" s="1"/>
  <c r="AA26" i="7" s="1"/>
  <c r="AB26" i="7" s="1"/>
  <c r="AC26" i="7" s="1"/>
  <c r="AD26" i="7" s="1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AD34" i="7"/>
  <c r="AC34" i="7"/>
  <c r="AD6" i="7"/>
  <c r="AC6" i="7"/>
  <c r="C56" i="1"/>
  <c r="I36" i="1"/>
  <c r="H36" i="1"/>
  <c r="D79" i="3" l="1"/>
  <c r="D80" i="3" s="1"/>
  <c r="B75" i="3"/>
  <c r="H73" i="3" l="1"/>
  <c r="H76" i="3" l="1"/>
  <c r="H75" i="3"/>
  <c r="H53" i="7" l="1"/>
  <c r="U13" i="7"/>
  <c r="T13" i="7"/>
  <c r="S13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D70" i="3"/>
  <c r="C68" i="1"/>
  <c r="C69" i="1" s="1"/>
  <c r="H55" i="3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AD29" i="1"/>
  <c r="AD13" i="7" s="1"/>
  <c r="AC29" i="1"/>
  <c r="AC13" i="7" s="1"/>
  <c r="X55" i="3" l="1"/>
  <c r="X59" i="3" s="1"/>
  <c r="X60" i="3" s="1"/>
  <c r="X61" i="3" s="1"/>
  <c r="W61" i="3"/>
  <c r="AB29" i="1" l="1"/>
  <c r="AB13" i="7" s="1"/>
  <c r="AA29" i="1"/>
  <c r="AA13" i="7" s="1"/>
  <c r="Z29" i="1"/>
  <c r="Z13" i="7" s="1"/>
  <c r="Y29" i="1"/>
  <c r="Y13" i="7" s="1"/>
  <c r="X29" i="1"/>
  <c r="X13" i="7" s="1"/>
  <c r="W29" i="1"/>
  <c r="W13" i="7" s="1"/>
  <c r="V29" i="1"/>
  <c r="V13" i="7" s="1"/>
  <c r="R29" i="1"/>
  <c r="R13" i="7" s="1"/>
  <c r="Q29" i="1"/>
  <c r="Q13" i="7" s="1"/>
  <c r="P29" i="1"/>
  <c r="P13" i="7" s="1"/>
  <c r="O29" i="1"/>
  <c r="O13" i="7" s="1"/>
  <c r="N29" i="1"/>
  <c r="N13" i="7" s="1"/>
  <c r="M29" i="1"/>
  <c r="L29" i="1"/>
  <c r="K29" i="1"/>
  <c r="F4" i="1" l="1"/>
  <c r="F1" i="1"/>
  <c r="G1" i="1" s="1"/>
  <c r="F3" i="1" l="1"/>
  <c r="AC85" i="7" l="1"/>
  <c r="AC28" i="7"/>
  <c r="B42" i="8"/>
  <c r="B41" i="8"/>
  <c r="AD85" i="7" l="1"/>
  <c r="AD28" i="7"/>
  <c r="D42" i="8"/>
  <c r="J86" i="7"/>
  <c r="J76" i="7"/>
  <c r="A42" i="8"/>
  <c r="A4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J53" i="7"/>
  <c r="I53" i="7"/>
  <c r="G1" i="7"/>
  <c r="G54" i="7" s="1"/>
  <c r="F1" i="7"/>
  <c r="F54" i="7" s="1"/>
  <c r="E54" i="7"/>
  <c r="D54" i="7"/>
  <c r="D51" i="7"/>
  <c r="D52" i="7" s="1"/>
  <c r="J45" i="7"/>
  <c r="I45" i="7"/>
  <c r="AB34" i="7"/>
  <c r="AA34" i="7"/>
  <c r="Z34" i="7"/>
  <c r="Y34" i="7"/>
  <c r="X34" i="7"/>
  <c r="W34" i="7"/>
  <c r="A10" i="7"/>
  <c r="A4" i="7"/>
  <c r="A3" i="7"/>
  <c r="A2" i="7"/>
  <c r="A1" i="7"/>
  <c r="J91" i="7" l="1"/>
  <c r="B43" i="8"/>
  <c r="C42" i="8" s="1"/>
  <c r="D55" i="7"/>
  <c r="E51" i="7" s="1"/>
  <c r="E52" i="7" s="1"/>
  <c r="C41" i="8" l="1"/>
  <c r="E55" i="7"/>
  <c r="F51" i="7" s="1"/>
  <c r="F52" i="7" s="1"/>
  <c r="N85" i="7" l="1"/>
  <c r="F55" i="7"/>
  <c r="G51" i="7" s="1"/>
  <c r="G52" i="7" s="1"/>
  <c r="O85" i="7" l="1"/>
  <c r="G55" i="7"/>
  <c r="H51" i="7" s="1"/>
  <c r="H52" i="7" s="1"/>
  <c r="P85" i="7" l="1"/>
  <c r="Q85" i="7" l="1"/>
  <c r="R85" i="7" l="1"/>
  <c r="S85" i="7" l="1"/>
  <c r="T85" i="7" l="1"/>
  <c r="U85" i="7" l="1"/>
  <c r="V85" i="7" l="1"/>
  <c r="W85" i="7" l="1"/>
  <c r="X85" i="7" l="1"/>
  <c r="Y85" i="7" l="1"/>
  <c r="Z85" i="7" l="1"/>
  <c r="AA85" i="7" l="1"/>
  <c r="AB85" i="7" l="1"/>
  <c r="C50" i="1" l="1"/>
  <c r="H74" i="3" s="1"/>
  <c r="I73" i="3" s="1"/>
  <c r="I76" i="3" s="1"/>
  <c r="C9" i="1"/>
  <c r="C10" i="1" s="1"/>
  <c r="C15" i="1" s="1"/>
  <c r="C11" i="1"/>
  <c r="C13" i="1" s="1"/>
  <c r="C14" i="1" s="1"/>
  <c r="J73" i="3" l="1"/>
  <c r="J76" i="3" s="1"/>
  <c r="E5" i="6"/>
  <c r="E4" i="6"/>
  <c r="D5" i="6"/>
  <c r="D4" i="6"/>
  <c r="K73" i="3" l="1"/>
  <c r="K76" i="3" s="1"/>
  <c r="G4" i="1"/>
  <c r="F4" i="7"/>
  <c r="L73" i="3" l="1"/>
  <c r="L76" i="3" s="1"/>
  <c r="G4" i="7"/>
  <c r="G3" i="1"/>
  <c r="M73" i="3" l="1"/>
  <c r="M76" i="3" s="1"/>
  <c r="G79" i="1"/>
  <c r="N73" i="3" l="1"/>
  <c r="N76" i="3" s="1"/>
  <c r="O73" i="3" l="1"/>
  <c r="O76" i="3" s="1"/>
  <c r="P73" i="3" l="1"/>
  <c r="P76" i="3" s="1"/>
  <c r="B6" i="6"/>
  <c r="C6" i="6"/>
  <c r="E13" i="6" l="1"/>
  <c r="E12" i="6"/>
  <c r="I13" i="6"/>
  <c r="H13" i="6"/>
  <c r="K13" i="6"/>
  <c r="G13" i="6"/>
  <c r="J13" i="6"/>
  <c r="F13" i="6"/>
  <c r="Q73" i="3"/>
  <c r="Q76" i="3" s="1"/>
  <c r="D6" i="6"/>
  <c r="C12" i="5"/>
  <c r="C21" i="5" s="1"/>
  <c r="I3" i="5"/>
  <c r="J6" i="5"/>
  <c r="D6" i="5"/>
  <c r="E14" i="6" l="1"/>
  <c r="R73" i="3"/>
  <c r="B17" i="6"/>
  <c r="K3" i="5"/>
  <c r="R75" i="3" l="1"/>
  <c r="R74" i="3"/>
  <c r="S73" i="3" s="1"/>
  <c r="S76" i="3" s="1"/>
  <c r="R76" i="3"/>
  <c r="E83" i="3" l="1"/>
  <c r="E84" i="3"/>
  <c r="C17" i="6"/>
  <c r="F91" i="3"/>
  <c r="G91" i="3" s="1"/>
  <c r="T73" i="3" l="1"/>
  <c r="D17" i="6"/>
  <c r="E70" i="3"/>
  <c r="U73" i="3" l="1"/>
  <c r="U76" i="3" s="1"/>
  <c r="T76" i="3"/>
  <c r="H91" i="3"/>
  <c r="H82" i="3"/>
  <c r="H83" i="3" l="1"/>
  <c r="H85" i="3"/>
  <c r="H84" i="3"/>
  <c r="V73" i="3"/>
  <c r="V76" i="3" s="1"/>
  <c r="H64" i="3"/>
  <c r="I64" i="3" s="1"/>
  <c r="E15" i="6"/>
  <c r="E17" i="6"/>
  <c r="N34" i="7" s="1"/>
  <c r="W73" i="3" l="1"/>
  <c r="W76" i="3" s="1"/>
  <c r="I65" i="3"/>
  <c r="I67" i="3"/>
  <c r="I66" i="3"/>
  <c r="H67" i="3"/>
  <c r="I91" i="3"/>
  <c r="J91" i="3" s="1"/>
  <c r="F12" i="6"/>
  <c r="X73" i="3" l="1"/>
  <c r="X76" i="3" s="1"/>
  <c r="F15" i="6"/>
  <c r="F14" i="6"/>
  <c r="F17" i="6" s="1"/>
  <c r="O34" i="7" s="1"/>
  <c r="K91" i="3"/>
  <c r="X75" i="3" l="1"/>
  <c r="G12" i="6"/>
  <c r="L91" i="3"/>
  <c r="G14" i="6" l="1"/>
  <c r="G17" i="6" s="1"/>
  <c r="P34" i="7" s="1"/>
  <c r="G15" i="6"/>
  <c r="I46" i="1"/>
  <c r="H46" i="1"/>
  <c r="G46" i="1"/>
  <c r="F46" i="1"/>
  <c r="E46" i="1"/>
  <c r="D46" i="1"/>
  <c r="C46" i="1"/>
  <c r="C70" i="1"/>
  <c r="AD22" i="7" s="1"/>
  <c r="E71" i="3"/>
  <c r="E61" i="3"/>
  <c r="A50" i="3"/>
  <c r="K2" i="1"/>
  <c r="H1" i="1"/>
  <c r="D97" i="3"/>
  <c r="D98" i="3" s="1"/>
  <c r="B93" i="3"/>
  <c r="D88" i="3"/>
  <c r="B84" i="3"/>
  <c r="C81" i="3"/>
  <c r="D71" i="3"/>
  <c r="B66" i="3"/>
  <c r="G69" i="3"/>
  <c r="D61" i="3"/>
  <c r="I38" i="3"/>
  <c r="I42" i="3" s="1"/>
  <c r="I37" i="3"/>
  <c r="I41" i="3" s="1"/>
  <c r="I36" i="3"/>
  <c r="I40" i="3" s="1"/>
  <c r="I33" i="3"/>
  <c r="I45" i="3" s="1"/>
  <c r="I32" i="3"/>
  <c r="I44" i="3" s="1"/>
  <c r="I29" i="3"/>
  <c r="O28" i="3"/>
  <c r="O27" i="3"/>
  <c r="O25" i="3"/>
  <c r="O24" i="3"/>
  <c r="N23" i="3"/>
  <c r="N26" i="3" s="1"/>
  <c r="N29" i="3" s="1"/>
  <c r="M23" i="3"/>
  <c r="M26" i="3" s="1"/>
  <c r="M29" i="3" s="1"/>
  <c r="L23" i="3"/>
  <c r="L26" i="3" s="1"/>
  <c r="L29" i="3" s="1"/>
  <c r="K23" i="3"/>
  <c r="K26" i="3" s="1"/>
  <c r="K29" i="3" s="1"/>
  <c r="J23" i="3"/>
  <c r="J26" i="3" s="1"/>
  <c r="J29" i="3" s="1"/>
  <c r="H23" i="3"/>
  <c r="H26" i="3" s="1"/>
  <c r="H29" i="3" s="1"/>
  <c r="G23" i="3"/>
  <c r="G26" i="3" s="1"/>
  <c r="G29" i="3" s="1"/>
  <c r="F23" i="3"/>
  <c r="F26" i="3" s="1"/>
  <c r="O22" i="3"/>
  <c r="O21" i="3"/>
  <c r="O20" i="3"/>
  <c r="I17" i="3"/>
  <c r="I34" i="3" s="1"/>
  <c r="I46" i="3" s="1"/>
  <c r="O16" i="3"/>
  <c r="O14" i="3"/>
  <c r="O12" i="3"/>
  <c r="O10" i="3"/>
  <c r="N9" i="3"/>
  <c r="N36" i="3" s="1"/>
  <c r="N40" i="3" s="1"/>
  <c r="M9" i="3"/>
  <c r="M36" i="3" s="1"/>
  <c r="M40" i="3" s="1"/>
  <c r="L9" i="3"/>
  <c r="L37" i="3" s="1"/>
  <c r="L41" i="3" s="1"/>
  <c r="K9" i="3"/>
  <c r="K36" i="3" s="1"/>
  <c r="K40" i="3" s="1"/>
  <c r="J9" i="3"/>
  <c r="J36" i="3" s="1"/>
  <c r="J40" i="3" s="1"/>
  <c r="H9" i="3"/>
  <c r="H37" i="3" s="1"/>
  <c r="H41" i="3" s="1"/>
  <c r="G9" i="3"/>
  <c r="G36" i="3" s="1"/>
  <c r="G40" i="3" s="1"/>
  <c r="F9" i="3"/>
  <c r="F13" i="3" s="1"/>
  <c r="D9" i="3"/>
  <c r="D13" i="3" s="1"/>
  <c r="O8" i="3"/>
  <c r="O7" i="3"/>
  <c r="O6" i="3"/>
  <c r="O5" i="3"/>
  <c r="X100" i="3" l="1"/>
  <c r="W100" i="3"/>
  <c r="E79" i="3"/>
  <c r="E80" i="3" s="1"/>
  <c r="I1" i="1"/>
  <c r="I1" i="7" s="1"/>
  <c r="I54" i="7" s="1"/>
  <c r="H1" i="7"/>
  <c r="H54" i="7" s="1"/>
  <c r="H55" i="7" s="1"/>
  <c r="I51" i="7" s="1"/>
  <c r="I52" i="7" s="1"/>
  <c r="I46" i="7" s="1"/>
  <c r="I47" i="7" s="1"/>
  <c r="H12" i="6"/>
  <c r="L2" i="1"/>
  <c r="K2" i="7"/>
  <c r="M101" i="3"/>
  <c r="G101" i="3"/>
  <c r="D89" i="3"/>
  <c r="G100" i="3"/>
  <c r="E100" i="3"/>
  <c r="E18" i="8" s="1"/>
  <c r="V100" i="3"/>
  <c r="F100" i="3"/>
  <c r="M100" i="3"/>
  <c r="P100" i="3"/>
  <c r="E101" i="3"/>
  <c r="H94" i="3"/>
  <c r="I94" i="3"/>
  <c r="J94" i="3"/>
  <c r="K94" i="3"/>
  <c r="L94" i="3"/>
  <c r="O9" i="3"/>
  <c r="O37" i="3" s="1"/>
  <c r="O41" i="3" s="1"/>
  <c r="F61" i="3"/>
  <c r="G61" i="3"/>
  <c r="D38" i="3"/>
  <c r="D42" i="3" s="1"/>
  <c r="D33" i="3"/>
  <c r="D17" i="3"/>
  <c r="F17" i="3"/>
  <c r="F38" i="3"/>
  <c r="F42" i="3" s="1"/>
  <c r="F33" i="3"/>
  <c r="F45" i="3" s="1"/>
  <c r="O26" i="3"/>
  <c r="F29" i="3"/>
  <c r="O29" i="3" s="1"/>
  <c r="G13" i="3"/>
  <c r="L13" i="3"/>
  <c r="O23" i="3"/>
  <c r="D32" i="3"/>
  <c r="M32" i="3"/>
  <c r="M44" i="3" s="1"/>
  <c r="H36" i="3"/>
  <c r="H40" i="3" s="1"/>
  <c r="L36" i="3"/>
  <c r="L40" i="3" s="1"/>
  <c r="D37" i="3"/>
  <c r="D41" i="3" s="1"/>
  <c r="M37" i="3"/>
  <c r="M41" i="3" s="1"/>
  <c r="H13" i="3"/>
  <c r="M13" i="3"/>
  <c r="F32" i="3"/>
  <c r="F44" i="3" s="1"/>
  <c r="J32" i="3"/>
  <c r="J44" i="3" s="1"/>
  <c r="N32" i="3"/>
  <c r="N44" i="3" s="1"/>
  <c r="D36" i="3"/>
  <c r="D40" i="3" s="1"/>
  <c r="F37" i="3"/>
  <c r="F41" i="3" s="1"/>
  <c r="J37" i="3"/>
  <c r="J41" i="3" s="1"/>
  <c r="N37" i="3"/>
  <c r="N41" i="3" s="1"/>
  <c r="J13" i="3"/>
  <c r="N13" i="3"/>
  <c r="G32" i="3"/>
  <c r="G44" i="3" s="1"/>
  <c r="K32" i="3"/>
  <c r="K44" i="3" s="1"/>
  <c r="F36" i="3"/>
  <c r="F40" i="3" s="1"/>
  <c r="G37" i="3"/>
  <c r="G41" i="3" s="1"/>
  <c r="K37" i="3"/>
  <c r="K41" i="3" s="1"/>
  <c r="F70" i="3"/>
  <c r="F71" i="3" s="1"/>
  <c r="K13" i="3"/>
  <c r="H32" i="3"/>
  <c r="H44" i="3" s="1"/>
  <c r="L32" i="3"/>
  <c r="L44" i="3" s="1"/>
  <c r="D102" i="3"/>
  <c r="D101" i="3"/>
  <c r="D100" i="3"/>
  <c r="G18" i="8" l="1"/>
  <c r="E19" i="8"/>
  <c r="E20" i="8"/>
  <c r="E21" i="8" s="1"/>
  <c r="J1" i="1"/>
  <c r="J1" i="7" s="1"/>
  <c r="J54" i="7" s="1"/>
  <c r="F79" i="3"/>
  <c r="F80" i="3" s="1"/>
  <c r="I68" i="7"/>
  <c r="I48" i="7"/>
  <c r="I55" i="7"/>
  <c r="J51" i="7" s="1"/>
  <c r="J52" i="7" s="1"/>
  <c r="J46" i="7" s="1"/>
  <c r="J47" i="7" s="1"/>
  <c r="J68" i="7" s="1"/>
  <c r="M18" i="8"/>
  <c r="H15" i="6"/>
  <c r="H14" i="6"/>
  <c r="H17" i="6" s="1"/>
  <c r="Q34" i="7" s="1"/>
  <c r="M2" i="1"/>
  <c r="L2" i="7"/>
  <c r="E102" i="3"/>
  <c r="G102" i="3"/>
  <c r="F102" i="3"/>
  <c r="F96" i="3"/>
  <c r="G96" i="3" s="1"/>
  <c r="E97" i="3"/>
  <c r="E98" i="3" s="1"/>
  <c r="E88" i="3"/>
  <c r="O13" i="3"/>
  <c r="O38" i="3" s="1"/>
  <c r="O42" i="3" s="1"/>
  <c r="O36" i="3"/>
  <c r="O40" i="3" s="1"/>
  <c r="H100" i="3"/>
  <c r="J17" i="3"/>
  <c r="J34" i="3" s="1"/>
  <c r="J46" i="3" s="1"/>
  <c r="J38" i="3"/>
  <c r="J42" i="3" s="1"/>
  <c r="J33" i="3"/>
  <c r="J45" i="3" s="1"/>
  <c r="H61" i="3"/>
  <c r="K38" i="3"/>
  <c r="K42" i="3" s="1"/>
  <c r="K33" i="3"/>
  <c r="K45" i="3" s="1"/>
  <c r="K17" i="3"/>
  <c r="K34" i="3" s="1"/>
  <c r="K46" i="3" s="1"/>
  <c r="M38" i="3"/>
  <c r="M42" i="3" s="1"/>
  <c r="M33" i="3"/>
  <c r="M45" i="3" s="1"/>
  <c r="M17" i="3"/>
  <c r="M34" i="3" s="1"/>
  <c r="M46" i="3" s="1"/>
  <c r="H102" i="3"/>
  <c r="L38" i="3"/>
  <c r="L42" i="3" s="1"/>
  <c r="L33" i="3"/>
  <c r="L45" i="3" s="1"/>
  <c r="L17" i="3"/>
  <c r="L34" i="3" s="1"/>
  <c r="L46" i="3" s="1"/>
  <c r="F34" i="3"/>
  <c r="F46" i="3" s="1"/>
  <c r="G70" i="3"/>
  <c r="G71" i="3" s="1"/>
  <c r="H69" i="3"/>
  <c r="H38" i="3"/>
  <c r="H42" i="3" s="1"/>
  <c r="H33" i="3"/>
  <c r="H45" i="3" s="1"/>
  <c r="H17" i="3"/>
  <c r="H34" i="3" s="1"/>
  <c r="H46" i="3" s="1"/>
  <c r="G38" i="3"/>
  <c r="G42" i="3" s="1"/>
  <c r="G33" i="3"/>
  <c r="G45" i="3" s="1"/>
  <c r="G17" i="3"/>
  <c r="G34" i="3" s="1"/>
  <c r="G46" i="3" s="1"/>
  <c r="D34" i="3"/>
  <c r="N38" i="3"/>
  <c r="N42" i="3" s="1"/>
  <c r="N17" i="3"/>
  <c r="N34" i="3" s="1"/>
  <c r="N46" i="3" s="1"/>
  <c r="N33" i="3"/>
  <c r="N45" i="3" s="1"/>
  <c r="D44" i="3"/>
  <c r="O32" i="3"/>
  <c r="O44" i="3" s="1"/>
  <c r="D45" i="3"/>
  <c r="G19" i="8" l="1"/>
  <c r="G20" i="8"/>
  <c r="E89" i="3"/>
  <c r="K1" i="1"/>
  <c r="E2" i="8" s="1"/>
  <c r="D50" i="3"/>
  <c r="G78" i="3"/>
  <c r="I12" i="6"/>
  <c r="J55" i="7"/>
  <c r="H14" i="8"/>
  <c r="N31" i="7"/>
  <c r="N2" i="1"/>
  <c r="M2" i="7"/>
  <c r="F97" i="3"/>
  <c r="F98" i="3" s="1"/>
  <c r="I82" i="3"/>
  <c r="O17" i="3"/>
  <c r="I61" i="3"/>
  <c r="D46" i="3"/>
  <c r="O34" i="3"/>
  <c r="O33" i="3"/>
  <c r="O45" i="3" s="1"/>
  <c r="H70" i="3"/>
  <c r="I68" i="3" s="1"/>
  <c r="I69" i="3" s="1"/>
  <c r="K1" i="7" l="1"/>
  <c r="F101" i="3"/>
  <c r="F18" i="8" s="1"/>
  <c r="L1" i="1"/>
  <c r="F2" i="8" s="1"/>
  <c r="E50" i="3"/>
  <c r="I85" i="3"/>
  <c r="I102" i="3" s="1"/>
  <c r="I100" i="3"/>
  <c r="G79" i="3"/>
  <c r="H77" i="3" s="1"/>
  <c r="H78" i="3" s="1"/>
  <c r="I15" i="6"/>
  <c r="I14" i="6"/>
  <c r="I17" i="6" s="1"/>
  <c r="R34" i="7" s="1"/>
  <c r="O2" i="1"/>
  <c r="N2" i="7"/>
  <c r="G97" i="3"/>
  <c r="H96" i="3" s="1"/>
  <c r="O46" i="3"/>
  <c r="J61" i="3"/>
  <c r="H71" i="3"/>
  <c r="F19" i="8" l="1"/>
  <c r="F20" i="8"/>
  <c r="L1" i="7"/>
  <c r="G80" i="3"/>
  <c r="F88" i="3"/>
  <c r="F89" i="3" s="1"/>
  <c r="M1" i="1"/>
  <c r="G2" i="8" s="1"/>
  <c r="F50" i="3"/>
  <c r="J82" i="3"/>
  <c r="K82" i="3" s="1"/>
  <c r="H79" i="3"/>
  <c r="I78" i="3" s="1"/>
  <c r="J12" i="6"/>
  <c r="O31" i="7"/>
  <c r="I14" i="8"/>
  <c r="P2" i="1"/>
  <c r="O2" i="7"/>
  <c r="H97" i="3"/>
  <c r="H98" i="3" s="1"/>
  <c r="I96" i="3"/>
  <c r="G98" i="3"/>
  <c r="J64" i="3"/>
  <c r="K61" i="3"/>
  <c r="F21" i="8" l="1"/>
  <c r="G21" i="8"/>
  <c r="M1" i="7"/>
  <c r="N1" i="1"/>
  <c r="H50" i="3" s="1"/>
  <c r="K84" i="3"/>
  <c r="K85" i="3"/>
  <c r="K83" i="3"/>
  <c r="G88" i="3"/>
  <c r="H80" i="3"/>
  <c r="G50" i="3"/>
  <c r="J85" i="3"/>
  <c r="J78" i="3"/>
  <c r="I79" i="3"/>
  <c r="I80" i="3" s="1"/>
  <c r="J100" i="3"/>
  <c r="J67" i="3"/>
  <c r="J14" i="6"/>
  <c r="J17" i="6" s="1"/>
  <c r="S34" i="7" s="1"/>
  <c r="J15" i="6"/>
  <c r="Q2" i="1"/>
  <c r="P2" i="7"/>
  <c r="O1" i="1"/>
  <c r="J96" i="3"/>
  <c r="I97" i="3"/>
  <c r="I98" i="3" s="1"/>
  <c r="K100" i="3"/>
  <c r="L61" i="3"/>
  <c r="G89" i="3" l="1"/>
  <c r="H86" i="3"/>
  <c r="N1" i="7"/>
  <c r="H2" i="8"/>
  <c r="O1" i="7"/>
  <c r="I2" i="8"/>
  <c r="J79" i="3"/>
  <c r="J80" i="3" s="1"/>
  <c r="K78" i="3"/>
  <c r="K64" i="3"/>
  <c r="K67" i="3" s="1"/>
  <c r="I70" i="3"/>
  <c r="K12" i="6"/>
  <c r="P1" i="1"/>
  <c r="I50" i="3"/>
  <c r="R2" i="1"/>
  <c r="Q2" i="7"/>
  <c r="K96" i="3"/>
  <c r="K97" i="3" s="1"/>
  <c r="J97" i="3"/>
  <c r="J98" i="3" s="1"/>
  <c r="L82" i="3"/>
  <c r="M61" i="3"/>
  <c r="H87" i="3" l="1"/>
  <c r="H88" i="3" s="1"/>
  <c r="H101" i="3"/>
  <c r="H18" i="8" s="1"/>
  <c r="P1" i="7"/>
  <c r="J2" i="8"/>
  <c r="H89" i="3"/>
  <c r="L85" i="3"/>
  <c r="L100" i="3"/>
  <c r="K79" i="3"/>
  <c r="K80" i="3" s="1"/>
  <c r="L78" i="3"/>
  <c r="L64" i="3"/>
  <c r="L67" i="3" s="1"/>
  <c r="J102" i="3"/>
  <c r="I71" i="3"/>
  <c r="K15" i="6"/>
  <c r="K14" i="6"/>
  <c r="K17" i="6" s="1"/>
  <c r="T34" i="7" s="1"/>
  <c r="S2" i="1"/>
  <c r="R2" i="7"/>
  <c r="Q1" i="1"/>
  <c r="J50" i="3"/>
  <c r="L96" i="3"/>
  <c r="L97" i="3" s="1"/>
  <c r="K98" i="3"/>
  <c r="K102" i="3"/>
  <c r="M91" i="3"/>
  <c r="N61" i="3"/>
  <c r="M64" i="3" l="1"/>
  <c r="M67" i="3" s="1"/>
  <c r="Q1" i="7"/>
  <c r="K2" i="8"/>
  <c r="I101" i="3"/>
  <c r="I18" i="8" s="1"/>
  <c r="I87" i="3"/>
  <c r="M82" i="3"/>
  <c r="N82" i="3" s="1"/>
  <c r="M78" i="3"/>
  <c r="L79" i="3"/>
  <c r="L80" i="3" s="1"/>
  <c r="J69" i="3"/>
  <c r="J101" i="3"/>
  <c r="J18" i="8" s="1"/>
  <c r="J14" i="8"/>
  <c r="P31" i="7"/>
  <c r="L12" i="6"/>
  <c r="K14" i="8"/>
  <c r="Q31" i="7"/>
  <c r="L98" i="3"/>
  <c r="R1" i="1"/>
  <c r="K50" i="3"/>
  <c r="T2" i="1"/>
  <c r="S2" i="7"/>
  <c r="L102" i="3"/>
  <c r="N64" i="3"/>
  <c r="N91" i="3"/>
  <c r="M94" i="3"/>
  <c r="M96" i="3" s="1"/>
  <c r="M97" i="3" s="1"/>
  <c r="M98" i="3" s="1"/>
  <c r="O61" i="3"/>
  <c r="R1" i="7" l="1"/>
  <c r="L2" i="8"/>
  <c r="N85" i="3"/>
  <c r="N83" i="3"/>
  <c r="N84" i="3"/>
  <c r="N67" i="3"/>
  <c r="N66" i="3"/>
  <c r="N65" i="3"/>
  <c r="N68" i="3"/>
  <c r="I88" i="3"/>
  <c r="I89" i="3" s="1"/>
  <c r="J87" i="3"/>
  <c r="K86" i="3" s="1"/>
  <c r="M85" i="3"/>
  <c r="M102" i="3" s="1"/>
  <c r="N78" i="3"/>
  <c r="M79" i="3"/>
  <c r="M80" i="3" s="1"/>
  <c r="J70" i="3"/>
  <c r="J71" i="3" s="1"/>
  <c r="K69" i="3"/>
  <c r="L14" i="6"/>
  <c r="L15" i="6"/>
  <c r="R31" i="7"/>
  <c r="L14" i="8"/>
  <c r="U2" i="1"/>
  <c r="T2" i="7"/>
  <c r="S1" i="1"/>
  <c r="L50" i="3"/>
  <c r="O91" i="3"/>
  <c r="N94" i="3"/>
  <c r="N96" i="3" s="1"/>
  <c r="P61" i="3"/>
  <c r="S1" i="7" l="1"/>
  <c r="M2" i="8"/>
  <c r="K87" i="3"/>
  <c r="K101" i="3"/>
  <c r="K18" i="8" s="1"/>
  <c r="J88" i="3"/>
  <c r="J89" i="3" s="1"/>
  <c r="M15" i="6"/>
  <c r="M14" i="6"/>
  <c r="M17" i="6" s="1"/>
  <c r="V34" i="7" s="1"/>
  <c r="L17" i="6"/>
  <c r="U34" i="7" s="1"/>
  <c r="O78" i="3"/>
  <c r="N79" i="3"/>
  <c r="N80" i="3" s="1"/>
  <c r="K70" i="3"/>
  <c r="K71" i="3" s="1"/>
  <c r="L69" i="3"/>
  <c r="N100" i="3"/>
  <c r="S31" i="7"/>
  <c r="M14" i="8"/>
  <c r="T1" i="1"/>
  <c r="M50" i="3"/>
  <c r="V2" i="1"/>
  <c r="U2" i="7"/>
  <c r="N102" i="3"/>
  <c r="N97" i="3"/>
  <c r="N98" i="3" s="1"/>
  <c r="P91" i="3"/>
  <c r="O94" i="3"/>
  <c r="O96" i="3" s="1"/>
  <c r="O82" i="3"/>
  <c r="O64" i="3"/>
  <c r="Q61" i="3"/>
  <c r="T1" i="7" l="1"/>
  <c r="N2" i="8"/>
  <c r="K88" i="3"/>
  <c r="K89" i="3" s="1"/>
  <c r="O85" i="3"/>
  <c r="P78" i="3"/>
  <c r="O79" i="3"/>
  <c r="O80" i="3" s="1"/>
  <c r="O100" i="3"/>
  <c r="O67" i="3"/>
  <c r="L70" i="3"/>
  <c r="L71" i="3" s="1"/>
  <c r="M69" i="3"/>
  <c r="N69" i="3" s="1"/>
  <c r="N14" i="8"/>
  <c r="T31" i="7"/>
  <c r="W2" i="1"/>
  <c r="V2" i="7"/>
  <c r="U1" i="1"/>
  <c r="N50" i="3"/>
  <c r="O97" i="3"/>
  <c r="O98" i="3" s="1"/>
  <c r="Q91" i="3"/>
  <c r="P94" i="3"/>
  <c r="P96" i="3" s="1"/>
  <c r="R61" i="3"/>
  <c r="U1" i="7" l="1"/>
  <c r="O2" i="8"/>
  <c r="L87" i="3"/>
  <c r="L101" i="3"/>
  <c r="L18" i="8" s="1"/>
  <c r="P82" i="3"/>
  <c r="Q82" i="3" s="1"/>
  <c r="Q78" i="3"/>
  <c r="P79" i="3"/>
  <c r="P80" i="3" s="1"/>
  <c r="P64" i="3"/>
  <c r="P67" i="3" s="1"/>
  <c r="M70" i="3"/>
  <c r="M71" i="3" s="1"/>
  <c r="N70" i="3"/>
  <c r="N71" i="3" s="1"/>
  <c r="V1" i="1"/>
  <c r="O50" i="3"/>
  <c r="X2" i="1"/>
  <c r="W2" i="7"/>
  <c r="O102" i="3"/>
  <c r="P97" i="3"/>
  <c r="P98" i="3" s="1"/>
  <c r="R91" i="3"/>
  <c r="Q94" i="3"/>
  <c r="Q96" i="3" s="1"/>
  <c r="S61" i="3"/>
  <c r="V1" i="7" l="1"/>
  <c r="P2" i="8"/>
  <c r="Q84" i="3"/>
  <c r="Q83" i="3"/>
  <c r="Q100" i="3" s="1"/>
  <c r="Q85" i="3"/>
  <c r="L88" i="3"/>
  <c r="L89" i="3" s="1"/>
  <c r="M87" i="3"/>
  <c r="N86" i="3" s="1"/>
  <c r="P85" i="3"/>
  <c r="P102" i="3" s="1"/>
  <c r="P101" i="3"/>
  <c r="P18" i="8" s="1"/>
  <c r="Q64" i="3"/>
  <c r="Q67" i="3" s="1"/>
  <c r="Q79" i="3"/>
  <c r="R77" i="3" s="1"/>
  <c r="R78" i="3" s="1"/>
  <c r="O69" i="3"/>
  <c r="O70" i="3" s="1"/>
  <c r="O14" i="8"/>
  <c r="U31" i="7"/>
  <c r="Y2" i="1"/>
  <c r="X2" i="7"/>
  <c r="W1" i="1"/>
  <c r="P50" i="3"/>
  <c r="Q97" i="3"/>
  <c r="Q98" i="3" s="1"/>
  <c r="R94" i="3"/>
  <c r="T61" i="3"/>
  <c r="N87" i="3" l="1"/>
  <c r="N101" i="3"/>
  <c r="N18" i="8" s="1"/>
  <c r="W1" i="7"/>
  <c r="Q2" i="8"/>
  <c r="M88" i="3"/>
  <c r="M89" i="3" s="1"/>
  <c r="Q102" i="3"/>
  <c r="Q14" i="8" s="1"/>
  <c r="R64" i="3"/>
  <c r="R67" i="3" s="1"/>
  <c r="O71" i="3"/>
  <c r="P69" i="3"/>
  <c r="P70" i="3" s="1"/>
  <c r="R79" i="3"/>
  <c r="S78" i="3" s="1"/>
  <c r="Q80" i="3"/>
  <c r="V31" i="7"/>
  <c r="P14" i="8"/>
  <c r="X1" i="1"/>
  <c r="Q50" i="3"/>
  <c r="Z2" i="1"/>
  <c r="Y2" i="7"/>
  <c r="S91" i="3"/>
  <c r="S94" i="3" s="1"/>
  <c r="R96" i="3"/>
  <c r="R97" i="3" s="1"/>
  <c r="R98" i="3" s="1"/>
  <c r="R82" i="3"/>
  <c r="U61" i="3"/>
  <c r="X1" i="7" l="1"/>
  <c r="R2" i="8"/>
  <c r="N88" i="3"/>
  <c r="N89" i="3" s="1"/>
  <c r="S64" i="3"/>
  <c r="W31" i="7"/>
  <c r="Q69" i="3"/>
  <c r="Q70" i="3" s="1"/>
  <c r="Q71" i="3" s="1"/>
  <c r="P71" i="3"/>
  <c r="R85" i="3"/>
  <c r="R102" i="3" s="1"/>
  <c r="R100" i="3"/>
  <c r="R80" i="3"/>
  <c r="S79" i="3"/>
  <c r="S80" i="3" s="1"/>
  <c r="T78" i="3"/>
  <c r="AA2" i="1"/>
  <c r="Z2" i="7"/>
  <c r="Y1" i="1"/>
  <c r="R50" i="3"/>
  <c r="T91" i="3"/>
  <c r="U91" i="3" s="1"/>
  <c r="V91" i="3" s="1"/>
  <c r="S96" i="3"/>
  <c r="S97" i="3" s="1"/>
  <c r="S98" i="3" s="1"/>
  <c r="V61" i="3"/>
  <c r="Y1" i="7" l="1"/>
  <c r="S2" i="8"/>
  <c r="S67" i="3"/>
  <c r="S66" i="3"/>
  <c r="S65" i="3"/>
  <c r="S100" i="3" s="1"/>
  <c r="S68" i="3"/>
  <c r="O87" i="3"/>
  <c r="O101" i="3"/>
  <c r="O18" i="8" s="1"/>
  <c r="R69" i="3"/>
  <c r="R70" i="3" s="1"/>
  <c r="R71" i="3" s="1"/>
  <c r="S82" i="3"/>
  <c r="S85" i="3" s="1"/>
  <c r="U78" i="3"/>
  <c r="T79" i="3"/>
  <c r="T80" i="3" s="1"/>
  <c r="R14" i="8"/>
  <c r="X31" i="7"/>
  <c r="Z1" i="1"/>
  <c r="S50" i="3"/>
  <c r="AB2" i="1"/>
  <c r="AA2" i="7"/>
  <c r="T94" i="3"/>
  <c r="T96" i="3" s="1"/>
  <c r="V94" i="3"/>
  <c r="W91" i="3"/>
  <c r="U94" i="3"/>
  <c r="S102" i="3" l="1"/>
  <c r="S14" i="8" s="1"/>
  <c r="Z1" i="7"/>
  <c r="T2" i="8"/>
  <c r="S69" i="3"/>
  <c r="S70" i="3" s="1"/>
  <c r="S71" i="3" s="1"/>
  <c r="S101" i="3"/>
  <c r="S18" i="8" s="1"/>
  <c r="T64" i="3"/>
  <c r="T67" i="3" s="1"/>
  <c r="O88" i="3"/>
  <c r="O89" i="3" s="1"/>
  <c r="P87" i="3"/>
  <c r="Q86" i="3" s="1"/>
  <c r="T82" i="3"/>
  <c r="X91" i="3"/>
  <c r="W94" i="3"/>
  <c r="U79" i="3"/>
  <c r="V78" i="3" s="1"/>
  <c r="W78" i="3" s="1"/>
  <c r="W79" i="3" s="1"/>
  <c r="AB2" i="7"/>
  <c r="AC2" i="1"/>
  <c r="AA1" i="1"/>
  <c r="T50" i="3"/>
  <c r="U96" i="3"/>
  <c r="T97" i="3"/>
  <c r="T98" i="3" s="1"/>
  <c r="Y31" i="7" l="1"/>
  <c r="T84" i="3"/>
  <c r="T83" i="3"/>
  <c r="T85" i="3"/>
  <c r="T102" i="3" s="1"/>
  <c r="Z31" i="7" s="1"/>
  <c r="Q87" i="3"/>
  <c r="Q101" i="3"/>
  <c r="Q18" i="8" s="1"/>
  <c r="AA1" i="7"/>
  <c r="U2" i="8"/>
  <c r="P88" i="3"/>
  <c r="P89" i="3" s="1"/>
  <c r="AD2" i="1"/>
  <c r="AD2" i="7" s="1"/>
  <c r="AC2" i="7"/>
  <c r="W80" i="3"/>
  <c r="X77" i="3"/>
  <c r="X78" i="3" s="1"/>
  <c r="U64" i="3"/>
  <c r="U67" i="3" s="1"/>
  <c r="T100" i="3"/>
  <c r="V79" i="3"/>
  <c r="V80" i="3" s="1"/>
  <c r="T69" i="3"/>
  <c r="U80" i="3"/>
  <c r="X93" i="3"/>
  <c r="X94" i="3"/>
  <c r="AB1" i="1"/>
  <c r="V2" i="8" s="1"/>
  <c r="U50" i="3"/>
  <c r="U97" i="3"/>
  <c r="U82" i="3" l="1"/>
  <c r="Q88" i="3"/>
  <c r="Q89" i="3" s="1"/>
  <c r="R101" i="3"/>
  <c r="R18" i="8" s="1"/>
  <c r="V64" i="3"/>
  <c r="W64" i="3" s="1"/>
  <c r="X64" i="3" s="1"/>
  <c r="U69" i="3"/>
  <c r="U70" i="3" s="1"/>
  <c r="U71" i="3" s="1"/>
  <c r="T70" i="3"/>
  <c r="T71" i="3" s="1"/>
  <c r="X80" i="3"/>
  <c r="X79" i="3"/>
  <c r="U85" i="3"/>
  <c r="U102" i="3" s="1"/>
  <c r="U100" i="3"/>
  <c r="T14" i="8"/>
  <c r="AB1" i="7"/>
  <c r="AC1" i="1"/>
  <c r="V50" i="3"/>
  <c r="U98" i="3"/>
  <c r="V96" i="3"/>
  <c r="AC1" i="7" l="1"/>
  <c r="W2" i="8"/>
  <c r="R87" i="3"/>
  <c r="V67" i="3"/>
  <c r="V69" i="3" s="1"/>
  <c r="W67" i="3"/>
  <c r="AD1" i="1"/>
  <c r="X2" i="8" s="1"/>
  <c r="W50" i="3"/>
  <c r="V82" i="3"/>
  <c r="X67" i="3"/>
  <c r="X66" i="3"/>
  <c r="AA31" i="7"/>
  <c r="U14" i="8"/>
  <c r="V97" i="3"/>
  <c r="W96" i="3" s="1"/>
  <c r="S87" i="3" l="1"/>
  <c r="T86" i="3" s="1"/>
  <c r="R88" i="3"/>
  <c r="R89" i="3" s="1"/>
  <c r="X50" i="3"/>
  <c r="AD1" i="7"/>
  <c r="V98" i="3"/>
  <c r="W82" i="3"/>
  <c r="V85" i="3"/>
  <c r="V102" i="3" s="1"/>
  <c r="V14" i="8" s="1"/>
  <c r="W97" i="3"/>
  <c r="X95" i="3" s="1"/>
  <c r="X96" i="3" s="1"/>
  <c r="V70" i="3"/>
  <c r="W98" i="3" l="1"/>
  <c r="W84" i="3"/>
  <c r="W85" i="3"/>
  <c r="W102" i="3" s="1"/>
  <c r="T87" i="3"/>
  <c r="T101" i="3"/>
  <c r="T18" i="8" s="1"/>
  <c r="S88" i="3"/>
  <c r="S89" i="3" s="1"/>
  <c r="AB31" i="7"/>
  <c r="X82" i="3"/>
  <c r="X98" i="3"/>
  <c r="X97" i="3"/>
  <c r="V71" i="3"/>
  <c r="W69" i="3"/>
  <c r="V101" i="3"/>
  <c r="V18" i="8" s="1"/>
  <c r="T88" i="3" l="1"/>
  <c r="T89" i="3" s="1"/>
  <c r="AC31" i="7"/>
  <c r="W14" i="8"/>
  <c r="X84" i="3"/>
  <c r="X85" i="3"/>
  <c r="X102" i="3" s="1"/>
  <c r="W70" i="3"/>
  <c r="X68" i="3" s="1"/>
  <c r="U87" i="3" l="1"/>
  <c r="U101" i="3"/>
  <c r="U18" i="8" s="1"/>
  <c r="X14" i="8"/>
  <c r="AD31" i="7"/>
  <c r="X69" i="3"/>
  <c r="X71" i="3" s="1"/>
  <c r="W71" i="3"/>
  <c r="H4" i="1"/>
  <c r="I4" i="5"/>
  <c r="I5" i="5"/>
  <c r="K5" i="5" s="1"/>
  <c r="U88" i="3" l="1"/>
  <c r="U89" i="3" s="1"/>
  <c r="V87" i="3"/>
  <c r="X70" i="3"/>
  <c r="H3" i="1"/>
  <c r="H4" i="7"/>
  <c r="I4" i="1"/>
  <c r="I6" i="5"/>
  <c r="K4" i="5"/>
  <c r="V88" i="3" l="1"/>
  <c r="J4" i="1"/>
  <c r="I4" i="7"/>
  <c r="I3" i="1"/>
  <c r="H79" i="1"/>
  <c r="L4" i="5"/>
  <c r="N4" i="5" s="1"/>
  <c r="L3" i="5"/>
  <c r="N3" i="5" s="1"/>
  <c r="L5" i="5"/>
  <c r="N5" i="5" s="1"/>
  <c r="V89" i="3" l="1"/>
  <c r="W86" i="3"/>
  <c r="D53" i="3"/>
  <c r="I84" i="1"/>
  <c r="I79" i="1"/>
  <c r="K4" i="1"/>
  <c r="E3" i="8" s="1"/>
  <c r="J3" i="1"/>
  <c r="J4" i="7"/>
  <c r="O3" i="5"/>
  <c r="W87" i="3" l="1"/>
  <c r="W101" i="3"/>
  <c r="W18" i="8" s="1"/>
  <c r="C25" i="1"/>
  <c r="J84" i="1"/>
  <c r="J79" i="1"/>
  <c r="D51" i="3"/>
  <c r="K4" i="7"/>
  <c r="E53" i="3"/>
  <c r="B11" i="6"/>
  <c r="K3" i="1"/>
  <c r="L4" i="1"/>
  <c r="F3" i="8" s="1"/>
  <c r="N6" i="5"/>
  <c r="K84" i="1" l="1"/>
  <c r="K79" i="1"/>
  <c r="L24" i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W88" i="3"/>
  <c r="X86" i="3" s="1"/>
  <c r="X101" i="3" s="1"/>
  <c r="X18" i="8" s="1"/>
  <c r="W89" i="3"/>
  <c r="L4" i="7"/>
  <c r="L3" i="1"/>
  <c r="M4" i="1"/>
  <c r="G3" i="8" s="1"/>
  <c r="F53" i="3"/>
  <c r="C11" i="6"/>
  <c r="E51" i="3"/>
  <c r="K3" i="7"/>
  <c r="H5" i="5"/>
  <c r="H4" i="5"/>
  <c r="H3" i="5"/>
  <c r="L79" i="1" l="1"/>
  <c r="L84" i="1"/>
  <c r="X87" i="3"/>
  <c r="X89" i="3" s="1"/>
  <c r="M4" i="7"/>
  <c r="D11" i="6"/>
  <c r="N4" i="1"/>
  <c r="H3" i="8" s="1"/>
  <c r="H23" i="8" s="1"/>
  <c r="M3" i="1"/>
  <c r="G53" i="3"/>
  <c r="F51" i="3"/>
  <c r="L3" i="7"/>
  <c r="K6" i="5"/>
  <c r="C19" i="5" s="1"/>
  <c r="H6" i="5"/>
  <c r="M84" i="1" l="1"/>
  <c r="M79" i="1"/>
  <c r="X88" i="3"/>
  <c r="C24" i="5"/>
  <c r="G51" i="3"/>
  <c r="M3" i="7"/>
  <c r="N4" i="7"/>
  <c r="E11" i="6"/>
  <c r="O4" i="1"/>
  <c r="I3" i="8" s="1"/>
  <c r="I23" i="8" s="1"/>
  <c r="N3" i="1"/>
  <c r="H53" i="3"/>
  <c r="C32" i="5" l="1"/>
  <c r="D41" i="8" s="1"/>
  <c r="D43" i="8" s="1"/>
  <c r="B50" i="8" s="1"/>
  <c r="J31" i="5"/>
  <c r="J32" i="5" s="1"/>
  <c r="N84" i="7"/>
  <c r="H51" i="3"/>
  <c r="N3" i="7"/>
  <c r="N86" i="7" s="1"/>
  <c r="O4" i="7"/>
  <c r="F11" i="6"/>
  <c r="P4" i="1"/>
  <c r="J3" i="8" s="1"/>
  <c r="J23" i="8" s="1"/>
  <c r="I53" i="3"/>
  <c r="O3" i="1"/>
  <c r="D27" i="8" l="1"/>
  <c r="B51" i="8"/>
  <c r="D28" i="8" s="1"/>
  <c r="B49" i="8"/>
  <c r="D26" i="8" s="1"/>
  <c r="I51" i="3"/>
  <c r="O3" i="7"/>
  <c r="O86" i="7" s="1"/>
  <c r="P4" i="7"/>
  <c r="P3" i="1"/>
  <c r="G11" i="6"/>
  <c r="Q4" i="1"/>
  <c r="K3" i="8" s="1"/>
  <c r="K23" i="8" s="1"/>
  <c r="J53" i="3"/>
  <c r="N9" i="7"/>
  <c r="N10" i="7" s="1"/>
  <c r="N11" i="7" s="1"/>
  <c r="G28" i="8" l="1"/>
  <c r="E28" i="8"/>
  <c r="F28" i="8"/>
  <c r="F26" i="8"/>
  <c r="G26" i="8"/>
  <c r="E26" i="8"/>
  <c r="F27" i="8"/>
  <c r="G27" i="8"/>
  <c r="E27" i="8"/>
  <c r="N17" i="7"/>
  <c r="N18" i="7"/>
  <c r="N87" i="7"/>
  <c r="O84" i="7"/>
  <c r="J51" i="3"/>
  <c r="P3" i="7"/>
  <c r="P86" i="7" s="1"/>
  <c r="O9" i="7"/>
  <c r="O10" i="7" s="1"/>
  <c r="O11" i="7" s="1"/>
  <c r="P84" i="7"/>
  <c r="Q4" i="7"/>
  <c r="R4" i="1"/>
  <c r="L3" i="8" s="1"/>
  <c r="L23" i="8" s="1"/>
  <c r="Q3" i="1"/>
  <c r="K53" i="3"/>
  <c r="H11" i="6"/>
  <c r="N74" i="7" l="1"/>
  <c r="N19" i="7"/>
  <c r="N75" i="7" s="1"/>
  <c r="N76" i="7" s="1"/>
  <c r="O17" i="7"/>
  <c r="O18" i="7"/>
  <c r="K51" i="3"/>
  <c r="Q3" i="7"/>
  <c r="Q86" i="7" s="1"/>
  <c r="P9" i="7"/>
  <c r="P10" i="7" s="1"/>
  <c r="P11" i="7" s="1"/>
  <c r="P17" i="7" s="1"/>
  <c r="Q84" i="7"/>
  <c r="R4" i="7"/>
  <c r="I11" i="6"/>
  <c r="S4" i="1"/>
  <c r="M3" i="8" s="1"/>
  <c r="M23" i="8" s="1"/>
  <c r="L53" i="3"/>
  <c r="R3" i="1"/>
  <c r="O87" i="7"/>
  <c r="O74" i="7" l="1"/>
  <c r="N77" i="7"/>
  <c r="N91" i="7"/>
  <c r="P19" i="7"/>
  <c r="P75" i="7" s="1"/>
  <c r="P76" i="7" s="1"/>
  <c r="N23" i="7"/>
  <c r="H5" i="8" s="1"/>
  <c r="H15" i="8" s="1"/>
  <c r="O19" i="7"/>
  <c r="O75" i="7" s="1"/>
  <c r="O76" i="7" s="1"/>
  <c r="P87" i="7"/>
  <c r="S4" i="7"/>
  <c r="J11" i="6"/>
  <c r="S3" i="1"/>
  <c r="T4" i="1"/>
  <c r="N3" i="8" s="1"/>
  <c r="N23" i="8" s="1"/>
  <c r="M53" i="3"/>
  <c r="L51" i="3"/>
  <c r="R3" i="7"/>
  <c r="R86" i="7" s="1"/>
  <c r="Q9" i="7"/>
  <c r="Q10" i="7" s="1"/>
  <c r="Q11" i="7" s="1"/>
  <c r="Q17" i="7" s="1"/>
  <c r="R84" i="7"/>
  <c r="N93" i="7" l="1"/>
  <c r="H16" i="8" s="1"/>
  <c r="H17" i="8" s="1"/>
  <c r="O77" i="7"/>
  <c r="P74" i="7"/>
  <c r="P77" i="7" s="1"/>
  <c r="O91" i="7"/>
  <c r="P23" i="7"/>
  <c r="J5" i="8" s="1"/>
  <c r="Q19" i="7"/>
  <c r="Q75" i="7" s="1"/>
  <c r="Q76" i="7" s="1"/>
  <c r="H6" i="8"/>
  <c r="H19" i="8"/>
  <c r="N28" i="7"/>
  <c r="N29" i="7" s="1"/>
  <c r="O23" i="7"/>
  <c r="I5" i="8" s="1"/>
  <c r="T4" i="7"/>
  <c r="N53" i="3"/>
  <c r="K11" i="6"/>
  <c r="U4" i="1"/>
  <c r="O3" i="8" s="1"/>
  <c r="O23" i="8" s="1"/>
  <c r="T3" i="1"/>
  <c r="P28" i="7"/>
  <c r="Q74" i="7"/>
  <c r="P91" i="7"/>
  <c r="R9" i="7"/>
  <c r="R10" i="7" s="1"/>
  <c r="R11" i="7" s="1"/>
  <c r="R17" i="7" s="1"/>
  <c r="S84" i="7"/>
  <c r="Q87" i="7"/>
  <c r="M51" i="3"/>
  <c r="S3" i="7"/>
  <c r="S86" i="7" s="1"/>
  <c r="P93" i="7" l="1"/>
  <c r="J16" i="8" s="1"/>
  <c r="J17" i="8" s="1"/>
  <c r="O93" i="7"/>
  <c r="I16" i="8" s="1"/>
  <c r="I17" i="8" s="1"/>
  <c r="Q23" i="7"/>
  <c r="R19" i="7"/>
  <c r="R75" i="7" s="1"/>
  <c r="R76" i="7" s="1"/>
  <c r="Q28" i="7"/>
  <c r="P29" i="7"/>
  <c r="J7" i="8" s="1"/>
  <c r="J8" i="8" s="1"/>
  <c r="I6" i="8"/>
  <c r="I19" i="8"/>
  <c r="I15" i="8"/>
  <c r="H7" i="8"/>
  <c r="H8" i="8" s="1"/>
  <c r="N30" i="7"/>
  <c r="N32" i="7"/>
  <c r="O28" i="7"/>
  <c r="O29" i="7" s="1"/>
  <c r="R74" i="7"/>
  <c r="Q91" i="7"/>
  <c r="Q77" i="7"/>
  <c r="S9" i="7"/>
  <c r="S10" i="7" s="1"/>
  <c r="S11" i="7" s="1"/>
  <c r="S17" i="7" s="1"/>
  <c r="T84" i="7"/>
  <c r="R87" i="7"/>
  <c r="K5" i="8"/>
  <c r="J6" i="8"/>
  <c r="J19" i="8"/>
  <c r="J15" i="8"/>
  <c r="N51" i="3"/>
  <c r="T3" i="7"/>
  <c r="T86" i="7" s="1"/>
  <c r="U4" i="7"/>
  <c r="V4" i="1"/>
  <c r="P3" i="8" s="1"/>
  <c r="P23" i="8" s="1"/>
  <c r="O53" i="3"/>
  <c r="U3" i="1"/>
  <c r="L11" i="6"/>
  <c r="Q93" i="7" l="1"/>
  <c r="K16" i="8" s="1"/>
  <c r="K17" i="8" s="1"/>
  <c r="Q29" i="7"/>
  <c r="K7" i="8" s="1"/>
  <c r="K8" i="8" s="1"/>
  <c r="P32" i="7"/>
  <c r="J9" i="8" s="1"/>
  <c r="P30" i="7"/>
  <c r="R23" i="7"/>
  <c r="L5" i="8" s="1"/>
  <c r="S19" i="7"/>
  <c r="S75" i="7" s="1"/>
  <c r="S76" i="7" s="1"/>
  <c r="H9" i="8"/>
  <c r="N35" i="7"/>
  <c r="N33" i="7"/>
  <c r="O32" i="7"/>
  <c r="O30" i="7"/>
  <c r="I7" i="8"/>
  <c r="I8" i="8" s="1"/>
  <c r="S74" i="7"/>
  <c r="R91" i="7"/>
  <c r="R28" i="7"/>
  <c r="S87" i="7"/>
  <c r="O51" i="3"/>
  <c r="U3" i="7"/>
  <c r="U86" i="7" s="1"/>
  <c r="K6" i="8"/>
  <c r="K19" i="8"/>
  <c r="K15" i="8"/>
  <c r="V4" i="7"/>
  <c r="W4" i="1"/>
  <c r="Q3" i="8" s="1"/>
  <c r="Q23" i="8" s="1"/>
  <c r="P53" i="3"/>
  <c r="V3" i="1"/>
  <c r="M11" i="6"/>
  <c r="T9" i="7"/>
  <c r="T10" i="7" s="1"/>
  <c r="T11" i="7" s="1"/>
  <c r="T17" i="7" s="1"/>
  <c r="U84" i="7"/>
  <c r="R77" i="7"/>
  <c r="Q32" i="7" l="1"/>
  <c r="Q35" i="7" s="1"/>
  <c r="Q30" i="7"/>
  <c r="H10" i="8"/>
  <c r="H12" i="8"/>
  <c r="J10" i="8"/>
  <c r="J12" i="8"/>
  <c r="R93" i="7"/>
  <c r="L16" i="8" s="1"/>
  <c r="L17" i="8" s="1"/>
  <c r="P35" i="7"/>
  <c r="P53" i="7" s="1"/>
  <c r="P33" i="7"/>
  <c r="T19" i="7"/>
  <c r="T75" i="7" s="1"/>
  <c r="T76" i="7" s="1"/>
  <c r="S23" i="7"/>
  <c r="M5" i="8" s="1"/>
  <c r="R29" i="7"/>
  <c r="L7" i="8" s="1"/>
  <c r="L8" i="8" s="1"/>
  <c r="N11" i="6"/>
  <c r="N36" i="7"/>
  <c r="N45" i="7"/>
  <c r="N53" i="7"/>
  <c r="O33" i="7"/>
  <c r="I9" i="8"/>
  <c r="O35" i="7"/>
  <c r="T87" i="7"/>
  <c r="U9" i="7"/>
  <c r="U10" i="7" s="1"/>
  <c r="U11" i="7" s="1"/>
  <c r="U17" i="7" s="1"/>
  <c r="V84" i="7"/>
  <c r="L6" i="8"/>
  <c r="L19" i="8"/>
  <c r="L15" i="8"/>
  <c r="W4" i="7"/>
  <c r="Q53" i="3"/>
  <c r="X4" i="1"/>
  <c r="R3" i="8" s="1"/>
  <c r="R23" i="8" s="1"/>
  <c r="W3" i="1"/>
  <c r="P51" i="3"/>
  <c r="V3" i="7"/>
  <c r="V86" i="7" s="1"/>
  <c r="T74" i="7"/>
  <c r="S91" i="7"/>
  <c r="S77" i="7"/>
  <c r="S28" i="7"/>
  <c r="N51" i="7"/>
  <c r="K9" i="8" l="1"/>
  <c r="K10" i="8" s="1"/>
  <c r="Q33" i="7"/>
  <c r="S29" i="7"/>
  <c r="M7" i="8" s="1"/>
  <c r="M8" i="8" s="1"/>
  <c r="I10" i="8"/>
  <c r="I12" i="8"/>
  <c r="P45" i="7"/>
  <c r="P36" i="7"/>
  <c r="S93" i="7"/>
  <c r="M16" i="8" s="1"/>
  <c r="M17" i="8" s="1"/>
  <c r="R30" i="7"/>
  <c r="T23" i="7"/>
  <c r="N5" i="8" s="1"/>
  <c r="R32" i="7"/>
  <c r="R35" i="7" s="1"/>
  <c r="U19" i="7"/>
  <c r="U75" i="7" s="1"/>
  <c r="U76" i="7" s="1"/>
  <c r="O11" i="6"/>
  <c r="T77" i="7"/>
  <c r="O36" i="7"/>
  <c r="O53" i="7"/>
  <c r="O45" i="7"/>
  <c r="U87" i="7"/>
  <c r="S30" i="7"/>
  <c r="N52" i="7"/>
  <c r="N46" i="7" s="1"/>
  <c r="N47" i="7" s="1"/>
  <c r="N68" i="7" s="1"/>
  <c r="Q53" i="7"/>
  <c r="Q45" i="7"/>
  <c r="Q36" i="7"/>
  <c r="T28" i="7"/>
  <c r="M6" i="8"/>
  <c r="M19" i="8"/>
  <c r="M15" i="8"/>
  <c r="V9" i="7"/>
  <c r="V10" i="7" s="1"/>
  <c r="V11" i="7" s="1"/>
  <c r="V17" i="7" s="1"/>
  <c r="W84" i="7"/>
  <c r="Q51" i="3"/>
  <c r="W3" i="7"/>
  <c r="W86" i="7" s="1"/>
  <c r="X4" i="7"/>
  <c r="R53" i="3"/>
  <c r="Y4" i="1"/>
  <c r="S3" i="8" s="1"/>
  <c r="S23" i="8" s="1"/>
  <c r="X3" i="1"/>
  <c r="U74" i="7"/>
  <c r="T91" i="7"/>
  <c r="K12" i="8" l="1"/>
  <c r="S32" i="7"/>
  <c r="M9" i="8" s="1"/>
  <c r="T93" i="7"/>
  <c r="N16" i="8" s="1"/>
  <c r="N17" i="8" s="1"/>
  <c r="R33" i="7"/>
  <c r="U23" i="7"/>
  <c r="O5" i="8" s="1"/>
  <c r="U28" i="7"/>
  <c r="L9" i="8"/>
  <c r="T29" i="7"/>
  <c r="N7" i="8" s="1"/>
  <c r="N8" i="8" s="1"/>
  <c r="V19" i="7"/>
  <c r="V75" i="7" s="1"/>
  <c r="V76" i="7" s="1"/>
  <c r="P11" i="6"/>
  <c r="U77" i="7"/>
  <c r="V87" i="7"/>
  <c r="W9" i="7"/>
  <c r="W10" i="7" s="1"/>
  <c r="W11" i="7" s="1"/>
  <c r="W17" i="7" s="1"/>
  <c r="X84" i="7"/>
  <c r="N6" i="8"/>
  <c r="N19" i="8"/>
  <c r="N15" i="8"/>
  <c r="R51" i="3"/>
  <c r="X3" i="7"/>
  <c r="X86" i="7" s="1"/>
  <c r="R45" i="7"/>
  <c r="R36" i="7"/>
  <c r="R53" i="7"/>
  <c r="Y4" i="7"/>
  <c r="Z4" i="1"/>
  <c r="T3" i="8" s="1"/>
  <c r="T23" i="8" s="1"/>
  <c r="S53" i="3"/>
  <c r="Y3" i="1"/>
  <c r="V74" i="7"/>
  <c r="U91" i="7"/>
  <c r="N54" i="7"/>
  <c r="N55" i="7" s="1"/>
  <c r="O51" i="7" s="1"/>
  <c r="S35" i="7" l="1"/>
  <c r="S53" i="7" s="1"/>
  <c r="S33" i="7"/>
  <c r="M10" i="8"/>
  <c r="M12" i="8"/>
  <c r="L10" i="8"/>
  <c r="L12" i="8"/>
  <c r="U93" i="7"/>
  <c r="O16" i="8" s="1"/>
  <c r="O17" i="8" s="1"/>
  <c r="U29" i="7"/>
  <c r="U30" i="7" s="1"/>
  <c r="T32" i="7"/>
  <c r="T33" i="7" s="1"/>
  <c r="T30" i="7"/>
  <c r="V23" i="7"/>
  <c r="P5" i="8" s="1"/>
  <c r="W19" i="7"/>
  <c r="W75" i="7" s="1"/>
  <c r="W76" i="7" s="1"/>
  <c r="Q11" i="6"/>
  <c r="W87" i="7"/>
  <c r="O52" i="7"/>
  <c r="O46" i="7" s="1"/>
  <c r="O47" i="7" s="1"/>
  <c r="O68" i="7" s="1"/>
  <c r="W74" i="7"/>
  <c r="V91" i="7"/>
  <c r="V77" i="7"/>
  <c r="S51" i="3"/>
  <c r="Y3" i="7"/>
  <c r="Y86" i="7" s="1"/>
  <c r="S36" i="7"/>
  <c r="O6" i="8"/>
  <c r="O19" i="8"/>
  <c r="O15" i="8"/>
  <c r="X9" i="7"/>
  <c r="X10" i="7" s="1"/>
  <c r="X11" i="7" s="1"/>
  <c r="X17" i="7" s="1"/>
  <c r="Y84" i="7"/>
  <c r="V28" i="7"/>
  <c r="Z4" i="7"/>
  <c r="AA4" i="1"/>
  <c r="U3" i="8" s="1"/>
  <c r="U23" i="8" s="1"/>
  <c r="T53" i="3"/>
  <c r="Z3" i="1"/>
  <c r="N37" i="7"/>
  <c r="S45" i="7" l="1"/>
  <c r="U32" i="7"/>
  <c r="O9" i="8" s="1"/>
  <c r="O7" i="8"/>
  <c r="O8" i="8" s="1"/>
  <c r="V93" i="7"/>
  <c r="P16" i="8" s="1"/>
  <c r="P17" i="8" s="1"/>
  <c r="N9" i="8"/>
  <c r="T35" i="7"/>
  <c r="T53" i="7" s="1"/>
  <c r="V29" i="7"/>
  <c r="P7" i="8" s="1"/>
  <c r="P8" i="8" s="1"/>
  <c r="W23" i="7"/>
  <c r="Q5" i="8" s="1"/>
  <c r="X19" i="7"/>
  <c r="X75" i="7" s="1"/>
  <c r="X76" i="7" s="1"/>
  <c r="R11" i="6"/>
  <c r="O54" i="7"/>
  <c r="O55" i="7" s="1"/>
  <c r="P51" i="7" s="1"/>
  <c r="P52" i="7" s="1"/>
  <c r="P46" i="7" s="1"/>
  <c r="P47" i="7" s="1"/>
  <c r="P68" i="7" s="1"/>
  <c r="X87" i="7"/>
  <c r="X74" i="7"/>
  <c r="W91" i="7"/>
  <c r="AA4" i="7"/>
  <c r="AB4" i="1"/>
  <c r="V3" i="8" s="1"/>
  <c r="V23" i="8" s="1"/>
  <c r="U53" i="3"/>
  <c r="AA3" i="1"/>
  <c r="N38" i="7"/>
  <c r="N39" i="7" s="1"/>
  <c r="W77" i="7"/>
  <c r="Y9" i="7"/>
  <c r="Y10" i="7" s="1"/>
  <c r="Y11" i="7" s="1"/>
  <c r="Y17" i="7" s="1"/>
  <c r="Z84" i="7"/>
  <c r="T51" i="3"/>
  <c r="Z3" i="7"/>
  <c r="Z86" i="7" s="1"/>
  <c r="P6" i="8"/>
  <c r="P19" i="8"/>
  <c r="P15" i="8"/>
  <c r="W28" i="7"/>
  <c r="U33" i="7" l="1"/>
  <c r="U35" i="7"/>
  <c r="U53" i="7" s="1"/>
  <c r="O10" i="8"/>
  <c r="O12" i="8"/>
  <c r="N10" i="8"/>
  <c r="N12" i="8"/>
  <c r="W93" i="7"/>
  <c r="Q16" i="8" s="1"/>
  <c r="Q17" i="8" s="1"/>
  <c r="T36" i="7"/>
  <c r="T45" i="7"/>
  <c r="V32" i="7"/>
  <c r="V33" i="7" s="1"/>
  <c r="V30" i="7"/>
  <c r="W29" i="7"/>
  <c r="Q7" i="8" s="1"/>
  <c r="Q8" i="8" s="1"/>
  <c r="X23" i="7"/>
  <c r="R5" i="8" s="1"/>
  <c r="Y19" i="7"/>
  <c r="Y75" i="7" s="1"/>
  <c r="Y76" i="7" s="1"/>
  <c r="AC4" i="1"/>
  <c r="AC3" i="1" s="1"/>
  <c r="S11" i="6"/>
  <c r="P54" i="7"/>
  <c r="P55" i="7" s="1"/>
  <c r="Q51" i="7" s="1"/>
  <c r="Q52" i="7" s="1"/>
  <c r="Q46" i="7" s="1"/>
  <c r="Q47" i="7" s="1"/>
  <c r="Q68" i="7" s="1"/>
  <c r="O37" i="7"/>
  <c r="O38" i="7" s="1"/>
  <c r="O39" i="7" s="1"/>
  <c r="Y87" i="7"/>
  <c r="Y74" i="7"/>
  <c r="X91" i="7"/>
  <c r="U51" i="3"/>
  <c r="AA3" i="7"/>
  <c r="AA86" i="7" s="1"/>
  <c r="Z9" i="7"/>
  <c r="Z10" i="7" s="1"/>
  <c r="Z11" i="7" s="1"/>
  <c r="Z17" i="7" s="1"/>
  <c r="AA84" i="7"/>
  <c r="X77" i="7"/>
  <c r="Q6" i="8"/>
  <c r="Q19" i="8"/>
  <c r="Q15" i="8"/>
  <c r="H13" i="8"/>
  <c r="H20" i="8"/>
  <c r="AB4" i="7"/>
  <c r="V53" i="3"/>
  <c r="AB3" i="1"/>
  <c r="X28" i="7"/>
  <c r="U45" i="7" l="1"/>
  <c r="U36" i="7"/>
  <c r="X93" i="7"/>
  <c r="R16" i="8" s="1"/>
  <c r="R17" i="8" s="1"/>
  <c r="V35" i="7"/>
  <c r="V53" i="7" s="1"/>
  <c r="P9" i="8"/>
  <c r="AD4" i="1"/>
  <c r="X3" i="8" s="1"/>
  <c r="X23" i="8" s="1"/>
  <c r="W32" i="7"/>
  <c r="Q9" i="8" s="1"/>
  <c r="W30" i="7"/>
  <c r="W51" i="3"/>
  <c r="AC3" i="7"/>
  <c r="AC86" i="7" s="1"/>
  <c r="AC4" i="7"/>
  <c r="W3" i="8"/>
  <c r="W23" i="8" s="1"/>
  <c r="Y23" i="7"/>
  <c r="S5" i="8" s="1"/>
  <c r="Z19" i="7"/>
  <c r="Z75" i="7" s="1"/>
  <c r="Z76" i="7" s="1"/>
  <c r="Y28" i="7"/>
  <c r="X29" i="7"/>
  <c r="X32" i="7" s="1"/>
  <c r="U11" i="6"/>
  <c r="W53" i="3"/>
  <c r="T11" i="6"/>
  <c r="Z87" i="7"/>
  <c r="I20" i="8"/>
  <c r="P37" i="7"/>
  <c r="Y77" i="7"/>
  <c r="R19" i="8"/>
  <c r="R15" i="8"/>
  <c r="H28" i="8"/>
  <c r="H26" i="8"/>
  <c r="H27" i="8"/>
  <c r="H21" i="8"/>
  <c r="AA9" i="7"/>
  <c r="AA10" i="7" s="1"/>
  <c r="AA11" i="7" s="1"/>
  <c r="AA17" i="7" s="1"/>
  <c r="AB84" i="7"/>
  <c r="V51" i="3"/>
  <c r="B52" i="3" s="1"/>
  <c r="AB3" i="7"/>
  <c r="AB86" i="7" s="1"/>
  <c r="R6" i="8"/>
  <c r="Z74" i="7"/>
  <c r="Y91" i="7"/>
  <c r="Q54" i="7"/>
  <c r="Q55" i="7" s="1"/>
  <c r="R51" i="7" s="1"/>
  <c r="X53" i="3" l="1"/>
  <c r="P10" i="8"/>
  <c r="P12" i="8"/>
  <c r="Q10" i="8"/>
  <c r="Q12" i="8"/>
  <c r="V36" i="7"/>
  <c r="AD4" i="7"/>
  <c r="AD3" i="1"/>
  <c r="AD3" i="7" s="1"/>
  <c r="AD86" i="7" s="1"/>
  <c r="Y93" i="7"/>
  <c r="S16" i="8" s="1"/>
  <c r="S17" i="8" s="1"/>
  <c r="W33" i="7"/>
  <c r="W35" i="7"/>
  <c r="W45" i="7" s="1"/>
  <c r="V45" i="7"/>
  <c r="AC9" i="7"/>
  <c r="AC10" i="7" s="1"/>
  <c r="AC11" i="7" s="1"/>
  <c r="AC17" i="7" s="1"/>
  <c r="AD84" i="7"/>
  <c r="Y29" i="7"/>
  <c r="S7" i="8" s="1"/>
  <c r="S8" i="8" s="1"/>
  <c r="R7" i="8"/>
  <c r="R8" i="8" s="1"/>
  <c r="X30" i="7"/>
  <c r="Z23" i="7"/>
  <c r="T5" i="8" s="1"/>
  <c r="Z28" i="7"/>
  <c r="AA19" i="7"/>
  <c r="AA87" i="7"/>
  <c r="I13" i="8"/>
  <c r="P38" i="7"/>
  <c r="P39" i="7" s="1"/>
  <c r="Q37" i="7"/>
  <c r="I21" i="8"/>
  <c r="I26" i="8"/>
  <c r="I28" i="8"/>
  <c r="I27" i="8"/>
  <c r="AA74" i="7"/>
  <c r="Z91" i="7"/>
  <c r="S6" i="8"/>
  <c r="S19" i="8"/>
  <c r="S15" i="8"/>
  <c r="AB9" i="7"/>
  <c r="AB10" i="7" s="1"/>
  <c r="AB11" i="7" s="1"/>
  <c r="AB17" i="7" s="1"/>
  <c r="AC84" i="7"/>
  <c r="R52" i="7"/>
  <c r="R46" i="7" s="1"/>
  <c r="R47" i="7" s="1"/>
  <c r="R68" i="7" s="1"/>
  <c r="J13" i="8"/>
  <c r="J20" i="8"/>
  <c r="Z77" i="7"/>
  <c r="R9" i="8"/>
  <c r="X33" i="7"/>
  <c r="X35" i="7"/>
  <c r="X51" i="3" l="1"/>
  <c r="R10" i="8"/>
  <c r="R12" i="8"/>
  <c r="Z93" i="7"/>
  <c r="T16" i="8" s="1"/>
  <c r="T17" i="8" s="1"/>
  <c r="Y32" i="7"/>
  <c r="Y33" i="7" s="1"/>
  <c r="W36" i="7"/>
  <c r="W53" i="7"/>
  <c r="AC87" i="7"/>
  <c r="AC19" i="7"/>
  <c r="AD9" i="7"/>
  <c r="Y30" i="7"/>
  <c r="AA23" i="7"/>
  <c r="U5" i="8" s="1"/>
  <c r="AA75" i="7"/>
  <c r="Z29" i="7"/>
  <c r="T7" i="8" s="1"/>
  <c r="T8" i="8" s="1"/>
  <c r="AB19" i="7"/>
  <c r="AB75" i="7" s="1"/>
  <c r="AB76" i="7" s="1"/>
  <c r="Q38" i="7"/>
  <c r="Q39" i="7" s="1"/>
  <c r="R54" i="7"/>
  <c r="R55" i="7" s="1"/>
  <c r="S51" i="7" s="1"/>
  <c r="S52" i="7" s="1"/>
  <c r="S46" i="7" s="1"/>
  <c r="S47" i="7" s="1"/>
  <c r="S68" i="7" s="1"/>
  <c r="J26" i="8"/>
  <c r="J27" i="8"/>
  <c r="J21" i="8"/>
  <c r="J28" i="8"/>
  <c r="AA28" i="7"/>
  <c r="X36" i="7"/>
  <c r="X53" i="7"/>
  <c r="X45" i="7"/>
  <c r="K20" i="8"/>
  <c r="K13" i="8"/>
  <c r="T6" i="8"/>
  <c r="T15" i="8"/>
  <c r="T19" i="8"/>
  <c r="AB87" i="7"/>
  <c r="AA76" i="7" l="1"/>
  <c r="AB74" i="7" s="1"/>
  <c r="AB77" i="7" s="1"/>
  <c r="S9" i="8"/>
  <c r="Y35" i="7"/>
  <c r="Y45" i="7" s="1"/>
  <c r="Z30" i="7"/>
  <c r="AD10" i="7"/>
  <c r="AD11" i="7" s="1"/>
  <c r="AD17" i="7" s="1"/>
  <c r="AC75" i="7"/>
  <c r="AC76" i="7" s="1"/>
  <c r="AC23" i="7"/>
  <c r="AD87" i="7"/>
  <c r="AA29" i="7"/>
  <c r="AA32" i="7" s="1"/>
  <c r="Z32" i="7"/>
  <c r="T9" i="8" s="1"/>
  <c r="AB23" i="7"/>
  <c r="V5" i="8" s="1"/>
  <c r="AB91" i="7"/>
  <c r="AC74" i="7"/>
  <c r="S54" i="7"/>
  <c r="S55" i="7" s="1"/>
  <c r="T51" i="7" s="1"/>
  <c r="T52" i="7" s="1"/>
  <c r="T46" i="7" s="1"/>
  <c r="T47" i="7" s="1"/>
  <c r="T68" i="7" s="1"/>
  <c r="K21" i="8"/>
  <c r="K26" i="8"/>
  <c r="K28" i="8"/>
  <c r="K27" i="8"/>
  <c r="R37" i="7"/>
  <c r="AB28" i="7"/>
  <c r="U6" i="8"/>
  <c r="U19" i="8"/>
  <c r="U15" i="8"/>
  <c r="AA77" i="7" l="1"/>
  <c r="Y36" i="7"/>
  <c r="U7" i="8"/>
  <c r="U8" i="8" s="1"/>
  <c r="AA91" i="7"/>
  <c r="AA93" i="7" s="1"/>
  <c r="U16" i="8" s="1"/>
  <c r="U17" i="8" s="1"/>
  <c r="T10" i="8"/>
  <c r="T12" i="8"/>
  <c r="S10" i="8"/>
  <c r="S12" i="8"/>
  <c r="Y53" i="7"/>
  <c r="AA30" i="7"/>
  <c r="Z35" i="7"/>
  <c r="Z36" i="7" s="1"/>
  <c r="Z33" i="7"/>
  <c r="W5" i="8"/>
  <c r="W6" i="8" s="1"/>
  <c r="AC29" i="7"/>
  <c r="AD74" i="7"/>
  <c r="AC91" i="7"/>
  <c r="AD19" i="7"/>
  <c r="AC77" i="7"/>
  <c r="AB29" i="7"/>
  <c r="AB32" i="7" s="1"/>
  <c r="S37" i="7"/>
  <c r="S38" i="7" s="1"/>
  <c r="S39" i="7" s="1"/>
  <c r="V6" i="8"/>
  <c r="V15" i="8"/>
  <c r="V19" i="8"/>
  <c r="R38" i="7"/>
  <c r="R39" i="7" s="1"/>
  <c r="U9" i="8"/>
  <c r="AA35" i="7"/>
  <c r="AA33" i="7"/>
  <c r="T54" i="7"/>
  <c r="T55" i="7" s="1"/>
  <c r="U51" i="7" s="1"/>
  <c r="AB93" i="7" l="1"/>
  <c r="V16" i="8" s="1"/>
  <c r="V17" i="8" s="1"/>
  <c r="U10" i="8"/>
  <c r="U12" i="8"/>
  <c r="AC93" i="7"/>
  <c r="W16" i="8" s="1"/>
  <c r="W17" i="8" s="1"/>
  <c r="Z45" i="7"/>
  <c r="Z53" i="7"/>
  <c r="AD75" i="7"/>
  <c r="AD23" i="7"/>
  <c r="W7" i="8"/>
  <c r="W8" i="8" s="1"/>
  <c r="AC30" i="7"/>
  <c r="AC32" i="7"/>
  <c r="W15" i="8"/>
  <c r="W19" i="8"/>
  <c r="AB30" i="7"/>
  <c r="V7" i="8"/>
  <c r="V8" i="8" s="1"/>
  <c r="T37" i="7"/>
  <c r="T38" i="7" s="1"/>
  <c r="T39" i="7" s="1"/>
  <c r="M13" i="8"/>
  <c r="AA53" i="7"/>
  <c r="AA45" i="7"/>
  <c r="AA36" i="7"/>
  <c r="U52" i="7"/>
  <c r="U46" i="7" s="1"/>
  <c r="U47" i="7" s="1"/>
  <c r="U68" i="7" s="1"/>
  <c r="L20" i="8"/>
  <c r="L13" i="8"/>
  <c r="AB33" i="7"/>
  <c r="AB35" i="7"/>
  <c r="V9" i="8"/>
  <c r="AD76" i="7" l="1"/>
  <c r="AD91" i="7" s="1"/>
  <c r="AD93" i="7" s="1"/>
  <c r="X16" i="8" s="1"/>
  <c r="V10" i="8"/>
  <c r="V12" i="8"/>
  <c r="AD29" i="7"/>
  <c r="X5" i="8"/>
  <c r="W9" i="8"/>
  <c r="AC33" i="7"/>
  <c r="AC35" i="7"/>
  <c r="N13" i="8"/>
  <c r="M20" i="8"/>
  <c r="M26" i="8" s="1"/>
  <c r="U54" i="7"/>
  <c r="U55" i="7" s="1"/>
  <c r="V51" i="7" s="1"/>
  <c r="V52" i="7" s="1"/>
  <c r="V46" i="7" s="1"/>
  <c r="V47" i="7" s="1"/>
  <c r="V68" i="7" s="1"/>
  <c r="L28" i="8"/>
  <c r="L26" i="8"/>
  <c r="L27" i="8"/>
  <c r="L21" i="8"/>
  <c r="AB45" i="7"/>
  <c r="AB36" i="7"/>
  <c r="AB53" i="7"/>
  <c r="AD77" i="7" l="1"/>
  <c r="W10" i="8"/>
  <c r="W12" i="8"/>
  <c r="X17" i="8"/>
  <c r="X6" i="8"/>
  <c r="X15" i="8"/>
  <c r="X19" i="8"/>
  <c r="AC53" i="7"/>
  <c r="AC45" i="7"/>
  <c r="AC36" i="7"/>
  <c r="X7" i="8"/>
  <c r="X8" i="8" s="1"/>
  <c r="AD30" i="7"/>
  <c r="AD32" i="7"/>
  <c r="N20" i="8"/>
  <c r="N27" i="8" s="1"/>
  <c r="M21" i="8"/>
  <c r="M27" i="8"/>
  <c r="M28" i="8"/>
  <c r="U37" i="7"/>
  <c r="V54" i="7"/>
  <c r="V55" i="7" s="1"/>
  <c r="W51" i="7" s="1"/>
  <c r="W52" i="7" s="1"/>
  <c r="AD35" i="7" l="1"/>
  <c r="X9" i="8"/>
  <c r="AD33" i="7"/>
  <c r="N28" i="8"/>
  <c r="N21" i="8"/>
  <c r="N26" i="8"/>
  <c r="U38" i="7"/>
  <c r="U39" i="7" s="1"/>
  <c r="V37" i="7"/>
  <c r="W46" i="7"/>
  <c r="W47" i="7" s="1"/>
  <c r="W54" i="7"/>
  <c r="W55" i="7" s="1"/>
  <c r="X51" i="7" s="1"/>
  <c r="X52" i="7" s="1"/>
  <c r="X46" i="7" s="1"/>
  <c r="X47" i="7" s="1"/>
  <c r="O13" i="8"/>
  <c r="O20" i="8"/>
  <c r="X10" i="8" l="1"/>
  <c r="X12" i="8"/>
  <c r="X68" i="7"/>
  <c r="X37" i="7" s="1"/>
  <c r="W68" i="7"/>
  <c r="W37" i="7" s="1"/>
  <c r="AD36" i="7"/>
  <c r="AD45" i="7"/>
  <c r="AD53" i="7"/>
  <c r="V38" i="7"/>
  <c r="V39" i="7" s="1"/>
  <c r="P20" i="8"/>
  <c r="P13" i="8"/>
  <c r="O28" i="8"/>
  <c r="O21" i="8"/>
  <c r="O26" i="8"/>
  <c r="O27" i="8"/>
  <c r="X54" i="7"/>
  <c r="X55" i="7" s="1"/>
  <c r="Y51" i="7" s="1"/>
  <c r="W38" i="7" l="1"/>
  <c r="W39" i="7" s="1"/>
  <c r="R20" i="8"/>
  <c r="X38" i="7"/>
  <c r="X39" i="7" s="1"/>
  <c r="P21" i="8"/>
  <c r="P27" i="8"/>
  <c r="P26" i="8"/>
  <c r="P28" i="8"/>
  <c r="Y52" i="7"/>
  <c r="Y46" i="7" s="1"/>
  <c r="Y47" i="7" s="1"/>
  <c r="R13" i="8" l="1"/>
  <c r="Y68" i="7"/>
  <c r="Y37" i="7" s="1"/>
  <c r="Q13" i="8"/>
  <c r="Q20" i="8"/>
  <c r="Y54" i="7"/>
  <c r="Y55" i="7" s="1"/>
  <c r="Z51" i="7" s="1"/>
  <c r="R26" i="8"/>
  <c r="R28" i="8"/>
  <c r="R27" i="8"/>
  <c r="S13" i="8" l="1"/>
  <c r="Y38" i="7"/>
  <c r="Y39" i="7" s="1"/>
  <c r="Q26" i="8"/>
  <c r="Q27" i="8"/>
  <c r="Q28" i="8"/>
  <c r="Q21" i="8"/>
  <c r="R21" i="8"/>
  <c r="Z52" i="7"/>
  <c r="Z46" i="7" s="1"/>
  <c r="Z47" i="7" s="1"/>
  <c r="S20" i="8" l="1"/>
  <c r="S27" i="8" s="1"/>
  <c r="Z68" i="7"/>
  <c r="Z37" i="7" s="1"/>
  <c r="Z54" i="7"/>
  <c r="Z55" i="7" s="1"/>
  <c r="AA51" i="7" s="1"/>
  <c r="S26" i="8" l="1"/>
  <c r="S28" i="8"/>
  <c r="S21" i="8"/>
  <c r="T13" i="8"/>
  <c r="Z38" i="7"/>
  <c r="Z39" i="7" s="1"/>
  <c r="AA52" i="7"/>
  <c r="AA46" i="7" s="1"/>
  <c r="AA47" i="7" s="1"/>
  <c r="T20" i="8" l="1"/>
  <c r="T26" i="8" s="1"/>
  <c r="AA68" i="7"/>
  <c r="AA37" i="7" s="1"/>
  <c r="AA54" i="7"/>
  <c r="AA55" i="7" s="1"/>
  <c r="AB51" i="7" s="1"/>
  <c r="AB52" i="7" s="1"/>
  <c r="AB46" i="7" s="1"/>
  <c r="AB47" i="7" s="1"/>
  <c r="T21" i="8" l="1"/>
  <c r="T27" i="8"/>
  <c r="T28" i="8"/>
  <c r="U20" i="8"/>
  <c r="AA38" i="7"/>
  <c r="AA39" i="7" s="1"/>
  <c r="AB68" i="7"/>
  <c r="AB37" i="7" s="1"/>
  <c r="AB54" i="7"/>
  <c r="AB55" i="7" s="1"/>
  <c r="AC51" i="7" s="1"/>
  <c r="U13" i="8" l="1"/>
  <c r="V13" i="8"/>
  <c r="AB38" i="7"/>
  <c r="AB39" i="7" s="1"/>
  <c r="AC52" i="7"/>
  <c r="AC46" i="7" s="1"/>
  <c r="AC47" i="7" s="1"/>
  <c r="U27" i="8"/>
  <c r="U28" i="8"/>
  <c r="U21" i="8"/>
  <c r="U26" i="8"/>
  <c r="V20" i="8" l="1"/>
  <c r="V28" i="8" s="1"/>
  <c r="AC68" i="7"/>
  <c r="AC37" i="7" s="1"/>
  <c r="AC54" i="7"/>
  <c r="AC55" i="7" s="1"/>
  <c r="AD51" i="7" s="1"/>
  <c r="V27" i="8" l="1"/>
  <c r="V21" i="8"/>
  <c r="V26" i="8"/>
  <c r="AC38" i="7"/>
  <c r="AC39" i="7" s="1"/>
  <c r="W20" i="8"/>
  <c r="AD52" i="7"/>
  <c r="AD46" i="7" s="1"/>
  <c r="AD47" i="7" s="1"/>
  <c r="AD68" i="7" l="1"/>
  <c r="AD37" i="7" s="1"/>
  <c r="W13" i="8"/>
  <c r="W27" i="8"/>
  <c r="W28" i="8"/>
  <c r="W26" i="8"/>
  <c r="W21" i="8"/>
  <c r="AD54" i="7"/>
  <c r="AD55" i="7" s="1"/>
  <c r="X13" i="8" l="1"/>
  <c r="AD38" i="7"/>
  <c r="AD39" i="7" s="1"/>
  <c r="X20" i="8" l="1"/>
  <c r="X26" i="8" s="1"/>
  <c r="C49" i="8" s="1"/>
  <c r="X28" i="8" l="1"/>
  <c r="C51" i="8" s="1"/>
  <c r="X27" i="8"/>
  <c r="X21" i="8"/>
  <c r="C50" i="8" l="1"/>
  <c r="A54" i="8" s="1"/>
  <c r="A58" i="8" s="1"/>
</calcChain>
</file>

<file path=xl/sharedStrings.xml><?xml version="1.0" encoding="utf-8"?>
<sst xmlns="http://schemas.openxmlformats.org/spreadsheetml/2006/main" count="444" uniqueCount="298">
  <si>
    <t>No. of Days</t>
  </si>
  <si>
    <t>Year End</t>
  </si>
  <si>
    <t>Computers</t>
  </si>
  <si>
    <t>Previous Data</t>
  </si>
  <si>
    <t>Description of Asset</t>
  </si>
  <si>
    <t>Land-Freehold</t>
  </si>
  <si>
    <t>Buildings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</si>
  <si>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</si>
  <si>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</si>
  <si>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</si>
  <si>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</si>
  <si>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</si>
  <si>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</si>
  <si>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</si>
  <si>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</si>
  <si>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</si>
  <si>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</si>
  <si>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</si>
  <si>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</si>
  <si>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</si>
  <si>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</si>
  <si>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</si>
  <si>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</si>
  <si>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</si>
  <si>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</si>
  <si>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</si>
  <si>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</si>
  <si>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</si>
  <si>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</si>
  <si>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</si>
  <si>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</si>
  <si>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</si>
  <si>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</si>
  <si>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</si>
  <si>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</si>
  <si>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</si>
  <si>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</si>
  <si>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</si>
  <si>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</si>
  <si>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</si>
  <si>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</si>
  <si>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</si>
  <si>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</si>
  <si>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</si>
  <si>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</si>
  <si>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</si>
  <si>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</si>
  <si>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</si>
  <si>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</si>
  <si>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</si>
  <si>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</si>
  <si>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</si>
  <si>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</si>
  <si>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</si>
  <si>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</si>
  <si>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</si>
  <si>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</si>
  <si>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</si>
  <si>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</si>
  <si>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</si>
  <si>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</si>
  <si>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</si>
  <si>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</si>
  <si>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</si>
  <si>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</si>
  <si>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</si>
  <si>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</si>
  <si>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</si>
  <si>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</si>
  <si>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</si>
  <si>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</si>
  <si>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</si>
  <si>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</si>
  <si>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</si>
  <si>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</si>
  <si>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</si>
  <si>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</si>
  <si>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</si>
  <si>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</si>
  <si>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</si>
  <si>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</si>
  <si>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</si>
  <si>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</si>
  <si>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</si>
  <si>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</si>
  <si>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</si>
  <si>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</si>
  <si>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</si>
  <si>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</si>
  <si>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</si>
  <si>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</si>
  <si>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</si>
  <si>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</si>
  <si>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</si>
  <si>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</si>
  <si>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</si>
  <si>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</si>
  <si>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</si>
  <si>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</si>
  <si>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</si>
  <si>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</si>
  <si>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</si>
  <si>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</si>
  <si>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</si>
  <si>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</si>
  <si>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Debt Related Asumptions</t>
  </si>
  <si>
    <t>Total Interest payment</t>
  </si>
  <si>
    <t>₹/ Kwh</t>
  </si>
  <si>
    <t>Auxiliary Consumption</t>
  </si>
  <si>
    <t>Cumulative Growth Rate</t>
  </si>
  <si>
    <t>Tariff Escalation Rate for PPA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</si>
  <si>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</si>
  <si>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</si>
  <si>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</si>
  <si>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</si>
  <si>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</si>
  <si>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</si>
  <si>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</si>
  <si>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</si>
  <si>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</si>
  <si>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</si>
  <si>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</si>
  <si>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</si>
  <si>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</si>
  <si>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</si>
  <si>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</si>
  <si>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</si>
  <si>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</si>
  <si>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Important Dates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</si>
  <si>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</si>
  <si>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</si>
  <si>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</si>
  <si>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</si>
  <si>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</si>
  <si>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</si>
  <si>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</si>
  <si>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Days</t>
  </si>
  <si>
    <t>Other Income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</si>
  <si>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</si>
  <si>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</si>
  <si>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</si>
  <si>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</si>
  <si>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</si>
  <si>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</si>
  <si>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</si>
  <si>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</si>
  <si>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Profit on Sale of Land</t>
  </si>
  <si>
    <t>Total Income</t>
  </si>
  <si>
    <t>Expenses:</t>
  </si>
  <si>
    <t>Operation and Maintenance Expenses</t>
  </si>
  <si>
    <t>Employee Benefit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</si>
  <si>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</si>
  <si>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</si>
  <si>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</si>
  <si>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</si>
  <si>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</si>
  <si>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</si>
  <si>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</si>
  <si>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</si>
  <si>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</si>
  <si>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Carry Forward Losses</t>
  </si>
  <si>
    <t>Carry Forward Losses (CFL)</t>
  </si>
  <si>
    <t>Taxable Income Pre CFL</t>
  </si>
  <si>
    <t>CFL Used</t>
  </si>
  <si>
    <t>Taxable Income Post CFL</t>
  </si>
  <si>
    <t>Carry Forward Loss Balance</t>
  </si>
  <si>
    <t>Opening CFL Balance</t>
  </si>
  <si>
    <t>Less: Losses Used</t>
  </si>
  <si>
    <t>Plus: Losses Added</t>
  </si>
  <si>
    <t>Less: Losses Expired</t>
  </si>
  <si>
    <t>Closing CFL Balance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</si>
  <si>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</si>
  <si>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</si>
  <si>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</si>
  <si>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</si>
  <si>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</si>
  <si>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</si>
  <si>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</si>
  <si>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</si>
  <si>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>Normal Tax</t>
  </si>
  <si>
    <t xml:space="preserve">Operating Summary </t>
  </si>
  <si>
    <t>Proj</t>
  </si>
  <si>
    <t>Total Revenue</t>
  </si>
  <si>
    <t>% Growth</t>
  </si>
  <si>
    <t>EBITDA</t>
  </si>
  <si>
    <t>% Sales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</si>
  <si>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</si>
  <si>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</si>
  <si>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</si>
  <si>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</si>
  <si>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</si>
  <si>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</si>
  <si>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</si>
  <si>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</si>
  <si>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PV of Cash Flows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</si>
  <si>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</si>
  <si>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</si>
  <si>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</si>
  <si>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</si>
  <si>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</si>
  <si>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</si>
  <si>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</si>
  <si>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</si>
  <si>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</si>
  <si>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</si>
  <si>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</si>
  <si>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</si>
  <si>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</si>
  <si>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</si>
  <si>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</si>
  <si>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</si>
  <si>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</si>
  <si>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</si>
  <si>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</si>
  <si>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</si>
  <si>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</si>
  <si>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</si>
  <si>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</si>
  <si>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Estimated Tariff for future Years</t>
  </si>
  <si>
    <t>O&amp;M Cost as per MERC Order</t>
  </si>
  <si>
    <t>O&amp;M Cost per MW</t>
  </si>
  <si>
    <t>Average O&amp;M Cost between FY 2018 To FY 2019</t>
  </si>
  <si>
    <t>Wind Power tariff Rate upto 31-03-2027 as per PPA</t>
  </si>
  <si>
    <t>Wind Power tariff Rate after 31-03-2027 till 31.03.2030</t>
  </si>
  <si>
    <t>Wind Power tariff Rate after 31.03.2030</t>
  </si>
  <si>
    <t>Generation Based Incentive based on Net Generation upto 31.03.2024</t>
  </si>
  <si>
    <t>Interest</t>
  </si>
  <si>
    <t>O/S Amount</t>
  </si>
  <si>
    <t>On Term Loan</t>
  </si>
  <si>
    <t>For Term Loan</t>
  </si>
  <si>
    <t>Long-term Debt</t>
  </si>
  <si>
    <t>Interest Due</t>
  </si>
  <si>
    <t>Intangible Asset- Concession Agreement</t>
  </si>
  <si>
    <t>From Sale of Power</t>
  </si>
  <si>
    <t>From GBI</t>
  </si>
  <si>
    <t>Revenue from Operation:</t>
  </si>
  <si>
    <t>Other Income:</t>
  </si>
  <si>
    <t>Incentive Receivables</t>
  </si>
  <si>
    <t>Dividend Income</t>
  </si>
  <si>
    <t>Outstanding Investment in Mutual Fund</t>
  </si>
  <si>
    <t>% of Dividend Income</t>
  </si>
  <si>
    <t>Average Oustanding Balance of Investment for Future Years</t>
  </si>
  <si>
    <t>% of Dividend Income for future years</t>
  </si>
  <si>
    <t>Total O&amp;M Cost</t>
  </si>
  <si>
    <t>Average Employee Benefit expenses</t>
  </si>
  <si>
    <t>Average Other expenses</t>
  </si>
  <si>
    <t>Escalation Rate for Employee Benefit &amp; Other Expenses</t>
  </si>
  <si>
    <t>Of the above O/S Dues portion to be paid upto 31.03.2030</t>
  </si>
  <si>
    <t>Of the above O/S Dues portion to be paid on 31.03.2031</t>
  </si>
  <si>
    <t>Interest  Receivales</t>
  </si>
  <si>
    <t>Capital Creditors</t>
  </si>
  <si>
    <t>2012-13</t>
  </si>
  <si>
    <t>2013-14</t>
  </si>
  <si>
    <t>2014-15</t>
  </si>
  <si>
    <t>2015-16</t>
  </si>
  <si>
    <t>2016-17</t>
  </si>
  <si>
    <t>2017-18</t>
  </si>
  <si>
    <t>2018-19</t>
  </si>
  <si>
    <t>Cash &amp; Cash Equivalents</t>
  </si>
  <si>
    <t>Investment in Marketable Securities</t>
  </si>
  <si>
    <t>on page no 6 of PPA</t>
  </si>
  <si>
    <t>Page no 12 of PPA</t>
  </si>
  <si>
    <t>Page no 19 of PPA</t>
  </si>
  <si>
    <t>on page no 6 of MERC order</t>
  </si>
  <si>
    <t>2019-20</t>
  </si>
  <si>
    <t>2020-21</t>
  </si>
  <si>
    <t>2021-22</t>
  </si>
  <si>
    <t>given in Financial statement page no 22</t>
  </si>
  <si>
    <t>Page no. 18 of MERC Order</t>
  </si>
  <si>
    <t>D_P_O (Days payable outstanding )</t>
  </si>
  <si>
    <t>D_S_O (Days sales outstanding)</t>
  </si>
  <si>
    <t>Long term debt + Short Term Debt + Other financial liabilities</t>
  </si>
  <si>
    <t>Revenue from OperationsFY22</t>
  </si>
  <si>
    <t>Indowind Energy Share Price, Indowind Energy Stock Price, Indowind Energy Ltd. Stock Price, Share Price, Live BSE/NSE, Indowind Energy Ltd. Bids Offers. Buy/Sell Indowind Energy Ltd. news &amp; tips, &amp; F&amp;O Quotes, NSE/BSE Forecast News and Live Quotes (moneycontrol.com)</t>
  </si>
  <si>
    <t>Inox Wind Balance Sheet, Inox Wind Financial Statement &amp; Accounts (moneycontrol.com)</t>
  </si>
  <si>
    <t>please check once</t>
  </si>
  <si>
    <t>Orient Green Share Price, Orient Green Stock Price, Orient Green Power Company Ltd. Stock Price, Share Price, Live BSE/NSE, Orient Green Power Company Ltd. Bids Offers. Buy/Sell Orient Green Power Company Ltd. news &amp; tips, &amp; F&amp;O Quotes, NSE/BSE Forecast News and Live Quotes (moneycontrol.com)</t>
  </si>
  <si>
    <t>https://in.investing.com/rates-bonds/india-10-year-bond-yield-historical-data</t>
  </si>
  <si>
    <t>Risk Free Rate (Rf)</t>
  </si>
  <si>
    <t>https://kunaldesai.blog/nifty-returns/</t>
  </si>
  <si>
    <t>Expected Market Return (Rm) Nifty Fifty 5-year return 2022</t>
  </si>
  <si>
    <t>Beta (B)</t>
  </si>
  <si>
    <t>Cost of Equity (Ke)</t>
  </si>
  <si>
    <t>2022-23</t>
  </si>
  <si>
    <t>Indowind Energy Share Price Today (27 Apr, 2023) - Indowind Energy Share Price Live NSE/BSE (indiatimes.com)</t>
  </si>
  <si>
    <t>https://economictimes.indiatimes.com/inox-wind-ltd/stocks/companyid-32069.cms</t>
  </si>
  <si>
    <t>Orient Green Pwr Share Price Today (27 Apr, 2023) - Orient Green Pwr Share Price Live NSE/BSE (indiatimes.com)</t>
  </si>
  <si>
    <t>(1- Taxes Rates)</t>
  </si>
  <si>
    <t xml:space="preserve">         </t>
  </si>
  <si>
    <r>
      <t xml:space="preserve"> </t>
    </r>
    <r>
      <rPr>
        <b/>
        <i/>
        <sz val="9"/>
        <color theme="1"/>
        <rFont val="Arial"/>
        <family val="2"/>
      </rPr>
      <t>(₹ in Crores)</t>
    </r>
  </si>
  <si>
    <t>Total Expense</t>
  </si>
  <si>
    <t>Finance costs</t>
  </si>
  <si>
    <t>Tax expense</t>
  </si>
  <si>
    <t>Historical</t>
  </si>
  <si>
    <t xml:space="preserve">Depreciation and amortization expense and </t>
  </si>
  <si>
    <t>Expected Market Return (Rm) Nifty Fifty 20-year return 2022</t>
  </si>
  <si>
    <t>As per CERRC</t>
  </si>
  <si>
    <t>Company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</si>
</sst>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_(* #,##0_);_(* \(#,##0\);_(* &quot;-&quot;_);_(@_)"/>
    <numFmt numFmtId="167" formatCode="_(* #,##0.00_);_(* \(#,##0.00\);_(* &quot;-&quot;_);_(@_)"/>
    <numFmt numFmtId="168" formatCode="0.000000%"/>
    <numFmt numFmtId="169" formatCode="&quot;Remaining Life on &quot;\ dd/mm/yyyy"/>
    <numFmt numFmtId="170" formatCode="0.0%"/>
    <numFmt numFmtId="171" formatCode="0.0"/>
    <numFmt numFmtId="172" formatCode="0.00000"/>
    <numFmt numFmtId="173" formatCode="0.0000"/>
    <numFmt numFmtId="174" formatCode="_(* #,##0.000000000_);_(* \(#,##0.000000000\);_(* &quot;-&quot;??_);_(@_)"/>
    <numFmt numFmtId="175" formatCode="&quot;Less than &quot;0"/>
    <numFmt numFmtId="176" formatCode="&quot;Less than 1 and more than &quot;0"/>
    <numFmt numFmtId="177" formatCode="&quot;More than &quot;0"/>
    <numFmt numFmtId="178" formatCode="_(* #,##0.0_);_(* \(#,##0.0\);_(* &quot;-&quot;??_);_(@_)"/>
    <numFmt numFmtId="179" formatCode="mmm\ yyyy"/>
    <numFmt numFmtId="180" formatCode="[$-409]mmm\-yy;@"/>
    <numFmt numFmtId="181" formatCode="[$-409]d\-mmm\-yy;@"/>
    <numFmt numFmtId="182" formatCode="&quot;₹&quot;\ 0.00&quot; Crores&quot;"/>
    <numFmt numFmtId="183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6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4" fillId="0" borderId="0" xfId="0" applyFont="1"/>
    <xf numFmtId="0" fontId="5" fillId="3" borderId="0" xfId="0" applyFont="1" applyFill="1"/>
    <xf numFmtId="0" fontId="6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vertical="top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165" fontId="7" fillId="0" borderId="0" xfId="2" applyFont="1"/>
    <xf numFmtId="0" fontId="4" fillId="0" borderId="1" xfId="0" applyFont="1" applyBorder="1" applyAlignment="1">
      <alignment horizontal="right"/>
    </xf>
    <xf numFmtId="10" fontId="4" fillId="0" borderId="0" xfId="1" applyNumberFormat="1" applyFont="1"/>
    <xf numFmtId="2" fontId="4" fillId="0" borderId="0" xfId="0" applyNumberFormat="1" applyFont="1"/>
    <xf numFmtId="0" fontId="6" fillId="0" borderId="0" xfId="0" applyFont="1"/>
    <xf numFmtId="166" fontId="4" fillId="0" borderId="0" xfId="0" applyNumberFormat="1" applyFont="1"/>
    <xf numFmtId="10" fontId="4" fillId="0" borderId="5" xfId="1" applyNumberFormat="1" applyFont="1" applyBorder="1"/>
    <xf numFmtId="10" fontId="4" fillId="0" borderId="0" xfId="0" applyNumberFormat="1" applyFont="1"/>
    <xf numFmtId="168" fontId="4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4" fontId="6" fillId="4" borderId="6" xfId="2" applyNumberFormat="1" applyFont="1" applyFill="1" applyBorder="1"/>
    <xf numFmtId="10" fontId="4" fillId="0" borderId="0" xfId="1" applyNumberFormat="1" applyFont="1" applyFill="1"/>
    <xf numFmtId="0" fontId="4" fillId="0" borderId="0" xfId="0" applyFont="1" applyAlignment="1">
      <alignment wrapText="1"/>
    </xf>
    <xf numFmtId="169" fontId="4" fillId="0" borderId="0" xfId="0" applyNumberFormat="1" applyFont="1"/>
    <xf numFmtId="9" fontId="4" fillId="0" borderId="5" xfId="1" applyFont="1" applyBorder="1"/>
    <xf numFmtId="0" fontId="8" fillId="0" borderId="0" xfId="0" applyFont="1"/>
    <xf numFmtId="15" fontId="5" fillId="2" borderId="1" xfId="0" applyNumberFormat="1" applyFont="1" applyFill="1" applyBorder="1"/>
    <xf numFmtId="2" fontId="6" fillId="0" borderId="0" xfId="0" applyNumberFormat="1" applyFont="1"/>
    <xf numFmtId="2" fontId="4" fillId="0" borderId="5" xfId="0" applyNumberFormat="1" applyFont="1" applyBorder="1"/>
    <xf numFmtId="2" fontId="6" fillId="4" borderId="6" xfId="2" applyNumberFormat="1" applyFont="1" applyFill="1" applyBorder="1"/>
    <xf numFmtId="0" fontId="5" fillId="2" borderId="0" xfId="0" applyFont="1" applyFill="1"/>
    <xf numFmtId="0" fontId="6" fillId="4" borderId="1" xfId="0" applyFont="1" applyFill="1" applyBorder="1"/>
    <xf numFmtId="0" fontId="4" fillId="5" borderId="0" xfId="0" applyFont="1" applyFill="1"/>
    <xf numFmtId="0" fontId="0" fillId="5" borderId="0" xfId="0" applyFill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7" fillId="5" borderId="0" xfId="2" applyFont="1" applyFill="1"/>
    <xf numFmtId="10" fontId="4" fillId="5" borderId="0" xfId="1" applyNumberFormat="1" applyFont="1" applyFill="1"/>
    <xf numFmtId="2" fontId="4" fillId="5" borderId="0" xfId="0" applyNumberFormat="1" applyFont="1" applyFill="1"/>
    <xf numFmtId="2" fontId="6" fillId="5" borderId="0" xfId="0" applyNumberFormat="1" applyFont="1" applyFill="1"/>
    <xf numFmtId="2" fontId="4" fillId="5" borderId="5" xfId="0" applyNumberFormat="1" applyFont="1" applyFill="1" applyBorder="1"/>
    <xf numFmtId="2" fontId="6" fillId="5" borderId="6" xfId="2" applyNumberFormat="1" applyFont="1" applyFill="1" applyBorder="1"/>
    <xf numFmtId="10" fontId="4" fillId="5" borderId="5" xfId="1" applyNumberFormat="1" applyFont="1" applyFill="1" applyBorder="1"/>
    <xf numFmtId="4" fontId="6" fillId="5" borderId="0" xfId="0" applyNumberFormat="1" applyFont="1" applyFill="1"/>
    <xf numFmtId="4" fontId="4" fillId="5" borderId="0" xfId="0" applyNumberFormat="1" applyFont="1" applyFill="1"/>
    <xf numFmtId="4" fontId="6" fillId="5" borderId="6" xfId="2" applyNumberFormat="1" applyFont="1" applyFill="1" applyBorder="1"/>
    <xf numFmtId="9" fontId="4" fillId="5" borderId="5" xfId="1" applyFont="1" applyFill="1" applyBorder="1"/>
    <xf numFmtId="167" fontId="4" fillId="5" borderId="1" xfId="0" applyNumberFormat="1" applyFont="1" applyFill="1" applyBorder="1"/>
    <xf numFmtId="15" fontId="9" fillId="5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170" fontId="6" fillId="4" borderId="1" xfId="0" applyNumberFormat="1" applyFont="1" applyFill="1" applyBorder="1"/>
    <xf numFmtId="2" fontId="6" fillId="4" borderId="1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3" fillId="0" borderId="1" xfId="0" applyFont="1" applyBorder="1"/>
    <xf numFmtId="49" fontId="9" fillId="4" borderId="1" xfId="3" applyNumberFormat="1" applyFont="1" applyFill="1" applyBorder="1"/>
    <xf numFmtId="171" fontId="9" fillId="4" borderId="1" xfId="3" applyNumberFormat="1" applyFont="1" applyFill="1" applyBorder="1"/>
    <xf numFmtId="49" fontId="7" fillId="0" borderId="1" xfId="3" applyNumberFormat="1" applyFont="1" applyBorder="1"/>
    <xf numFmtId="172" fontId="7" fillId="0" borderId="1" xfId="3" applyNumberFormat="1" applyFont="1" applyBorder="1"/>
    <xf numFmtId="171" fontId="7" fillId="0" borderId="1" xfId="3" applyNumberFormat="1" applyFont="1" applyBorder="1"/>
    <xf numFmtId="10" fontId="4" fillId="0" borderId="1" xfId="4" applyNumberFormat="1" applyFont="1" applyBorder="1"/>
    <xf numFmtId="0" fontId="4" fillId="4" borderId="1" xfId="0" applyFont="1" applyFill="1" applyBorder="1"/>
    <xf numFmtId="10" fontId="4" fillId="4" borderId="1" xfId="4" applyNumberFormat="1" applyFont="1" applyFill="1" applyBorder="1" applyAlignment="1"/>
    <xf numFmtId="172" fontId="7" fillId="4" borderId="1" xfId="3" applyNumberFormat="1" applyFont="1" applyFill="1" applyBorder="1"/>
    <xf numFmtId="171" fontId="7" fillId="4" borderId="1" xfId="3" applyNumberFormat="1" applyFont="1" applyFill="1" applyBorder="1"/>
    <xf numFmtId="10" fontId="6" fillId="4" borderId="1" xfId="4" applyNumberFormat="1" applyFont="1" applyFill="1" applyBorder="1" applyAlignment="1"/>
    <xf numFmtId="0" fontId="4" fillId="0" borderId="1" xfId="0" applyFont="1" applyBorder="1" applyAlignment="1">
      <alignment horizontal="center" vertical="center"/>
    </xf>
    <xf numFmtId="173" fontId="4" fillId="4" borderId="1" xfId="0" applyNumberFormat="1" applyFont="1" applyFill="1" applyBorder="1"/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vertical="center"/>
    </xf>
    <xf numFmtId="165" fontId="11" fillId="0" borderId="1" xfId="6" applyFont="1" applyBorder="1" applyAlignment="1">
      <alignment vertical="center"/>
    </xf>
    <xf numFmtId="10" fontId="11" fillId="0" borderId="1" xfId="6" applyNumberFormat="1" applyFont="1" applyBorder="1" applyAlignment="1">
      <alignment vertical="center"/>
    </xf>
    <xf numFmtId="174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4" fillId="4" borderId="1" xfId="0" applyFont="1" applyFill="1" applyBorder="1"/>
    <xf numFmtId="10" fontId="14" fillId="4" borderId="1" xfId="0" applyNumberFormat="1" applyFont="1" applyFill="1" applyBorder="1"/>
    <xf numFmtId="165" fontId="14" fillId="4" borderId="1" xfId="0" applyNumberFormat="1" applyFont="1" applyFill="1" applyBorder="1"/>
    <xf numFmtId="165" fontId="11" fillId="0" borderId="0" xfId="0" applyNumberFormat="1" applyFont="1"/>
    <xf numFmtId="10" fontId="11" fillId="0" borderId="0" xfId="0" applyNumberFormat="1" applyFont="1"/>
    <xf numFmtId="0" fontId="15" fillId="4" borderId="0" xfId="0" applyFont="1" applyFill="1"/>
    <xf numFmtId="0" fontId="16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3" fontId="16" fillId="0" borderId="0" xfId="0" applyNumberFormat="1" applyFont="1"/>
    <xf numFmtId="0" fontId="18" fillId="2" borderId="0" xfId="0" applyFont="1" applyFill="1"/>
    <xf numFmtId="10" fontId="18" fillId="2" borderId="0" xfId="0" applyNumberFormat="1" applyFont="1" applyFill="1"/>
    <xf numFmtId="2" fontId="11" fillId="0" borderId="1" xfId="6" applyNumberFormat="1" applyFont="1" applyBorder="1" applyAlignment="1">
      <alignment vertical="center"/>
    </xf>
    <xf numFmtId="2" fontId="14" fillId="4" borderId="1" xfId="0" applyNumberFormat="1" applyFont="1" applyFill="1" applyBorder="1"/>
    <xf numFmtId="0" fontId="13" fillId="0" borderId="0" xfId="0" applyFont="1"/>
    <xf numFmtId="9" fontId="11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5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/>
    <xf numFmtId="0" fontId="0" fillId="0" borderId="4" xfId="0" applyBorder="1" applyAlignment="1">
      <alignment horizontal="center"/>
    </xf>
    <xf numFmtId="10" fontId="0" fillId="0" borderId="4" xfId="0" applyNumberFormat="1" applyBorder="1"/>
    <xf numFmtId="10" fontId="6" fillId="4" borderId="1" xfId="0" applyNumberFormat="1" applyFont="1" applyFill="1" applyBorder="1"/>
    <xf numFmtId="0" fontId="11" fillId="0" borderId="1" xfId="0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43" fontId="11" fillId="0" borderId="0" xfId="0" applyNumberFormat="1" applyFont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167" fontId="7" fillId="0" borderId="1" xfId="0" applyNumberFormat="1" applyFont="1" applyBorder="1" applyAlignment="1">
      <alignment vertical="center"/>
    </xf>
    <xf numFmtId="9" fontId="4" fillId="0" borderId="1" xfId="0" applyNumberFormat="1" applyFont="1" applyBorder="1"/>
    <xf numFmtId="175" fontId="4" fillId="0" borderId="1" xfId="0" applyNumberFormat="1" applyFont="1" applyBorder="1"/>
    <xf numFmtId="9" fontId="4" fillId="0" borderId="0" xfId="0" applyNumberFormat="1" applyFont="1"/>
    <xf numFmtId="10" fontId="4" fillId="0" borderId="1" xfId="1" applyNumberFormat="1" applyFont="1" applyBorder="1"/>
    <xf numFmtId="176" fontId="4" fillId="0" borderId="1" xfId="0" applyNumberFormat="1" applyFont="1" applyBorder="1"/>
    <xf numFmtId="177" fontId="4" fillId="0" borderId="1" xfId="0" applyNumberFormat="1" applyFont="1" applyBorder="1"/>
    <xf numFmtId="178" fontId="4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19" fillId="0" borderId="1" xfId="0" applyFont="1" applyBorder="1" applyAlignment="1">
      <alignment horizontal="right"/>
    </xf>
    <xf numFmtId="10" fontId="19" fillId="0" borderId="1" xfId="0" applyNumberFormat="1" applyFont="1" applyBorder="1"/>
    <xf numFmtId="43" fontId="3" fillId="4" borderId="1" xfId="0" applyNumberFormat="1" applyFont="1" applyFill="1" applyBorder="1"/>
    <xf numFmtId="4" fontId="6" fillId="0" borderId="1" xfId="0" applyNumberFormat="1" applyFont="1" applyBorder="1"/>
    <xf numFmtId="9" fontId="8" fillId="0" borderId="1" xfId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left"/>
    </xf>
    <xf numFmtId="15" fontId="6" fillId="4" borderId="1" xfId="0" applyNumberFormat="1" applyFont="1" applyFill="1" applyBorder="1" applyAlignment="1">
      <alignment horizontal="center" vertical="center" wrapText="1"/>
    </xf>
    <xf numFmtId="15" fontId="6" fillId="4" borderId="8" xfId="0" applyNumberFormat="1" applyFont="1" applyFill="1" applyBorder="1" applyAlignment="1">
      <alignment vertical="center"/>
    </xf>
    <xf numFmtId="15" fontId="6" fillId="4" borderId="6" xfId="0" applyNumberFormat="1" applyFont="1" applyFill="1" applyBorder="1" applyAlignment="1">
      <alignment vertical="center" wrapText="1"/>
    </xf>
    <xf numFmtId="15" fontId="6" fillId="4" borderId="7" xfId="0" applyNumberFormat="1" applyFont="1" applyFill="1" applyBorder="1" applyAlignment="1">
      <alignment vertical="center" wrapText="1"/>
    </xf>
    <xf numFmtId="10" fontId="4" fillId="0" borderId="1" xfId="0" applyNumberFormat="1" applyFont="1" applyBorder="1"/>
    <xf numFmtId="181" fontId="6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65" fontId="4" fillId="0" borderId="0" xfId="0" applyNumberFormat="1" applyFont="1"/>
    <xf numFmtId="9" fontId="9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5" fontId="6" fillId="0" borderId="1" xfId="2" applyFont="1" applyBorder="1"/>
    <xf numFmtId="10" fontId="6" fillId="0" borderId="1" xfId="1" applyNumberFormat="1" applyFont="1" applyBorder="1"/>
    <xf numFmtId="10" fontId="6" fillId="0" borderId="1" xfId="0" applyNumberFormat="1" applyFont="1" applyBorder="1"/>
    <xf numFmtId="165" fontId="6" fillId="4" borderId="1" xfId="2" applyFont="1" applyFill="1" applyBorder="1"/>
    <xf numFmtId="10" fontId="6" fillId="4" borderId="1" xfId="1" applyNumberFormat="1" applyFont="1" applyFill="1" applyBorder="1"/>
    <xf numFmtId="180" fontId="5" fillId="0" borderId="0" xfId="0" applyNumberFormat="1" applyFont="1"/>
    <xf numFmtId="0" fontId="6" fillId="4" borderId="1" xfId="0" applyFont="1" applyFill="1" applyBorder="1" applyAlignment="1">
      <alignment horizontal="center" vertical="center" wrapText="1"/>
    </xf>
    <xf numFmtId="165" fontId="4" fillId="0" borderId="1" xfId="2" applyFont="1" applyBorder="1"/>
    <xf numFmtId="182" fontId="6" fillId="0" borderId="1" xfId="0" applyNumberFormat="1" applyFont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7" fillId="0" borderId="1" xfId="0" applyFont="1" applyBorder="1"/>
    <xf numFmtId="178" fontId="4" fillId="0" borderId="1" xfId="0" applyNumberFormat="1" applyFont="1" applyBorder="1"/>
    <xf numFmtId="0" fontId="9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178" fontId="6" fillId="4" borderId="1" xfId="0" applyNumberFormat="1" applyFont="1" applyFill="1" applyBorder="1"/>
    <xf numFmtId="4" fontId="6" fillId="4" borderId="1" xfId="0" applyNumberFormat="1" applyFont="1" applyFill="1" applyBorder="1"/>
    <xf numFmtId="9" fontId="8" fillId="0" borderId="0" xfId="1" applyFont="1" applyFill="1" applyBorder="1" applyAlignment="1">
      <alignment horizontal="right"/>
    </xf>
    <xf numFmtId="180" fontId="5" fillId="2" borderId="1" xfId="0" applyNumberFormat="1" applyFont="1" applyFill="1" applyBorder="1" applyAlignment="1">
      <alignment horizontal="center"/>
    </xf>
    <xf numFmtId="0" fontId="17" fillId="4" borderId="0" xfId="0" applyFont="1" applyFill="1"/>
    <xf numFmtId="0" fontId="1" fillId="2" borderId="0" xfId="0" applyFont="1" applyFill="1" applyAlignment="1">
      <alignment horizontal="center"/>
    </xf>
    <xf numFmtId="2" fontId="11" fillId="0" borderId="1" xfId="0" applyNumberFormat="1" applyFont="1" applyBorder="1"/>
    <xf numFmtId="10" fontId="4" fillId="0" borderId="5" xfId="1" applyNumberFormat="1" applyFont="1" applyFill="1" applyBorder="1"/>
    <xf numFmtId="0" fontId="0" fillId="0" borderId="1" xfId="0" applyBorder="1" applyAlignment="1">
      <alignment horizontal="left"/>
    </xf>
    <xf numFmtId="2" fontId="0" fillId="0" borderId="9" xfId="0" applyNumberFormat="1" applyBorder="1"/>
    <xf numFmtId="2" fontId="3" fillId="0" borderId="4" xfId="0" applyNumberFormat="1" applyFont="1" applyBorder="1"/>
    <xf numFmtId="0" fontId="4" fillId="4" borderId="1" xfId="0" applyFont="1" applyFill="1" applyBorder="1" applyAlignment="1">
      <alignment horizontal="center"/>
    </xf>
    <xf numFmtId="2" fontId="6" fillId="0" borderId="1" xfId="0" applyNumberFormat="1" applyFont="1" applyBorder="1"/>
    <xf numFmtId="4" fontId="0" fillId="0" borderId="0" xfId="0" applyNumberFormat="1"/>
    <xf numFmtId="4" fontId="0" fillId="0" borderId="1" xfId="0" applyNumberFormat="1" applyBorder="1"/>
    <xf numFmtId="0" fontId="4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2" fontId="3" fillId="4" borderId="4" xfId="0" applyNumberFormat="1" applyFont="1" applyFill="1" applyBorder="1"/>
    <xf numFmtId="2" fontId="3" fillId="0" borderId="0" xfId="0" applyNumberFormat="1" applyFont="1"/>
    <xf numFmtId="9" fontId="3" fillId="4" borderId="1" xfId="0" applyNumberFormat="1" applyFont="1" applyFill="1" applyBorder="1"/>
    <xf numFmtId="9" fontId="3" fillId="4" borderId="4" xfId="0" applyNumberFormat="1" applyFont="1" applyFill="1" applyBorder="1"/>
    <xf numFmtId="43" fontId="3" fillId="0" borderId="1" xfId="5" applyFont="1" applyFill="1" applyBorder="1"/>
    <xf numFmtId="14" fontId="3" fillId="4" borderId="1" xfId="0" applyNumberFormat="1" applyFont="1" applyFill="1" applyBorder="1" applyAlignment="1">
      <alignment horizontal="center"/>
    </xf>
    <xf numFmtId="183" fontId="4" fillId="0" borderId="0" xfId="0" applyNumberFormat="1" applyFont="1"/>
    <xf numFmtId="2" fontId="3" fillId="8" borderId="1" xfId="0" applyNumberFormat="1" applyFont="1" applyFill="1" applyBorder="1"/>
    <xf numFmtId="4" fontId="0" fillId="0" borderId="3" xfId="0" applyNumberFormat="1" applyBorder="1"/>
    <xf numFmtId="2" fontId="0" fillId="0" borderId="3" xfId="0" applyNumberFormat="1" applyBorder="1"/>
    <xf numFmtId="0" fontId="0" fillId="6" borderId="1" xfId="0" applyFill="1" applyBorder="1"/>
    <xf numFmtId="171" fontId="7" fillId="0" borderId="3" xfId="3" applyNumberFormat="1" applyFont="1" applyBorder="1"/>
    <xf numFmtId="2" fontId="0" fillId="0" borderId="10" xfId="0" applyNumberFormat="1" applyBorder="1"/>
    <xf numFmtId="0" fontId="22" fillId="0" borderId="0" xfId="7"/>
    <xf numFmtId="0" fontId="11" fillId="6" borderId="0" xfId="0" applyFont="1" applyFill="1"/>
    <xf numFmtId="2" fontId="0" fillId="6" borderId="1" xfId="0" applyNumberFormat="1" applyFill="1" applyBorder="1"/>
    <xf numFmtId="0" fontId="23" fillId="0" borderId="1" xfId="0" applyFont="1" applyBorder="1"/>
    <xf numFmtId="10" fontId="24" fillId="0" borderId="1" xfId="0" applyNumberFormat="1" applyFont="1" applyBorder="1"/>
    <xf numFmtId="0" fontId="22" fillId="0" borderId="0" xfId="7" applyAlignment="1">
      <alignment vertical="center"/>
    </xf>
    <xf numFmtId="0" fontId="23" fillId="0" borderId="1" xfId="0" applyFont="1" applyBorder="1" applyAlignment="1">
      <alignment vertical="center" wrapText="1"/>
    </xf>
    <xf numFmtId="170" fontId="24" fillId="0" borderId="1" xfId="0" applyNumberFormat="1" applyFont="1" applyBorder="1" applyAlignment="1">
      <alignment vertical="center"/>
    </xf>
    <xf numFmtId="2" fontId="24" fillId="0" borderId="1" xfId="0" applyNumberFormat="1" applyFont="1" applyBorder="1"/>
    <xf numFmtId="0" fontId="25" fillId="0" borderId="0" xfId="0" applyFont="1" applyAlignment="1">
      <alignment horizontal="justify" vertical="center"/>
    </xf>
    <xf numFmtId="0" fontId="27" fillId="2" borderId="11" xfId="0" applyFont="1" applyFill="1" applyBorder="1" applyAlignment="1">
      <alignment horizontal="center" vertical="center" wrapText="1"/>
    </xf>
    <xf numFmtId="17" fontId="27" fillId="2" borderId="12" xfId="0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vertical="center"/>
    </xf>
    <xf numFmtId="0" fontId="28" fillId="0" borderId="14" xfId="0" applyFont="1" applyBorder="1" applyAlignment="1">
      <alignment horizontal="right" vertical="center"/>
    </xf>
    <xf numFmtId="0" fontId="29" fillId="0" borderId="13" xfId="0" applyFont="1" applyBorder="1" applyAlignment="1">
      <alignment vertical="center"/>
    </xf>
    <xf numFmtId="0" fontId="29" fillId="9" borderId="14" xfId="0" applyFont="1" applyFill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10" fontId="30" fillId="0" borderId="14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2" fontId="29" fillId="9" borderId="14" xfId="0" applyNumberFormat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5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43" fontId="3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10" fontId="19" fillId="0" borderId="1" xfId="1" applyNumberFormat="1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9" fontId="0" fillId="6" borderId="1" xfId="0" applyNumberFormat="1" applyFill="1" applyBorder="1"/>
    <xf numFmtId="10" fontId="6" fillId="6" borderId="1" xfId="1" applyNumberFormat="1" applyFont="1" applyFill="1" applyBorder="1"/>
    <xf numFmtId="2" fontId="3" fillId="6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0" fillId="0" borderId="8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 indent="1"/>
    </xf>
  </cellXfs>
  <cellStyles count="8">
    <cellStyle name="Comma" xfId="5" builtinId="3"/>
    <cellStyle name="Comma 2" xfId="2" xr:uid="{00000000-0005-0000-0000-000001000000}"/>
    <cellStyle name="Comma 3 76" xfId="6" xr:uid="{00000000-0005-0000-0000-000002000000}"/>
    <cellStyle name="Hyperlink" xfId="7" builtinId="8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07" Type="http://schemas.openxmlformats.org/officeDocument/2006/relationships/sharedStrings" Target="sharedStrings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externalLink" Target="externalLinks/externalLink9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externalLink" Target="externalLinks/externalLink96.xml"/><Relationship Id="rId108" Type="http://schemas.openxmlformats.org/officeDocument/2006/relationships/calcChain" Target="calcChain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externalLink" Target="externalLinks/externalLink9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5.2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Share%20Valuation\PFS-%20NEVPL%20&amp;%2011%20Subsidiary\RKA%20Financial%20Models%20and%20Repors\NSL%20Phoolwadi%20Fin.%20Model%20V1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247">
          <cell r="D247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Extracted from Co. Docs"/>
      <sheetName val="RKA P&amp;L"/>
      <sheetName val="Debt Sch"/>
      <sheetName val="RKA CAPM"/>
      <sheetName val="Depreciation Schedule"/>
      <sheetName val="Summary_S1 PSA"/>
    </sheetNames>
    <sheetDataSet>
      <sheetData sheetId="0">
        <row r="57">
          <cell r="C57">
            <v>2.5000000000000001E-2</v>
          </cell>
        </row>
      </sheetData>
      <sheetData sheetId="1"/>
      <sheetData sheetId="2"/>
      <sheetData sheetId="3"/>
      <sheetData sheetId="4"/>
      <sheetData sheetId="5">
        <row r="101">
          <cell r="B101">
            <v>10</v>
          </cell>
        </row>
      </sheetData>
      <sheetData sheetId="6">
        <row r="59">
          <cell r="A59">
            <v>189.3683927115494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2">
          <cell r="M2">
            <v>365</v>
          </cell>
          <cell r="N2">
            <v>365</v>
          </cell>
          <cell r="O2">
            <v>366</v>
          </cell>
          <cell r="P2">
            <v>365</v>
          </cell>
          <cell r="Q2">
            <v>365</v>
          </cell>
          <cell r="R2">
            <v>365</v>
          </cell>
          <cell r="S2">
            <v>366</v>
          </cell>
          <cell r="T2">
            <v>365</v>
          </cell>
          <cell r="U2">
            <v>365</v>
          </cell>
          <cell r="V2">
            <v>365</v>
          </cell>
          <cell r="W2">
            <v>366</v>
          </cell>
          <cell r="X2">
            <v>365</v>
          </cell>
          <cell r="Y2">
            <v>365</v>
          </cell>
          <cell r="Z2">
            <v>365</v>
          </cell>
          <cell r="AA2">
            <v>366</v>
          </cell>
          <cell r="AB2">
            <v>365</v>
          </cell>
          <cell r="AC2">
            <v>231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conomictimes.indiatimes.com/orient-green-power-company-ltd/stocks/companyid-32349.cms" TargetMode="External"/><Relationship Id="rId3" Type="http://schemas.openxmlformats.org/officeDocument/2006/relationships/hyperlink" Target="https://www.moneycontrol.com/india/stockpricequote/power-generationdistribution/orientgreenpowercompany/OGP" TargetMode="External"/><Relationship Id="rId7" Type="http://schemas.openxmlformats.org/officeDocument/2006/relationships/hyperlink" Target="https://economictimes.indiatimes.com/indowind-energy-ltd/stocks/companyid-728.cms" TargetMode="External"/><Relationship Id="rId2" Type="http://schemas.openxmlformats.org/officeDocument/2006/relationships/hyperlink" Target="https://www.moneycontrol.com/financials/inoxwind/balance-sheetVI/IW" TargetMode="External"/><Relationship Id="rId1" Type="http://schemas.openxmlformats.org/officeDocument/2006/relationships/hyperlink" Target="https://www.moneycontrol.com/india/stockpricequote/power-generationdistribution/indowindenergy/IE08" TargetMode="External"/><Relationship Id="rId6" Type="http://schemas.openxmlformats.org/officeDocument/2006/relationships/hyperlink" Target="https://economictimes.indiatimes.com/inox-wind-ltd/stocks/companyid-32069.cms" TargetMode="External"/><Relationship Id="rId5" Type="http://schemas.openxmlformats.org/officeDocument/2006/relationships/hyperlink" Target="https://in.investing.com/rates-bonds/india-10-year-bond-yield-historical-data" TargetMode="External"/><Relationship Id="rId4" Type="http://schemas.openxmlformats.org/officeDocument/2006/relationships/hyperlink" Target="https://in.investing.com/rates-bonds/india-10-year-bond-yield-historical-data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7"/>
  <sheetViews>
    <sheetView topLeftCell="D1" workbookViewId="0">
      <pane ySplit="4" topLeftCell="A73" activePane="bottomLeft" state="frozen"/>
      <selection pane="bottomLeft" activeCell="C65" sqref="C65"/>
    </sheetView>
  </sheetViews>
  <sheetFormatPr defaultColWidth="13.28515625" defaultRowHeight="15" x14ac:dyDescent="0.25"/>
  <cols>
    <col min="1" max="1" width="59.28515625" bestFit="1" customWidth="1"/>
    <col min="2" max="2" width="23.85546875" bestFit="1" customWidth="1"/>
    <col min="3" max="3" width="10.28515625" bestFit="1" customWidth="1"/>
    <col min="4" max="4" width="13.7109375" bestFit="1" customWidth="1"/>
    <col min="5" max="5" width="7.7109375" bestFit="1" customWidth="1"/>
    <col min="6" max="30" width="13.42578125" bestFit="1" customWidth="1"/>
  </cols>
  <sheetData>
    <row r="1" spans="1:39" x14ac:dyDescent="0.25">
      <c r="A1" s="61" t="s">
        <v>51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  <c r="AC1" s="3">
        <f t="shared" ref="AC1:AC2" si="1">AB1+1</f>
        <v>24</v>
      </c>
      <c r="AD1" s="3">
        <f t="shared" ref="AD1:AD2" si="2">AC1+1</f>
        <v>25</v>
      </c>
    </row>
    <row r="2" spans="1:39" x14ac:dyDescent="0.25">
      <c r="A2" s="61" t="s">
        <v>52</v>
      </c>
      <c r="B2" s="2"/>
      <c r="C2" s="2"/>
      <c r="D2" s="2"/>
      <c r="E2" s="2"/>
      <c r="F2" s="2"/>
      <c r="G2" s="2"/>
      <c r="H2" s="3"/>
      <c r="I2" s="3"/>
      <c r="J2" s="3">
        <v>0</v>
      </c>
      <c r="K2" s="3">
        <f t="shared" si="0"/>
        <v>1</v>
      </c>
      <c r="L2" s="3">
        <f t="shared" si="0"/>
        <v>2</v>
      </c>
      <c r="M2" s="3">
        <f t="shared" si="0"/>
        <v>3</v>
      </c>
      <c r="N2" s="3">
        <f t="shared" si="0"/>
        <v>4</v>
      </c>
      <c r="O2" s="3">
        <f t="shared" si="0"/>
        <v>5</v>
      </c>
      <c r="P2" s="3">
        <f t="shared" si="0"/>
        <v>6</v>
      </c>
      <c r="Q2" s="3">
        <f t="shared" si="0"/>
        <v>7</v>
      </c>
      <c r="R2" s="3">
        <f t="shared" si="0"/>
        <v>8</v>
      </c>
      <c r="S2" s="3">
        <f t="shared" si="0"/>
        <v>9</v>
      </c>
      <c r="T2" s="3">
        <f t="shared" si="0"/>
        <v>10</v>
      </c>
      <c r="U2" s="3">
        <f t="shared" si="0"/>
        <v>11</v>
      </c>
      <c r="V2" s="3">
        <f t="shared" si="0"/>
        <v>12</v>
      </c>
      <c r="W2" s="3">
        <f t="shared" si="0"/>
        <v>13</v>
      </c>
      <c r="X2" s="3">
        <f t="shared" si="0"/>
        <v>14</v>
      </c>
      <c r="Y2" s="3">
        <f t="shared" si="0"/>
        <v>15</v>
      </c>
      <c r="Z2" s="3">
        <f t="shared" si="0"/>
        <v>16</v>
      </c>
      <c r="AA2" s="3">
        <f t="shared" si="0"/>
        <v>17</v>
      </c>
      <c r="AB2" s="3">
        <f t="shared" si="0"/>
        <v>18</v>
      </c>
      <c r="AC2" s="3">
        <f t="shared" si="1"/>
        <v>19</v>
      </c>
      <c r="AD2" s="3">
        <f t="shared" si="2"/>
        <v>20</v>
      </c>
    </row>
    <row r="3" spans="1:39" x14ac:dyDescent="0.25">
      <c r="A3" s="61" t="s">
        <v>0</v>
      </c>
      <c r="B3" s="2"/>
      <c r="C3" s="2"/>
      <c r="D3" s="2"/>
      <c r="E3" s="2"/>
      <c r="F3" s="3">
        <f>F4-C7+1</f>
        <v>365</v>
      </c>
      <c r="G3" s="3">
        <f t="shared" ref="G3:J3" si="3">G4-F4</f>
        <v>366</v>
      </c>
      <c r="H3" s="3">
        <f t="shared" si="3"/>
        <v>365</v>
      </c>
      <c r="I3" s="3">
        <f t="shared" si="3"/>
        <v>365</v>
      </c>
      <c r="J3" s="3">
        <f t="shared" si="3"/>
        <v>365</v>
      </c>
      <c r="K3" s="3">
        <f>K4-J4</f>
        <v>366</v>
      </c>
      <c r="L3" s="3">
        <f t="shared" ref="L3:W3" si="4">L4-K4</f>
        <v>365</v>
      </c>
      <c r="M3" s="3">
        <f t="shared" si="4"/>
        <v>365</v>
      </c>
      <c r="N3" s="3">
        <f t="shared" si="4"/>
        <v>365</v>
      </c>
      <c r="O3" s="3">
        <f t="shared" si="4"/>
        <v>366</v>
      </c>
      <c r="P3" s="3">
        <f t="shared" si="4"/>
        <v>365</v>
      </c>
      <c r="Q3" s="3">
        <f t="shared" si="4"/>
        <v>365</v>
      </c>
      <c r="R3" s="3">
        <f t="shared" si="4"/>
        <v>365</v>
      </c>
      <c r="S3" s="3">
        <f t="shared" si="4"/>
        <v>366</v>
      </c>
      <c r="T3" s="3">
        <f t="shared" si="4"/>
        <v>365</v>
      </c>
      <c r="U3" s="3">
        <f t="shared" si="4"/>
        <v>365</v>
      </c>
      <c r="V3" s="3">
        <f t="shared" si="4"/>
        <v>365</v>
      </c>
      <c r="W3" s="3">
        <f t="shared" si="4"/>
        <v>366</v>
      </c>
      <c r="X3" s="3">
        <f t="shared" ref="X3" si="5">X4-W4</f>
        <v>365</v>
      </c>
      <c r="Y3" s="3">
        <f t="shared" ref="Y3" si="6">Y4-X4</f>
        <v>365</v>
      </c>
      <c r="Z3" s="3">
        <f t="shared" ref="Z3" si="7">Z4-Y4</f>
        <v>365</v>
      </c>
      <c r="AA3" s="3">
        <f t="shared" ref="AA3" si="8">AA4-Z4</f>
        <v>366</v>
      </c>
      <c r="AB3" s="3">
        <f t="shared" ref="AB3" si="9">AB4-AA4</f>
        <v>365</v>
      </c>
      <c r="AC3" s="3">
        <f t="shared" ref="AC3" si="10">AC4-AB4</f>
        <v>365</v>
      </c>
      <c r="AD3" s="3">
        <f t="shared" ref="AD3" si="11">AD4-AC4</f>
        <v>365</v>
      </c>
    </row>
    <row r="4" spans="1:39" x14ac:dyDescent="0.25">
      <c r="A4" s="61" t="s">
        <v>1</v>
      </c>
      <c r="B4" s="2"/>
      <c r="C4" s="2"/>
      <c r="D4" s="2"/>
      <c r="E4" s="2"/>
      <c r="F4" s="4">
        <f>EDATE(C7,12)-1</f>
        <v>42094</v>
      </c>
      <c r="G4" s="4">
        <f t="shared" ref="G4" si="12">EDATE(F4,12)</f>
        <v>42460</v>
      </c>
      <c r="H4" s="4">
        <f>EDATE(G4,12)</f>
        <v>42825</v>
      </c>
      <c r="I4" s="4">
        <f t="shared" ref="I4:AB4" si="13">EDATE(H4,12)</f>
        <v>43190</v>
      </c>
      <c r="J4" s="4">
        <f t="shared" si="13"/>
        <v>43555</v>
      </c>
      <c r="K4" s="4">
        <f t="shared" si="13"/>
        <v>43921</v>
      </c>
      <c r="L4" s="4">
        <f t="shared" si="13"/>
        <v>44286</v>
      </c>
      <c r="M4" s="4">
        <f t="shared" si="13"/>
        <v>44651</v>
      </c>
      <c r="N4" s="4">
        <f t="shared" si="13"/>
        <v>45016</v>
      </c>
      <c r="O4" s="4">
        <f t="shared" si="13"/>
        <v>45382</v>
      </c>
      <c r="P4" s="4">
        <f t="shared" si="13"/>
        <v>45747</v>
      </c>
      <c r="Q4" s="4">
        <f t="shared" si="13"/>
        <v>46112</v>
      </c>
      <c r="R4" s="4">
        <f t="shared" si="13"/>
        <v>46477</v>
      </c>
      <c r="S4" s="4">
        <f t="shared" si="13"/>
        <v>46843</v>
      </c>
      <c r="T4" s="4">
        <f t="shared" si="13"/>
        <v>47208</v>
      </c>
      <c r="U4" s="4">
        <f t="shared" si="13"/>
        <v>47573</v>
      </c>
      <c r="V4" s="4">
        <f t="shared" si="13"/>
        <v>47938</v>
      </c>
      <c r="W4" s="4">
        <f t="shared" si="13"/>
        <v>48304</v>
      </c>
      <c r="X4" s="4">
        <f t="shared" si="13"/>
        <v>48669</v>
      </c>
      <c r="Y4" s="4">
        <f t="shared" si="13"/>
        <v>49034</v>
      </c>
      <c r="Z4" s="4">
        <f t="shared" si="13"/>
        <v>49399</v>
      </c>
      <c r="AA4" s="4">
        <f t="shared" si="13"/>
        <v>49765</v>
      </c>
      <c r="AB4" s="4">
        <f t="shared" si="13"/>
        <v>50130</v>
      </c>
      <c r="AC4" s="4">
        <f t="shared" ref="AC4" si="14">EDATE(AB4,12)</f>
        <v>50495</v>
      </c>
      <c r="AD4" s="4">
        <f t="shared" ref="AD4" si="15">EDATE(AC4,12)</f>
        <v>50860</v>
      </c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28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20" t="s">
        <v>128</v>
      </c>
    </row>
    <row r="7" spans="1:39" x14ac:dyDescent="0.25">
      <c r="A7" s="2" t="s">
        <v>111</v>
      </c>
      <c r="B7" s="2"/>
      <c r="C7" s="108">
        <v>41730</v>
      </c>
      <c r="D7" t="s">
        <v>260</v>
      </c>
    </row>
    <row r="8" spans="1:39" x14ac:dyDescent="0.25">
      <c r="A8" s="2" t="s">
        <v>112</v>
      </c>
      <c r="B8" s="3" t="s">
        <v>113</v>
      </c>
      <c r="C8" s="2">
        <v>25</v>
      </c>
      <c r="D8" t="s">
        <v>263</v>
      </c>
    </row>
    <row r="9" spans="1:39" x14ac:dyDescent="0.25">
      <c r="A9" s="2" t="s">
        <v>114</v>
      </c>
      <c r="B9" s="2"/>
      <c r="C9" s="108">
        <f>EDATE(C7,(12*C8))-1</f>
        <v>50860</v>
      </c>
    </row>
    <row r="10" spans="1:39" x14ac:dyDescent="0.25">
      <c r="A10" s="2" t="s">
        <v>120</v>
      </c>
      <c r="B10" s="2"/>
      <c r="C10" s="108">
        <f>DATE(IF(MONTH(C9)&gt;3,YEAR(C9+1),YEAR(C9)),3,31)</f>
        <v>50860</v>
      </c>
    </row>
    <row r="11" spans="1:39" x14ac:dyDescent="0.25">
      <c r="A11" s="2" t="s">
        <v>115</v>
      </c>
      <c r="B11" s="2"/>
      <c r="C11" s="108">
        <f>C7</f>
        <v>41730</v>
      </c>
    </row>
    <row r="12" spans="1:39" x14ac:dyDescent="0.25">
      <c r="A12" s="2" t="s">
        <v>116</v>
      </c>
      <c r="B12" s="3" t="s">
        <v>113</v>
      </c>
      <c r="C12" s="2">
        <v>13</v>
      </c>
      <c r="D12" t="s">
        <v>261</v>
      </c>
    </row>
    <row r="13" spans="1:39" x14ac:dyDescent="0.25">
      <c r="A13" s="2" t="s">
        <v>117</v>
      </c>
      <c r="B13" s="3"/>
      <c r="C13" s="108">
        <f>EDATE(C11,(12*C12))-1</f>
        <v>46477</v>
      </c>
      <c r="D13" t="s">
        <v>267</v>
      </c>
    </row>
    <row r="14" spans="1:39" x14ac:dyDescent="0.25">
      <c r="A14" s="2" t="s">
        <v>118</v>
      </c>
      <c r="B14" s="3"/>
      <c r="C14" s="108">
        <f>EDATE(C13,0)+1</f>
        <v>46478</v>
      </c>
    </row>
    <row r="15" spans="1:39" x14ac:dyDescent="0.25">
      <c r="A15" s="2" t="s">
        <v>119</v>
      </c>
      <c r="B15" s="3"/>
      <c r="C15" s="108">
        <f>C10</f>
        <v>50860</v>
      </c>
    </row>
    <row r="16" spans="1:39" x14ac:dyDescent="0.25">
      <c r="B16" s="111"/>
      <c r="C16" s="130"/>
    </row>
    <row r="17" spans="1:30" x14ac:dyDescent="0.25">
      <c r="B17" s="111"/>
      <c r="C17" s="130"/>
    </row>
    <row r="18" spans="1:30" x14ac:dyDescent="0.25">
      <c r="A18" s="2" t="s">
        <v>129</v>
      </c>
      <c r="B18" s="3" t="s">
        <v>130</v>
      </c>
      <c r="C18" s="2">
        <v>30</v>
      </c>
    </row>
    <row r="19" spans="1:30" x14ac:dyDescent="0.25">
      <c r="A19" s="2" t="s">
        <v>144</v>
      </c>
      <c r="B19" s="3" t="s">
        <v>56</v>
      </c>
      <c r="C19" s="257">
        <v>0.22</v>
      </c>
      <c r="D19" t="s">
        <v>296</v>
      </c>
    </row>
    <row r="20" spans="1:30" x14ac:dyDescent="0.25">
      <c r="A20" s="2" t="s">
        <v>145</v>
      </c>
      <c r="B20" s="3"/>
      <c r="C20" s="112">
        <v>0.15</v>
      </c>
    </row>
    <row r="21" spans="1:30" x14ac:dyDescent="0.25">
      <c r="A21" s="2" t="s">
        <v>108</v>
      </c>
      <c r="B21" s="3" t="s">
        <v>56</v>
      </c>
      <c r="C21" s="107">
        <v>5.0000000000000001E-4</v>
      </c>
    </row>
    <row r="23" spans="1:30" x14ac:dyDescent="0.25">
      <c r="A23" s="109" t="s">
        <v>110</v>
      </c>
    </row>
    <row r="24" spans="1:30" x14ac:dyDescent="0.25">
      <c r="A24" s="2" t="s">
        <v>222</v>
      </c>
      <c r="B24" s="110" t="s">
        <v>107</v>
      </c>
      <c r="C24" s="103">
        <v>5.81</v>
      </c>
      <c r="D24" s="2" t="s">
        <v>262</v>
      </c>
      <c r="E24" s="2"/>
      <c r="F24" s="2"/>
      <c r="G24" s="2"/>
      <c r="H24" s="2"/>
      <c r="I24" s="2"/>
      <c r="J24" s="218">
        <v>2.52</v>
      </c>
      <c r="K24" s="223">
        <v>2.59</v>
      </c>
      <c r="L24" s="103">
        <f>K24*(1+$C$25)</f>
        <v>2.2637078108177575</v>
      </c>
      <c r="M24" s="103">
        <f t="shared" ref="M24:AD24" si="16">L24*(1+$C$25)</f>
        <v>1.9785224141920172</v>
      </c>
      <c r="N24" s="103">
        <f t="shared" si="16"/>
        <v>1.7292651130828092</v>
      </c>
      <c r="O24" s="103">
        <f t="shared" si="16"/>
        <v>1.511409630679617</v>
      </c>
      <c r="P24" s="103">
        <f t="shared" si="16"/>
        <v>1.3209999174959965</v>
      </c>
      <c r="Q24" s="103">
        <f t="shared" si="16"/>
        <v>1.1545783132530119</v>
      </c>
      <c r="R24" s="103">
        <f t="shared" si="16"/>
        <v>1.0091227590392411</v>
      </c>
      <c r="S24" s="103">
        <f t="shared" si="16"/>
        <v>0.88199191957957368</v>
      </c>
      <c r="T24" s="103">
        <f t="shared" si="16"/>
        <v>0.77087721908510753</v>
      </c>
      <c r="U24" s="103">
        <f t="shared" si="16"/>
        <v>0.67376091970055196</v>
      </c>
      <c r="V24" s="103">
        <f t="shared" si="16"/>
        <v>0.58887948129339596</v>
      </c>
      <c r="W24" s="103">
        <f t="shared" si="16"/>
        <v>0.51469153723327032</v>
      </c>
      <c r="X24" s="103">
        <f t="shared" si="16"/>
        <v>0.44984990463195085</v>
      </c>
      <c r="Y24" s="103">
        <f t="shared" si="16"/>
        <v>0.39317712077643646</v>
      </c>
      <c r="Z24" s="103">
        <f t="shared" si="16"/>
        <v>0.34364406151986721</v>
      </c>
      <c r="AA24" s="103">
        <f t="shared" si="16"/>
        <v>0.30035125336048701</v>
      </c>
      <c r="AB24" s="103">
        <f t="shared" si="16"/>
        <v>0.2625125398536825</v>
      </c>
      <c r="AC24" s="103">
        <f t="shared" si="16"/>
        <v>0.22944080575459033</v>
      </c>
      <c r="AD24" s="103">
        <f t="shared" si="16"/>
        <v>0.20053549965520698</v>
      </c>
    </row>
    <row r="25" spans="1:30" x14ac:dyDescent="0.25">
      <c r="A25" s="2" t="s">
        <v>109</v>
      </c>
      <c r="B25" s="113" t="s">
        <v>56</v>
      </c>
      <c r="C25" s="114">
        <f>(K24/C24)^(1/COUNT(C4:K4))-1</f>
        <v>-0.12598154022480401</v>
      </c>
    </row>
    <row r="26" spans="1:30" x14ac:dyDescent="0.25">
      <c r="A26" s="2" t="s">
        <v>223</v>
      </c>
      <c r="B26" s="110" t="s">
        <v>107</v>
      </c>
      <c r="C26" s="103">
        <v>5.7</v>
      </c>
    </row>
    <row r="27" spans="1:30" x14ac:dyDescent="0.25">
      <c r="A27" s="2" t="s">
        <v>224</v>
      </c>
      <c r="B27" s="110" t="s">
        <v>107</v>
      </c>
      <c r="C27" s="2">
        <v>2.75</v>
      </c>
    </row>
    <row r="29" spans="1:30" x14ac:dyDescent="0.25">
      <c r="A29" s="2" t="s">
        <v>218</v>
      </c>
      <c r="B29" s="110" t="s">
        <v>107</v>
      </c>
      <c r="C29" s="2"/>
      <c r="D29" s="2"/>
      <c r="E29" s="2"/>
      <c r="F29" s="2"/>
      <c r="G29" s="2"/>
      <c r="H29" s="2"/>
      <c r="I29" s="2"/>
      <c r="J29" s="2"/>
      <c r="K29" s="133">
        <f>$C$24</f>
        <v>5.81</v>
      </c>
      <c r="L29" s="133">
        <f t="shared" ref="L29:R29" si="17">$C$24</f>
        <v>5.81</v>
      </c>
      <c r="M29" s="133">
        <f t="shared" si="17"/>
        <v>5.81</v>
      </c>
      <c r="N29" s="133">
        <f t="shared" si="17"/>
        <v>5.81</v>
      </c>
      <c r="O29" s="133">
        <f t="shared" si="17"/>
        <v>5.81</v>
      </c>
      <c r="P29" s="133">
        <f t="shared" si="17"/>
        <v>5.81</v>
      </c>
      <c r="Q29" s="133">
        <f t="shared" si="17"/>
        <v>5.81</v>
      </c>
      <c r="R29" s="133">
        <f t="shared" si="17"/>
        <v>5.81</v>
      </c>
      <c r="S29" s="133">
        <f t="shared" ref="S29:U29" si="18">$C$27</f>
        <v>2.75</v>
      </c>
      <c r="T29" s="133">
        <f t="shared" si="18"/>
        <v>2.75</v>
      </c>
      <c r="U29" s="133">
        <f t="shared" si="18"/>
        <v>2.75</v>
      </c>
      <c r="V29" s="133">
        <f>$C$27</f>
        <v>2.75</v>
      </c>
      <c r="W29" s="133">
        <f t="shared" ref="W29:AD29" si="19">$C$27</f>
        <v>2.75</v>
      </c>
      <c r="X29" s="133">
        <f t="shared" si="19"/>
        <v>2.75</v>
      </c>
      <c r="Y29" s="133">
        <f t="shared" si="19"/>
        <v>2.75</v>
      </c>
      <c r="Z29" s="133">
        <f t="shared" si="19"/>
        <v>2.75</v>
      </c>
      <c r="AA29" s="133">
        <f t="shared" si="19"/>
        <v>2.75</v>
      </c>
      <c r="AB29" s="133">
        <f t="shared" si="19"/>
        <v>2.75</v>
      </c>
      <c r="AC29" s="133">
        <f t="shared" si="19"/>
        <v>2.75</v>
      </c>
      <c r="AD29" s="133">
        <f t="shared" si="19"/>
        <v>2.75</v>
      </c>
    </row>
    <row r="30" spans="1:30" x14ac:dyDescent="0.25">
      <c r="B30" s="207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</row>
    <row r="31" spans="1:30" x14ac:dyDescent="0.25">
      <c r="A31" s="132" t="s">
        <v>225</v>
      </c>
      <c r="B31" s="110" t="s">
        <v>107</v>
      </c>
      <c r="C31" s="208">
        <v>0.5</v>
      </c>
    </row>
    <row r="33" spans="1:13" x14ac:dyDescent="0.25">
      <c r="A33" s="120" t="s">
        <v>137</v>
      </c>
    </row>
    <row r="34" spans="1:13" x14ac:dyDescent="0.25">
      <c r="A34" s="2" t="s">
        <v>238</v>
      </c>
      <c r="B34" s="56" t="s">
        <v>58</v>
      </c>
      <c r="C34" s="205">
        <f>AVERAGE(J34:M34)</f>
        <v>0.49062499999999998</v>
      </c>
      <c r="D34" s="2"/>
      <c r="E34" s="2"/>
      <c r="F34" s="2"/>
      <c r="G34" s="205">
        <v>1.9799999999999998E-2</v>
      </c>
      <c r="H34" s="205">
        <v>0.15479999999999999</v>
      </c>
      <c r="I34" s="205">
        <v>0.46310000000000001</v>
      </c>
      <c r="J34" s="205">
        <v>0.69790000000000008</v>
      </c>
      <c r="K34" s="216">
        <v>0.93469999999999998</v>
      </c>
      <c r="L34" s="216">
        <v>0.3009</v>
      </c>
      <c r="M34" s="216">
        <v>2.9000000000000001E-2</v>
      </c>
    </row>
    <row r="35" spans="1:13" x14ac:dyDescent="0.25">
      <c r="A35" s="2" t="s">
        <v>239</v>
      </c>
      <c r="B35" s="56" t="s">
        <v>58</v>
      </c>
      <c r="C35" s="103">
        <f>AVERAGE(J35:M35)</f>
        <v>12.708375</v>
      </c>
      <c r="D35" s="2"/>
      <c r="E35" s="2"/>
      <c r="F35" s="2"/>
      <c r="G35" s="103">
        <v>4.8262999999999998</v>
      </c>
      <c r="H35" s="103">
        <v>4.0812999999999997</v>
      </c>
      <c r="I35" s="103">
        <v>14.7935</v>
      </c>
      <c r="J35" s="103">
        <v>7.9865000000000004</v>
      </c>
      <c r="K35" s="217">
        <v>13.9374</v>
      </c>
      <c r="L35" s="217">
        <v>14.775600000000001</v>
      </c>
      <c r="M35" s="217">
        <v>14.134</v>
      </c>
    </row>
    <row r="36" spans="1:13" x14ac:dyDescent="0.25">
      <c r="A36" s="2" t="s">
        <v>240</v>
      </c>
      <c r="B36" s="3" t="s">
        <v>56</v>
      </c>
      <c r="C36" s="107">
        <f>AVERAGE(J36:M36)</f>
        <v>4.4216391420944433E-2</v>
      </c>
      <c r="D36" s="2"/>
      <c r="E36" s="2"/>
      <c r="F36" s="2"/>
      <c r="G36" s="107">
        <f>G34/G35</f>
        <v>4.1025216003978205E-3</v>
      </c>
      <c r="H36" s="107">
        <f>H34/H35</f>
        <v>3.7929091220934505E-2</v>
      </c>
      <c r="I36" s="107">
        <f t="shared" ref="I36" si="20">I34/I35</f>
        <v>3.1304289045864742E-2</v>
      </c>
      <c r="J36" s="107">
        <f>J34/J35</f>
        <v>8.7384962123583557E-2</v>
      </c>
      <c r="K36" s="107">
        <f>K34/K35</f>
        <v>6.706415830786229E-2</v>
      </c>
      <c r="L36" s="107">
        <f>L34/L35</f>
        <v>2.0364655242426703E-2</v>
      </c>
      <c r="M36" s="107">
        <f t="shared" ref="M36" si="21">M34/M35</f>
        <v>2.0517900099051934E-3</v>
      </c>
    </row>
    <row r="37" spans="1:13" x14ac:dyDescent="0.25">
      <c r="A37" s="109" t="s">
        <v>241</v>
      </c>
      <c r="B37" s="56" t="s">
        <v>58</v>
      </c>
      <c r="C37" s="133">
        <f>C35*(1+C38)</f>
        <v>13.343793750000001</v>
      </c>
      <c r="E37" s="2"/>
      <c r="F37" s="2"/>
      <c r="G37" s="2"/>
      <c r="H37" s="107"/>
      <c r="I37" s="107"/>
      <c r="J37" s="107"/>
    </row>
    <row r="38" spans="1:13" x14ac:dyDescent="0.25">
      <c r="A38" s="109" t="s">
        <v>242</v>
      </c>
      <c r="B38" s="3" t="s">
        <v>56</v>
      </c>
      <c r="C38" s="125">
        <v>0.05</v>
      </c>
      <c r="E38" s="2"/>
      <c r="F38" s="2"/>
      <c r="G38" s="2"/>
      <c r="H38" s="107"/>
      <c r="I38" s="107"/>
      <c r="J38" s="107"/>
    </row>
    <row r="40" spans="1:13" x14ac:dyDescent="0.25">
      <c r="A40" s="120" t="s">
        <v>105</v>
      </c>
      <c r="C40" s="196" t="s">
        <v>226</v>
      </c>
      <c r="D40" s="196" t="s">
        <v>227</v>
      </c>
    </row>
    <row r="41" spans="1:13" x14ac:dyDescent="0.25">
      <c r="A41" s="2" t="s">
        <v>228</v>
      </c>
      <c r="B41" s="3" t="s">
        <v>56</v>
      </c>
      <c r="C41" s="107">
        <v>0.13100000000000001</v>
      </c>
      <c r="D41" s="103">
        <f>92.9531+17.0783+6.513</f>
        <v>116.54440000000001</v>
      </c>
      <c r="E41" t="s">
        <v>271</v>
      </c>
    </row>
    <row r="43" spans="1:13" x14ac:dyDescent="0.25">
      <c r="A43" s="60" t="s">
        <v>61</v>
      </c>
    </row>
    <row r="44" spans="1:13" x14ac:dyDescent="0.25">
      <c r="A44" s="62" t="s">
        <v>62</v>
      </c>
      <c r="B44" s="63" t="s">
        <v>63</v>
      </c>
      <c r="C44" s="213" t="s">
        <v>251</v>
      </c>
      <c r="D44" s="213" t="s">
        <v>252</v>
      </c>
      <c r="E44" s="213" t="s">
        <v>253</v>
      </c>
      <c r="F44" s="213" t="s">
        <v>254</v>
      </c>
      <c r="G44" s="213" t="s">
        <v>255</v>
      </c>
      <c r="H44" s="213" t="s">
        <v>256</v>
      </c>
      <c r="I44" s="213" t="s">
        <v>257</v>
      </c>
      <c r="J44" s="213" t="s">
        <v>264</v>
      </c>
      <c r="K44" s="213" t="s">
        <v>265</v>
      </c>
      <c r="L44" s="213" t="s">
        <v>266</v>
      </c>
      <c r="M44" s="213" t="s">
        <v>283</v>
      </c>
    </row>
    <row r="45" spans="1:13" x14ac:dyDescent="0.25">
      <c r="A45" s="64" t="s">
        <v>64</v>
      </c>
      <c r="B45" s="65">
        <v>100</v>
      </c>
      <c r="C45" s="66">
        <v>106.9</v>
      </c>
      <c r="D45" s="66">
        <v>112.5</v>
      </c>
      <c r="E45" s="66">
        <v>113.9</v>
      </c>
      <c r="F45" s="66">
        <v>109.7</v>
      </c>
      <c r="G45" s="66">
        <v>111.6</v>
      </c>
      <c r="H45" s="66">
        <v>114.9</v>
      </c>
      <c r="I45" s="66">
        <v>119.8</v>
      </c>
      <c r="J45" s="66">
        <v>121.8</v>
      </c>
      <c r="K45" s="66">
        <v>123.4</v>
      </c>
      <c r="L45" s="66">
        <v>139.4</v>
      </c>
      <c r="M45" s="219">
        <v>152.5</v>
      </c>
    </row>
    <row r="46" spans="1:13" x14ac:dyDescent="0.25">
      <c r="A46" s="64"/>
      <c r="B46" s="65"/>
      <c r="C46" s="67">
        <f>+C45/B45-1</f>
        <v>6.899999999999995E-2</v>
      </c>
      <c r="D46" s="67">
        <f t="shared" ref="D46:I46" si="22">+D45/C45-1</f>
        <v>5.2385406922357269E-2</v>
      </c>
      <c r="E46" s="67">
        <f t="shared" si="22"/>
        <v>1.244444444444448E-2</v>
      </c>
      <c r="F46" s="67">
        <f t="shared" si="22"/>
        <v>-3.687445127304656E-2</v>
      </c>
      <c r="G46" s="67">
        <f t="shared" si="22"/>
        <v>1.7319963536918781E-2</v>
      </c>
      <c r="H46" s="67">
        <f t="shared" si="22"/>
        <v>2.9569892473118475E-2</v>
      </c>
      <c r="I46" s="67">
        <f t="shared" si="22"/>
        <v>4.2645778938207091E-2</v>
      </c>
      <c r="J46" s="67">
        <f t="shared" ref="J46" si="23">+J45/I45-1</f>
        <v>1.6694490818029983E-2</v>
      </c>
      <c r="K46" s="67">
        <f t="shared" ref="K46" si="24">+K45/J45-1</f>
        <v>1.3136288998357948E-2</v>
      </c>
      <c r="L46" s="67">
        <f t="shared" ref="L46:M46" si="25">+L45/K45-1</f>
        <v>0.12965964343598047</v>
      </c>
      <c r="M46" s="67">
        <f t="shared" si="25"/>
        <v>9.3974175035868024E-2</v>
      </c>
    </row>
    <row r="47" spans="1:13" x14ac:dyDescent="0.25">
      <c r="A47" s="68" t="s">
        <v>65</v>
      </c>
      <c r="B47" s="69">
        <f>(M45/B45)^(1/COUNT(C45:M45))-1</f>
        <v>3.9108493961018453E-2</v>
      </c>
      <c r="C47" s="70"/>
      <c r="D47" s="71"/>
      <c r="E47" s="71"/>
      <c r="F47" s="71"/>
      <c r="G47" s="71"/>
      <c r="H47" s="71"/>
      <c r="I47" s="71"/>
      <c r="J47" s="71"/>
      <c r="K47" s="71"/>
      <c r="L47" s="71"/>
    </row>
    <row r="48" spans="1:13" x14ac:dyDescent="0.25">
      <c r="A48" s="37" t="s">
        <v>66</v>
      </c>
      <c r="B48" s="72">
        <f>(M45/B45)^(1/COUNT(C45:M45))-1</f>
        <v>3.9108493961018453E-2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</row>
    <row r="50" spans="1:13" x14ac:dyDescent="0.25">
      <c r="A50" s="60" t="s">
        <v>67</v>
      </c>
      <c r="B50" s="73" t="s">
        <v>56</v>
      </c>
      <c r="C50" s="115">
        <f>B48</f>
        <v>3.9108493961018453E-2</v>
      </c>
    </row>
    <row r="51" spans="1:13" x14ac:dyDescent="0.25">
      <c r="B51" s="127"/>
    </row>
    <row r="52" spans="1:13" x14ac:dyDescent="0.25">
      <c r="A52" s="119" t="s">
        <v>127</v>
      </c>
      <c r="B52" s="127"/>
    </row>
    <row r="54" spans="1:13" x14ac:dyDescent="0.25">
      <c r="A54" s="121" t="s">
        <v>219</v>
      </c>
      <c r="B54" s="111"/>
    </row>
    <row r="55" spans="1:13" x14ac:dyDescent="0.25">
      <c r="A55" s="2" t="s">
        <v>220</v>
      </c>
      <c r="B55" s="3" t="s">
        <v>56</v>
      </c>
      <c r="C55" s="133">
        <v>7.7200000000000005E-2</v>
      </c>
      <c r="D55" t="s">
        <v>268</v>
      </c>
    </row>
    <row r="56" spans="1:13" x14ac:dyDescent="0.25">
      <c r="A56" s="2" t="s">
        <v>243</v>
      </c>
      <c r="B56" s="3"/>
      <c r="C56" s="133">
        <f>C55*C18</f>
        <v>2.3160000000000003</v>
      </c>
    </row>
    <row r="57" spans="1:13" x14ac:dyDescent="0.25">
      <c r="A57" s="2" t="s">
        <v>121</v>
      </c>
      <c r="B57" s="3" t="s">
        <v>56</v>
      </c>
      <c r="C57" s="125">
        <v>0.05</v>
      </c>
      <c r="D57" t="s">
        <v>123</v>
      </c>
    </row>
    <row r="58" spans="1:13" x14ac:dyDescent="0.25">
      <c r="B58" s="111"/>
      <c r="C58" s="126"/>
    </row>
    <row r="59" spans="1:13" x14ac:dyDescent="0.25">
      <c r="A59" s="2" t="s">
        <v>221</v>
      </c>
      <c r="B59" s="56" t="s">
        <v>58</v>
      </c>
      <c r="C59" s="103">
        <f>AVERAGE(I59:M59)</f>
        <v>3.1160399999999999</v>
      </c>
      <c r="D59" s="2"/>
      <c r="E59" s="2"/>
      <c r="F59" s="2"/>
      <c r="G59" s="2"/>
      <c r="H59" s="2"/>
      <c r="I59" s="205">
        <v>3.0680000000000001</v>
      </c>
      <c r="J59" s="205">
        <v>2.8673999999999999</v>
      </c>
      <c r="K59" s="205">
        <v>3.0108000000000001</v>
      </c>
      <c r="L59" s="205">
        <v>3.1613000000000002</v>
      </c>
      <c r="M59" s="216">
        <v>3.4727000000000001</v>
      </c>
    </row>
    <row r="60" spans="1:13" x14ac:dyDescent="0.25">
      <c r="A60" s="2" t="s">
        <v>121</v>
      </c>
      <c r="B60" s="3" t="s">
        <v>56</v>
      </c>
      <c r="C60" s="125">
        <v>0.05</v>
      </c>
    </row>
    <row r="61" spans="1:13" x14ac:dyDescent="0.25">
      <c r="B61" s="111"/>
      <c r="C61" s="126"/>
    </row>
    <row r="62" spans="1:13" x14ac:dyDescent="0.25">
      <c r="A62" s="2" t="s">
        <v>244</v>
      </c>
      <c r="B62" s="56" t="s">
        <v>58</v>
      </c>
      <c r="C62" s="133">
        <f>AVERAGE(G62:M62)</f>
        <v>0.47195714285714285</v>
      </c>
      <c r="D62" s="2"/>
      <c r="E62" s="2"/>
      <c r="F62" s="2"/>
      <c r="G62" s="205">
        <v>0.26600000000000001</v>
      </c>
      <c r="H62" s="205">
        <v>0.30249999999999999</v>
      </c>
      <c r="I62" s="205">
        <v>0.27550000000000002</v>
      </c>
      <c r="J62" s="205">
        <v>0.58460000000000001</v>
      </c>
      <c r="K62" s="216">
        <v>0.5958</v>
      </c>
      <c r="L62" s="216">
        <v>0.63980000000000004</v>
      </c>
      <c r="M62" s="216">
        <v>0.63949999999999996</v>
      </c>
    </row>
    <row r="63" spans="1:13" x14ac:dyDescent="0.25">
      <c r="A63" s="2" t="s">
        <v>245</v>
      </c>
      <c r="B63" s="56" t="s">
        <v>58</v>
      </c>
      <c r="C63" s="259">
        <f>AVERAGE(J63:M63,G63:H63)</f>
        <v>0.70833333333333337</v>
      </c>
      <c r="D63" s="2"/>
      <c r="E63" s="2"/>
      <c r="F63" s="2"/>
      <c r="G63" s="205">
        <v>0.43969999999999998</v>
      </c>
      <c r="H63" s="205">
        <v>0.7390000000000001</v>
      </c>
      <c r="I63" s="205">
        <v>2.5952999999999999</v>
      </c>
      <c r="J63" s="205">
        <v>0.53770000000000007</v>
      </c>
      <c r="K63" s="216">
        <v>0.4798</v>
      </c>
      <c r="L63" s="216">
        <v>1.4648000000000001</v>
      </c>
      <c r="M63" s="216">
        <v>0.58899999999999997</v>
      </c>
    </row>
    <row r="64" spans="1:13" x14ac:dyDescent="0.25">
      <c r="A64" s="2" t="s">
        <v>246</v>
      </c>
      <c r="B64" s="3" t="s">
        <v>56</v>
      </c>
      <c r="C64" s="125">
        <v>0.05</v>
      </c>
      <c r="G64" s="204"/>
      <c r="H64" s="204"/>
      <c r="I64" s="204"/>
      <c r="J64" s="204"/>
    </row>
    <row r="65" spans="1:14" x14ac:dyDescent="0.25">
      <c r="B65" s="206"/>
      <c r="C65" s="126"/>
      <c r="G65" s="204"/>
      <c r="H65" s="204"/>
      <c r="I65" s="204"/>
      <c r="J65" s="204"/>
    </row>
    <row r="67" spans="1:14" x14ac:dyDescent="0.25">
      <c r="A67" s="60" t="s">
        <v>55</v>
      </c>
      <c r="B67" s="56" t="s">
        <v>56</v>
      </c>
      <c r="C67" s="58">
        <v>0.03</v>
      </c>
    </row>
    <row r="68" spans="1:14" x14ac:dyDescent="0.25">
      <c r="A68" s="55" t="s">
        <v>57</v>
      </c>
      <c r="B68" s="56" t="s">
        <v>58</v>
      </c>
      <c r="C68" s="57">
        <f>'Depreciation Schedule'!D55/10^2</f>
        <v>7.6336000000000004</v>
      </c>
    </row>
    <row r="69" spans="1:14" x14ac:dyDescent="0.25">
      <c r="A69" s="55" t="s">
        <v>59</v>
      </c>
      <c r="B69" s="56" t="s">
        <v>58</v>
      </c>
      <c r="C69" s="59">
        <f>+C68*(1+C67)^(C8)</f>
        <v>15.983063203808408</v>
      </c>
    </row>
    <row r="70" spans="1:14" x14ac:dyDescent="0.25">
      <c r="A70" s="55" t="s">
        <v>60</v>
      </c>
      <c r="B70" s="56" t="s">
        <v>58</v>
      </c>
      <c r="C70" s="59">
        <f>+C69-C68</f>
        <v>8.3494632038084085</v>
      </c>
    </row>
    <row r="72" spans="1:14" x14ac:dyDescent="0.25">
      <c r="A72" s="123" t="s">
        <v>124</v>
      </c>
    </row>
    <row r="73" spans="1:14" x14ac:dyDescent="0.25">
      <c r="A73" s="55" t="s">
        <v>125</v>
      </c>
      <c r="B73" s="56" t="s">
        <v>56</v>
      </c>
      <c r="C73" s="107">
        <v>0.25169999999999998</v>
      </c>
    </row>
    <row r="75" spans="1:14" x14ac:dyDescent="0.25">
      <c r="A75" s="124" t="s">
        <v>131</v>
      </c>
    </row>
    <row r="77" spans="1:14" x14ac:dyDescent="0.25">
      <c r="A77" s="2" t="s">
        <v>132</v>
      </c>
      <c r="B77" s="2"/>
      <c r="C77" s="2"/>
      <c r="D77" s="2"/>
      <c r="E77" s="2"/>
      <c r="F77" s="2"/>
      <c r="G77" s="103">
        <v>3.3811</v>
      </c>
      <c r="H77" s="103">
        <v>18.8629</v>
      </c>
      <c r="I77" s="103">
        <v>3.6286</v>
      </c>
      <c r="J77" s="103">
        <v>7.1321000000000003</v>
      </c>
      <c r="K77" s="217">
        <v>2.1762999999999999</v>
      </c>
      <c r="L77" s="217">
        <v>18.1373</v>
      </c>
      <c r="M77" s="217">
        <v>18.953600000000002</v>
      </c>
    </row>
    <row r="78" spans="1:14" x14ac:dyDescent="0.25">
      <c r="A78" s="2" t="s">
        <v>133</v>
      </c>
      <c r="B78" s="2"/>
      <c r="C78" s="2"/>
      <c r="D78" s="2"/>
      <c r="E78" s="2"/>
      <c r="F78" s="2"/>
      <c r="G78" s="204">
        <v>3.6416000000000004</v>
      </c>
      <c r="H78" s="205">
        <v>22.109400000000001</v>
      </c>
      <c r="I78" s="205">
        <v>27.242899999999999</v>
      </c>
      <c r="J78" s="205">
        <v>28.129899999999999</v>
      </c>
      <c r="K78" s="216">
        <v>29.349299999999999</v>
      </c>
      <c r="L78" s="216">
        <v>19.748200000000001</v>
      </c>
      <c r="M78" s="216">
        <v>18.5656</v>
      </c>
    </row>
    <row r="79" spans="1:14" x14ac:dyDescent="0.25">
      <c r="A79" s="2" t="s">
        <v>270</v>
      </c>
      <c r="B79" s="3" t="s">
        <v>136</v>
      </c>
      <c r="C79" s="2"/>
      <c r="D79" s="2"/>
      <c r="E79" s="2"/>
      <c r="F79" s="2"/>
      <c r="G79" s="103">
        <f>(G77/G78)*G3</f>
        <v>339.81837653778558</v>
      </c>
      <c r="H79" s="103">
        <f>(H77/H78)*H3</f>
        <v>311.40413127448051</v>
      </c>
      <c r="I79" s="103">
        <f>(I77/I78)*I3</f>
        <v>48.615932958679139</v>
      </c>
      <c r="J79" s="103">
        <f>(J77/J78)*J3</f>
        <v>92.542685896501609</v>
      </c>
      <c r="K79" s="103">
        <f t="shared" ref="K79:M79" si="26">(K77/K78)*K3</f>
        <v>27.139516104302317</v>
      </c>
      <c r="L79" s="103">
        <f>(L77/L78)*L3</f>
        <v>335.22622314945158</v>
      </c>
      <c r="M79" s="103">
        <f t="shared" si="26"/>
        <v>372.62808635325553</v>
      </c>
      <c r="N79" s="59">
        <f>AVERAGE(K79:M79)</f>
        <v>244.99794186900314</v>
      </c>
    </row>
    <row r="82" spans="1:14" x14ac:dyDescent="0.25">
      <c r="A82" s="2" t="s">
        <v>134</v>
      </c>
      <c r="B82" s="2"/>
      <c r="C82" s="2"/>
      <c r="D82" s="2"/>
      <c r="E82" s="2"/>
      <c r="F82" s="2"/>
      <c r="G82" s="103"/>
      <c r="H82" s="103"/>
      <c r="I82" s="103">
        <v>4.9265999999999996</v>
      </c>
      <c r="J82" s="103">
        <v>3.9739</v>
      </c>
      <c r="K82">
        <v>3.4941</v>
      </c>
      <c r="L82" s="220">
        <v>2.9459</v>
      </c>
      <c r="M82" s="220">
        <v>4.5712999999999999</v>
      </c>
    </row>
    <row r="83" spans="1:14" x14ac:dyDescent="0.25">
      <c r="A83" s="2" t="s">
        <v>135</v>
      </c>
      <c r="B83" s="2"/>
      <c r="C83" s="2"/>
      <c r="D83" s="2"/>
      <c r="E83" s="2"/>
      <c r="F83" s="2"/>
      <c r="G83" s="205"/>
      <c r="H83" s="205"/>
      <c r="I83" s="204">
        <v>3.0680000000000001</v>
      </c>
      <c r="J83" s="204">
        <v>2.8673999999999999</v>
      </c>
      <c r="K83" s="205">
        <v>3.0108000000000001</v>
      </c>
      <c r="L83" s="205">
        <v>3.1613000000000002</v>
      </c>
      <c r="M83" s="216">
        <v>3.4727000000000001</v>
      </c>
    </row>
    <row r="84" spans="1:14" x14ac:dyDescent="0.25">
      <c r="A84" s="2" t="s">
        <v>269</v>
      </c>
      <c r="B84" s="3" t="s">
        <v>136</v>
      </c>
      <c r="C84" s="2"/>
      <c r="D84" s="2"/>
      <c r="E84" s="2"/>
      <c r="F84" s="2"/>
      <c r="G84" s="103"/>
      <c r="H84" s="103"/>
      <c r="I84" s="103">
        <f>(I82/I83)*I3</f>
        <v>586.11766623207291</v>
      </c>
      <c r="J84" s="103">
        <f>(J82/J83)*J3</f>
        <v>505.84972448908422</v>
      </c>
      <c r="K84" s="103">
        <f t="shared" ref="K84:M84" si="27">(K82/K83)*K3</f>
        <v>424.75109605420482</v>
      </c>
      <c r="L84" s="103">
        <f t="shared" si="27"/>
        <v>340.13016796887354</v>
      </c>
      <c r="M84" s="103">
        <f t="shared" si="27"/>
        <v>480.46894347337803</v>
      </c>
      <c r="N84" s="59">
        <f>AVERAGE(K84:M84)</f>
        <v>415.11673583215207</v>
      </c>
    </row>
    <row r="86" spans="1:14" x14ac:dyDescent="0.25">
      <c r="A86" s="2" t="s">
        <v>258</v>
      </c>
      <c r="B86" s="3" t="s">
        <v>58</v>
      </c>
      <c r="C86" s="215">
        <v>2.7023000000000001</v>
      </c>
    </row>
    <row r="87" spans="1:14" x14ac:dyDescent="0.25">
      <c r="A87" s="2" t="s">
        <v>259</v>
      </c>
      <c r="B87" s="3" t="s">
        <v>58</v>
      </c>
      <c r="C87" s="215">
        <v>14.134</v>
      </c>
    </row>
  </sheetData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7891-6A03-4B89-8F77-772885AE7E33}">
  <dimension ref="A1:E19"/>
  <sheetViews>
    <sheetView workbookViewId="0">
      <selection activeCell="D8" sqref="D8:E19"/>
    </sheetView>
  </sheetViews>
  <sheetFormatPr defaultRowHeight="15" x14ac:dyDescent="0.25"/>
  <cols>
    <col min="1" max="1" width="48.7109375" bestFit="1" customWidth="1"/>
  </cols>
  <sheetData>
    <row r="1" spans="1:5" x14ac:dyDescent="0.25">
      <c r="A1" t="s">
        <v>293</v>
      </c>
    </row>
    <row r="3" spans="1:5" ht="27" thickBot="1" x14ac:dyDescent="0.3">
      <c r="A3" s="230" t="s">
        <v>288</v>
      </c>
      <c r="B3" s="230" t="s">
        <v>289</v>
      </c>
    </row>
    <row r="4" spans="1:5" ht="15.75" thickBot="1" x14ac:dyDescent="0.3">
      <c r="A4" s="231" t="s">
        <v>192</v>
      </c>
      <c r="B4" s="232">
        <v>43525</v>
      </c>
      <c r="C4" s="232">
        <v>43891</v>
      </c>
      <c r="D4" s="232">
        <v>44256</v>
      </c>
      <c r="E4" s="232">
        <v>44621</v>
      </c>
    </row>
    <row r="5" spans="1:5" ht="15.75" thickBot="1" x14ac:dyDescent="0.3">
      <c r="A5" s="233"/>
      <c r="B5" s="234"/>
      <c r="C5" s="234"/>
      <c r="D5" s="235"/>
      <c r="E5" s="235"/>
    </row>
    <row r="6" spans="1:5" ht="15.75" thickBot="1" x14ac:dyDescent="0.3">
      <c r="A6" s="233" t="s">
        <v>182</v>
      </c>
      <c r="B6" s="236">
        <v>28.94</v>
      </c>
      <c r="C6" s="236">
        <v>31.84</v>
      </c>
      <c r="D6" s="236">
        <v>20.87</v>
      </c>
      <c r="E6" s="236">
        <v>19.96</v>
      </c>
    </row>
    <row r="7" spans="1:5" ht="15.75" thickBot="1" x14ac:dyDescent="0.3">
      <c r="A7" s="233"/>
      <c r="B7" s="235"/>
      <c r="C7" s="235"/>
      <c r="D7" s="235"/>
      <c r="E7" s="235"/>
    </row>
    <row r="8" spans="1:5" ht="15.75" thickBot="1" x14ac:dyDescent="0.3">
      <c r="A8" s="233" t="s">
        <v>290</v>
      </c>
      <c r="B8" s="236">
        <v>3.99</v>
      </c>
      <c r="C8" s="236">
        <v>4.09</v>
      </c>
      <c r="D8" s="236">
        <v>5.26</v>
      </c>
      <c r="E8" s="241">
        <v>4.7</v>
      </c>
    </row>
    <row r="9" spans="1:5" ht="15.75" thickBot="1" x14ac:dyDescent="0.3">
      <c r="A9" s="237" t="s">
        <v>153</v>
      </c>
      <c r="B9" s="238">
        <f>B6-B8</f>
        <v>24.950000000000003</v>
      </c>
      <c r="C9" s="238">
        <f>C6-C8</f>
        <v>27.75</v>
      </c>
      <c r="D9" s="238">
        <f>D6-D8</f>
        <v>15.610000000000001</v>
      </c>
      <c r="E9" s="238">
        <f>E6-E8</f>
        <v>15.260000000000002</v>
      </c>
    </row>
    <row r="10" spans="1:5" ht="15.75" thickBot="1" x14ac:dyDescent="0.3">
      <c r="A10" s="239" t="s">
        <v>154</v>
      </c>
      <c r="B10" s="240">
        <f>B9/B6</f>
        <v>0.8621285418106428</v>
      </c>
      <c r="C10" s="240">
        <f>C9/C6</f>
        <v>0.87154522613065322</v>
      </c>
      <c r="D10" s="240">
        <f>D9/D6</f>
        <v>0.74796358409199815</v>
      </c>
      <c r="E10" s="240">
        <f>E9/E6</f>
        <v>0.76452905811623251</v>
      </c>
    </row>
    <row r="11" spans="1:5" ht="15.75" thickBot="1" x14ac:dyDescent="0.3">
      <c r="A11" s="233" t="s">
        <v>294</v>
      </c>
      <c r="B11" s="236">
        <v>7.97</v>
      </c>
      <c r="C11" s="236">
        <v>7.96</v>
      </c>
      <c r="D11" s="236">
        <v>7.94</v>
      </c>
      <c r="E11" s="236">
        <f>7.94</f>
        <v>7.94</v>
      </c>
    </row>
    <row r="12" spans="1:5" ht="15.75" thickBot="1" x14ac:dyDescent="0.3">
      <c r="A12" s="237" t="s">
        <v>156</v>
      </c>
      <c r="B12" s="238">
        <f>B9-B11</f>
        <v>16.980000000000004</v>
      </c>
      <c r="C12" s="238">
        <f>C9-C11</f>
        <v>19.79</v>
      </c>
      <c r="D12" s="238">
        <f>D9-D11</f>
        <v>7.6700000000000008</v>
      </c>
      <c r="E12" s="238">
        <f>E9-E11</f>
        <v>7.3200000000000012</v>
      </c>
    </row>
    <row r="13" spans="1:5" ht="15.75" thickBot="1" x14ac:dyDescent="0.3">
      <c r="A13" s="239" t="s">
        <v>157</v>
      </c>
      <c r="B13" s="240">
        <f>B12/B6</f>
        <v>0.58673116793365598</v>
      </c>
      <c r="C13" s="240">
        <f>C12/C6</f>
        <v>0.62154522613065322</v>
      </c>
      <c r="D13" s="240">
        <f>D12/D6</f>
        <v>0.36751317680881651</v>
      </c>
      <c r="E13" s="240">
        <f>E12/E6</f>
        <v>0.36673346693386777</v>
      </c>
    </row>
    <row r="14" spans="1:5" ht="15.75" thickBot="1" x14ac:dyDescent="0.3">
      <c r="A14" s="233" t="s">
        <v>291</v>
      </c>
      <c r="B14" s="236">
        <v>17.97</v>
      </c>
      <c r="C14" s="236">
        <v>16.95</v>
      </c>
      <c r="D14" s="236">
        <v>16.45</v>
      </c>
      <c r="E14" s="236">
        <v>18.11</v>
      </c>
    </row>
    <row r="15" spans="1:5" ht="15.75" thickBot="1" x14ac:dyDescent="0.3">
      <c r="A15" s="237" t="s">
        <v>158</v>
      </c>
      <c r="B15" s="238">
        <f>B12-B14</f>
        <v>-0.98999999999999488</v>
      </c>
      <c r="C15" s="238">
        <f>C12-C14</f>
        <v>2.84</v>
      </c>
      <c r="D15" s="238">
        <f>D12-D14</f>
        <v>-8.7799999999999976</v>
      </c>
      <c r="E15" s="238">
        <f>E12-E14</f>
        <v>-10.79</v>
      </c>
    </row>
    <row r="16" spans="1:5" ht="15.75" thickBot="1" x14ac:dyDescent="0.3">
      <c r="A16" s="239" t="s">
        <v>159</v>
      </c>
      <c r="B16" s="240">
        <f>B15/B6</f>
        <v>-3.4208707671043358E-2</v>
      </c>
      <c r="C16" s="240">
        <f>C15/C6</f>
        <v>8.9195979899497485E-2</v>
      </c>
      <c r="D16" s="240">
        <f>D15/D6</f>
        <v>-0.42069956875898407</v>
      </c>
      <c r="E16" s="240">
        <f>E15/E6</f>
        <v>-0.54058116232464926</v>
      </c>
    </row>
    <row r="17" spans="1:5" ht="15.75" thickBot="1" x14ac:dyDescent="0.3">
      <c r="A17" s="233" t="s">
        <v>292</v>
      </c>
      <c r="B17" s="241">
        <v>-5.2400000000000002E-2</v>
      </c>
      <c r="C17" s="241">
        <v>1.2E-2</v>
      </c>
      <c r="D17" s="241">
        <v>-0.22309999999999999</v>
      </c>
      <c r="E17" s="241">
        <v>-0.1047</v>
      </c>
    </row>
    <row r="18" spans="1:5" ht="15.75" thickBot="1" x14ac:dyDescent="0.3">
      <c r="A18" s="237" t="s">
        <v>177</v>
      </c>
      <c r="B18" s="242">
        <f>B15-B17</f>
        <v>-0.93759999999999488</v>
      </c>
      <c r="C18" s="242">
        <f>C15-C17</f>
        <v>2.8279999999999998</v>
      </c>
      <c r="D18" s="242">
        <f>D15-D17</f>
        <v>-8.5568999999999971</v>
      </c>
      <c r="E18" s="242">
        <f>E15-E17</f>
        <v>-10.6853</v>
      </c>
    </row>
    <row r="19" spans="1:5" ht="15.75" thickBot="1" x14ac:dyDescent="0.3">
      <c r="A19" s="239" t="s">
        <v>178</v>
      </c>
      <c r="B19" s="240">
        <f>B18/B6</f>
        <v>-3.2398064961990145E-2</v>
      </c>
      <c r="C19" s="240">
        <f>C18/C6</f>
        <v>8.8819095477386936E-2</v>
      </c>
      <c r="D19" s="240">
        <f>D18/D6</f>
        <v>-0.41000958313368457</v>
      </c>
      <c r="E19" s="240">
        <f>E18/E6</f>
        <v>-0.53533567134268534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AE93"/>
  <sheetViews>
    <sheetView topLeftCell="Q1" workbookViewId="0">
      <pane ySplit="4" topLeftCell="A5" activePane="bottomLeft" state="frozen"/>
      <selection pane="bottomLeft" activeCell="W39" sqref="W17:AD39"/>
    </sheetView>
  </sheetViews>
  <sheetFormatPr defaultRowHeight="15" outlineLevelCol="1" x14ac:dyDescent="0.25"/>
  <cols>
    <col min="1" max="1" width="32.28515625" bestFit="1" customWidth="1"/>
    <col min="2" max="2" width="8" hidden="1" customWidth="1" outlineLevel="1"/>
    <col min="3" max="5" width="14.5703125" hidden="1" customWidth="1" outlineLevel="1"/>
    <col min="6" max="10" width="13.42578125" hidden="1" customWidth="1" outlineLevel="1"/>
    <col min="11" max="11" width="13.42578125" hidden="1" customWidth="1" collapsed="1"/>
    <col min="12" max="13" width="13.42578125" hidden="1" customWidth="1"/>
    <col min="14" max="30" width="13.42578125" bestFit="1" customWidth="1"/>
    <col min="31" max="36" width="2" bestFit="1" customWidth="1"/>
  </cols>
  <sheetData>
    <row r="1" spans="1:30" x14ac:dyDescent="0.25">
      <c r="A1" s="2" t="str">
        <f>Assumptions!A1</f>
        <v>Plant Year</v>
      </c>
      <c r="B1" s="2"/>
      <c r="C1" s="2"/>
      <c r="D1" s="3"/>
      <c r="E1" s="3"/>
      <c r="F1" s="3">
        <f>Assumptions!F1</f>
        <v>1</v>
      </c>
      <c r="G1" s="3">
        <f>Assumptions!G1</f>
        <v>2</v>
      </c>
      <c r="H1" s="3">
        <f>Assumptions!H1</f>
        <v>3</v>
      </c>
      <c r="I1" s="3">
        <f>Assumptions!I1</f>
        <v>4</v>
      </c>
      <c r="J1" s="3">
        <f>Assumptions!J1</f>
        <v>5</v>
      </c>
      <c r="K1" s="3">
        <f>Assumptions!K1</f>
        <v>6</v>
      </c>
      <c r="L1" s="3">
        <f>Assumptions!L1</f>
        <v>7</v>
      </c>
      <c r="M1" s="3">
        <f>Assumptions!M1</f>
        <v>8</v>
      </c>
      <c r="N1" s="3">
        <f>Assumptions!N1</f>
        <v>9</v>
      </c>
      <c r="O1" s="3">
        <f>Assumptions!O1</f>
        <v>10</v>
      </c>
      <c r="P1" s="3">
        <f>Assumptions!P1</f>
        <v>11</v>
      </c>
      <c r="Q1" s="3">
        <f>Assumptions!Q1</f>
        <v>12</v>
      </c>
      <c r="R1" s="3">
        <f>Assumptions!R1</f>
        <v>13</v>
      </c>
      <c r="S1" s="3">
        <f>Assumptions!S1</f>
        <v>14</v>
      </c>
      <c r="T1" s="3">
        <f>Assumptions!T1</f>
        <v>15</v>
      </c>
      <c r="U1" s="3">
        <f>Assumptions!U1</f>
        <v>16</v>
      </c>
      <c r="V1" s="3">
        <f>Assumptions!V1</f>
        <v>17</v>
      </c>
      <c r="W1" s="3">
        <f>Assumptions!W1</f>
        <v>18</v>
      </c>
      <c r="X1" s="3">
        <f>Assumptions!X1</f>
        <v>19</v>
      </c>
      <c r="Y1" s="3">
        <f>Assumptions!Y1</f>
        <v>20</v>
      </c>
      <c r="Z1" s="3">
        <f>Assumptions!Z1</f>
        <v>21</v>
      </c>
      <c r="AA1" s="3">
        <f>Assumptions!AA1</f>
        <v>22</v>
      </c>
      <c r="AB1" s="3">
        <f>Assumptions!AB1</f>
        <v>23</v>
      </c>
      <c r="AC1" s="3">
        <f>Assumptions!AC1</f>
        <v>24</v>
      </c>
      <c r="AD1" s="3">
        <f>Assumptions!AD1</f>
        <v>25</v>
      </c>
    </row>
    <row r="2" spans="1:30" x14ac:dyDescent="0.25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2"/>
      <c r="K2" s="3">
        <f>Assumptions!K2</f>
        <v>1</v>
      </c>
      <c r="L2" s="3">
        <f>Assumptions!L2</f>
        <v>2</v>
      </c>
      <c r="M2" s="3">
        <f>Assumptions!M2</f>
        <v>3</v>
      </c>
      <c r="N2" s="3">
        <f>Assumptions!N2</f>
        <v>4</v>
      </c>
      <c r="O2" s="3">
        <f>Assumptions!O2</f>
        <v>5</v>
      </c>
      <c r="P2" s="3">
        <f>Assumptions!P2</f>
        <v>6</v>
      </c>
      <c r="Q2" s="3">
        <f>Assumptions!Q2</f>
        <v>7</v>
      </c>
      <c r="R2" s="3">
        <f>Assumptions!R2</f>
        <v>8</v>
      </c>
      <c r="S2" s="3">
        <f>Assumptions!S2</f>
        <v>9</v>
      </c>
      <c r="T2" s="3">
        <f>Assumptions!T2</f>
        <v>10</v>
      </c>
      <c r="U2" s="3">
        <f>Assumptions!U2</f>
        <v>11</v>
      </c>
      <c r="V2" s="3">
        <f>Assumptions!V2</f>
        <v>12</v>
      </c>
      <c r="W2" s="3">
        <f>Assumptions!W2</f>
        <v>13</v>
      </c>
      <c r="X2" s="3">
        <f>Assumptions!X2</f>
        <v>14</v>
      </c>
      <c r="Y2" s="3">
        <f>Assumptions!Y2</f>
        <v>15</v>
      </c>
      <c r="Z2" s="3">
        <f>Assumptions!Z2</f>
        <v>16</v>
      </c>
      <c r="AA2" s="3">
        <f>Assumptions!AA2</f>
        <v>17</v>
      </c>
      <c r="AB2" s="3">
        <f>Assumptions!AB2</f>
        <v>18</v>
      </c>
      <c r="AC2" s="3">
        <f>Assumptions!AC2</f>
        <v>19</v>
      </c>
      <c r="AD2" s="3">
        <f>Assumptions!AD2</f>
        <v>20</v>
      </c>
    </row>
    <row r="3" spans="1:30" x14ac:dyDescent="0.25">
      <c r="A3" s="2" t="str">
        <f>Assumptions!A3</f>
        <v>No. of Days</v>
      </c>
      <c r="B3" s="2"/>
      <c r="C3" s="2"/>
      <c r="D3" s="2"/>
      <c r="E3" s="2"/>
      <c r="F3" s="2"/>
      <c r="G3" s="2"/>
      <c r="H3" s="2"/>
      <c r="I3" s="2"/>
      <c r="J3" s="2"/>
      <c r="K3" s="3">
        <f>Assumptions!K3</f>
        <v>366</v>
      </c>
      <c r="L3" s="3">
        <f>Assumptions!L3</f>
        <v>365</v>
      </c>
      <c r="M3" s="3">
        <f>Assumptions!M3</f>
        <v>365</v>
      </c>
      <c r="N3" s="3">
        <f>Assumptions!N3</f>
        <v>365</v>
      </c>
      <c r="O3" s="3">
        <f>Assumptions!O3</f>
        <v>366</v>
      </c>
      <c r="P3" s="3">
        <f>Assumptions!P3</f>
        <v>365</v>
      </c>
      <c r="Q3" s="3">
        <f>Assumptions!Q3</f>
        <v>365</v>
      </c>
      <c r="R3" s="3">
        <f>Assumptions!R3</f>
        <v>365</v>
      </c>
      <c r="S3" s="3">
        <f>Assumptions!S3</f>
        <v>366</v>
      </c>
      <c r="T3" s="3">
        <f>Assumptions!T3</f>
        <v>365</v>
      </c>
      <c r="U3" s="3">
        <f>Assumptions!U3</f>
        <v>365</v>
      </c>
      <c r="V3" s="3">
        <f>Assumptions!V3</f>
        <v>365</v>
      </c>
      <c r="W3" s="3">
        <f>Assumptions!W3</f>
        <v>366</v>
      </c>
      <c r="X3" s="3">
        <f>Assumptions!X3</f>
        <v>365</v>
      </c>
      <c r="Y3" s="3">
        <f>Assumptions!Y3</f>
        <v>365</v>
      </c>
      <c r="Z3" s="3">
        <f>Assumptions!Z3</f>
        <v>365</v>
      </c>
      <c r="AA3" s="3">
        <f>Assumptions!AA3</f>
        <v>366</v>
      </c>
      <c r="AB3" s="3">
        <f>Assumptions!AB3</f>
        <v>365</v>
      </c>
      <c r="AC3" s="3">
        <f>Assumptions!AC3</f>
        <v>365</v>
      </c>
      <c r="AD3" s="3">
        <f>Assumptions!AD3</f>
        <v>365</v>
      </c>
    </row>
    <row r="4" spans="1:30" x14ac:dyDescent="0.25">
      <c r="A4" s="2" t="str">
        <f>Assumptions!A4</f>
        <v>Year End</v>
      </c>
      <c r="B4" s="129"/>
      <c r="C4" s="129"/>
      <c r="D4" s="129"/>
      <c r="E4" s="129"/>
      <c r="F4" s="4">
        <f>Assumptions!F4</f>
        <v>42094</v>
      </c>
      <c r="G4" s="4">
        <f>Assumptions!G4</f>
        <v>42460</v>
      </c>
      <c r="H4" s="4">
        <f>Assumptions!H4</f>
        <v>42825</v>
      </c>
      <c r="I4" s="4">
        <f>Assumptions!I4</f>
        <v>43190</v>
      </c>
      <c r="J4" s="4">
        <f>Assumptions!J4</f>
        <v>43555</v>
      </c>
      <c r="K4" s="4">
        <f>Assumptions!K4</f>
        <v>43921</v>
      </c>
      <c r="L4" s="4">
        <f>Assumptions!L4</f>
        <v>44286</v>
      </c>
      <c r="M4" s="4">
        <f>Assumptions!M4</f>
        <v>44651</v>
      </c>
      <c r="N4" s="4">
        <f>Assumptions!N4</f>
        <v>45016</v>
      </c>
      <c r="O4" s="4">
        <f>Assumptions!O4</f>
        <v>45382</v>
      </c>
      <c r="P4" s="4">
        <f>Assumptions!P4</f>
        <v>45747</v>
      </c>
      <c r="Q4" s="4">
        <f>Assumptions!Q4</f>
        <v>46112</v>
      </c>
      <c r="R4" s="4">
        <f>Assumptions!R4</f>
        <v>46477</v>
      </c>
      <c r="S4" s="4">
        <f>Assumptions!S4</f>
        <v>46843</v>
      </c>
      <c r="T4" s="4">
        <f>Assumptions!T4</f>
        <v>47208</v>
      </c>
      <c r="U4" s="4">
        <f>Assumptions!U4</f>
        <v>47573</v>
      </c>
      <c r="V4" s="4">
        <f>Assumptions!V4</f>
        <v>47938</v>
      </c>
      <c r="W4" s="4">
        <f>Assumptions!W4</f>
        <v>48304</v>
      </c>
      <c r="X4" s="4">
        <f>Assumptions!X4</f>
        <v>48669</v>
      </c>
      <c r="Y4" s="4">
        <f>Assumptions!Y4</f>
        <v>49034</v>
      </c>
      <c r="Z4" s="4">
        <f>Assumptions!Z4</f>
        <v>49399</v>
      </c>
      <c r="AA4" s="4">
        <f>Assumptions!AA4</f>
        <v>49765</v>
      </c>
      <c r="AB4" s="4">
        <f>Assumptions!AB4</f>
        <v>50130</v>
      </c>
      <c r="AC4" s="4">
        <f>Assumptions!AC4</f>
        <v>50495</v>
      </c>
      <c r="AD4" s="4">
        <f>Assumptions!AD4</f>
        <v>50860</v>
      </c>
    </row>
    <row r="5" spans="1:30" x14ac:dyDescent="0.25">
      <c r="B5" s="131"/>
    </row>
    <row r="6" spans="1:30" x14ac:dyDescent="0.25">
      <c r="A6" s="138" t="s">
        <v>143</v>
      </c>
      <c r="B6" s="136"/>
      <c r="C6" s="135"/>
      <c r="D6" s="135"/>
      <c r="E6" s="135"/>
      <c r="F6" s="135"/>
      <c r="G6" s="135"/>
      <c r="H6" s="135"/>
      <c r="I6" s="135"/>
      <c r="J6" s="135"/>
      <c r="K6" s="137"/>
      <c r="L6" s="137"/>
      <c r="M6" s="137"/>
      <c r="N6" s="137">
        <f>Assumptions!$C$19</f>
        <v>0.22</v>
      </c>
      <c r="O6" s="137">
        <f>Assumptions!$C$19</f>
        <v>0.22</v>
      </c>
      <c r="P6" s="137">
        <f>Assumptions!$C$19</f>
        <v>0.22</v>
      </c>
      <c r="Q6" s="137">
        <f>Assumptions!$C$19</f>
        <v>0.22</v>
      </c>
      <c r="R6" s="137">
        <f>Assumptions!$C$19</f>
        <v>0.22</v>
      </c>
      <c r="S6" s="137">
        <f>Assumptions!$C$19</f>
        <v>0.22</v>
      </c>
      <c r="T6" s="137">
        <f>Assumptions!$C$19</f>
        <v>0.22</v>
      </c>
      <c r="U6" s="137">
        <f>Assumptions!$C$19</f>
        <v>0.22</v>
      </c>
      <c r="V6" s="137">
        <f>Assumptions!$C$19</f>
        <v>0.22</v>
      </c>
      <c r="W6" s="137">
        <f>Assumptions!$C$19</f>
        <v>0.22</v>
      </c>
      <c r="X6" s="137">
        <f>Assumptions!$C$19</f>
        <v>0.22</v>
      </c>
      <c r="Y6" s="137">
        <f>Assumptions!$C$19</f>
        <v>0.22</v>
      </c>
      <c r="Z6" s="137">
        <f>Assumptions!$C$19</f>
        <v>0.22</v>
      </c>
      <c r="AA6" s="137">
        <f>Assumptions!$C$19</f>
        <v>0.22</v>
      </c>
      <c r="AB6" s="137">
        <f>Assumptions!$C$19</f>
        <v>0.22</v>
      </c>
      <c r="AC6" s="137">
        <f>Assumptions!$C$19</f>
        <v>0.22</v>
      </c>
      <c r="AD6" s="137">
        <f>Assumptions!$C$19</f>
        <v>0.22</v>
      </c>
    </row>
    <row r="8" spans="1:30" x14ac:dyDescent="0.25">
      <c r="A8" s="119" t="s">
        <v>138</v>
      </c>
    </row>
    <row r="9" spans="1:30" x14ac:dyDescent="0.25">
      <c r="A9" s="2" t="s">
        <v>139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f>(Assumptions!$C$18*N6)*(24*'RKA P&amp;L'!N3*1000)</f>
        <v>57816000</v>
      </c>
      <c r="O9" s="2">
        <f>(Assumptions!$C$18*O6)*(24*'RKA P&amp;L'!O3*1000)</f>
        <v>57974400</v>
      </c>
      <c r="P9" s="2">
        <f>(Assumptions!$C$18*P6)*(24*'RKA P&amp;L'!P3*1000)</f>
        <v>57816000</v>
      </c>
      <c r="Q9" s="2">
        <f>(Assumptions!$C$18*Q6)*(24*'RKA P&amp;L'!Q3*1000)</f>
        <v>57816000</v>
      </c>
      <c r="R9" s="2">
        <f>(Assumptions!$C$18*R6)*(24*'RKA P&amp;L'!R3*1000)</f>
        <v>57816000</v>
      </c>
      <c r="S9" s="2">
        <f>(Assumptions!$C$18*S6)*(24*'RKA P&amp;L'!S3*1000)</f>
        <v>57974400</v>
      </c>
      <c r="T9" s="2">
        <f>(Assumptions!$C$18*T6)*(24*'RKA P&amp;L'!T3*1000)</f>
        <v>57816000</v>
      </c>
      <c r="U9" s="2">
        <f>(Assumptions!$C$18*U6)*(24*'RKA P&amp;L'!U3*1000)</f>
        <v>57816000</v>
      </c>
      <c r="V9" s="2">
        <f>(Assumptions!$C$18*V6)*(24*'RKA P&amp;L'!V3*1000)</f>
        <v>57816000</v>
      </c>
      <c r="W9" s="2">
        <f>(Assumptions!$C$18*W6)*(24*'RKA P&amp;L'!W3*1000)</f>
        <v>57974400</v>
      </c>
      <c r="X9" s="2">
        <f>(Assumptions!$C$18*X6)*(24*'RKA P&amp;L'!X3*1000)</f>
        <v>57816000</v>
      </c>
      <c r="Y9" s="2">
        <f>(Assumptions!$C$18*Y6)*(24*'RKA P&amp;L'!Y3*1000)</f>
        <v>57816000</v>
      </c>
      <c r="Z9" s="2">
        <f>(Assumptions!$C$18*Z6)*(24*'RKA P&amp;L'!Z3*1000)</f>
        <v>57816000</v>
      </c>
      <c r="AA9" s="2">
        <f>(Assumptions!$C$18*AA6)*(24*'RKA P&amp;L'!AA3*1000)</f>
        <v>57974400</v>
      </c>
      <c r="AB9" s="2">
        <f>(Assumptions!$C$18*AB6)*(24*'RKA P&amp;L'!AB3*1000)</f>
        <v>57816000</v>
      </c>
      <c r="AC9" s="2">
        <f>(Assumptions!$C$18*AC6)*(24*'RKA P&amp;L'!AC3*1000)</f>
        <v>57816000</v>
      </c>
      <c r="AD9" s="2">
        <f>(Assumptions!$C$18*AD6)*(24*'RKA P&amp;L'!AD3*1000)</f>
        <v>57816000</v>
      </c>
    </row>
    <row r="10" spans="1:30" x14ac:dyDescent="0.25">
      <c r="A10" s="2" t="str">
        <f>Assumptions!A21</f>
        <v>Auxiliary Consumption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f>N9*Assumptions!$C$21</f>
        <v>28908</v>
      </c>
      <c r="O10" s="2">
        <f>O9*Assumptions!$C$21</f>
        <v>28987.200000000001</v>
      </c>
      <c r="P10" s="2">
        <f>P9*Assumptions!$C$21</f>
        <v>28908</v>
      </c>
      <c r="Q10" s="2">
        <f>Q9*Assumptions!$C$21</f>
        <v>28908</v>
      </c>
      <c r="R10" s="2">
        <f>R9*Assumptions!$C$21</f>
        <v>28908</v>
      </c>
      <c r="S10" s="2">
        <f>S9*Assumptions!$C$21</f>
        <v>28987.200000000001</v>
      </c>
      <c r="T10" s="2">
        <f>T9*Assumptions!$C$21</f>
        <v>28908</v>
      </c>
      <c r="U10" s="2">
        <f>U9*Assumptions!$C$21</f>
        <v>28908</v>
      </c>
      <c r="V10" s="2">
        <f>V9*Assumptions!$C$21</f>
        <v>28908</v>
      </c>
      <c r="W10" s="2">
        <f>W9*Assumptions!$C$21</f>
        <v>28987.200000000001</v>
      </c>
      <c r="X10" s="2">
        <f>X9*Assumptions!$C$21</f>
        <v>28908</v>
      </c>
      <c r="Y10" s="2">
        <f>Y9*Assumptions!$C$21</f>
        <v>28908</v>
      </c>
      <c r="Z10" s="2">
        <f>Z9*Assumptions!$C$21</f>
        <v>28908</v>
      </c>
      <c r="AA10" s="2">
        <f>AA9*Assumptions!$C$21</f>
        <v>28987.200000000001</v>
      </c>
      <c r="AB10" s="2">
        <f>AB9*Assumptions!$C$21</f>
        <v>28908</v>
      </c>
      <c r="AC10" s="2">
        <f>AC9*Assumptions!$C$21</f>
        <v>28908</v>
      </c>
      <c r="AD10" s="2">
        <f>AD9*Assumptions!$C$21</f>
        <v>28908</v>
      </c>
    </row>
    <row r="11" spans="1:30" x14ac:dyDescent="0.25">
      <c r="A11" s="109" t="s">
        <v>140</v>
      </c>
      <c r="B11" s="2"/>
      <c r="C11" s="2"/>
      <c r="D11" s="2"/>
      <c r="E11" s="2"/>
      <c r="F11" s="2"/>
      <c r="G11" s="2"/>
      <c r="H11" s="2"/>
      <c r="I11" s="2"/>
      <c r="J11" s="2"/>
      <c r="K11" s="109"/>
      <c r="L11" s="109"/>
      <c r="M11" s="109"/>
      <c r="N11" s="109">
        <f t="shared" ref="N11:AB11" si="0">N9-N10</f>
        <v>57787092</v>
      </c>
      <c r="O11" s="109">
        <f t="shared" si="0"/>
        <v>57945412.799999997</v>
      </c>
      <c r="P11" s="109">
        <f t="shared" si="0"/>
        <v>57787092</v>
      </c>
      <c r="Q11" s="109">
        <f t="shared" si="0"/>
        <v>57787092</v>
      </c>
      <c r="R11" s="109">
        <f t="shared" si="0"/>
        <v>57787092</v>
      </c>
      <c r="S11" s="109">
        <f t="shared" si="0"/>
        <v>57945412.799999997</v>
      </c>
      <c r="T11" s="109">
        <f t="shared" si="0"/>
        <v>57787092</v>
      </c>
      <c r="U11" s="109">
        <f t="shared" si="0"/>
        <v>57787092</v>
      </c>
      <c r="V11" s="109">
        <f t="shared" si="0"/>
        <v>57787092</v>
      </c>
      <c r="W11" s="109">
        <f t="shared" si="0"/>
        <v>57945412.799999997</v>
      </c>
      <c r="X11" s="109">
        <f t="shared" si="0"/>
        <v>57787092</v>
      </c>
      <c r="Y11" s="109">
        <f t="shared" si="0"/>
        <v>57787092</v>
      </c>
      <c r="Z11" s="109">
        <f t="shared" si="0"/>
        <v>57787092</v>
      </c>
      <c r="AA11" s="109">
        <f t="shared" si="0"/>
        <v>57945412.799999997</v>
      </c>
      <c r="AB11" s="109">
        <f t="shared" si="0"/>
        <v>57787092</v>
      </c>
      <c r="AC11" s="109">
        <f t="shared" ref="AC11:AD11" si="1">AC9-AC10</f>
        <v>57787092</v>
      </c>
      <c r="AD11" s="109">
        <f t="shared" si="1"/>
        <v>57787092</v>
      </c>
    </row>
    <row r="13" spans="1:30" x14ac:dyDescent="0.25">
      <c r="A13" s="109" t="s">
        <v>141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3"/>
      <c r="L13" s="133"/>
      <c r="M13" s="133"/>
      <c r="N13" s="133">
        <f>Assumptions!N29</f>
        <v>5.81</v>
      </c>
      <c r="O13" s="133">
        <f>Assumptions!O29</f>
        <v>5.81</v>
      </c>
      <c r="P13" s="133">
        <f>Assumptions!P29</f>
        <v>5.81</v>
      </c>
      <c r="Q13" s="133">
        <f>Assumptions!Q29</f>
        <v>5.81</v>
      </c>
      <c r="R13" s="133">
        <f>Assumptions!R29</f>
        <v>5.81</v>
      </c>
      <c r="S13" s="133">
        <f>Assumptions!S29</f>
        <v>2.75</v>
      </c>
      <c r="T13" s="133">
        <f>Assumptions!T29</f>
        <v>2.75</v>
      </c>
      <c r="U13" s="133">
        <f>Assumptions!U29</f>
        <v>2.75</v>
      </c>
      <c r="V13" s="133">
        <f>Assumptions!V29</f>
        <v>2.75</v>
      </c>
      <c r="W13" s="133">
        <f>Assumptions!W29</f>
        <v>2.75</v>
      </c>
      <c r="X13" s="133">
        <f>Assumptions!X29</f>
        <v>2.75</v>
      </c>
      <c r="Y13" s="133">
        <f>Assumptions!Y29</f>
        <v>2.75</v>
      </c>
      <c r="Z13" s="133">
        <f>Assumptions!Z29</f>
        <v>2.75</v>
      </c>
      <c r="AA13" s="133">
        <f>Assumptions!AA29</f>
        <v>2.75</v>
      </c>
      <c r="AB13" s="133">
        <f>Assumptions!AB29</f>
        <v>2.75</v>
      </c>
      <c r="AC13" s="133">
        <f>Assumptions!AC29</f>
        <v>2.75</v>
      </c>
      <c r="AD13" s="133">
        <f>Assumptions!AD29</f>
        <v>2.75</v>
      </c>
    </row>
    <row r="15" spans="1:30" x14ac:dyDescent="0.25">
      <c r="A15" s="119" t="s">
        <v>142</v>
      </c>
    </row>
    <row r="16" spans="1:30" x14ac:dyDescent="0.25">
      <c r="A16" s="2" t="s">
        <v>235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155" t="s">
        <v>233</v>
      </c>
      <c r="B17" s="2"/>
      <c r="C17" s="2"/>
      <c r="D17" s="2"/>
      <c r="E17" s="2"/>
      <c r="F17" s="2"/>
      <c r="G17" s="2"/>
      <c r="H17" s="2"/>
      <c r="I17" s="2"/>
      <c r="J17" s="2"/>
      <c r="K17" s="103"/>
      <c r="L17" s="103"/>
      <c r="M17" s="103"/>
      <c r="N17" s="243">
        <f t="shared" ref="N17:AB17" si="2">(N11*N13)/(10^7)</f>
        <v>33.574300451999996</v>
      </c>
      <c r="O17" s="243">
        <f t="shared" si="2"/>
        <v>33.666284836799996</v>
      </c>
      <c r="P17" s="243">
        <f t="shared" si="2"/>
        <v>33.574300451999996</v>
      </c>
      <c r="Q17" s="243">
        <f t="shared" si="2"/>
        <v>33.574300451999996</v>
      </c>
      <c r="R17" s="243">
        <f t="shared" si="2"/>
        <v>33.574300451999996</v>
      </c>
      <c r="S17" s="243">
        <f t="shared" si="2"/>
        <v>15.934988519999999</v>
      </c>
      <c r="T17" s="243">
        <f t="shared" si="2"/>
        <v>15.891450300000001</v>
      </c>
      <c r="U17" s="243">
        <f t="shared" si="2"/>
        <v>15.891450300000001</v>
      </c>
      <c r="V17" s="243">
        <f t="shared" si="2"/>
        <v>15.891450300000001</v>
      </c>
      <c r="W17" s="243">
        <f t="shared" si="2"/>
        <v>15.934988519999999</v>
      </c>
      <c r="X17" s="243">
        <f t="shared" si="2"/>
        <v>15.891450300000001</v>
      </c>
      <c r="Y17" s="243">
        <f t="shared" si="2"/>
        <v>15.891450300000001</v>
      </c>
      <c r="Z17" s="243">
        <f t="shared" si="2"/>
        <v>15.891450300000001</v>
      </c>
      <c r="AA17" s="243">
        <f t="shared" si="2"/>
        <v>15.934988519999999</v>
      </c>
      <c r="AB17" s="243">
        <f t="shared" si="2"/>
        <v>15.891450300000001</v>
      </c>
      <c r="AC17" s="243">
        <f t="shared" ref="AC17:AD17" si="3">(AC11*AC13)/(10^7)</f>
        <v>15.891450300000001</v>
      </c>
      <c r="AD17" s="243">
        <f t="shared" si="3"/>
        <v>15.891450300000001</v>
      </c>
    </row>
    <row r="18" spans="1:30" ht="15.75" thickBot="1" x14ac:dyDescent="0.3">
      <c r="A18" s="155" t="s">
        <v>234</v>
      </c>
      <c r="B18" s="2"/>
      <c r="C18" s="2"/>
      <c r="D18" s="2"/>
      <c r="E18" s="2"/>
      <c r="F18" s="2"/>
      <c r="G18" s="2"/>
      <c r="H18" s="2"/>
      <c r="I18" s="2"/>
      <c r="J18" s="2"/>
      <c r="K18" s="200"/>
      <c r="L18" s="200"/>
      <c r="M18" s="200"/>
      <c r="N18" s="244">
        <f>(N11*Assumptions!$C$31)/(10^7)</f>
        <v>2.8893545999999999</v>
      </c>
      <c r="O18" s="244">
        <f>(O11*Assumptions!$C$31)/(10^7)</f>
        <v>2.8972706399999999</v>
      </c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</row>
    <row r="19" spans="1:30" s="128" customFormat="1" x14ac:dyDescent="0.25">
      <c r="A19" s="267"/>
      <c r="B19" s="61"/>
      <c r="C19" s="61"/>
      <c r="D19" s="61"/>
      <c r="E19" s="61"/>
      <c r="F19" s="61"/>
      <c r="G19" s="61"/>
      <c r="H19" s="61"/>
      <c r="I19" s="61"/>
      <c r="J19" s="61"/>
      <c r="K19" s="201"/>
      <c r="L19" s="201"/>
      <c r="M19" s="201"/>
      <c r="N19" s="248">
        <f t="shared" ref="N19:AD19" si="4">SUM(N17:N18)</f>
        <v>36.463655051999993</v>
      </c>
      <c r="O19" s="248">
        <f t="shared" si="4"/>
        <v>36.563555476799998</v>
      </c>
      <c r="P19" s="248">
        <f t="shared" si="4"/>
        <v>33.574300451999996</v>
      </c>
      <c r="Q19" s="248">
        <f t="shared" si="4"/>
        <v>33.574300451999996</v>
      </c>
      <c r="R19" s="248">
        <f t="shared" si="4"/>
        <v>33.574300451999996</v>
      </c>
      <c r="S19" s="248">
        <f t="shared" si="4"/>
        <v>15.934988519999999</v>
      </c>
      <c r="T19" s="248">
        <f t="shared" si="4"/>
        <v>15.891450300000001</v>
      </c>
      <c r="U19" s="248">
        <f t="shared" si="4"/>
        <v>15.891450300000001</v>
      </c>
      <c r="V19" s="248">
        <f t="shared" si="4"/>
        <v>15.891450300000001</v>
      </c>
      <c r="W19" s="248">
        <f t="shared" si="4"/>
        <v>15.934988519999999</v>
      </c>
      <c r="X19" s="248">
        <f t="shared" si="4"/>
        <v>15.891450300000001</v>
      </c>
      <c r="Y19" s="248">
        <f t="shared" si="4"/>
        <v>15.891450300000001</v>
      </c>
      <c r="Z19" s="248">
        <f t="shared" si="4"/>
        <v>15.891450300000001</v>
      </c>
      <c r="AA19" s="248">
        <f t="shared" si="4"/>
        <v>15.934988519999999</v>
      </c>
      <c r="AB19" s="248">
        <f t="shared" si="4"/>
        <v>15.891450300000001</v>
      </c>
      <c r="AC19" s="248">
        <f t="shared" si="4"/>
        <v>15.891450300000001</v>
      </c>
      <c r="AD19" s="248">
        <f t="shared" si="4"/>
        <v>15.891450300000001</v>
      </c>
    </row>
    <row r="20" spans="1:30" x14ac:dyDescent="0.25">
      <c r="A20" s="199" t="s">
        <v>236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</row>
    <row r="21" spans="1:30" x14ac:dyDescent="0.25">
      <c r="A21" s="155" t="s">
        <v>238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43">
        <f>Assumptions!$C$37*Assumptions!$C$38</f>
        <v>0.66718968750000007</v>
      </c>
      <c r="O21" s="243">
        <f>Assumptions!$C$37*Assumptions!$C$38</f>
        <v>0.66718968750000007</v>
      </c>
      <c r="P21" s="243">
        <f>Assumptions!$C$37*Assumptions!$C$38</f>
        <v>0.66718968750000007</v>
      </c>
      <c r="Q21" s="243">
        <f>Assumptions!$C$37*Assumptions!$C$38</f>
        <v>0.66718968750000007</v>
      </c>
      <c r="R21" s="243">
        <f>Assumptions!$C$37*Assumptions!$C$38</f>
        <v>0.66718968750000007</v>
      </c>
      <c r="S21" s="243">
        <f>Assumptions!$C$37*Assumptions!$C$38</f>
        <v>0.66718968750000007</v>
      </c>
      <c r="T21" s="243">
        <f>Assumptions!$C$37*Assumptions!$C$38</f>
        <v>0.66718968750000007</v>
      </c>
      <c r="U21" s="243">
        <f>Assumptions!$C$37*Assumptions!$C$38</f>
        <v>0.66718968750000007</v>
      </c>
      <c r="V21" s="243">
        <f>Assumptions!$C$37*Assumptions!$C$38</f>
        <v>0.66718968750000007</v>
      </c>
      <c r="W21" s="243">
        <f>Assumptions!$C$37*Assumptions!$C$38</f>
        <v>0.66718968750000007</v>
      </c>
      <c r="X21" s="243">
        <f>Assumptions!$C$37*Assumptions!$C$38</f>
        <v>0.66718968750000007</v>
      </c>
      <c r="Y21" s="243">
        <f>Assumptions!$C$37*Assumptions!$C$38</f>
        <v>0.66718968750000007</v>
      </c>
      <c r="Z21" s="243">
        <f>Assumptions!$C$37*Assumptions!$C$38</f>
        <v>0.66718968750000007</v>
      </c>
      <c r="AA21" s="243">
        <f>Assumptions!$C$37*Assumptions!$C$38</f>
        <v>0.66718968750000007</v>
      </c>
      <c r="AB21" s="243">
        <f>Assumptions!$C$37*Assumptions!$C$38</f>
        <v>0.66718968750000007</v>
      </c>
      <c r="AC21" s="243">
        <f>Assumptions!$C$37*Assumptions!$C$38</f>
        <v>0.66718968750000007</v>
      </c>
      <c r="AD21" s="243">
        <f>Assumptions!$C$37*Assumptions!$C$38</f>
        <v>0.66718968750000007</v>
      </c>
    </row>
    <row r="22" spans="1:30" x14ac:dyDescent="0.25">
      <c r="A22" s="155" t="s">
        <v>146</v>
      </c>
      <c r="B22" s="2"/>
      <c r="C22" s="2"/>
      <c r="D22" s="2"/>
      <c r="E22" s="2"/>
      <c r="F22" s="2"/>
      <c r="G22" s="2"/>
      <c r="H22" s="2"/>
      <c r="I22" s="2"/>
      <c r="J22" s="2"/>
      <c r="K22" s="156"/>
      <c r="L22" s="156"/>
      <c r="M22" s="156"/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6">
        <v>0</v>
      </c>
      <c r="W22" s="246">
        <v>0</v>
      </c>
      <c r="X22" s="246">
        <v>0</v>
      </c>
      <c r="Y22" s="246">
        <v>0</v>
      </c>
      <c r="Z22" s="246">
        <v>0</v>
      </c>
      <c r="AA22" s="246">
        <v>0</v>
      </c>
      <c r="AB22" s="246">
        <v>0</v>
      </c>
      <c r="AC22" s="246">
        <v>0</v>
      </c>
      <c r="AD22" s="243">
        <f>Assumptions!C70</f>
        <v>8.3494632038084085</v>
      </c>
    </row>
    <row r="23" spans="1:30" x14ac:dyDescent="0.25">
      <c r="A23" s="109" t="s">
        <v>147</v>
      </c>
      <c r="B23" s="2"/>
      <c r="C23" s="2"/>
      <c r="D23" s="2"/>
      <c r="E23" s="2"/>
      <c r="F23" s="2"/>
      <c r="G23" s="2"/>
      <c r="H23" s="2"/>
      <c r="I23" s="2"/>
      <c r="J23" s="2"/>
      <c r="K23" s="133"/>
      <c r="L23" s="133"/>
      <c r="M23" s="133"/>
      <c r="N23" s="247">
        <f t="shared" ref="N23:AB23" si="5">SUM(N19:N22)</f>
        <v>37.130844739499992</v>
      </c>
      <c r="O23" s="247">
        <f t="shared" si="5"/>
        <v>37.230745164299996</v>
      </c>
      <c r="P23" s="247">
        <f t="shared" si="5"/>
        <v>34.241490139499994</v>
      </c>
      <c r="Q23" s="247">
        <f t="shared" si="5"/>
        <v>34.241490139499994</v>
      </c>
      <c r="R23" s="247">
        <f t="shared" si="5"/>
        <v>34.241490139499994</v>
      </c>
      <c r="S23" s="247">
        <f t="shared" si="5"/>
        <v>16.6021782075</v>
      </c>
      <c r="T23" s="247">
        <f t="shared" si="5"/>
        <v>16.558639987500001</v>
      </c>
      <c r="U23" s="247">
        <f t="shared" si="5"/>
        <v>16.558639987500001</v>
      </c>
      <c r="V23" s="247">
        <f t="shared" si="5"/>
        <v>16.558639987500001</v>
      </c>
      <c r="W23" s="247">
        <f t="shared" si="5"/>
        <v>16.6021782075</v>
      </c>
      <c r="X23" s="247">
        <f t="shared" si="5"/>
        <v>16.558639987500001</v>
      </c>
      <c r="Y23" s="247">
        <f t="shared" si="5"/>
        <v>16.558639987500001</v>
      </c>
      <c r="Z23" s="247">
        <f t="shared" si="5"/>
        <v>16.558639987500001</v>
      </c>
      <c r="AA23" s="247">
        <f t="shared" si="5"/>
        <v>16.6021782075</v>
      </c>
      <c r="AB23" s="247">
        <f t="shared" si="5"/>
        <v>16.558639987500001</v>
      </c>
      <c r="AC23" s="247">
        <f t="shared" ref="AC23" si="6">SUM(AC19:AC22)</f>
        <v>16.558639987500001</v>
      </c>
      <c r="AD23" s="247">
        <f>SUM(AD19:AD22)</f>
        <v>24.90810319130841</v>
      </c>
    </row>
    <row r="24" spans="1:30" x14ac:dyDescent="0.25">
      <c r="A24" s="61" t="s">
        <v>148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</row>
    <row r="25" spans="1:30" x14ac:dyDescent="0.25">
      <c r="A25" s="2" t="s">
        <v>149</v>
      </c>
      <c r="B25" s="2"/>
      <c r="C25" s="2"/>
      <c r="D25" s="2"/>
      <c r="E25" s="2"/>
      <c r="F25" s="2"/>
      <c r="G25" s="2"/>
      <c r="H25" s="2"/>
      <c r="I25" s="2"/>
      <c r="J25" s="2"/>
      <c r="K25" s="103"/>
      <c r="L25" s="103"/>
      <c r="M25" s="103"/>
      <c r="N25" s="243">
        <f>Assumptions!C59*(1+Assumptions!$C$60)</f>
        <v>3.2718419999999999</v>
      </c>
      <c r="O25" s="243">
        <f>N25*(1+Assumptions!$C$60)</f>
        <v>3.4354341000000002</v>
      </c>
      <c r="P25" s="243">
        <f>O25*(1+Assumptions!$C$60)</f>
        <v>3.6072058050000004</v>
      </c>
      <c r="Q25" s="243">
        <f>P25*(1+Assumptions!$C$60)</f>
        <v>3.7875660952500008</v>
      </c>
      <c r="R25" s="243">
        <f>Q25*(1+Assumptions!$C$60)</f>
        <v>3.9769444000125009</v>
      </c>
      <c r="S25" s="243">
        <f>R25*(1+Assumptions!$C$60)</f>
        <v>4.1757916200131264</v>
      </c>
      <c r="T25" s="243">
        <f>S25*(1+Assumptions!$C$60)</f>
        <v>4.3845812010137832</v>
      </c>
      <c r="U25" s="243">
        <f>T25*(1+Assumptions!$C$60)</f>
        <v>4.6038102610644724</v>
      </c>
      <c r="V25" s="243">
        <f>U25*(1+Assumptions!$C$60)</f>
        <v>4.8340007741176967</v>
      </c>
      <c r="W25" s="243">
        <f>V25*(1+Assumptions!$C$60)</f>
        <v>5.0757008128235821</v>
      </c>
      <c r="X25" s="243">
        <f>W25*(1+Assumptions!$C$60)</f>
        <v>5.3294858534647611</v>
      </c>
      <c r="Y25" s="243">
        <f>X25*(1+Assumptions!$C$60)</f>
        <v>5.5959601461379993</v>
      </c>
      <c r="Z25" s="243">
        <f>Y25*(1+Assumptions!$C$60)</f>
        <v>5.8757581534448997</v>
      </c>
      <c r="AA25" s="243">
        <f>Z25*(1+Assumptions!$C$60)</f>
        <v>6.1695460611171447</v>
      </c>
      <c r="AB25" s="243">
        <f>AA25*(1+Assumptions!$C$60)</f>
        <v>6.4780233641730023</v>
      </c>
      <c r="AC25" s="243">
        <f>AB25*(1+Assumptions!$C$60)</f>
        <v>6.8019245323816531</v>
      </c>
      <c r="AD25" s="243">
        <f>AC25*(1+Assumptions!$C$60)</f>
        <v>7.1420207590007356</v>
      </c>
    </row>
    <row r="26" spans="1:30" x14ac:dyDescent="0.25">
      <c r="A26" s="2" t="s">
        <v>150</v>
      </c>
      <c r="B26" s="2"/>
      <c r="C26" s="2"/>
      <c r="D26" s="2"/>
      <c r="E26" s="2"/>
      <c r="F26" s="2"/>
      <c r="G26" s="2"/>
      <c r="H26" s="2"/>
      <c r="I26" s="2"/>
      <c r="J26" s="2"/>
      <c r="K26" s="103"/>
      <c r="L26" s="103"/>
      <c r="M26" s="103"/>
      <c r="N26" s="243">
        <f>Assumptions!C62*(1+Assumptions!$C$64)</f>
        <v>0.49555500000000002</v>
      </c>
      <c r="O26" s="243">
        <f>N26*(1+Assumptions!$C$64)</f>
        <v>0.52033275000000001</v>
      </c>
      <c r="P26" s="243">
        <f>O26*(1+Assumptions!$C$64)</f>
        <v>0.54634938750000006</v>
      </c>
      <c r="Q26" s="243">
        <f>P26*(1+Assumptions!$C$64)</f>
        <v>0.57366685687500008</v>
      </c>
      <c r="R26" s="243">
        <f>Q26*(1+Assumptions!$C$64)</f>
        <v>0.60235019971875015</v>
      </c>
      <c r="S26" s="243">
        <f>R26*(1+Assumptions!$C$64)</f>
        <v>0.63246770970468769</v>
      </c>
      <c r="T26" s="243">
        <f>S26*(1+Assumptions!$C$64)</f>
        <v>0.66409109518992215</v>
      </c>
      <c r="U26" s="243">
        <f>T26*(1+Assumptions!$C$64)</f>
        <v>0.69729564994941828</v>
      </c>
      <c r="V26" s="243">
        <f>U26*(1+Assumptions!$C$64)</f>
        <v>0.73216043244688922</v>
      </c>
      <c r="W26" s="243">
        <f>V26*(1+Assumptions!$C$64)</f>
        <v>0.76876845406923366</v>
      </c>
      <c r="X26" s="243">
        <f>W26*(1+Assumptions!$C$64)</f>
        <v>0.80720687677269543</v>
      </c>
      <c r="Y26" s="243">
        <f>X26*(1+Assumptions!$C$64)</f>
        <v>0.84756722061133027</v>
      </c>
      <c r="Z26" s="243">
        <f>Y26*(1+Assumptions!$C$64)</f>
        <v>0.88994558164189685</v>
      </c>
      <c r="AA26" s="243">
        <f>Z26*(1+Assumptions!$C$64)</f>
        <v>0.93444286072399174</v>
      </c>
      <c r="AB26" s="243">
        <f>AA26*(1+Assumptions!$C$64)</f>
        <v>0.98116500376019133</v>
      </c>
      <c r="AC26" s="243">
        <f>AB26*(1+Assumptions!$C$64)</f>
        <v>1.030223253948201</v>
      </c>
      <c r="AD26" s="243">
        <f>AC26*(1+Assumptions!$C$64)</f>
        <v>1.0817344166456111</v>
      </c>
    </row>
    <row r="27" spans="1:30" ht="15.75" thickBot="1" x14ac:dyDescent="0.3">
      <c r="A27" s="2" t="s">
        <v>151</v>
      </c>
      <c r="B27" s="2"/>
      <c r="C27" s="2"/>
      <c r="D27" s="2"/>
      <c r="E27" s="2"/>
      <c r="F27" s="2"/>
      <c r="G27" s="2"/>
      <c r="H27" s="2"/>
      <c r="I27" s="2"/>
      <c r="J27" s="2"/>
      <c r="K27" s="200"/>
      <c r="L27" s="200"/>
      <c r="M27" s="200"/>
      <c r="N27" s="244">
        <f>Assumptions!C63*(1+Assumptions!$C$64)</f>
        <v>0.74375000000000002</v>
      </c>
      <c r="O27" s="244">
        <f>N27*(1+Assumptions!$C$64)</f>
        <v>0.78093750000000006</v>
      </c>
      <c r="P27" s="244">
        <f>O27*(1+Assumptions!$C$64)</f>
        <v>0.8199843750000001</v>
      </c>
      <c r="Q27" s="244">
        <f>P27*(1+Assumptions!$C$64)</f>
        <v>0.86098359375000011</v>
      </c>
      <c r="R27" s="244">
        <f>Q27*(1+Assumptions!$C$64)</f>
        <v>0.9040327734375001</v>
      </c>
      <c r="S27" s="244">
        <f>R27*(1+Assumptions!$C$64)</f>
        <v>0.9492344121093752</v>
      </c>
      <c r="T27" s="244">
        <f>S27*(1+Assumptions!$C$64)</f>
        <v>0.99669613271484403</v>
      </c>
      <c r="U27" s="244">
        <f>T27*(1+Assumptions!$C$64)</f>
        <v>1.0465309393505862</v>
      </c>
      <c r="V27" s="244">
        <f>U27*(1+Assumptions!$C$64)</f>
        <v>1.0988574863181155</v>
      </c>
      <c r="W27" s="244">
        <f>V27*(1+Assumptions!$C$64)</f>
        <v>1.1538003606340212</v>
      </c>
      <c r="X27" s="244">
        <f>W27*(1+Assumptions!$C$64)</f>
        <v>1.2114903786657223</v>
      </c>
      <c r="Y27" s="244">
        <f>X27*(1+Assumptions!$C$64)</f>
        <v>1.2720648975990085</v>
      </c>
      <c r="Z27" s="244">
        <f>Y27*(1+Assumptions!$C$64)</f>
        <v>1.3356681424789589</v>
      </c>
      <c r="AA27" s="244">
        <f>Z27*(1+Assumptions!$C$64)</f>
        <v>1.4024515496029069</v>
      </c>
      <c r="AB27" s="244">
        <f>AA27*(1+Assumptions!$C$64)</f>
        <v>1.4725741270830524</v>
      </c>
      <c r="AC27" s="244">
        <f>AB27*(1+Assumptions!$C$64)</f>
        <v>1.5462028334372051</v>
      </c>
      <c r="AD27" s="244">
        <f>AC27*(1+Assumptions!$C$64)</f>
        <v>1.6235129751090653</v>
      </c>
    </row>
    <row r="28" spans="1:30" x14ac:dyDescent="0.25">
      <c r="A28" s="61" t="s">
        <v>152</v>
      </c>
      <c r="B28" s="2"/>
      <c r="C28" s="2"/>
      <c r="D28" s="2"/>
      <c r="E28" s="2"/>
      <c r="F28" s="2"/>
      <c r="G28" s="2"/>
      <c r="H28" s="2"/>
      <c r="I28" s="2"/>
      <c r="J28" s="2"/>
      <c r="K28" s="201"/>
      <c r="L28" s="201"/>
      <c r="M28" s="201"/>
      <c r="N28" s="248">
        <f t="shared" ref="N28:AB28" si="7">SUM(N25:N27)</f>
        <v>4.5111470000000002</v>
      </c>
      <c r="O28" s="248">
        <f t="shared" si="7"/>
        <v>4.7367043500000001</v>
      </c>
      <c r="P28" s="248">
        <f t="shared" si="7"/>
        <v>4.9735395675000005</v>
      </c>
      <c r="Q28" s="248">
        <f t="shared" si="7"/>
        <v>5.2222165458750007</v>
      </c>
      <c r="R28" s="248">
        <f t="shared" si="7"/>
        <v>5.4833273731687511</v>
      </c>
      <c r="S28" s="248">
        <f t="shared" si="7"/>
        <v>5.7574937418271901</v>
      </c>
      <c r="T28" s="248">
        <f t="shared" si="7"/>
        <v>6.0453684289185485</v>
      </c>
      <c r="U28" s="248">
        <f t="shared" si="7"/>
        <v>6.3476368503644771</v>
      </c>
      <c r="V28" s="248">
        <f t="shared" si="7"/>
        <v>6.6650186928827013</v>
      </c>
      <c r="W28" s="248">
        <f t="shared" si="7"/>
        <v>6.9982696275268363</v>
      </c>
      <c r="X28" s="248">
        <f t="shared" si="7"/>
        <v>7.3481831089031786</v>
      </c>
      <c r="Y28" s="248">
        <f t="shared" si="7"/>
        <v>7.7155922643483379</v>
      </c>
      <c r="Z28" s="248">
        <f t="shared" si="7"/>
        <v>8.1013718775657555</v>
      </c>
      <c r="AA28" s="248">
        <f t="shared" si="7"/>
        <v>8.5064404714440425</v>
      </c>
      <c r="AB28" s="248">
        <f t="shared" si="7"/>
        <v>8.9317624950162458</v>
      </c>
      <c r="AC28" s="248">
        <f t="shared" ref="AC28:AD28" si="8">SUM(AC25:AC27)</f>
        <v>9.3783506197670583</v>
      </c>
      <c r="AD28" s="248">
        <f t="shared" si="8"/>
        <v>9.8472681507554114</v>
      </c>
    </row>
    <row r="29" spans="1:30" x14ac:dyDescent="0.25">
      <c r="A29" s="109" t="s">
        <v>153</v>
      </c>
      <c r="B29" s="61"/>
      <c r="C29" s="61"/>
      <c r="D29" s="61"/>
      <c r="E29" s="61"/>
      <c r="F29" s="61"/>
      <c r="G29" s="61"/>
      <c r="H29" s="61"/>
      <c r="I29" s="61"/>
      <c r="J29" s="61"/>
      <c r="K29" s="133"/>
      <c r="L29" s="133"/>
      <c r="M29" s="133"/>
      <c r="N29" s="247">
        <f>N23-N28</f>
        <v>32.619697739499991</v>
      </c>
      <c r="O29" s="247">
        <f>O23-O28</f>
        <v>32.494040814299993</v>
      </c>
      <c r="P29" s="247">
        <f>P23-P28</f>
        <v>29.267950571999993</v>
      </c>
      <c r="Q29" s="247">
        <f>Q23-Q28</f>
        <v>29.019273593624995</v>
      </c>
      <c r="R29" s="247">
        <f>R23-R28</f>
        <v>28.758162766331242</v>
      </c>
      <c r="S29" s="247">
        <f>S23-S28</f>
        <v>10.84468446567281</v>
      </c>
      <c r="T29" s="247">
        <f>T23-T28</f>
        <v>10.513271558581453</v>
      </c>
      <c r="U29" s="247">
        <f>U23-U28</f>
        <v>10.211003137135524</v>
      </c>
      <c r="V29" s="247">
        <f>V23-V28</f>
        <v>9.8936212946173008</v>
      </c>
      <c r="W29" s="247">
        <f>W23-W28</f>
        <v>9.6039085799731634</v>
      </c>
      <c r="X29" s="247">
        <f>X23-X28</f>
        <v>9.2104568785968226</v>
      </c>
      <c r="Y29" s="247">
        <f>Y23-Y28</f>
        <v>8.8430477231516633</v>
      </c>
      <c r="Z29" s="247">
        <f>Z23-Z28</f>
        <v>8.4572681099342457</v>
      </c>
      <c r="AA29" s="247">
        <f>AA23-AA28</f>
        <v>8.0957377360559573</v>
      </c>
      <c r="AB29" s="247">
        <f>AB23-AB28</f>
        <v>7.6268774924837555</v>
      </c>
      <c r="AC29" s="247">
        <f>AC23-AC28</f>
        <v>7.1802893677329429</v>
      </c>
      <c r="AD29" s="247">
        <f>AD23-AD28</f>
        <v>15.060835040552998</v>
      </c>
    </row>
    <row r="30" spans="1:30" x14ac:dyDescent="0.25">
      <c r="A30" s="157" t="s">
        <v>154</v>
      </c>
      <c r="B30" s="61"/>
      <c r="C30" s="61"/>
      <c r="D30" s="61"/>
      <c r="E30" s="61"/>
      <c r="F30" s="61"/>
      <c r="G30" s="61"/>
      <c r="H30" s="61"/>
      <c r="I30" s="61"/>
      <c r="J30" s="61"/>
      <c r="K30" s="158"/>
      <c r="L30" s="158"/>
      <c r="M30" s="158"/>
      <c r="N30" s="249">
        <f t="shared" ref="N30:AB30" si="9">N29/N$23</f>
        <v>0.87850675007129531</v>
      </c>
      <c r="O30" s="249">
        <f t="shared" si="9"/>
        <v>0.87277438769767202</v>
      </c>
      <c r="P30" s="249">
        <f t="shared" si="9"/>
        <v>0.85475107691757057</v>
      </c>
      <c r="Q30" s="249">
        <f t="shared" si="9"/>
        <v>0.84748863076344916</v>
      </c>
      <c r="R30" s="249">
        <f t="shared" si="9"/>
        <v>0.83986306230162155</v>
      </c>
      <c r="S30" s="249">
        <f t="shared" si="9"/>
        <v>0.65320853264746581</v>
      </c>
      <c r="T30" s="249">
        <f t="shared" si="9"/>
        <v>0.63491153660674104</v>
      </c>
      <c r="U30" s="249">
        <f t="shared" si="9"/>
        <v>0.61665711343707796</v>
      </c>
      <c r="V30" s="249">
        <f t="shared" si="9"/>
        <v>0.59748996910893193</v>
      </c>
      <c r="W30" s="249">
        <f t="shared" si="9"/>
        <v>0.57847280398632372</v>
      </c>
      <c r="X30" s="249">
        <f t="shared" si="9"/>
        <v>0.55623269094259742</v>
      </c>
      <c r="Y30" s="249">
        <f t="shared" si="9"/>
        <v>0.53404432548972725</v>
      </c>
      <c r="Z30" s="249">
        <f t="shared" si="9"/>
        <v>0.51074654176421352</v>
      </c>
      <c r="AA30" s="249">
        <f t="shared" si="9"/>
        <v>0.48763105870040141</v>
      </c>
      <c r="AB30" s="249">
        <f t="shared" si="9"/>
        <v>0.46059806229504541</v>
      </c>
      <c r="AC30" s="249">
        <f t="shared" ref="AC30:AD30" si="10">AC29/AC$23</f>
        <v>0.43362796540979764</v>
      </c>
      <c r="AD30" s="249">
        <f t="shared" si="10"/>
        <v>0.60465604003954909</v>
      </c>
    </row>
    <row r="31" spans="1:30" x14ac:dyDescent="0.25">
      <c r="A31" s="2" t="s">
        <v>155</v>
      </c>
      <c r="B31" s="2"/>
      <c r="C31" s="2"/>
      <c r="D31" s="2"/>
      <c r="E31" s="2"/>
      <c r="F31" s="2"/>
      <c r="G31" s="2"/>
      <c r="H31" s="2"/>
      <c r="I31" s="2"/>
      <c r="J31" s="2"/>
      <c r="K31" s="103"/>
      <c r="L31" s="103"/>
      <c r="M31" s="103"/>
      <c r="N31" s="243">
        <f>'Depreciation Schedule'!H102</f>
        <v>6.6867288999999994</v>
      </c>
      <c r="O31" s="243">
        <f>'Depreciation Schedule'!I102</f>
        <v>6.686855398730744</v>
      </c>
      <c r="P31" s="243">
        <f>'Depreciation Schedule'!J102</f>
        <v>6.6869076261780576</v>
      </c>
      <c r="Q31" s="243">
        <f>'Depreciation Schedule'!K102</f>
        <v>6.6869076261780576</v>
      </c>
      <c r="R31" s="243">
        <f>'Depreciation Schedule'!L102</f>
        <v>6.6870246340469466</v>
      </c>
      <c r="S31" s="243">
        <f>'Depreciation Schedule'!M102</f>
        <v>6.6870246340469466</v>
      </c>
      <c r="T31" s="243">
        <f>'Depreciation Schedule'!N102</f>
        <v>6.6870246340469466</v>
      </c>
      <c r="U31" s="243">
        <f>'Depreciation Schedule'!O102</f>
        <v>6.6872035729755757</v>
      </c>
      <c r="V31" s="243">
        <f>'Depreciation Schedule'!P102</f>
        <v>6.6872035729755757</v>
      </c>
      <c r="W31" s="243">
        <f>'Depreciation Schedule'!Q102</f>
        <v>6.6872035729755757</v>
      </c>
      <c r="X31" s="243">
        <f>'Depreciation Schedule'!R102</f>
        <v>6.6873508654095088</v>
      </c>
      <c r="Y31" s="243">
        <f>'Depreciation Schedule'!S102</f>
        <v>6.6873703904391739</v>
      </c>
      <c r="Z31" s="243">
        <f>'Depreciation Schedule'!T102</f>
        <v>6.6874256404847792</v>
      </c>
      <c r="AA31" s="243">
        <f>'Depreciation Schedule'!U102</f>
        <v>6.6875908987248387</v>
      </c>
      <c r="AB31" s="243">
        <f>'Depreciation Schedule'!V102</f>
        <v>6.6875908987248387</v>
      </c>
      <c r="AC31" s="243">
        <f>'Depreciation Schedule'!W102</f>
        <v>6.6875908987248387</v>
      </c>
      <c r="AD31" s="243">
        <f>'Depreciation Schedule'!X102</f>
        <v>6.6860707728972146</v>
      </c>
    </row>
    <row r="32" spans="1:30" x14ac:dyDescent="0.25">
      <c r="A32" s="109" t="s">
        <v>156</v>
      </c>
      <c r="B32" s="2"/>
      <c r="C32" s="2"/>
      <c r="D32" s="2"/>
      <c r="E32" s="2"/>
      <c r="F32" s="2"/>
      <c r="G32" s="2"/>
      <c r="H32" s="2"/>
      <c r="I32" s="2"/>
      <c r="J32" s="2"/>
      <c r="K32" s="133"/>
      <c r="L32" s="133"/>
      <c r="M32" s="133"/>
      <c r="N32" s="247">
        <f t="shared" ref="N32:AD32" si="11">N29-N31</f>
        <v>25.932968839499992</v>
      </c>
      <c r="O32" s="247">
        <f t="shared" si="11"/>
        <v>25.807185415569251</v>
      </c>
      <c r="P32" s="247">
        <f t="shared" si="11"/>
        <v>22.581042945821935</v>
      </c>
      <c r="Q32" s="247">
        <f t="shared" si="11"/>
        <v>22.332365967446936</v>
      </c>
      <c r="R32" s="247">
        <f t="shared" si="11"/>
        <v>22.071138132284297</v>
      </c>
      <c r="S32" s="247">
        <f t="shared" si="11"/>
        <v>4.1576598316258631</v>
      </c>
      <c r="T32" s="247">
        <f t="shared" si="11"/>
        <v>3.8262469245345061</v>
      </c>
      <c r="U32" s="247">
        <f t="shared" si="11"/>
        <v>3.5237995641599484</v>
      </c>
      <c r="V32" s="247">
        <f t="shared" si="11"/>
        <v>3.2064177216417251</v>
      </c>
      <c r="W32" s="247">
        <f t="shared" si="11"/>
        <v>2.9167050069975877</v>
      </c>
      <c r="X32" s="247">
        <f t="shared" si="11"/>
        <v>2.5231060131873138</v>
      </c>
      <c r="Y32" s="247">
        <f t="shared" si="11"/>
        <v>2.1556773327124894</v>
      </c>
      <c r="Z32" s="247">
        <f t="shared" si="11"/>
        <v>1.7698424694494665</v>
      </c>
      <c r="AA32" s="247">
        <f t="shared" si="11"/>
        <v>1.4081468373311186</v>
      </c>
      <c r="AB32" s="247">
        <f t="shared" si="11"/>
        <v>0.93928659375891677</v>
      </c>
      <c r="AC32" s="247">
        <f t="shared" si="11"/>
        <v>0.49269846900810421</v>
      </c>
      <c r="AD32" s="247">
        <f t="shared" si="11"/>
        <v>8.3747642676557845</v>
      </c>
    </row>
    <row r="33" spans="1:30" x14ac:dyDescent="0.25">
      <c r="A33" s="157" t="s">
        <v>157</v>
      </c>
      <c r="B33" s="2"/>
      <c r="C33" s="2"/>
      <c r="D33" s="2"/>
      <c r="E33" s="2"/>
      <c r="F33" s="2"/>
      <c r="G33" s="2"/>
      <c r="H33" s="2"/>
      <c r="I33" s="2"/>
      <c r="J33" s="2"/>
      <c r="K33" s="158"/>
      <c r="L33" s="158"/>
      <c r="M33" s="158"/>
      <c r="N33" s="249">
        <f t="shared" ref="N33:AB33" si="12">N32/N$23</f>
        <v>0.69842119190766383</v>
      </c>
      <c r="O33" s="249">
        <f t="shared" si="12"/>
        <v>0.69316865138426975</v>
      </c>
      <c r="P33" s="249">
        <f t="shared" si="12"/>
        <v>0.65946437651593603</v>
      </c>
      <c r="Q33" s="249">
        <f t="shared" si="12"/>
        <v>0.65220193036181462</v>
      </c>
      <c r="R33" s="249">
        <f t="shared" si="12"/>
        <v>0.64457294476281191</v>
      </c>
      <c r="S33" s="249">
        <f t="shared" si="12"/>
        <v>0.25042857507382066</v>
      </c>
      <c r="T33" s="249">
        <f t="shared" si="12"/>
        <v>0.23107253539076353</v>
      </c>
      <c r="U33" s="249">
        <f t="shared" si="12"/>
        <v>0.21280730584275276</v>
      </c>
      <c r="V33" s="249">
        <f t="shared" si="12"/>
        <v>0.1936401615146067</v>
      </c>
      <c r="W33" s="249">
        <f t="shared" si="12"/>
        <v>0.17568206837341213</v>
      </c>
      <c r="X33" s="249">
        <f t="shared" si="12"/>
        <v>0.15237398814709352</v>
      </c>
      <c r="Y33" s="249">
        <f t="shared" si="12"/>
        <v>0.13018444354969941</v>
      </c>
      <c r="Z33" s="249">
        <f t="shared" si="12"/>
        <v>0.10688332319474957</v>
      </c>
      <c r="AA33" s="249">
        <f t="shared" si="12"/>
        <v>8.4816993272303937E-2</v>
      </c>
      <c r="AB33" s="249">
        <f t="shared" si="12"/>
        <v>5.6724863543622994E-2</v>
      </c>
      <c r="AC33" s="249">
        <f t="shared" ref="AC33:AD33" si="13">AC32/AC$23</f>
        <v>2.9754766658375252E-2</v>
      </c>
      <c r="AD33" s="249">
        <f t="shared" si="13"/>
        <v>0.33622649638685165</v>
      </c>
    </row>
    <row r="34" spans="1:30" x14ac:dyDescent="0.25">
      <c r="A34" s="2" t="s">
        <v>103</v>
      </c>
      <c r="B34" s="2"/>
      <c r="C34" s="2"/>
      <c r="D34" s="2"/>
      <c r="E34" s="2"/>
      <c r="F34" s="2"/>
      <c r="G34" s="2"/>
      <c r="H34" s="2"/>
      <c r="I34" s="2"/>
      <c r="J34" s="2"/>
      <c r="K34" s="156"/>
      <c r="L34" s="156"/>
      <c r="M34" s="156"/>
      <c r="N34" s="246">
        <f>'Debt Sch'!E17</f>
        <v>15.267316400000002</v>
      </c>
      <c r="O34" s="246">
        <f>'Debt Sch'!F17</f>
        <v>13.645164032500002</v>
      </c>
      <c r="P34" s="246">
        <f>'Debt Sch'!G17</f>
        <v>12.023011665000004</v>
      </c>
      <c r="Q34" s="246">
        <f>'Debt Sch'!H17</f>
        <v>10.400859297500004</v>
      </c>
      <c r="R34" s="246">
        <f>'Debt Sch'!I17</f>
        <v>8.7787069300000038</v>
      </c>
      <c r="S34" s="246">
        <f>'Debt Sch'!J17</f>
        <v>7.1565545625000038</v>
      </c>
      <c r="T34" s="246">
        <f>'Debt Sch'!K17</f>
        <v>5.5344021950000037</v>
      </c>
      <c r="U34" s="246">
        <f>'Debt Sch'!L17</f>
        <v>3.9122498275000028</v>
      </c>
      <c r="V34" s="246">
        <f>'Debt Sch'!M17</f>
        <v>2.2900974600000028</v>
      </c>
      <c r="W34" s="246">
        <f>'Debt Sch'!N17</f>
        <v>0</v>
      </c>
      <c r="X34" s="246">
        <f>'Debt Sch'!O17</f>
        <v>0</v>
      </c>
      <c r="Y34" s="246">
        <f>'Debt Sch'!P17</f>
        <v>0</v>
      </c>
      <c r="Z34" s="246">
        <f>'Debt Sch'!Q17</f>
        <v>0</v>
      </c>
      <c r="AA34" s="246">
        <f>'Debt Sch'!R17</f>
        <v>0</v>
      </c>
      <c r="AB34" s="246">
        <f>'Debt Sch'!S17</f>
        <v>0</v>
      </c>
      <c r="AC34" s="246">
        <f>'Debt Sch'!T17</f>
        <v>0</v>
      </c>
      <c r="AD34" s="246">
        <f>'Debt Sch'!U17</f>
        <v>0</v>
      </c>
    </row>
    <row r="35" spans="1:30" x14ac:dyDescent="0.25">
      <c r="A35" s="109" t="s">
        <v>158</v>
      </c>
      <c r="B35" s="61"/>
      <c r="C35" s="61"/>
      <c r="D35" s="61"/>
      <c r="E35" s="61"/>
      <c r="F35" s="61"/>
      <c r="G35" s="61"/>
      <c r="H35" s="61"/>
      <c r="I35" s="212">
        <v>0</v>
      </c>
      <c r="J35" s="212">
        <v>-0.98480000000000001</v>
      </c>
      <c r="K35" s="159"/>
      <c r="L35" s="159"/>
      <c r="M35" s="159"/>
      <c r="N35" s="250">
        <f t="shared" ref="N35:AD35" si="14">N32-N34</f>
        <v>10.66565243949999</v>
      </c>
      <c r="O35" s="250">
        <f t="shared" si="14"/>
        <v>12.162021383069249</v>
      </c>
      <c r="P35" s="250">
        <f t="shared" si="14"/>
        <v>10.558031280821931</v>
      </c>
      <c r="Q35" s="250">
        <f t="shared" si="14"/>
        <v>11.931506669946932</v>
      </c>
      <c r="R35" s="250">
        <f t="shared" si="14"/>
        <v>13.292431202284293</v>
      </c>
      <c r="S35" s="250">
        <f t="shared" si="14"/>
        <v>-2.9988947308741407</v>
      </c>
      <c r="T35" s="250">
        <f t="shared" si="14"/>
        <v>-1.7081552704654976</v>
      </c>
      <c r="U35" s="250">
        <f t="shared" si="14"/>
        <v>-0.38845026334005439</v>
      </c>
      <c r="V35" s="250">
        <f t="shared" si="14"/>
        <v>0.91632026164172231</v>
      </c>
      <c r="W35" s="250">
        <f t="shared" si="14"/>
        <v>2.9167050069975877</v>
      </c>
      <c r="X35" s="250">
        <f t="shared" si="14"/>
        <v>2.5231060131873138</v>
      </c>
      <c r="Y35" s="250">
        <f t="shared" si="14"/>
        <v>2.1556773327124894</v>
      </c>
      <c r="Z35" s="250">
        <f t="shared" si="14"/>
        <v>1.7698424694494665</v>
      </c>
      <c r="AA35" s="250">
        <f t="shared" si="14"/>
        <v>1.4081468373311186</v>
      </c>
      <c r="AB35" s="250">
        <f t="shared" si="14"/>
        <v>0.93928659375891677</v>
      </c>
      <c r="AC35" s="250">
        <f t="shared" si="14"/>
        <v>0.49269846900810421</v>
      </c>
      <c r="AD35" s="250">
        <f t="shared" si="14"/>
        <v>8.3747642676557845</v>
      </c>
    </row>
    <row r="36" spans="1:30" x14ac:dyDescent="0.25">
      <c r="A36" s="157" t="s">
        <v>159</v>
      </c>
      <c r="B36" s="2"/>
      <c r="C36" s="2"/>
      <c r="D36" s="2"/>
      <c r="E36" s="2"/>
      <c r="F36" s="2"/>
      <c r="G36" s="2"/>
      <c r="H36" s="2"/>
      <c r="I36" s="2"/>
      <c r="J36" s="2"/>
      <c r="K36" s="158"/>
      <c r="L36" s="158"/>
      <c r="M36" s="158"/>
      <c r="N36" s="249">
        <f t="shared" ref="N36:AB36" si="15">N35/N$23</f>
        <v>0.28724507924145909</v>
      </c>
      <c r="O36" s="249">
        <f t="shared" si="15"/>
        <v>0.32666607475617299</v>
      </c>
      <c r="P36" s="249">
        <f t="shared" si="15"/>
        <v>0.30834029821156911</v>
      </c>
      <c r="Q36" s="249">
        <f t="shared" si="15"/>
        <v>0.34845173563819559</v>
      </c>
      <c r="R36" s="249">
        <f t="shared" si="15"/>
        <v>0.38819663361994072</v>
      </c>
      <c r="S36" s="249">
        <f t="shared" si="15"/>
        <v>-0.18063260696234404</v>
      </c>
      <c r="T36" s="249">
        <f t="shared" si="15"/>
        <v>-0.103157944840577</v>
      </c>
      <c r="U36" s="249">
        <f t="shared" si="15"/>
        <v>-2.3459068113884516E-2</v>
      </c>
      <c r="V36" s="249">
        <f t="shared" si="15"/>
        <v>5.5337893832672604E-2</v>
      </c>
      <c r="W36" s="249">
        <f t="shared" si="15"/>
        <v>0.17568206837341213</v>
      </c>
      <c r="X36" s="249">
        <f t="shared" si="15"/>
        <v>0.15237398814709352</v>
      </c>
      <c r="Y36" s="249">
        <f t="shared" si="15"/>
        <v>0.13018444354969941</v>
      </c>
      <c r="Z36" s="249">
        <f t="shared" si="15"/>
        <v>0.10688332319474957</v>
      </c>
      <c r="AA36" s="249">
        <f t="shared" si="15"/>
        <v>8.4816993272303937E-2</v>
      </c>
      <c r="AB36" s="249">
        <f t="shared" si="15"/>
        <v>5.6724863543622994E-2</v>
      </c>
      <c r="AC36" s="249">
        <f t="shared" ref="AC36:AD36" si="16">AC35/AC$23</f>
        <v>2.9754766658375252E-2</v>
      </c>
      <c r="AD36" s="249">
        <f t="shared" si="16"/>
        <v>0.33622649638685165</v>
      </c>
    </row>
    <row r="37" spans="1:30" x14ac:dyDescent="0.25">
      <c r="A37" s="155" t="s">
        <v>176</v>
      </c>
      <c r="B37" s="2"/>
      <c r="C37" s="2"/>
      <c r="D37" s="2"/>
      <c r="E37" s="2"/>
      <c r="F37" s="2"/>
      <c r="G37" s="2"/>
      <c r="H37" s="2"/>
      <c r="I37" s="2"/>
      <c r="J37" s="2"/>
      <c r="K37" s="57"/>
      <c r="L37" s="57"/>
      <c r="M37" s="57"/>
      <c r="N37" s="251">
        <f t="shared" ref="N37:AB37" si="17">MAX(0,N47)*N68</f>
        <v>2.6845447190221474</v>
      </c>
      <c r="O37" s="251">
        <f t="shared" ca="1" si="17"/>
        <v>3.0611807821185297</v>
      </c>
      <c r="P37" s="251">
        <f t="shared" ca="1" si="17"/>
        <v>2.6574564733828798</v>
      </c>
      <c r="Q37" s="251">
        <f t="shared" ca="1" si="17"/>
        <v>3.0031602288256427</v>
      </c>
      <c r="R37" s="251">
        <f t="shared" ca="1" si="17"/>
        <v>3.3457049336149565</v>
      </c>
      <c r="S37" s="251">
        <f t="shared" ca="1" si="17"/>
        <v>0</v>
      </c>
      <c r="T37" s="251">
        <f t="shared" ca="1" si="17"/>
        <v>0</v>
      </c>
      <c r="U37" s="251">
        <f t="shared" ca="1" si="17"/>
        <v>0</v>
      </c>
      <c r="V37" s="251">
        <f t="shared" ca="1" si="17"/>
        <v>0</v>
      </c>
      <c r="W37" s="251">
        <f t="shared" ca="1" si="17"/>
        <v>0</v>
      </c>
      <c r="X37" s="251">
        <f t="shared" ca="1" si="17"/>
        <v>0.31730082701588253</v>
      </c>
      <c r="Y37" s="251">
        <f t="shared" ca="1" si="17"/>
        <v>0.54258398464373359</v>
      </c>
      <c r="Z37" s="251">
        <f t="shared" ca="1" si="17"/>
        <v>0.44546934956043072</v>
      </c>
      <c r="AA37" s="251">
        <f t="shared" ca="1" si="17"/>
        <v>0.35443055895624254</v>
      </c>
      <c r="AB37" s="251">
        <f t="shared" ca="1" si="17"/>
        <v>0.23641843564911932</v>
      </c>
      <c r="AC37" s="251">
        <f t="shared" ref="AC37:AD37" ca="1" si="18">MAX(0,AC47)*AC68</f>
        <v>0.12401220464933982</v>
      </c>
      <c r="AD37" s="251">
        <f t="shared" ca="1" si="18"/>
        <v>2.1079281661689606</v>
      </c>
    </row>
    <row r="38" spans="1:30" x14ac:dyDescent="0.25">
      <c r="A38" s="109" t="s">
        <v>177</v>
      </c>
      <c r="B38" s="61"/>
      <c r="C38" s="61"/>
      <c r="D38" s="61"/>
      <c r="E38" s="61"/>
      <c r="F38" s="61"/>
      <c r="G38" s="61"/>
      <c r="H38" s="61"/>
      <c r="I38" s="61"/>
      <c r="J38" s="61"/>
      <c r="K38" s="159"/>
      <c r="L38" s="159"/>
      <c r="M38" s="159"/>
      <c r="N38" s="250">
        <f t="shared" ref="N38:AD38" si="19">N35-N37</f>
        <v>7.9811077204778424</v>
      </c>
      <c r="O38" s="250">
        <f t="shared" ca="1" si="19"/>
        <v>9.1008406009507183</v>
      </c>
      <c r="P38" s="250">
        <f t="shared" ca="1" si="19"/>
        <v>7.9005748074390514</v>
      </c>
      <c r="Q38" s="250">
        <f t="shared" ca="1" si="19"/>
        <v>8.9283464411212901</v>
      </c>
      <c r="R38" s="250">
        <f t="shared" ca="1" si="19"/>
        <v>9.9467262686693374</v>
      </c>
      <c r="S38" s="250">
        <f t="shared" ca="1" si="19"/>
        <v>-2.9988947308741407</v>
      </c>
      <c r="T38" s="250">
        <f t="shared" ca="1" si="19"/>
        <v>-1.7081552704654976</v>
      </c>
      <c r="U38" s="250">
        <f t="shared" ca="1" si="19"/>
        <v>-0.38845026334005439</v>
      </c>
      <c r="V38" s="250">
        <f t="shared" ca="1" si="19"/>
        <v>0.91632026164172231</v>
      </c>
      <c r="W38" s="250">
        <f t="shared" ca="1" si="19"/>
        <v>2.9167050069975877</v>
      </c>
      <c r="X38" s="250">
        <f t="shared" ca="1" si="19"/>
        <v>2.2058051861714314</v>
      </c>
      <c r="Y38" s="250">
        <f t="shared" ca="1" si="19"/>
        <v>1.6130933480687557</v>
      </c>
      <c r="Z38" s="250">
        <f t="shared" ca="1" si="19"/>
        <v>1.3243731198890358</v>
      </c>
      <c r="AA38" s="250">
        <f t="shared" ca="1" si="19"/>
        <v>1.0537162783748761</v>
      </c>
      <c r="AB38" s="250">
        <f t="shared" ca="1" si="19"/>
        <v>0.70286815810979741</v>
      </c>
      <c r="AC38" s="250">
        <f t="shared" ca="1" si="19"/>
        <v>0.36868626435876439</v>
      </c>
      <c r="AD38" s="250">
        <f t="shared" ca="1" si="19"/>
        <v>6.2668361014868239</v>
      </c>
    </row>
    <row r="39" spans="1:30" x14ac:dyDescent="0.25">
      <c r="A39" s="157" t="s">
        <v>178</v>
      </c>
      <c r="B39" s="2"/>
      <c r="C39" s="2"/>
      <c r="D39" s="2"/>
      <c r="E39" s="2"/>
      <c r="F39" s="2"/>
      <c r="G39" s="2"/>
      <c r="H39" s="2"/>
      <c r="I39" s="2"/>
      <c r="J39" s="2"/>
      <c r="K39" s="158"/>
      <c r="L39" s="158"/>
      <c r="M39" s="158"/>
      <c r="N39" s="249">
        <f t="shared" ref="N39:AB39" si="20">N38/N$23</f>
        <v>0.21494549279638384</v>
      </c>
      <c r="O39" s="249">
        <f t="shared" ca="1" si="20"/>
        <v>0.24444422374004424</v>
      </c>
      <c r="P39" s="249">
        <f t="shared" ca="1" si="20"/>
        <v>0.23073104515171716</v>
      </c>
      <c r="Q39" s="249">
        <f t="shared" ca="1" si="20"/>
        <v>0.26074643377806178</v>
      </c>
      <c r="R39" s="249">
        <f t="shared" ca="1" si="20"/>
        <v>0.29048754093780171</v>
      </c>
      <c r="S39" s="249">
        <f t="shared" ca="1" si="20"/>
        <v>-0.18063260696234404</v>
      </c>
      <c r="T39" s="249">
        <f t="shared" ca="1" si="20"/>
        <v>-0.103157944840577</v>
      </c>
      <c r="U39" s="249">
        <f t="shared" ca="1" si="20"/>
        <v>-2.3459068113884516E-2</v>
      </c>
      <c r="V39" s="249">
        <f t="shared" ca="1" si="20"/>
        <v>5.5337893832672604E-2</v>
      </c>
      <c r="W39" s="249">
        <f t="shared" ca="1" si="20"/>
        <v>0.17568206837341213</v>
      </c>
      <c r="X39" s="249">
        <f t="shared" ca="1" si="20"/>
        <v>0.13321173646124188</v>
      </c>
      <c r="Y39" s="249">
        <f t="shared" ca="1" si="20"/>
        <v>9.7417019108240063E-2</v>
      </c>
      <c r="Z39" s="249">
        <f t="shared" ca="1" si="20"/>
        <v>7.99807907466311E-2</v>
      </c>
      <c r="AA39" s="249">
        <f t="shared" ca="1" si="20"/>
        <v>6.3468556065665052E-2</v>
      </c>
      <c r="AB39" s="249">
        <f t="shared" ca="1" si="20"/>
        <v>4.2447215389693087E-2</v>
      </c>
      <c r="AC39" s="249">
        <f t="shared" ref="AC39:AD39" ca="1" si="21">AC38/AC$23</f>
        <v>2.2265491890462202E-2</v>
      </c>
      <c r="AD39" s="249">
        <f t="shared" ca="1" si="21"/>
        <v>0.25159828724628108</v>
      </c>
    </row>
    <row r="42" spans="1:30" x14ac:dyDescent="0.25">
      <c r="A42" s="139" t="s">
        <v>160</v>
      </c>
      <c r="B42" s="153" t="s">
        <v>113</v>
      </c>
      <c r="C42" s="139"/>
      <c r="D42" s="139"/>
      <c r="E42" s="139"/>
      <c r="F42" s="139"/>
      <c r="G42" s="139"/>
      <c r="H42" s="139">
        <v>8</v>
      </c>
      <c r="I42" s="5"/>
      <c r="J42" s="140"/>
      <c r="K42" s="141"/>
      <c r="L42" s="141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30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0"/>
      <c r="K43" s="141"/>
      <c r="L43" s="141"/>
      <c r="M43" s="142"/>
      <c r="N43" s="142"/>
      <c r="O43" s="142"/>
      <c r="P43" s="142"/>
      <c r="Q43" s="142"/>
      <c r="R43" s="142"/>
      <c r="S43" s="142"/>
      <c r="T43" s="142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25">
      <c r="A44" s="143" t="s">
        <v>161</v>
      </c>
      <c r="B44" s="144"/>
      <c r="C44" s="144"/>
      <c r="D44" s="144"/>
      <c r="E44" s="144"/>
      <c r="F44" s="144"/>
      <c r="G44" s="144"/>
      <c r="H44" s="141"/>
      <c r="I44" s="141"/>
      <c r="J44" s="140"/>
      <c r="K44" s="141"/>
      <c r="L44" s="141"/>
      <c r="M44" s="142"/>
      <c r="N44" s="142"/>
      <c r="O44" s="142"/>
      <c r="P44" s="142"/>
      <c r="Q44" s="142"/>
      <c r="R44" s="142"/>
      <c r="S44" s="142"/>
      <c r="T44" s="142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x14ac:dyDescent="0.25">
      <c r="A45" s="139" t="s">
        <v>162</v>
      </c>
      <c r="B45" s="139"/>
      <c r="C45" s="139"/>
      <c r="D45" s="139"/>
      <c r="E45" s="139"/>
      <c r="F45" s="139"/>
      <c r="G45" s="139"/>
      <c r="H45" s="139"/>
      <c r="I45" s="145" t="e">
        <f>#REF!</f>
        <v>#REF!</v>
      </c>
      <c r="J45" s="145" t="e">
        <f>#REF!</f>
        <v>#REF!</v>
      </c>
      <c r="K45" s="145"/>
      <c r="L45" s="145"/>
      <c r="M45" s="145"/>
      <c r="N45" s="145">
        <f t="shared" ref="N45:AD45" si="22">N35</f>
        <v>10.66565243949999</v>
      </c>
      <c r="O45" s="145">
        <f t="shared" si="22"/>
        <v>12.162021383069249</v>
      </c>
      <c r="P45" s="145">
        <f t="shared" si="22"/>
        <v>10.558031280821931</v>
      </c>
      <c r="Q45" s="145">
        <f t="shared" si="22"/>
        <v>11.931506669946932</v>
      </c>
      <c r="R45" s="145">
        <f t="shared" si="22"/>
        <v>13.292431202284293</v>
      </c>
      <c r="S45" s="145">
        <f t="shared" si="22"/>
        <v>-2.9988947308741407</v>
      </c>
      <c r="T45" s="145">
        <f t="shared" si="22"/>
        <v>-1.7081552704654976</v>
      </c>
      <c r="U45" s="145">
        <f t="shared" si="22"/>
        <v>-0.38845026334005439</v>
      </c>
      <c r="V45" s="145">
        <f t="shared" si="22"/>
        <v>0.91632026164172231</v>
      </c>
      <c r="W45" s="145">
        <f t="shared" si="22"/>
        <v>2.9167050069975877</v>
      </c>
      <c r="X45" s="145">
        <f t="shared" si="22"/>
        <v>2.5231060131873138</v>
      </c>
      <c r="Y45" s="145">
        <f t="shared" si="22"/>
        <v>2.1556773327124894</v>
      </c>
      <c r="Z45" s="145">
        <f t="shared" si="22"/>
        <v>1.7698424694494665</v>
      </c>
      <c r="AA45" s="145">
        <f t="shared" si="22"/>
        <v>1.4081468373311186</v>
      </c>
      <c r="AB45" s="145">
        <f t="shared" si="22"/>
        <v>0.93928659375891677</v>
      </c>
      <c r="AC45" s="145">
        <f t="shared" si="22"/>
        <v>0.49269846900810421</v>
      </c>
      <c r="AD45" s="145">
        <f t="shared" si="22"/>
        <v>8.3747642676557845</v>
      </c>
    </row>
    <row r="46" spans="1:30" x14ac:dyDescent="0.25">
      <c r="A46" s="139" t="s">
        <v>163</v>
      </c>
      <c r="B46" s="139"/>
      <c r="C46" s="139"/>
      <c r="D46" s="139"/>
      <c r="E46" s="139"/>
      <c r="F46" s="139"/>
      <c r="G46" s="139"/>
      <c r="H46" s="139"/>
      <c r="I46" s="145" t="e">
        <f t="shared" ref="I46:AB46" si="23">I52</f>
        <v>#REF!</v>
      </c>
      <c r="J46" s="145" t="e">
        <f t="shared" si="23"/>
        <v>#REF!</v>
      </c>
      <c r="K46" s="145"/>
      <c r="L46" s="145"/>
      <c r="M46" s="145"/>
      <c r="N46" s="145">
        <f t="shared" si="23"/>
        <v>0</v>
      </c>
      <c r="O46" s="145">
        <f t="shared" ca="1" si="23"/>
        <v>0</v>
      </c>
      <c r="P46" s="145">
        <f t="shared" ca="1" si="23"/>
        <v>0</v>
      </c>
      <c r="Q46" s="145">
        <f t="shared" ca="1" si="23"/>
        <v>0</v>
      </c>
      <c r="R46" s="145">
        <f t="shared" ca="1" si="23"/>
        <v>0</v>
      </c>
      <c r="S46" s="145">
        <f t="shared" ca="1" si="23"/>
        <v>0</v>
      </c>
      <c r="T46" s="145">
        <f t="shared" ca="1" si="23"/>
        <v>0</v>
      </c>
      <c r="U46" s="145">
        <f t="shared" ca="1" si="23"/>
        <v>0</v>
      </c>
      <c r="V46" s="145">
        <f t="shared" ca="1" si="23"/>
        <v>-0.91632026164172231</v>
      </c>
      <c r="W46" s="145">
        <f t="shared" ca="1" si="23"/>
        <v>-2.9167050069975877</v>
      </c>
      <c r="X46" s="145">
        <f t="shared" ca="1" si="23"/>
        <v>-1.2624749960403827</v>
      </c>
      <c r="Y46" s="145">
        <f t="shared" ca="1" si="23"/>
        <v>0</v>
      </c>
      <c r="Z46" s="145">
        <f t="shared" ca="1" si="23"/>
        <v>0</v>
      </c>
      <c r="AA46" s="145">
        <f t="shared" ca="1" si="23"/>
        <v>0</v>
      </c>
      <c r="AB46" s="145">
        <f t="shared" ca="1" si="23"/>
        <v>0</v>
      </c>
      <c r="AC46" s="145">
        <f t="shared" ref="AC46:AD46" ca="1" si="24">AC52</f>
        <v>0</v>
      </c>
      <c r="AD46" s="145">
        <f t="shared" ca="1" si="24"/>
        <v>0</v>
      </c>
    </row>
    <row r="47" spans="1:30" x14ac:dyDescent="0.25">
      <c r="A47" s="139" t="s">
        <v>164</v>
      </c>
      <c r="B47" s="139"/>
      <c r="C47" s="139"/>
      <c r="D47" s="139"/>
      <c r="E47" s="139"/>
      <c r="F47" s="139"/>
      <c r="G47" s="139"/>
      <c r="H47" s="139"/>
      <c r="I47" s="145" t="e">
        <f t="shared" ref="I47:AB47" si="25">SUM(I45:I46)</f>
        <v>#REF!</v>
      </c>
      <c r="J47" s="145" t="e">
        <f t="shared" si="25"/>
        <v>#REF!</v>
      </c>
      <c r="K47" s="145"/>
      <c r="L47" s="145"/>
      <c r="M47" s="145"/>
      <c r="N47" s="145">
        <f t="shared" si="25"/>
        <v>10.66565243949999</v>
      </c>
      <c r="O47" s="145">
        <f t="shared" ca="1" si="25"/>
        <v>12.162021383069249</v>
      </c>
      <c r="P47" s="145">
        <f t="shared" ca="1" si="25"/>
        <v>10.558031280821931</v>
      </c>
      <c r="Q47" s="145">
        <f t="shared" ca="1" si="25"/>
        <v>11.931506669946932</v>
      </c>
      <c r="R47" s="145">
        <f t="shared" ca="1" si="25"/>
        <v>13.292431202284293</v>
      </c>
      <c r="S47" s="145">
        <f t="shared" ca="1" si="25"/>
        <v>-2.9988947308741407</v>
      </c>
      <c r="T47" s="145">
        <f t="shared" ca="1" si="25"/>
        <v>-1.7081552704654976</v>
      </c>
      <c r="U47" s="145">
        <f t="shared" ca="1" si="25"/>
        <v>-0.38845026334005439</v>
      </c>
      <c r="V47" s="145">
        <f t="shared" ca="1" si="25"/>
        <v>0</v>
      </c>
      <c r="W47" s="145">
        <f t="shared" ca="1" si="25"/>
        <v>0</v>
      </c>
      <c r="X47" s="145">
        <f t="shared" ca="1" si="25"/>
        <v>1.260631017146931</v>
      </c>
      <c r="Y47" s="145">
        <f t="shared" ca="1" si="25"/>
        <v>2.1556773327124894</v>
      </c>
      <c r="Z47" s="145">
        <f t="shared" ca="1" si="25"/>
        <v>1.7698424694494665</v>
      </c>
      <c r="AA47" s="145">
        <f t="shared" ca="1" si="25"/>
        <v>1.4081468373311186</v>
      </c>
      <c r="AB47" s="145">
        <f t="shared" ca="1" si="25"/>
        <v>0.93928659375891677</v>
      </c>
      <c r="AC47" s="145">
        <f t="shared" ref="AC47:AD47" ca="1" si="26">SUM(AC45:AC46)</f>
        <v>0.49269846900810421</v>
      </c>
      <c r="AD47" s="145">
        <f t="shared" ca="1" si="26"/>
        <v>8.3747642676557845</v>
      </c>
    </row>
    <row r="48" spans="1:30" x14ac:dyDescent="0.25">
      <c r="A48" s="141"/>
      <c r="B48" s="141"/>
      <c r="C48" s="141"/>
      <c r="D48" s="141"/>
      <c r="E48" s="141"/>
      <c r="F48" s="141"/>
      <c r="G48" s="141"/>
      <c r="H48" s="141"/>
      <c r="I48" s="142" t="e">
        <f>MAX(0,I47)</f>
        <v>#REF!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</row>
    <row r="49" spans="1:30" x14ac:dyDescent="0.25">
      <c r="A49" s="141"/>
      <c r="B49" s="141"/>
      <c r="C49" s="141"/>
      <c r="D49" s="141"/>
      <c r="E49" s="141"/>
      <c r="F49" s="141"/>
      <c r="G49" s="141"/>
      <c r="H49" s="141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</row>
    <row r="50" spans="1:30" x14ac:dyDescent="0.25">
      <c r="A50" s="144" t="s">
        <v>165</v>
      </c>
      <c r="B50" s="144"/>
      <c r="C50" s="144"/>
      <c r="D50" s="144"/>
      <c r="E50" s="144"/>
      <c r="F50" s="144"/>
      <c r="G50" s="144"/>
      <c r="H50" s="14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</row>
    <row r="51" spans="1:30" x14ac:dyDescent="0.25">
      <c r="A51" s="139" t="s">
        <v>166</v>
      </c>
      <c r="B51" s="139"/>
      <c r="C51" s="145"/>
      <c r="D51" s="145">
        <f t="shared" ref="D51" si="27">C55</f>
        <v>0</v>
      </c>
      <c r="E51" s="145" t="e">
        <f t="shared" ref="E51:AB51" si="28">D55</f>
        <v>#REF!</v>
      </c>
      <c r="F51" s="145" t="e">
        <f t="shared" si="28"/>
        <v>#REF!</v>
      </c>
      <c r="G51" s="145" t="e">
        <f t="shared" si="28"/>
        <v>#REF!</v>
      </c>
      <c r="H51" s="145" t="e">
        <f t="shared" si="28"/>
        <v>#REF!</v>
      </c>
      <c r="I51" s="145" t="e">
        <f t="shared" si="28"/>
        <v>#REF!</v>
      </c>
      <c r="J51" s="145" t="e">
        <f t="shared" si="28"/>
        <v>#REF!</v>
      </c>
      <c r="K51" s="145"/>
      <c r="L51" s="145"/>
      <c r="M51" s="145"/>
      <c r="N51" s="145">
        <f t="shared" si="28"/>
        <v>0</v>
      </c>
      <c r="O51" s="145">
        <f t="shared" ca="1" si="28"/>
        <v>0</v>
      </c>
      <c r="P51" s="145">
        <f t="shared" ca="1" si="28"/>
        <v>0</v>
      </c>
      <c r="Q51" s="145">
        <f t="shared" ca="1" si="28"/>
        <v>0</v>
      </c>
      <c r="R51" s="145">
        <f t="shared" ca="1" si="28"/>
        <v>0</v>
      </c>
      <c r="S51" s="145">
        <f t="shared" ca="1" si="28"/>
        <v>0</v>
      </c>
      <c r="T51" s="145">
        <f t="shared" ca="1" si="28"/>
        <v>2.9988947308741407</v>
      </c>
      <c r="U51" s="145">
        <f t="shared" ca="1" si="28"/>
        <v>4.7070500013396384</v>
      </c>
      <c r="V51" s="145">
        <f t="shared" ca="1" si="28"/>
        <v>5.0955002646796927</v>
      </c>
      <c r="W51" s="145">
        <f t="shared" ca="1" si="28"/>
        <v>4.1791800030379704</v>
      </c>
      <c r="X51" s="145">
        <f t="shared" ca="1" si="28"/>
        <v>1.2624749960403827</v>
      </c>
      <c r="Y51" s="145">
        <f t="shared" ca="1" si="28"/>
        <v>0</v>
      </c>
      <c r="Z51" s="145">
        <f t="shared" ca="1" si="28"/>
        <v>0</v>
      </c>
      <c r="AA51" s="145">
        <f t="shared" ca="1" si="28"/>
        <v>0</v>
      </c>
      <c r="AB51" s="145">
        <f t="shared" ca="1" si="28"/>
        <v>0</v>
      </c>
      <c r="AC51" s="145">
        <f t="shared" ref="AC51" ca="1" si="29">AB55</f>
        <v>0</v>
      </c>
      <c r="AD51" s="145">
        <f t="shared" ref="AD51" ca="1" si="30">AC55</f>
        <v>0</v>
      </c>
    </row>
    <row r="52" spans="1:30" x14ac:dyDescent="0.25">
      <c r="A52" s="139" t="s">
        <v>167</v>
      </c>
      <c r="B52" s="139"/>
      <c r="C52" s="145"/>
      <c r="D52" s="145" t="e">
        <f>-MIN(MAX(0,#REF!),D51)</f>
        <v>#REF!</v>
      </c>
      <c r="E52" s="145" t="e">
        <f>-MIN(MAX(0,#REF!),E51)</f>
        <v>#REF!</v>
      </c>
      <c r="F52" s="145" t="e">
        <f>-MIN(MAX(0,#REF!),F51)</f>
        <v>#REF!</v>
      </c>
      <c r="G52" s="145" t="e">
        <f>-MIN(MAX(0,G35),G51)</f>
        <v>#REF!</v>
      </c>
      <c r="H52" s="145" t="e">
        <f>-MIN(MAX(0,H35),H51)</f>
        <v>#REF!</v>
      </c>
      <c r="I52" s="145" t="e">
        <f>-MIN(MAX(0,#REF!),I51)</f>
        <v>#REF!</v>
      </c>
      <c r="J52" s="145" t="e">
        <f>-MIN(MAX(0,#REF!),J51)</f>
        <v>#REF!</v>
      </c>
      <c r="K52" s="145"/>
      <c r="L52" s="145"/>
      <c r="M52" s="145"/>
      <c r="N52" s="145">
        <f t="shared" ref="N52:AD52" si="31">-MIN(MAX(0,N35),N51)</f>
        <v>0</v>
      </c>
      <c r="O52" s="145">
        <f t="shared" ca="1" si="31"/>
        <v>0</v>
      </c>
      <c r="P52" s="145">
        <f t="shared" ca="1" si="31"/>
        <v>0</v>
      </c>
      <c r="Q52" s="145">
        <f t="shared" ca="1" si="31"/>
        <v>0</v>
      </c>
      <c r="R52" s="145">
        <f t="shared" ca="1" si="31"/>
        <v>0</v>
      </c>
      <c r="S52" s="145">
        <f t="shared" ca="1" si="31"/>
        <v>0</v>
      </c>
      <c r="T52" s="145">
        <f t="shared" ca="1" si="31"/>
        <v>0</v>
      </c>
      <c r="U52" s="145">
        <f t="shared" ca="1" si="31"/>
        <v>0</v>
      </c>
      <c r="V52" s="145">
        <f t="shared" ca="1" si="31"/>
        <v>-0.91632026164172231</v>
      </c>
      <c r="W52" s="145">
        <f t="shared" ca="1" si="31"/>
        <v>-2.9167050069975877</v>
      </c>
      <c r="X52" s="145">
        <f t="shared" ca="1" si="31"/>
        <v>-1.2624749960403827</v>
      </c>
      <c r="Y52" s="145">
        <f t="shared" ca="1" si="31"/>
        <v>0</v>
      </c>
      <c r="Z52" s="145">
        <f t="shared" ca="1" si="31"/>
        <v>0</v>
      </c>
      <c r="AA52" s="145">
        <f t="shared" ca="1" si="31"/>
        <v>0</v>
      </c>
      <c r="AB52" s="145">
        <f t="shared" ca="1" si="31"/>
        <v>0</v>
      </c>
      <c r="AC52" s="145">
        <f t="shared" ca="1" si="31"/>
        <v>0</v>
      </c>
      <c r="AD52" s="145">
        <f t="shared" ca="1" si="31"/>
        <v>0</v>
      </c>
    </row>
    <row r="53" spans="1:30" x14ac:dyDescent="0.25">
      <c r="A53" s="139" t="s">
        <v>168</v>
      </c>
      <c r="B53" s="139"/>
      <c r="C53" s="145"/>
      <c r="D53" s="145">
        <v>0</v>
      </c>
      <c r="E53" s="145">
        <v>0</v>
      </c>
      <c r="F53" s="145">
        <v>0</v>
      </c>
      <c r="G53" s="145">
        <v>0</v>
      </c>
      <c r="H53" s="145">
        <f>MAX(0,-H35)</f>
        <v>0</v>
      </c>
      <c r="I53" s="145">
        <f>MAX(0,-I35)</f>
        <v>0</v>
      </c>
      <c r="J53" s="145">
        <f>MAX(0,-J35)</f>
        <v>0.98480000000000001</v>
      </c>
      <c r="K53" s="145"/>
      <c r="L53" s="145"/>
      <c r="M53" s="145"/>
      <c r="N53" s="145">
        <f t="shared" ref="N53:AD53" si="32">MAX(0,-N35)</f>
        <v>0</v>
      </c>
      <c r="O53" s="145">
        <f t="shared" si="32"/>
        <v>0</v>
      </c>
      <c r="P53" s="145">
        <f t="shared" si="32"/>
        <v>0</v>
      </c>
      <c r="Q53" s="145">
        <f t="shared" si="32"/>
        <v>0</v>
      </c>
      <c r="R53" s="145">
        <f t="shared" si="32"/>
        <v>0</v>
      </c>
      <c r="S53" s="145">
        <f t="shared" si="32"/>
        <v>2.9988947308741407</v>
      </c>
      <c r="T53" s="145">
        <f t="shared" si="32"/>
        <v>1.7081552704654976</v>
      </c>
      <c r="U53" s="145">
        <f t="shared" si="32"/>
        <v>0.38845026334005439</v>
      </c>
      <c r="V53" s="145">
        <f t="shared" si="32"/>
        <v>0</v>
      </c>
      <c r="W53" s="145">
        <f t="shared" si="32"/>
        <v>0</v>
      </c>
      <c r="X53" s="145">
        <f t="shared" si="32"/>
        <v>0</v>
      </c>
      <c r="Y53" s="145">
        <f t="shared" si="32"/>
        <v>0</v>
      </c>
      <c r="Z53" s="145">
        <f t="shared" si="32"/>
        <v>0</v>
      </c>
      <c r="AA53" s="145">
        <f t="shared" si="32"/>
        <v>0</v>
      </c>
      <c r="AB53" s="145">
        <f t="shared" si="32"/>
        <v>0</v>
      </c>
      <c r="AC53" s="145">
        <f t="shared" si="32"/>
        <v>0</v>
      </c>
      <c r="AD53" s="145">
        <f t="shared" si="32"/>
        <v>0</v>
      </c>
    </row>
    <row r="54" spans="1:30" x14ac:dyDescent="0.25">
      <c r="A54" s="139" t="s">
        <v>169</v>
      </c>
      <c r="B54" s="139"/>
      <c r="C54" s="145"/>
      <c r="D54" s="145">
        <f ca="1">-IF(D1-1&lt;$H42,0,MAX(0,SUM(D51:D53)-SUM(OFFSET(D53,,-($H42-1),,$H42))))</f>
        <v>0</v>
      </c>
      <c r="E54" s="145">
        <f ca="1">-IF(E1-1&lt;$H42,0,MAX(0,SUM(E51:E53)-SUM(OFFSET(E53,,-($H42-1),,$H42))))</f>
        <v>0</v>
      </c>
      <c r="F54" s="145">
        <f ca="1">-IF(F1-1&lt;$H42,0,MAX(0,SUM(F51:F53)-SUM(OFFSET(F53,,-($H42-1),,$H42))))</f>
        <v>0</v>
      </c>
      <c r="G54" s="145">
        <f ca="1">-IF(G1-1&lt;$H42,0,MAX(0,SUM(G51:G53)-SUM(OFFSET(G53,,-($H42-1),,$H42))))</f>
        <v>0</v>
      </c>
      <c r="H54" s="145">
        <f ca="1">-IF(H1-1&lt;$H42,0,MAX(0,SUM(H51:H53)-SUM(OFFSET(H53,,-($H42-1),,$H42))))</f>
        <v>0</v>
      </c>
      <c r="I54" s="145">
        <f ca="1">-IF(I1-1&lt;$H42,0,MAX(0,SUM(I51:I53)-SUM(OFFSET(I53,,-($H42-1),,$H42))))</f>
        <v>0</v>
      </c>
      <c r="J54" s="145">
        <f ca="1">-IF(J1-1&lt;$H42,0,MAX(0,SUM(J51:J53)-SUM(OFFSET(J53,,-($H42-1),,$H42))))</f>
        <v>0</v>
      </c>
      <c r="K54" s="145"/>
      <c r="L54" s="145"/>
      <c r="M54" s="145"/>
      <c r="N54" s="145">
        <f ca="1">-IF(N1-1&lt;$H42,0,MAX(0,SUM(N51:N53)-SUM(OFFSET(N53,,-($H42-1),,$H42))))</f>
        <v>0</v>
      </c>
      <c r="O54" s="145">
        <f ca="1">-IF(O1-1&lt;$H42,0,MAX(0,SUM(O51:O53)-SUM(OFFSET(O53,,-($H42-1),,$H42))))</f>
        <v>0</v>
      </c>
      <c r="P54" s="145">
        <f ca="1">-IF(P1-1&lt;$H42,0,MAX(0,SUM(P51:P53)-SUM(OFFSET(P53,,-($H42-1),,$H42))))</f>
        <v>0</v>
      </c>
      <c r="Q54" s="145">
        <f ca="1">-IF(Q1-1&lt;$H42,0,MAX(0,SUM(Q51:Q53)-SUM(OFFSET(Q53,,-($H42-1),,$H42))))</f>
        <v>0</v>
      </c>
      <c r="R54" s="145">
        <f ca="1">-IF(R1-1&lt;$H42,0,MAX(0,SUM(R51:R53)-SUM(OFFSET(R53,,-($H42-1),,$H42))))</f>
        <v>0</v>
      </c>
      <c r="S54" s="145">
        <f ca="1">-IF(S1-1&lt;$H42,0,MAX(0,SUM(S51:S53)-SUM(OFFSET(S53,,-($H42-1),,$H42))))</f>
        <v>0</v>
      </c>
      <c r="T54" s="145">
        <f ca="1">-IF(T1-1&lt;$H42,0,MAX(0,SUM(T51:T53)-SUM(OFFSET(T53,,-($H42-1),,$H42))))</f>
        <v>0</v>
      </c>
      <c r="U54" s="145">
        <f ca="1">-IF(U1-1&lt;$H42,0,MAX(0,SUM(U51:U53)-SUM(OFFSET(U53,,-($H42-1),,$H42))))</f>
        <v>0</v>
      </c>
      <c r="V54" s="145">
        <f ca="1">-IF(V1-1&lt;$H42,0,MAX(0,SUM(V51:V53)-SUM(OFFSET(V53,,-($H42-1),,$H42))))</f>
        <v>0</v>
      </c>
      <c r="W54" s="145">
        <f ca="1">-IF(W1-1&lt;$H42,0,MAX(0,SUM(W51:W53)-SUM(OFFSET(W53,,-($H42-1),,$H42))))</f>
        <v>0</v>
      </c>
      <c r="X54" s="145">
        <f ca="1">-IF(X1-1&lt;$H42,0,MAX(0,SUM(X51:X53)-SUM(OFFSET(X53,,-($H42-1),,$H42))))</f>
        <v>0</v>
      </c>
      <c r="Y54" s="145">
        <f ca="1">-IF(Y1-1&lt;$H42,0,MAX(0,SUM(Y51:Y53)-SUM(OFFSET(Y53,,-($H42-1),,$H42))))</f>
        <v>0</v>
      </c>
      <c r="Z54" s="145">
        <f ca="1">-IF(Z1-1&lt;$H42,0,MAX(0,SUM(Z51:Z53)-SUM(OFFSET(Z53,,-($H42-1),,$H42))))</f>
        <v>0</v>
      </c>
      <c r="AA54" s="145">
        <f ca="1">-IF(AA1-1&lt;$H42,0,MAX(0,SUM(AA51:AA53)-SUM(OFFSET(AA53,,-($H42-1),,$H42))))</f>
        <v>0</v>
      </c>
      <c r="AB54" s="145">
        <f ca="1">-IF(AB1-1&lt;$H42,0,MAX(0,SUM(AB51:AB53)-SUM(OFFSET(AB53,,-($H42-1),,$H42))))</f>
        <v>0</v>
      </c>
      <c r="AC54" s="145">
        <f ca="1">-IF(AC1-1&lt;$H42,0,MAX(0,SUM(AC51:AC53)-SUM(OFFSET(AC53,,-($H42-1),,$H42))))</f>
        <v>0</v>
      </c>
      <c r="AD54" s="145">
        <f ca="1">-IF(AD1-1&lt;$H42,0,MAX(0,SUM(AD51:AD53)-SUM(OFFSET(AD53,,-($H42-1),,$H42))))</f>
        <v>0</v>
      </c>
    </row>
    <row r="55" spans="1:30" x14ac:dyDescent="0.25">
      <c r="A55" s="139" t="s">
        <v>170</v>
      </c>
      <c r="B55" s="139"/>
      <c r="C55" s="145"/>
      <c r="D55" s="145" t="e">
        <f t="shared" ref="D55:AB55" si="33">SUM(D51:D54)</f>
        <v>#REF!</v>
      </c>
      <c r="E55" s="145" t="e">
        <f t="shared" si="33"/>
        <v>#REF!</v>
      </c>
      <c r="F55" s="145" t="e">
        <f t="shared" si="33"/>
        <v>#REF!</v>
      </c>
      <c r="G55" s="145" t="e">
        <f t="shared" si="33"/>
        <v>#REF!</v>
      </c>
      <c r="H55" s="145" t="e">
        <f t="shared" si="33"/>
        <v>#REF!</v>
      </c>
      <c r="I55" s="145" t="e">
        <f t="shared" si="33"/>
        <v>#REF!</v>
      </c>
      <c r="J55" s="145" t="e">
        <f t="shared" si="33"/>
        <v>#REF!</v>
      </c>
      <c r="K55" s="145"/>
      <c r="L55" s="145"/>
      <c r="M55" s="145"/>
      <c r="N55" s="145">
        <f t="shared" ca="1" si="33"/>
        <v>0</v>
      </c>
      <c r="O55" s="145">
        <f t="shared" ca="1" si="33"/>
        <v>0</v>
      </c>
      <c r="P55" s="145">
        <f t="shared" ca="1" si="33"/>
        <v>0</v>
      </c>
      <c r="Q55" s="145">
        <f t="shared" ca="1" si="33"/>
        <v>0</v>
      </c>
      <c r="R55" s="145">
        <f t="shared" ca="1" si="33"/>
        <v>0</v>
      </c>
      <c r="S55" s="145">
        <f t="shared" ca="1" si="33"/>
        <v>2.9988947308741407</v>
      </c>
      <c r="T55" s="145">
        <f t="shared" ca="1" si="33"/>
        <v>4.7070500013396384</v>
      </c>
      <c r="U55" s="145">
        <f t="shared" ca="1" si="33"/>
        <v>5.0955002646796927</v>
      </c>
      <c r="V55" s="145">
        <f t="shared" ca="1" si="33"/>
        <v>4.1791800030379704</v>
      </c>
      <c r="W55" s="145">
        <f t="shared" ca="1" si="33"/>
        <v>1.2624749960403827</v>
      </c>
      <c r="X55" s="145">
        <f t="shared" ca="1" si="33"/>
        <v>0</v>
      </c>
      <c r="Y55" s="145">
        <f t="shared" ca="1" si="33"/>
        <v>0</v>
      </c>
      <c r="Z55" s="145">
        <f t="shared" ca="1" si="33"/>
        <v>0</v>
      </c>
      <c r="AA55" s="145">
        <f t="shared" ca="1" si="33"/>
        <v>0</v>
      </c>
      <c r="AB55" s="145">
        <f t="shared" ca="1" si="33"/>
        <v>0</v>
      </c>
      <c r="AC55" s="145">
        <f t="shared" ref="AC55:AD55" ca="1" si="34">SUM(AC51:AC54)</f>
        <v>0</v>
      </c>
      <c r="AD55" s="145">
        <f t="shared" ca="1" si="34"/>
        <v>0</v>
      </c>
    </row>
    <row r="56" spans="1:3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x14ac:dyDescent="0.25">
      <c r="A58" s="19" t="s">
        <v>171</v>
      </c>
      <c r="B58" s="19"/>
      <c r="C58" s="19"/>
      <c r="D58" s="19"/>
      <c r="E58" s="19"/>
      <c r="F58" s="19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25">
      <c r="A59" s="8" t="s">
        <v>172</v>
      </c>
      <c r="B59" s="146"/>
      <c r="C59" s="146"/>
      <c r="D59" s="146"/>
      <c r="E59" s="146"/>
      <c r="F59" s="146"/>
      <c r="G59" s="146"/>
      <c r="H59" s="146">
        <v>0.22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25">
      <c r="A60" s="14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25">
      <c r="A61" s="8" t="s">
        <v>173</v>
      </c>
      <c r="B61" s="146">
        <v>0.04</v>
      </c>
      <c r="C61" s="148"/>
      <c r="D61" s="148"/>
      <c r="E61" s="148"/>
      <c r="F61" s="148"/>
      <c r="G61" s="14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25">
      <c r="A62" s="147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5">
      <c r="A63" s="147" t="s">
        <v>174</v>
      </c>
      <c r="B63" s="8"/>
      <c r="C63" s="5"/>
      <c r="D63" s="5"/>
      <c r="E63" s="5"/>
      <c r="F63" s="5"/>
      <c r="G63" s="154"/>
      <c r="H63" s="154" t="s">
        <v>179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25">
      <c r="A64" s="147">
        <v>1</v>
      </c>
      <c r="B64" s="8"/>
      <c r="C64" s="8"/>
      <c r="D64" s="8"/>
      <c r="E64" s="8"/>
      <c r="F64" s="8"/>
      <c r="G64" s="149"/>
      <c r="H64" s="149">
        <v>0.25169999999999998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x14ac:dyDescent="0.25">
      <c r="A65" s="150">
        <v>10</v>
      </c>
      <c r="B65" s="146">
        <v>0.04</v>
      </c>
      <c r="C65" s="146"/>
      <c r="D65" s="146"/>
      <c r="E65" s="146"/>
      <c r="F65" s="146"/>
      <c r="G65" s="149"/>
      <c r="H65" s="149">
        <v>0.25169999999999998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x14ac:dyDescent="0.25">
      <c r="A66" s="151">
        <v>10</v>
      </c>
      <c r="B66" s="146">
        <v>0.1</v>
      </c>
      <c r="C66" s="146"/>
      <c r="D66" s="146"/>
      <c r="E66" s="146"/>
      <c r="F66" s="146"/>
      <c r="G66" s="149"/>
      <c r="H66" s="149">
        <v>0.25169999999999998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30" x14ac:dyDescent="0.25">
      <c r="A67" s="14"/>
      <c r="B67" s="1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</row>
    <row r="68" spans="1:30" x14ac:dyDescent="0.25">
      <c r="A68" s="8" t="s">
        <v>175</v>
      </c>
      <c r="B68" s="8"/>
      <c r="C68" s="8"/>
      <c r="D68" s="8"/>
      <c r="E68" s="8"/>
      <c r="F68" s="8"/>
      <c r="G68" s="8"/>
      <c r="H68" s="149"/>
      <c r="I68" s="149" t="e">
        <f>IF(I47&gt;0,IF(I47&lt;$A64,$H64,IF(I47&lt;$A65,$H65,$H66)),0)</f>
        <v>#REF!</v>
      </c>
      <c r="J68" s="149" t="e">
        <f>IF(J47&gt;0,IF(J47&lt;$A64,$H64,IF(J47&lt;$A65,$H65,$H66)),0)</f>
        <v>#REF!</v>
      </c>
      <c r="K68" s="149"/>
      <c r="L68" s="149"/>
      <c r="M68" s="149"/>
      <c r="N68" s="149">
        <f t="shared" ref="N68:AB68" si="35">IF(N47&gt;0,IF(N47&lt;$A64,$H64,IF(N47&lt;$A65,$H65,$H66)),0)</f>
        <v>0.25169999999999998</v>
      </c>
      <c r="O68" s="149">
        <f t="shared" ca="1" si="35"/>
        <v>0.25169999999999998</v>
      </c>
      <c r="P68" s="149">
        <f t="shared" ca="1" si="35"/>
        <v>0.25169999999999998</v>
      </c>
      <c r="Q68" s="149">
        <f t="shared" ca="1" si="35"/>
        <v>0.25169999999999998</v>
      </c>
      <c r="R68" s="149">
        <f t="shared" ca="1" si="35"/>
        <v>0.25169999999999998</v>
      </c>
      <c r="S68" s="149">
        <f t="shared" ca="1" si="35"/>
        <v>0</v>
      </c>
      <c r="T68" s="149">
        <f t="shared" ca="1" si="35"/>
        <v>0</v>
      </c>
      <c r="U68" s="149">
        <f t="shared" ca="1" si="35"/>
        <v>0</v>
      </c>
      <c r="V68" s="149">
        <f t="shared" ca="1" si="35"/>
        <v>0</v>
      </c>
      <c r="W68" s="149">
        <f t="shared" ca="1" si="35"/>
        <v>0</v>
      </c>
      <c r="X68" s="149">
        <f t="shared" ca="1" si="35"/>
        <v>0.25169999999999998</v>
      </c>
      <c r="Y68" s="149">
        <f t="shared" ca="1" si="35"/>
        <v>0.25169999999999998</v>
      </c>
      <c r="Z68" s="149">
        <f t="shared" ca="1" si="35"/>
        <v>0.25169999999999998</v>
      </c>
      <c r="AA68" s="149">
        <f t="shared" ca="1" si="35"/>
        <v>0.25169999999999998</v>
      </c>
      <c r="AB68" s="149">
        <f t="shared" ca="1" si="35"/>
        <v>0.25169999999999998</v>
      </c>
      <c r="AC68" s="149">
        <f t="shared" ref="AC68:AD68" ca="1" si="36">IF(AC47&gt;0,IF(AC47&lt;$A64,$H64,IF(AC47&lt;$A65,$H65,$H66)),0)</f>
        <v>0.25169999999999998</v>
      </c>
      <c r="AD68" s="149">
        <f t="shared" ca="1" si="36"/>
        <v>0.25169999999999998</v>
      </c>
    </row>
    <row r="71" spans="1:30" s="5" customFormat="1" ht="12" x14ac:dyDescent="0.2">
      <c r="A71" s="37" t="s">
        <v>211</v>
      </c>
      <c r="B71" s="127"/>
      <c r="C71" s="127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</row>
    <row r="72" spans="1:30" s="5" customFormat="1" ht="12" x14ac:dyDescent="0.2">
      <c r="B72" s="127"/>
      <c r="C72" s="127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</row>
    <row r="73" spans="1:30" s="5" customFormat="1" ht="12" x14ac:dyDescent="0.2">
      <c r="A73" s="37" t="s">
        <v>132</v>
      </c>
      <c r="B73" s="127"/>
      <c r="C73" s="127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</row>
    <row r="74" spans="1:30" s="5" customFormat="1" ht="12" x14ac:dyDescent="0.2">
      <c r="A74" s="187" t="s">
        <v>212</v>
      </c>
      <c r="B74" s="73" t="s">
        <v>58</v>
      </c>
      <c r="C74" s="73"/>
      <c r="D74" s="8"/>
      <c r="E74" s="8"/>
      <c r="F74" s="8"/>
      <c r="G74" s="8"/>
      <c r="H74" s="8"/>
      <c r="I74" s="8"/>
      <c r="J74" s="8"/>
      <c r="K74" s="188"/>
      <c r="L74" s="188"/>
      <c r="M74" s="188"/>
      <c r="N74" s="188">
        <f t="shared" ref="N74:AB74" si="37">M76</f>
        <v>0</v>
      </c>
      <c r="O74" s="188">
        <f t="shared" si="37"/>
        <v>24.475398467839117</v>
      </c>
      <c r="P74" s="188">
        <f t="shared" si="37"/>
        <v>24.475398467839117</v>
      </c>
      <c r="Q74" s="188">
        <f t="shared" si="37"/>
        <v>22.535984960086413</v>
      </c>
      <c r="R74" s="188">
        <f t="shared" si="37"/>
        <v>22.535984960086413</v>
      </c>
      <c r="S74" s="188">
        <f t="shared" si="37"/>
        <v>22.535984960086413</v>
      </c>
      <c r="T74" s="188">
        <f t="shared" si="37"/>
        <v>10.66677429263987</v>
      </c>
      <c r="U74" s="188">
        <f t="shared" si="37"/>
        <v>10.666774292639872</v>
      </c>
      <c r="V74" s="188">
        <f t="shared" si="37"/>
        <v>10.666774292639872</v>
      </c>
      <c r="W74" s="188">
        <f t="shared" si="37"/>
        <v>10.666774292639872</v>
      </c>
      <c r="X74" s="188">
        <f t="shared" si="37"/>
        <v>10.66677429263987</v>
      </c>
      <c r="Y74" s="188">
        <f t="shared" si="37"/>
        <v>10.666774292639872</v>
      </c>
      <c r="Z74" s="188">
        <f t="shared" si="37"/>
        <v>10.666774292639872</v>
      </c>
      <c r="AA74" s="188">
        <f t="shared" si="37"/>
        <v>10.666774292639872</v>
      </c>
      <c r="AB74" s="188">
        <f t="shared" si="37"/>
        <v>10.66677429263987</v>
      </c>
      <c r="AC74" s="188">
        <f t="shared" ref="AC74" si="38">AB76</f>
        <v>10.666774292639872</v>
      </c>
      <c r="AD74" s="188">
        <f t="shared" ref="AD74" si="39">AC76</f>
        <v>10.666774292639872</v>
      </c>
    </row>
    <row r="75" spans="1:30" s="5" customFormat="1" ht="12" x14ac:dyDescent="0.2">
      <c r="A75" s="187" t="s">
        <v>43</v>
      </c>
      <c r="B75" s="73" t="s">
        <v>58</v>
      </c>
      <c r="C75" s="73"/>
      <c r="D75" s="8"/>
      <c r="E75" s="8"/>
      <c r="F75" s="8"/>
      <c r="G75" s="8"/>
      <c r="H75" s="8"/>
      <c r="I75" s="8"/>
      <c r="J75" s="8"/>
      <c r="K75" s="188"/>
      <c r="L75" s="188"/>
      <c r="M75" s="188"/>
      <c r="N75" s="188">
        <f>N19</f>
        <v>36.463655051999993</v>
      </c>
      <c r="O75" s="188">
        <f>O19</f>
        <v>36.563555476799998</v>
      </c>
      <c r="P75" s="188">
        <f>P19</f>
        <v>33.574300451999996</v>
      </c>
      <c r="Q75" s="188">
        <f>Q19</f>
        <v>33.574300451999996</v>
      </c>
      <c r="R75" s="188">
        <f>R19</f>
        <v>33.574300451999996</v>
      </c>
      <c r="S75" s="188">
        <f>S19</f>
        <v>15.934988519999999</v>
      </c>
      <c r="T75" s="188">
        <f>T19</f>
        <v>15.891450300000001</v>
      </c>
      <c r="U75" s="188">
        <f>U19</f>
        <v>15.891450300000001</v>
      </c>
      <c r="V75" s="188">
        <f>V19</f>
        <v>15.891450300000001</v>
      </c>
      <c r="W75" s="188">
        <f>W19</f>
        <v>15.934988519999999</v>
      </c>
      <c r="X75" s="188">
        <f>X19</f>
        <v>15.891450300000001</v>
      </c>
      <c r="Y75" s="188">
        <f>Y19</f>
        <v>15.891450300000001</v>
      </c>
      <c r="Z75" s="188">
        <f>Z19</f>
        <v>15.891450300000001</v>
      </c>
      <c r="AA75" s="188">
        <f>AA19</f>
        <v>15.934988519999999</v>
      </c>
      <c r="AB75" s="188">
        <f>AB19</f>
        <v>15.891450300000001</v>
      </c>
      <c r="AC75" s="188">
        <f>AC19</f>
        <v>15.891450300000001</v>
      </c>
      <c r="AD75" s="188">
        <f>AD19</f>
        <v>15.891450300000001</v>
      </c>
    </row>
    <row r="76" spans="1:30" s="5" customFormat="1" ht="12" x14ac:dyDescent="0.2">
      <c r="A76" s="189" t="s">
        <v>104</v>
      </c>
      <c r="B76" s="73" t="s">
        <v>58</v>
      </c>
      <c r="C76" s="73"/>
      <c r="D76" s="8"/>
      <c r="E76" s="8"/>
      <c r="F76" s="8"/>
      <c r="G76" s="8"/>
      <c r="H76" s="8"/>
      <c r="I76" s="8"/>
      <c r="J76" s="7">
        <f>Assumptions!J77</f>
        <v>7.1321000000000003</v>
      </c>
      <c r="K76" s="191"/>
      <c r="L76" s="191"/>
      <c r="M76" s="191"/>
      <c r="N76" s="191">
        <f>N75*(Assumptions!$N$79/'RKA P&amp;L'!N3)</f>
        <v>24.475398467839117</v>
      </c>
      <c r="O76" s="191">
        <f>O75*(Assumptions!$N$79/'RKA P&amp;L'!O3)</f>
        <v>24.475398467839117</v>
      </c>
      <c r="P76" s="191">
        <f>P75*(Assumptions!$N$79/'RKA P&amp;L'!P3)</f>
        <v>22.535984960086413</v>
      </c>
      <c r="Q76" s="191">
        <f>Q75*(Assumptions!$N$79/'RKA P&amp;L'!Q3)</f>
        <v>22.535984960086413</v>
      </c>
      <c r="R76" s="191">
        <f>R75*(Assumptions!$N$79/'RKA P&amp;L'!R3)</f>
        <v>22.535984960086413</v>
      </c>
      <c r="S76" s="191">
        <f>S75*(Assumptions!$N$79/'RKA P&amp;L'!S3)</f>
        <v>10.66677429263987</v>
      </c>
      <c r="T76" s="191">
        <f>T75*(Assumptions!$N$79/'RKA P&amp;L'!T3)</f>
        <v>10.666774292639872</v>
      </c>
      <c r="U76" s="191">
        <f>U75*(Assumptions!$N$79/'RKA P&amp;L'!U3)</f>
        <v>10.666774292639872</v>
      </c>
      <c r="V76" s="191">
        <f>V75*(Assumptions!$N$79/'RKA P&amp;L'!V3)</f>
        <v>10.666774292639872</v>
      </c>
      <c r="W76" s="191">
        <f>W75*(Assumptions!$N$79/'RKA P&amp;L'!W3)</f>
        <v>10.66677429263987</v>
      </c>
      <c r="X76" s="191">
        <f>X75*(Assumptions!$N$79/'RKA P&amp;L'!X3)</f>
        <v>10.666774292639872</v>
      </c>
      <c r="Y76" s="191">
        <f>Y75*(Assumptions!$N$79/'RKA P&amp;L'!Y3)</f>
        <v>10.666774292639872</v>
      </c>
      <c r="Z76" s="191">
        <f>Z75*(Assumptions!$N$79/'RKA P&amp;L'!Z3)</f>
        <v>10.666774292639872</v>
      </c>
      <c r="AA76" s="191">
        <f>AA75*(Assumptions!$N$79/'RKA P&amp;L'!AA3)</f>
        <v>10.66677429263987</v>
      </c>
      <c r="AB76" s="191">
        <f>AB75*(Assumptions!$N$79/'RKA P&amp;L'!AB3)</f>
        <v>10.666774292639872</v>
      </c>
      <c r="AC76" s="191">
        <f>AC75*(Assumptions!$N$79/'RKA P&amp;L'!AC3)</f>
        <v>10.666774292639872</v>
      </c>
      <c r="AD76" s="191">
        <f>AD75*(Assumptions!$N$79/'RKA P&amp;L'!AD3)</f>
        <v>10.666774292639872</v>
      </c>
    </row>
    <row r="77" spans="1:30" s="5" customFormat="1" ht="12" x14ac:dyDescent="0.2">
      <c r="A77" s="187" t="s">
        <v>213</v>
      </c>
      <c r="B77" s="73" t="s">
        <v>58</v>
      </c>
      <c r="C77" s="73"/>
      <c r="D77" s="8"/>
      <c r="E77" s="8"/>
      <c r="F77" s="8"/>
      <c r="G77" s="8"/>
      <c r="H77" s="8"/>
      <c r="I77" s="8"/>
      <c r="J77" s="8"/>
      <c r="K77" s="188"/>
      <c r="L77" s="188"/>
      <c r="M77" s="188"/>
      <c r="N77" s="188">
        <f t="shared" ref="N77:AB77" si="40">+N74+N75-N76</f>
        <v>11.988256584160876</v>
      </c>
      <c r="O77" s="188">
        <f t="shared" si="40"/>
        <v>36.563555476800005</v>
      </c>
      <c r="P77" s="188">
        <f t="shared" si="40"/>
        <v>35.513713959752707</v>
      </c>
      <c r="Q77" s="188">
        <f t="shared" si="40"/>
        <v>33.574300452000003</v>
      </c>
      <c r="R77" s="188">
        <f t="shared" si="40"/>
        <v>33.574300452000003</v>
      </c>
      <c r="S77" s="188">
        <f t="shared" si="40"/>
        <v>27.804199187446542</v>
      </c>
      <c r="T77" s="188">
        <f t="shared" si="40"/>
        <v>15.891450299999999</v>
      </c>
      <c r="U77" s="188">
        <f t="shared" si="40"/>
        <v>15.891450300000002</v>
      </c>
      <c r="V77" s="188">
        <f t="shared" si="40"/>
        <v>15.891450300000002</v>
      </c>
      <c r="W77" s="188">
        <f t="shared" si="40"/>
        <v>15.934988519999999</v>
      </c>
      <c r="X77" s="188">
        <f t="shared" si="40"/>
        <v>15.891450299999999</v>
      </c>
      <c r="Y77" s="188">
        <f t="shared" si="40"/>
        <v>15.891450300000002</v>
      </c>
      <c r="Z77" s="188">
        <f t="shared" si="40"/>
        <v>15.891450300000002</v>
      </c>
      <c r="AA77" s="188">
        <f t="shared" si="40"/>
        <v>15.934988519999999</v>
      </c>
      <c r="AB77" s="188">
        <f t="shared" si="40"/>
        <v>15.891450299999999</v>
      </c>
      <c r="AC77" s="188">
        <f t="shared" ref="AC77:AD77" si="41">+AC74+AC75-AC76</f>
        <v>15.891450300000002</v>
      </c>
      <c r="AD77" s="188">
        <f t="shared" si="41"/>
        <v>15.891450300000002</v>
      </c>
    </row>
    <row r="78" spans="1:30" s="5" customFormat="1" ht="12" x14ac:dyDescent="0.2">
      <c r="B78" s="127"/>
      <c r="C78" s="127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</row>
    <row r="79" spans="1:30" s="5" customFormat="1" x14ac:dyDescent="0.25">
      <c r="A79" s="8" t="s">
        <v>249</v>
      </c>
      <c r="B79" s="73" t="s">
        <v>58</v>
      </c>
      <c r="C79" s="73"/>
      <c r="D79" s="8"/>
      <c r="E79" s="8"/>
      <c r="F79" s="8"/>
      <c r="G79" s="8"/>
      <c r="H79" s="8"/>
      <c r="I79" s="8"/>
      <c r="J79" s="203"/>
      <c r="K79"/>
      <c r="L79"/>
      <c r="M79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</row>
    <row r="80" spans="1:30" s="5" customFormat="1" x14ac:dyDescent="0.25">
      <c r="B80" s="127"/>
      <c r="C80" s="127"/>
      <c r="J80" s="18"/>
      <c r="K80"/>
      <c r="L80"/>
      <c r="M80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</row>
    <row r="81" spans="1:31" s="5" customFormat="1" x14ac:dyDescent="0.25">
      <c r="A81" s="8" t="s">
        <v>237</v>
      </c>
      <c r="B81" s="73" t="s">
        <v>58</v>
      </c>
      <c r="C81" s="73"/>
      <c r="D81" s="8"/>
      <c r="E81" s="8"/>
      <c r="F81" s="8"/>
      <c r="G81" s="8"/>
      <c r="H81" s="8"/>
      <c r="I81" s="8"/>
      <c r="J81" s="203">
        <v>0.66080000000000005</v>
      </c>
      <c r="K81"/>
      <c r="L81"/>
      <c r="M81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</row>
    <row r="82" spans="1:31" s="5" customFormat="1" ht="12" x14ac:dyDescent="0.2">
      <c r="B82" s="127"/>
      <c r="C82" s="127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</row>
    <row r="83" spans="1:31" s="5" customFormat="1" ht="12" x14ac:dyDescent="0.2">
      <c r="A83" s="37" t="s">
        <v>134</v>
      </c>
      <c r="B83" s="127"/>
      <c r="C83" s="127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</row>
    <row r="84" spans="1:31" s="5" customFormat="1" ht="12" x14ac:dyDescent="0.2">
      <c r="A84" s="187" t="s">
        <v>212</v>
      </c>
      <c r="B84" s="73" t="s">
        <v>58</v>
      </c>
      <c r="C84" s="73"/>
      <c r="D84" s="8"/>
      <c r="E84" s="8"/>
      <c r="F84" s="8"/>
      <c r="G84" s="8"/>
      <c r="H84" s="8"/>
      <c r="I84" s="8"/>
      <c r="J84" s="8"/>
      <c r="K84" s="188"/>
      <c r="L84" s="188"/>
      <c r="M84" s="188"/>
      <c r="N84" s="188">
        <f t="shared" ref="N84:AB84" si="42">M86</f>
        <v>0</v>
      </c>
      <c r="O84" s="188">
        <f t="shared" si="42"/>
        <v>3.7210859484891508</v>
      </c>
      <c r="P84" s="188">
        <f t="shared" si="42"/>
        <v>3.8964649993400742</v>
      </c>
      <c r="Q84" s="188">
        <f t="shared" si="42"/>
        <v>4.1024972582092891</v>
      </c>
      <c r="R84" s="188">
        <f t="shared" si="42"/>
        <v>4.3076221211197536</v>
      </c>
      <c r="S84" s="188">
        <f t="shared" si="42"/>
        <v>4.5230032271757414</v>
      </c>
      <c r="T84" s="188">
        <f t="shared" si="42"/>
        <v>4.7361775596041076</v>
      </c>
      <c r="U84" s="188">
        <f t="shared" si="42"/>
        <v>4.9866110579612561</v>
      </c>
      <c r="V84" s="188">
        <f t="shared" si="42"/>
        <v>5.2359416108593191</v>
      </c>
      <c r="W84" s="188">
        <f t="shared" si="42"/>
        <v>5.4977386914022857</v>
      </c>
      <c r="X84" s="188">
        <f t="shared" si="42"/>
        <v>5.7568534248085426</v>
      </c>
      <c r="Y84" s="188">
        <f t="shared" si="42"/>
        <v>6.0612569072710212</v>
      </c>
      <c r="Z84" s="188">
        <f t="shared" si="42"/>
        <v>6.3643197526345725</v>
      </c>
      <c r="AA84" s="188">
        <f t="shared" si="42"/>
        <v>6.6825357402663013</v>
      </c>
      <c r="AB84" s="188">
        <f t="shared" si="42"/>
        <v>6.9974913181886889</v>
      </c>
      <c r="AC84" s="188">
        <f t="shared" ref="AC84" si="43">AB86</f>
        <v>7.3674956536435978</v>
      </c>
      <c r="AD84" s="188">
        <f t="shared" ref="AD84" si="44">AC86</f>
        <v>7.7358704363257784</v>
      </c>
    </row>
    <row r="85" spans="1:31" s="5" customFormat="1" ht="12" x14ac:dyDescent="0.2">
      <c r="A85" s="187" t="s">
        <v>43</v>
      </c>
      <c r="B85" s="73" t="s">
        <v>58</v>
      </c>
      <c r="C85" s="73"/>
      <c r="D85" s="8"/>
      <c r="E85" s="8"/>
      <c r="F85" s="8"/>
      <c r="G85" s="8"/>
      <c r="H85" s="8"/>
      <c r="I85" s="8"/>
      <c r="J85" s="8"/>
      <c r="K85" s="188"/>
      <c r="L85" s="188"/>
      <c r="M85" s="188"/>
      <c r="N85" s="188">
        <f>N25</f>
        <v>3.2718419999999999</v>
      </c>
      <c r="O85" s="188">
        <f>O25</f>
        <v>3.4354341000000002</v>
      </c>
      <c r="P85" s="188">
        <f>P25</f>
        <v>3.6072058050000004</v>
      </c>
      <c r="Q85" s="188">
        <f>Q25</f>
        <v>3.7875660952500008</v>
      </c>
      <c r="R85" s="188">
        <f>R25</f>
        <v>3.9769444000125009</v>
      </c>
      <c r="S85" s="188">
        <f>S25</f>
        <v>4.1757916200131264</v>
      </c>
      <c r="T85" s="188">
        <f>T25</f>
        <v>4.3845812010137832</v>
      </c>
      <c r="U85" s="188">
        <f>U25</f>
        <v>4.6038102610644724</v>
      </c>
      <c r="V85" s="188">
        <f>V25</f>
        <v>4.8340007741176967</v>
      </c>
      <c r="W85" s="188">
        <f>W25</f>
        <v>5.0757008128235821</v>
      </c>
      <c r="X85" s="188">
        <f>X25</f>
        <v>5.3294858534647611</v>
      </c>
      <c r="Y85" s="188">
        <f>Y25</f>
        <v>5.5959601461379993</v>
      </c>
      <c r="Z85" s="188">
        <f>Z25</f>
        <v>5.8757581534448997</v>
      </c>
      <c r="AA85" s="188">
        <f>AA25</f>
        <v>6.1695460611171447</v>
      </c>
      <c r="AB85" s="188">
        <f>AB25</f>
        <v>6.4780233641730023</v>
      </c>
      <c r="AC85" s="188">
        <f>AC25</f>
        <v>6.8019245323816531</v>
      </c>
      <c r="AD85" s="188">
        <f>AD25</f>
        <v>7.1420207590007356</v>
      </c>
    </row>
    <row r="86" spans="1:31" s="5" customFormat="1" ht="12" x14ac:dyDescent="0.2">
      <c r="A86" s="189" t="s">
        <v>104</v>
      </c>
      <c r="B86" s="190" t="s">
        <v>58</v>
      </c>
      <c r="C86" s="73"/>
      <c r="D86" s="8"/>
      <c r="E86" s="8"/>
      <c r="F86" s="8"/>
      <c r="G86" s="8"/>
      <c r="H86" s="8"/>
      <c r="I86" s="8"/>
      <c r="J86" s="7">
        <f>Assumptions!J82</f>
        <v>3.9739</v>
      </c>
      <c r="K86" s="191"/>
      <c r="L86" s="191"/>
      <c r="M86" s="191"/>
      <c r="N86" s="191">
        <f>N85*(Assumptions!$N$84/'RKA P&amp;L'!N3)</f>
        <v>3.7210859484891508</v>
      </c>
      <c r="O86" s="191">
        <f>O85*(Assumptions!$N$84/'RKA P&amp;L'!O3)</f>
        <v>3.8964649993400742</v>
      </c>
      <c r="P86" s="191">
        <f>P85*(Assumptions!$N$84/'RKA P&amp;L'!P3)</f>
        <v>4.1024972582092891</v>
      </c>
      <c r="Q86" s="191">
        <f>Q85*(Assumptions!$N$84/'RKA P&amp;L'!Q3)</f>
        <v>4.3076221211197536</v>
      </c>
      <c r="R86" s="191">
        <f>R85*(Assumptions!$N$84/'RKA P&amp;L'!R3)</f>
        <v>4.5230032271757414</v>
      </c>
      <c r="S86" s="191">
        <f>S85*(Assumptions!$N$84/'RKA P&amp;L'!S3)</f>
        <v>4.7361775596041076</v>
      </c>
      <c r="T86" s="191">
        <f>T85*(Assumptions!$N$84/'RKA P&amp;L'!T3)</f>
        <v>4.9866110579612561</v>
      </c>
      <c r="U86" s="191">
        <f>U85*(Assumptions!$N$84/'RKA P&amp;L'!U3)</f>
        <v>5.2359416108593191</v>
      </c>
      <c r="V86" s="191">
        <f>V85*(Assumptions!$N$84/'RKA P&amp;L'!V3)</f>
        <v>5.4977386914022857</v>
      </c>
      <c r="W86" s="191">
        <f>W85*(Assumptions!$N$84/'RKA P&amp;L'!W3)</f>
        <v>5.7568534248085426</v>
      </c>
      <c r="X86" s="191">
        <f>X85*(Assumptions!$N$84/'RKA P&amp;L'!X3)</f>
        <v>6.0612569072710212</v>
      </c>
      <c r="Y86" s="191">
        <f>Y85*(Assumptions!$N$84/'RKA P&amp;L'!Y3)</f>
        <v>6.3643197526345725</v>
      </c>
      <c r="Z86" s="191">
        <f>Z85*(Assumptions!$N$84/'RKA P&amp;L'!Z3)</f>
        <v>6.6825357402663013</v>
      </c>
      <c r="AA86" s="191">
        <f>AA85*(Assumptions!$N$84/'RKA P&amp;L'!AA3)</f>
        <v>6.9974913181886889</v>
      </c>
      <c r="AB86" s="191">
        <f>AB85*(Assumptions!$N$84/'RKA P&amp;L'!AB3)</f>
        <v>7.3674956536435978</v>
      </c>
      <c r="AC86" s="191">
        <f>AC85*(Assumptions!$N$84/'RKA P&amp;L'!AC3)</f>
        <v>7.7358704363257784</v>
      </c>
      <c r="AD86" s="191">
        <f>AD85*(Assumptions!$N$84/'RKA P&amp;L'!AD3)</f>
        <v>8.1226639581420663</v>
      </c>
      <c r="AE86" s="191"/>
    </row>
    <row r="87" spans="1:31" s="5" customFormat="1" ht="12" x14ac:dyDescent="0.2">
      <c r="A87" s="8" t="s">
        <v>214</v>
      </c>
      <c r="B87" s="73" t="s">
        <v>58</v>
      </c>
      <c r="C87" s="73"/>
      <c r="D87" s="8"/>
      <c r="E87" s="8"/>
      <c r="F87" s="8"/>
      <c r="G87" s="8"/>
      <c r="H87" s="8"/>
      <c r="I87" s="8"/>
      <c r="J87" s="8"/>
      <c r="K87" s="188"/>
      <c r="L87" s="188"/>
      <c r="M87" s="188"/>
      <c r="N87" s="188">
        <f t="shared" ref="N87:AB87" si="45">+N84+N85-N86</f>
        <v>-0.44924394848915084</v>
      </c>
      <c r="O87" s="188">
        <f t="shared" si="45"/>
        <v>3.2600550491490767</v>
      </c>
      <c r="P87" s="188">
        <f t="shared" si="45"/>
        <v>3.4011735461307859</v>
      </c>
      <c r="Q87" s="188">
        <f t="shared" si="45"/>
        <v>3.5824412323395363</v>
      </c>
      <c r="R87" s="188">
        <f t="shared" si="45"/>
        <v>3.761563293956514</v>
      </c>
      <c r="S87" s="188">
        <f t="shared" si="45"/>
        <v>3.9626172875847603</v>
      </c>
      <c r="T87" s="188">
        <f t="shared" si="45"/>
        <v>4.1341477026566347</v>
      </c>
      <c r="U87" s="188">
        <f t="shared" si="45"/>
        <v>4.3544797081664104</v>
      </c>
      <c r="V87" s="188">
        <f t="shared" si="45"/>
        <v>4.5722036935747292</v>
      </c>
      <c r="W87" s="188">
        <f t="shared" si="45"/>
        <v>4.8165860794173243</v>
      </c>
      <c r="X87" s="188">
        <f t="shared" si="45"/>
        <v>5.0250823710022825</v>
      </c>
      <c r="Y87" s="188">
        <f t="shared" si="45"/>
        <v>5.292897300774448</v>
      </c>
      <c r="Z87" s="188">
        <f t="shared" si="45"/>
        <v>5.557542165813171</v>
      </c>
      <c r="AA87" s="188">
        <f t="shared" si="45"/>
        <v>5.8545904831947562</v>
      </c>
      <c r="AB87" s="188">
        <f t="shared" si="45"/>
        <v>6.1080190287180933</v>
      </c>
      <c r="AC87" s="188">
        <f t="shared" ref="AC87:AD87" si="46">+AC84+AC85-AC86</f>
        <v>6.4335497496994725</v>
      </c>
      <c r="AD87" s="188">
        <f t="shared" si="46"/>
        <v>6.7552272371844477</v>
      </c>
    </row>
    <row r="88" spans="1:31" s="5" customFormat="1" ht="12" x14ac:dyDescent="0.2">
      <c r="B88" s="127"/>
      <c r="C88" s="127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</row>
    <row r="89" spans="1:31" s="5" customFormat="1" ht="12" x14ac:dyDescent="0.2">
      <c r="A89" s="8" t="s">
        <v>250</v>
      </c>
      <c r="B89" s="73" t="s">
        <v>58</v>
      </c>
      <c r="C89" s="73"/>
      <c r="D89" s="8"/>
      <c r="E89" s="8"/>
      <c r="F89" s="8"/>
      <c r="G89" s="8"/>
      <c r="H89" s="8"/>
      <c r="I89" s="8"/>
      <c r="J89" s="7">
        <v>1.1545000000000001</v>
      </c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</row>
    <row r="90" spans="1:31" s="5" customFormat="1" ht="12" x14ac:dyDescent="0.2">
      <c r="B90" s="127"/>
      <c r="C90" s="127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</row>
    <row r="91" spans="1:31" s="5" customFormat="1" ht="12" x14ac:dyDescent="0.2">
      <c r="A91" s="37" t="s">
        <v>215</v>
      </c>
      <c r="B91" s="190" t="s">
        <v>58</v>
      </c>
      <c r="C91" s="73"/>
      <c r="D91" s="8"/>
      <c r="E91" s="8"/>
      <c r="F91" s="8"/>
      <c r="G91" s="8"/>
      <c r="H91" s="8"/>
      <c r="I91" s="8"/>
      <c r="J91" s="203">
        <f>J76+J79+J81-J86-J89</f>
        <v>2.6645000000000003</v>
      </c>
      <c r="K91" s="59"/>
      <c r="L91" s="59"/>
      <c r="M91" s="59"/>
      <c r="N91" s="59">
        <f t="shared" ref="N91:AD91" si="47">N76-N86</f>
        <v>20.754312519349966</v>
      </c>
      <c r="O91" s="59">
        <f t="shared" si="47"/>
        <v>20.578933468499041</v>
      </c>
      <c r="P91" s="59">
        <f t="shared" si="47"/>
        <v>18.433487701877123</v>
      </c>
      <c r="Q91" s="59">
        <f t="shared" si="47"/>
        <v>18.22836283896666</v>
      </c>
      <c r="R91" s="59">
        <f t="shared" si="47"/>
        <v>18.012981732910671</v>
      </c>
      <c r="S91" s="59">
        <f t="shared" si="47"/>
        <v>5.9305967330357623</v>
      </c>
      <c r="T91" s="59">
        <f t="shared" si="47"/>
        <v>5.6801632346786155</v>
      </c>
      <c r="U91" s="59">
        <f t="shared" si="47"/>
        <v>5.4308326817805526</v>
      </c>
      <c r="V91" s="59">
        <f t="shared" si="47"/>
        <v>5.169035601237586</v>
      </c>
      <c r="W91" s="59">
        <f t="shared" si="47"/>
        <v>4.9099208678313273</v>
      </c>
      <c r="X91" s="59">
        <f t="shared" si="47"/>
        <v>4.6055173853688505</v>
      </c>
      <c r="Y91" s="59">
        <f t="shared" si="47"/>
        <v>4.3024545400052991</v>
      </c>
      <c r="Z91" s="59">
        <f t="shared" si="47"/>
        <v>3.9842385523735704</v>
      </c>
      <c r="AA91" s="59">
        <f t="shared" si="47"/>
        <v>3.669282974451181</v>
      </c>
      <c r="AB91" s="59">
        <f t="shared" si="47"/>
        <v>3.2992786389962738</v>
      </c>
      <c r="AC91" s="59">
        <f t="shared" si="47"/>
        <v>2.9309038563140932</v>
      </c>
      <c r="AD91" s="59">
        <f t="shared" si="47"/>
        <v>2.5441103344978053</v>
      </c>
    </row>
    <row r="92" spans="1:31" s="5" customFormat="1" ht="12" x14ac:dyDescent="0.2">
      <c r="B92" s="127"/>
      <c r="C92" s="127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</row>
    <row r="93" spans="1:31" s="5" customFormat="1" ht="12" x14ac:dyDescent="0.2">
      <c r="A93" s="37" t="s">
        <v>216</v>
      </c>
      <c r="B93" s="190" t="s">
        <v>58</v>
      </c>
      <c r="C93" s="73"/>
      <c r="D93" s="8"/>
      <c r="E93" s="8"/>
      <c r="F93" s="8"/>
      <c r="G93" s="8"/>
      <c r="H93" s="8"/>
      <c r="I93" s="8"/>
      <c r="J93" s="8"/>
      <c r="K93" s="191"/>
      <c r="L93" s="191"/>
      <c r="M93" s="191"/>
      <c r="N93" s="191">
        <f t="shared" ref="N93:AD93" si="48">+N91-M91</f>
        <v>20.754312519349966</v>
      </c>
      <c r="O93" s="191">
        <f t="shared" si="48"/>
        <v>-0.17537905085092476</v>
      </c>
      <c r="P93" s="191">
        <f t="shared" si="48"/>
        <v>-2.1454457666219184</v>
      </c>
      <c r="Q93" s="191">
        <f t="shared" si="48"/>
        <v>-0.20512486291046272</v>
      </c>
      <c r="R93" s="191">
        <f t="shared" si="48"/>
        <v>-0.21538110605598959</v>
      </c>
      <c r="S93" s="191">
        <f t="shared" si="48"/>
        <v>-12.082384999874908</v>
      </c>
      <c r="T93" s="191">
        <f t="shared" si="48"/>
        <v>-0.25043349835714679</v>
      </c>
      <c r="U93" s="191">
        <f t="shared" si="48"/>
        <v>-0.24933055289806294</v>
      </c>
      <c r="V93" s="191">
        <f t="shared" si="48"/>
        <v>-0.26179708054296658</v>
      </c>
      <c r="W93" s="191">
        <f t="shared" si="48"/>
        <v>-0.25911473340625868</v>
      </c>
      <c r="X93" s="191">
        <f t="shared" si="48"/>
        <v>-0.30440348246247684</v>
      </c>
      <c r="Y93" s="191">
        <f t="shared" si="48"/>
        <v>-0.30306284536355133</v>
      </c>
      <c r="Z93" s="191">
        <f t="shared" si="48"/>
        <v>-0.31821598763172876</v>
      </c>
      <c r="AA93" s="191">
        <f t="shared" si="48"/>
        <v>-0.31495557792238937</v>
      </c>
      <c r="AB93" s="191">
        <f t="shared" si="48"/>
        <v>-0.37000433545490719</v>
      </c>
      <c r="AC93" s="191">
        <f t="shared" si="48"/>
        <v>-0.3683747826821806</v>
      </c>
      <c r="AD93" s="191">
        <f t="shared" si="48"/>
        <v>-0.3867935218162879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7"/>
  <sheetViews>
    <sheetView workbookViewId="0">
      <selection activeCell="M18" sqref="M18"/>
    </sheetView>
  </sheetViews>
  <sheetFormatPr defaultRowHeight="15" x14ac:dyDescent="0.25"/>
  <cols>
    <col min="1" max="1" width="54.7109375" bestFit="1" customWidth="1"/>
    <col min="2" max="2" width="9.42578125" bestFit="1" customWidth="1"/>
    <col min="3" max="3" width="11.28515625" bestFit="1" customWidth="1"/>
    <col min="4" max="4" width="11.7109375" bestFit="1" customWidth="1"/>
    <col min="5" max="5" width="10.140625" bestFit="1" customWidth="1"/>
    <col min="6" max="13" width="9.28515625" bestFit="1" customWidth="1"/>
  </cols>
  <sheetData>
    <row r="1" spans="1:21" x14ac:dyDescent="0.25">
      <c r="A1" s="109" t="s">
        <v>229</v>
      </c>
    </row>
    <row r="3" spans="1:21" ht="45" x14ac:dyDescent="0.25">
      <c r="A3" s="105" t="s">
        <v>94</v>
      </c>
      <c r="B3" s="105" t="s">
        <v>95</v>
      </c>
      <c r="C3" s="105" t="s">
        <v>96</v>
      </c>
      <c r="D3" s="105" t="s">
        <v>97</v>
      </c>
      <c r="E3" s="105" t="s">
        <v>98</v>
      </c>
      <c r="F3" s="105" t="s">
        <v>99</v>
      </c>
    </row>
    <row r="4" spans="1:21" ht="30" x14ac:dyDescent="0.25">
      <c r="A4" s="100" t="s">
        <v>230</v>
      </c>
      <c r="B4" s="100" t="s">
        <v>58</v>
      </c>
      <c r="C4" s="100">
        <f>92.9531+17.0783</f>
        <v>110.0314</v>
      </c>
      <c r="D4" s="101">
        <f>Assumptions!$C$41</f>
        <v>0.13100000000000001</v>
      </c>
      <c r="E4" s="102">
        <f>F4*4</f>
        <v>36</v>
      </c>
      <c r="F4" s="103">
        <v>9</v>
      </c>
    </row>
    <row r="5" spans="1:21" ht="30" x14ac:dyDescent="0.25">
      <c r="A5" s="100" t="s">
        <v>231</v>
      </c>
      <c r="B5" s="100" t="s">
        <v>58</v>
      </c>
      <c r="C5" s="100">
        <v>6.5129999999999999</v>
      </c>
      <c r="D5" s="101">
        <f>Assumptions!$C$41</f>
        <v>0.13100000000000001</v>
      </c>
      <c r="E5" s="102">
        <f>F5*4</f>
        <v>36</v>
      </c>
      <c r="F5" s="103">
        <v>9</v>
      </c>
    </row>
    <row r="6" spans="1:21" ht="30" x14ac:dyDescent="0.25">
      <c r="A6" s="132" t="s">
        <v>100</v>
      </c>
      <c r="B6" s="183" t="str">
        <f>[94]Assumptions!C75</f>
        <v>INR Crore</v>
      </c>
      <c r="C6" s="184">
        <f>SUM(C4:C5)</f>
        <v>116.54440000000001</v>
      </c>
      <c r="D6" s="185">
        <f>SUMPRODUCT(C4:C5,D4:D5)/C6</f>
        <v>0.13100000000000001</v>
      </c>
      <c r="E6" s="186"/>
      <c r="F6" s="186">
        <f>F5</f>
        <v>9</v>
      </c>
    </row>
    <row r="8" spans="1:21" x14ac:dyDescent="0.25">
      <c r="A8" s="2" t="s">
        <v>247</v>
      </c>
      <c r="B8" s="3" t="s">
        <v>56</v>
      </c>
      <c r="C8" s="210">
        <v>0.85</v>
      </c>
      <c r="D8" s="2"/>
      <c r="E8" s="2"/>
      <c r="F8" s="109">
        <v>8</v>
      </c>
    </row>
    <row r="9" spans="1:21" x14ac:dyDescent="0.25">
      <c r="A9" s="2" t="s">
        <v>248</v>
      </c>
      <c r="B9" s="3" t="s">
        <v>56</v>
      </c>
      <c r="C9" s="211">
        <v>0.15</v>
      </c>
    </row>
    <row r="11" spans="1:21" x14ac:dyDescent="0.25">
      <c r="A11" s="105" t="s">
        <v>94</v>
      </c>
      <c r="B11" s="106">
        <f>Assumptions!K$4</f>
        <v>43921</v>
      </c>
      <c r="C11" s="106">
        <f>Assumptions!L$4</f>
        <v>44286</v>
      </c>
      <c r="D11" s="106">
        <f>Assumptions!M$4</f>
        <v>44651</v>
      </c>
      <c r="E11" s="106">
        <f>Assumptions!N$4</f>
        <v>45016</v>
      </c>
      <c r="F11" s="106">
        <f>Assumptions!O$4</f>
        <v>45382</v>
      </c>
      <c r="G11" s="106">
        <f>Assumptions!P$4</f>
        <v>45747</v>
      </c>
      <c r="H11" s="106">
        <f>Assumptions!Q$4</f>
        <v>46112</v>
      </c>
      <c r="I11" s="106">
        <f>Assumptions!R$4</f>
        <v>46477</v>
      </c>
      <c r="J11" s="106">
        <f>Assumptions!S$4</f>
        <v>46843</v>
      </c>
      <c r="K11" s="106">
        <f>Assumptions!T$4</f>
        <v>47208</v>
      </c>
      <c r="L11" s="106">
        <f>Assumptions!U$4</f>
        <v>47573</v>
      </c>
      <c r="M11" s="106">
        <f>Assumptions!V$4</f>
        <v>47938</v>
      </c>
      <c r="N11" s="106">
        <f>Assumptions!W$4</f>
        <v>48304</v>
      </c>
      <c r="O11" s="106">
        <f>Assumptions!X$4</f>
        <v>48669</v>
      </c>
      <c r="P11" s="106">
        <f>Assumptions!Y$4</f>
        <v>49034</v>
      </c>
      <c r="Q11" s="106">
        <f>Assumptions!Z$4</f>
        <v>49399</v>
      </c>
      <c r="R11" s="106">
        <f>Assumptions!AA$4</f>
        <v>49765</v>
      </c>
      <c r="S11" s="106">
        <f>Assumptions!AB$4</f>
        <v>50130</v>
      </c>
      <c r="T11" s="106">
        <f>Assumptions!AC$4</f>
        <v>50495</v>
      </c>
      <c r="U11" s="106">
        <f>Assumptions!AD$4</f>
        <v>50860</v>
      </c>
    </row>
    <row r="12" spans="1:21" x14ac:dyDescent="0.25">
      <c r="A12" s="2" t="s">
        <v>101</v>
      </c>
      <c r="B12" s="104"/>
      <c r="C12" s="104"/>
      <c r="D12" s="104"/>
      <c r="E12" s="104">
        <f>$C$6</f>
        <v>116.54440000000001</v>
      </c>
      <c r="F12" s="104">
        <f t="shared" ref="F12:H12" si="0">E15</f>
        <v>104.16155750000001</v>
      </c>
      <c r="G12" s="104">
        <f t="shared" si="0"/>
        <v>91.77871500000002</v>
      </c>
      <c r="H12" s="104">
        <f t="shared" si="0"/>
        <v>79.395872500000024</v>
      </c>
      <c r="I12" s="104">
        <f t="shared" ref="I12" si="1">H15</f>
        <v>67.013030000000029</v>
      </c>
      <c r="J12" s="104">
        <f t="shared" ref="J12" si="2">I15</f>
        <v>54.630187500000027</v>
      </c>
      <c r="K12" s="104">
        <f t="shared" ref="K12" si="3">J15</f>
        <v>42.247345000000024</v>
      </c>
      <c r="L12" s="104">
        <f t="shared" ref="L12:M12" si="4">K15</f>
        <v>29.864502500000022</v>
      </c>
      <c r="M12" s="104">
        <f t="shared" si="4"/>
        <v>17.481660000000019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</row>
    <row r="13" spans="1:21" x14ac:dyDescent="0.25">
      <c r="A13" s="2" t="s">
        <v>102</v>
      </c>
      <c r="B13" s="104"/>
      <c r="C13" s="104"/>
      <c r="D13" s="104"/>
      <c r="E13" s="104">
        <f>($C$6*$C$8)/$F$8</f>
        <v>12.382842500000001</v>
      </c>
      <c r="F13" s="104">
        <f t="shared" ref="F13:L13" si="5">($C$6*$C$8)/$F$8</f>
        <v>12.382842500000001</v>
      </c>
      <c r="G13" s="104">
        <f t="shared" si="5"/>
        <v>12.382842500000001</v>
      </c>
      <c r="H13" s="104">
        <f t="shared" si="5"/>
        <v>12.382842500000001</v>
      </c>
      <c r="I13" s="104">
        <f t="shared" si="5"/>
        <v>12.382842500000001</v>
      </c>
      <c r="J13" s="104">
        <f t="shared" si="5"/>
        <v>12.382842500000001</v>
      </c>
      <c r="K13" s="104">
        <f t="shared" si="5"/>
        <v>12.382842500000001</v>
      </c>
      <c r="L13" s="104">
        <f t="shared" si="5"/>
        <v>12.382842500000001</v>
      </c>
      <c r="M13" s="104">
        <f>C6*C9</f>
        <v>17.481660000000002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</row>
    <row r="14" spans="1:21" x14ac:dyDescent="0.25">
      <c r="A14" s="2" t="s">
        <v>103</v>
      </c>
      <c r="B14" s="104"/>
      <c r="C14" s="104"/>
      <c r="D14" s="104"/>
      <c r="E14" s="104">
        <f>E12*$D$6</f>
        <v>15.267316400000002</v>
      </c>
      <c r="F14" s="104">
        <f t="shared" ref="F14:G14" si="6">F12*$D$6</f>
        <v>13.645164032500002</v>
      </c>
      <c r="G14" s="104">
        <f t="shared" si="6"/>
        <v>12.023011665000004</v>
      </c>
      <c r="H14" s="104">
        <f t="shared" ref="H14:L14" si="7">H12*$D$6</f>
        <v>10.400859297500004</v>
      </c>
      <c r="I14" s="104">
        <f t="shared" si="7"/>
        <v>8.7787069300000038</v>
      </c>
      <c r="J14" s="104">
        <f t="shared" si="7"/>
        <v>7.1565545625000038</v>
      </c>
      <c r="K14" s="104">
        <f t="shared" si="7"/>
        <v>5.5344021950000037</v>
      </c>
      <c r="L14" s="104">
        <f t="shared" si="7"/>
        <v>3.9122498275000028</v>
      </c>
      <c r="M14" s="104">
        <f t="shared" ref="M14" si="8">M12*$D$6</f>
        <v>2.2900974600000028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</row>
    <row r="15" spans="1:21" x14ac:dyDescent="0.25">
      <c r="A15" s="2" t="s">
        <v>104</v>
      </c>
      <c r="B15" s="104"/>
      <c r="C15" s="104"/>
      <c r="D15" s="104"/>
      <c r="E15" s="104">
        <f t="shared" ref="E15:G15" si="9">E12-E13</f>
        <v>104.16155750000001</v>
      </c>
      <c r="F15" s="104">
        <f t="shared" si="9"/>
        <v>91.77871500000002</v>
      </c>
      <c r="G15" s="104">
        <f t="shared" si="9"/>
        <v>79.395872500000024</v>
      </c>
      <c r="H15" s="104">
        <f t="shared" ref="H15:L15" si="10">H12-H13</f>
        <v>67.013030000000029</v>
      </c>
      <c r="I15" s="104">
        <f t="shared" si="10"/>
        <v>54.630187500000027</v>
      </c>
      <c r="J15" s="104">
        <f t="shared" si="10"/>
        <v>42.247345000000024</v>
      </c>
      <c r="K15" s="104">
        <f t="shared" si="10"/>
        <v>29.864502500000022</v>
      </c>
      <c r="L15" s="104">
        <f t="shared" si="10"/>
        <v>17.481660000000019</v>
      </c>
      <c r="M15" s="104">
        <f t="shared" ref="M15" si="11">M12-M13</f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</row>
    <row r="17" spans="1:13" x14ac:dyDescent="0.25">
      <c r="A17" s="109" t="s">
        <v>106</v>
      </c>
      <c r="B17" s="103">
        <f t="shared" ref="B17:M17" si="12">SUMIF($A$12:$A$16,"Interest Expense",B12:B16)</f>
        <v>0</v>
      </c>
      <c r="C17" s="103">
        <f t="shared" si="12"/>
        <v>0</v>
      </c>
      <c r="D17" s="103">
        <f t="shared" si="12"/>
        <v>0</v>
      </c>
      <c r="E17" s="103">
        <f t="shared" si="12"/>
        <v>15.267316400000002</v>
      </c>
      <c r="F17" s="103">
        <f t="shared" si="12"/>
        <v>13.645164032500002</v>
      </c>
      <c r="G17" s="103">
        <f t="shared" si="12"/>
        <v>12.023011665000004</v>
      </c>
      <c r="H17" s="103">
        <f t="shared" si="12"/>
        <v>10.400859297500004</v>
      </c>
      <c r="I17" s="103">
        <f t="shared" si="12"/>
        <v>8.7787069300000038</v>
      </c>
      <c r="J17" s="103">
        <f t="shared" si="12"/>
        <v>7.1565545625000038</v>
      </c>
      <c r="K17" s="103">
        <f t="shared" si="12"/>
        <v>5.5344021950000037</v>
      </c>
      <c r="L17" s="103">
        <f t="shared" si="12"/>
        <v>3.9122498275000028</v>
      </c>
      <c r="M17" s="103">
        <f t="shared" si="12"/>
        <v>2.2900974600000028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topLeftCell="B1" workbookViewId="0">
      <pane ySplit="2" topLeftCell="A12" activePane="bottomLeft" state="frozen"/>
      <selection pane="bottomLeft" activeCell="I30" sqref="I30"/>
    </sheetView>
  </sheetViews>
  <sheetFormatPr defaultColWidth="9.140625" defaultRowHeight="12.75" x14ac:dyDescent="0.2"/>
  <cols>
    <col min="1" max="1" width="6.140625" style="75" customWidth="1"/>
    <col min="2" max="2" width="35" style="75" bestFit="1" customWidth="1"/>
    <col min="3" max="3" width="15.140625" style="75" customWidth="1"/>
    <col min="4" max="4" width="9" style="75" bestFit="1" customWidth="1"/>
    <col min="5" max="5" width="10.7109375" style="75" customWidth="1"/>
    <col min="6" max="6" width="12.85546875" style="75" bestFit="1" customWidth="1"/>
    <col min="7" max="7" width="9.85546875" style="75" bestFit="1" customWidth="1"/>
    <col min="8" max="8" width="14.28515625" style="75" customWidth="1"/>
    <col min="9" max="9" width="12" style="75" bestFit="1" customWidth="1"/>
    <col min="10" max="10" width="13.28515625" style="75" bestFit="1" customWidth="1"/>
    <col min="11" max="11" width="15.140625" style="75" bestFit="1" customWidth="1"/>
    <col min="12" max="13" width="9.140625" style="75"/>
    <col min="14" max="14" width="13.7109375" style="75" bestFit="1" customWidth="1"/>
    <col min="15" max="16384" width="9.140625" style="75"/>
  </cols>
  <sheetData>
    <row r="1" spans="1:17" ht="15" x14ac:dyDescent="0.25">
      <c r="A1" s="75" t="s">
        <v>88</v>
      </c>
      <c r="F1" s="222" t="s">
        <v>275</v>
      </c>
      <c r="N1"/>
      <c r="O1"/>
      <c r="P1"/>
      <c r="Q1"/>
    </row>
    <row r="2" spans="1:17" ht="38.25" x14ac:dyDescent="0.2">
      <c r="A2" s="76" t="s">
        <v>68</v>
      </c>
      <c r="B2" s="76" t="s">
        <v>69</v>
      </c>
      <c r="C2" s="76" t="s">
        <v>272</v>
      </c>
      <c r="D2" s="76" t="s">
        <v>70</v>
      </c>
      <c r="E2" s="76" t="s">
        <v>71</v>
      </c>
      <c r="F2" s="76" t="s">
        <v>91</v>
      </c>
      <c r="G2" s="76" t="s">
        <v>72</v>
      </c>
      <c r="H2" s="76" t="s">
        <v>73</v>
      </c>
      <c r="I2" s="76" t="s">
        <v>74</v>
      </c>
      <c r="J2" s="76" t="s">
        <v>75</v>
      </c>
      <c r="K2" s="76" t="s">
        <v>76</v>
      </c>
    </row>
    <row r="3" spans="1:17" ht="15" x14ac:dyDescent="0.25">
      <c r="A3" s="77">
        <v>1</v>
      </c>
      <c r="B3" s="2" t="s">
        <v>87</v>
      </c>
      <c r="C3" s="96">
        <v>17.66</v>
      </c>
      <c r="D3" s="78">
        <v>0.1333</v>
      </c>
      <c r="E3" s="96">
        <v>287.31</v>
      </c>
      <c r="F3" s="79">
        <v>56.05</v>
      </c>
      <c r="G3" s="79">
        <v>230.26</v>
      </c>
      <c r="H3" s="80">
        <f>N3/$N$6</f>
        <v>0.74445603280934236</v>
      </c>
      <c r="I3" s="79">
        <f>F3/G3</f>
        <v>0.24342048119517068</v>
      </c>
      <c r="J3" s="96">
        <v>1.2</v>
      </c>
      <c r="K3" s="79">
        <f>J3/(1+(1-D3)*I3)</f>
        <v>0.99093907518915914</v>
      </c>
      <c r="L3" s="75">
        <f>K3/AVERAGE($K$3:$K$5)</f>
        <v>1.1002197414322255</v>
      </c>
      <c r="N3" s="81">
        <f>IFERROR(1/IF(L3=0,,ABS(E3-$N$1)),0)</f>
        <v>3.4805610664439108E-3</v>
      </c>
      <c r="O3" s="82">
        <f>IFERROR(1/IF(L3=0,,E3-$N$1),0)</f>
        <v>3.4805610664439108E-3</v>
      </c>
      <c r="P3" s="221" t="s">
        <v>273</v>
      </c>
      <c r="Q3" s="221" t="s">
        <v>284</v>
      </c>
    </row>
    <row r="4" spans="1:17" ht="15" x14ac:dyDescent="0.25">
      <c r="A4" s="77">
        <v>2</v>
      </c>
      <c r="B4" s="2" t="s">
        <v>89</v>
      </c>
      <c r="C4" s="96">
        <v>518.24</v>
      </c>
      <c r="D4" s="78">
        <v>0</v>
      </c>
      <c r="E4" s="96">
        <v>4465.88</v>
      </c>
      <c r="F4" s="79">
        <v>764.29</v>
      </c>
      <c r="G4" s="79">
        <v>1315.53</v>
      </c>
      <c r="H4" s="80">
        <f>N4/$N$6</f>
        <v>4.7894180494427112E-2</v>
      </c>
      <c r="I4" s="79">
        <f>F4/G4</f>
        <v>0.58097496826374162</v>
      </c>
      <c r="J4" s="96">
        <v>1.22</v>
      </c>
      <c r="K4" s="79">
        <f>J4/(1+(1-D4)*I4)</f>
        <v>0.77167572193747536</v>
      </c>
      <c r="L4" s="75">
        <f t="shared" ref="L4:L5" si="0">K4/AVERAGE($K$3:$K$5)</f>
        <v>0.85677604659752471</v>
      </c>
      <c r="N4" s="81">
        <f>IFERROR(1/IF(L4=0,,ABS(E4-$N$1)),0)</f>
        <v>2.2392003367757306E-4</v>
      </c>
      <c r="O4" s="82"/>
      <c r="P4" s="221" t="s">
        <v>274</v>
      </c>
      <c r="Q4" s="221" t="s">
        <v>285</v>
      </c>
    </row>
    <row r="5" spans="1:17" ht="15" x14ac:dyDescent="0.25">
      <c r="A5" s="77">
        <v>3</v>
      </c>
      <c r="B5" s="2" t="s">
        <v>90</v>
      </c>
      <c r="C5" s="98">
        <v>29.78</v>
      </c>
      <c r="D5" s="78">
        <v>0</v>
      </c>
      <c r="E5" s="96">
        <v>1030.05</v>
      </c>
      <c r="F5" s="79">
        <v>289.64</v>
      </c>
      <c r="G5" s="79">
        <v>734.2</v>
      </c>
      <c r="H5" s="80">
        <f>N5/$N$6</f>
        <v>0.20764978669623047</v>
      </c>
      <c r="I5" s="79">
        <f>F5/G5</f>
        <v>0.39449741214927808</v>
      </c>
      <c r="J5" s="96">
        <v>1.31</v>
      </c>
      <c r="K5" s="79">
        <f>J5/(1+(1-D5)*I5)</f>
        <v>0.93940654789810907</v>
      </c>
      <c r="L5" s="75">
        <f t="shared" si="0"/>
        <v>1.0430042119702498</v>
      </c>
      <c r="N5" s="81">
        <f>IFERROR(1/IF(L5=0,,ABS(E5-$N$1)),0)</f>
        <v>9.7082665890005349E-4</v>
      </c>
      <c r="O5" s="82"/>
      <c r="P5" s="221" t="s">
        <v>276</v>
      </c>
      <c r="Q5" s="221" t="s">
        <v>286</v>
      </c>
    </row>
    <row r="6" spans="1:17" x14ac:dyDescent="0.2">
      <c r="A6" s="83"/>
      <c r="B6" s="83" t="s">
        <v>77</v>
      </c>
      <c r="C6" s="97"/>
      <c r="D6" s="84">
        <f>0.3*1.12*1.04</f>
        <v>0.34944000000000003</v>
      </c>
      <c r="E6" s="83"/>
      <c r="F6" s="83"/>
      <c r="G6" s="83"/>
      <c r="H6" s="84">
        <f>SUM(H3:H5)</f>
        <v>0.99999999999999989</v>
      </c>
      <c r="I6" s="85">
        <f>AVERAGE(I3:I5)</f>
        <v>0.4062976205360635</v>
      </c>
      <c r="J6" s="85">
        <f>AVERAGE(J3:J5)</f>
        <v>1.2433333333333334</v>
      </c>
      <c r="K6" s="85">
        <f>SUMPRODUCT(H3:H5,K3:K5)</f>
        <v>0.96973691827280539</v>
      </c>
      <c r="N6" s="81">
        <f>SUM(N3:N5)</f>
        <v>4.6753077590215375E-3</v>
      </c>
      <c r="P6" s="86"/>
    </row>
    <row r="7" spans="1:17" x14ac:dyDescent="0.2">
      <c r="D7" s="87"/>
    </row>
    <row r="8" spans="1:17" x14ac:dyDescent="0.2">
      <c r="D8" s="87"/>
    </row>
    <row r="9" spans="1:17" ht="15" x14ac:dyDescent="0.25">
      <c r="B9" s="117" t="s">
        <v>92</v>
      </c>
      <c r="C9" s="118" t="s">
        <v>122</v>
      </c>
      <c r="D9" s="87"/>
      <c r="P9" s="221"/>
    </row>
    <row r="10" spans="1:17" x14ac:dyDescent="0.2">
      <c r="B10" s="116" t="s">
        <v>91</v>
      </c>
      <c r="C10" s="197">
        <f>Assumptions!D41</f>
        <v>116.54440000000001</v>
      </c>
      <c r="D10" s="87"/>
    </row>
    <row r="11" spans="1:17" x14ac:dyDescent="0.2">
      <c r="B11" s="116" t="s">
        <v>72</v>
      </c>
      <c r="C11" s="197">
        <v>28.195799999999998</v>
      </c>
      <c r="D11" s="87"/>
    </row>
    <row r="12" spans="1:17" x14ac:dyDescent="0.2">
      <c r="B12" s="83" t="s">
        <v>93</v>
      </c>
      <c r="C12" s="97">
        <f>C10/C11</f>
        <v>4.1333957539775437</v>
      </c>
      <c r="D12" s="87"/>
    </row>
    <row r="13" spans="1:17" x14ac:dyDescent="0.2">
      <c r="D13" s="87"/>
    </row>
    <row r="14" spans="1:17" x14ac:dyDescent="0.2">
      <c r="D14" s="87"/>
      <c r="F14" s="87"/>
      <c r="H14" s="87"/>
    </row>
    <row r="15" spans="1:17" x14ac:dyDescent="0.2">
      <c r="D15" s="87"/>
    </row>
    <row r="16" spans="1:17" x14ac:dyDescent="0.2">
      <c r="D16" s="87"/>
      <c r="F16" s="87"/>
    </row>
    <row r="17" spans="1:10" ht="15" x14ac:dyDescent="0.25">
      <c r="B17" s="88" t="s">
        <v>78</v>
      </c>
      <c r="C17"/>
      <c r="E17" s="87"/>
    </row>
    <row r="18" spans="1:10" ht="15" x14ac:dyDescent="0.25">
      <c r="B18"/>
      <c r="C18"/>
      <c r="J18" s="87"/>
    </row>
    <row r="19" spans="1:10" ht="15" x14ac:dyDescent="0.25">
      <c r="B19" s="89" t="s">
        <v>79</v>
      </c>
      <c r="C19" s="90">
        <f>K6</f>
        <v>0.96973691827280539</v>
      </c>
    </row>
    <row r="20" spans="1:10" ht="15" x14ac:dyDescent="0.25">
      <c r="B20"/>
      <c r="C20"/>
    </row>
    <row r="21" spans="1:10" ht="15" x14ac:dyDescent="0.25">
      <c r="B21" t="s">
        <v>80</v>
      </c>
      <c r="C21" s="91">
        <f>C12</f>
        <v>4.1333957539775437</v>
      </c>
      <c r="E21" s="122"/>
    </row>
    <row r="22" spans="1:10" ht="15" x14ac:dyDescent="0.25">
      <c r="B22" t="s">
        <v>81</v>
      </c>
      <c r="C22" s="92">
        <v>0.25169999999999998</v>
      </c>
    </row>
    <row r="23" spans="1:10" ht="15" x14ac:dyDescent="0.25">
      <c r="B23"/>
      <c r="C23"/>
      <c r="H23" s="99"/>
    </row>
    <row r="24" spans="1:10" ht="15" x14ac:dyDescent="0.25">
      <c r="B24" s="89" t="s">
        <v>82</v>
      </c>
      <c r="C24" s="93">
        <f>C19*(1+((1-C22)*C21))</f>
        <v>3.9691526426380777</v>
      </c>
    </row>
    <row r="25" spans="1:10" ht="15" x14ac:dyDescent="0.25">
      <c r="B25"/>
      <c r="C25"/>
    </row>
    <row r="26" spans="1:10" ht="15" x14ac:dyDescent="0.25">
      <c r="B26"/>
      <c r="C26"/>
    </row>
    <row r="27" spans="1:10" ht="15" x14ac:dyDescent="0.25">
      <c r="B27" s="88" t="s">
        <v>83</v>
      </c>
      <c r="C27" s="195"/>
    </row>
    <row r="28" spans="1:10" ht="15" x14ac:dyDescent="0.25">
      <c r="B28"/>
      <c r="C28"/>
      <c r="H28"/>
      <c r="I28" s="260" t="s">
        <v>86</v>
      </c>
      <c r="J28" s="260"/>
    </row>
    <row r="29" spans="1:10" ht="15" x14ac:dyDescent="0.25">
      <c r="A29" s="221" t="s">
        <v>277</v>
      </c>
      <c r="B29" t="s">
        <v>84</v>
      </c>
      <c r="C29" s="92">
        <f>J29</f>
        <v>7.0999999999999994E-2</v>
      </c>
      <c r="H29" s="221" t="s">
        <v>277</v>
      </c>
      <c r="I29" s="224" t="s">
        <v>278</v>
      </c>
      <c r="J29" s="225">
        <v>7.0999999999999994E-2</v>
      </c>
    </row>
    <row r="30" spans="1:10" ht="90" x14ac:dyDescent="0.25">
      <c r="B30" t="s">
        <v>85</v>
      </c>
      <c r="C30" s="92">
        <f>J30-J29</f>
        <v>3.9000000000000007E-2</v>
      </c>
      <c r="H30" s="226" t="s">
        <v>279</v>
      </c>
      <c r="I30" s="227" t="s">
        <v>280</v>
      </c>
      <c r="J30" s="228">
        <v>0.11</v>
      </c>
    </row>
    <row r="31" spans="1:10" ht="15" x14ac:dyDescent="0.25">
      <c r="B31"/>
      <c r="C31"/>
      <c r="H31"/>
      <c r="I31" s="224" t="s">
        <v>281</v>
      </c>
      <c r="J31" s="229">
        <f>C24</f>
        <v>3.9691526426380777</v>
      </c>
    </row>
    <row r="32" spans="1:10" ht="15" x14ac:dyDescent="0.25">
      <c r="B32" s="94" t="s">
        <v>86</v>
      </c>
      <c r="C32" s="95">
        <f>C29+C24*C30</f>
        <v>0.22579695306288505</v>
      </c>
      <c r="H32"/>
      <c r="I32" s="224" t="s">
        <v>282</v>
      </c>
      <c r="J32" s="225">
        <f>J29+(J30-J29)*J31</f>
        <v>0.22579695306288505</v>
      </c>
    </row>
    <row r="33" spans="2:3" ht="15" x14ac:dyDescent="0.25">
      <c r="C33"/>
    </row>
    <row r="36" spans="2:3" ht="15" x14ac:dyDescent="0.25">
      <c r="B36"/>
    </row>
  </sheetData>
  <mergeCells count="1">
    <mergeCell ref="I28:J28"/>
  </mergeCells>
  <hyperlinks>
    <hyperlink ref="P3" r:id="rId1" display="https://www.moneycontrol.com/india/stockpricequote/power-generationdistribution/indowindenergy/IE08" xr:uid="{30936D90-C4D9-4E73-8667-F83B24C272C6}"/>
    <hyperlink ref="P4" r:id="rId2" location="IW" display="IW" xr:uid="{9C661358-CB92-49EF-A14B-0B325EC49856}"/>
    <hyperlink ref="P5" r:id="rId3" display="https://www.moneycontrol.com/india/stockpricequote/power-generationdistribution/orientgreenpowercompany/OGP" xr:uid="{920A9866-941E-4B24-B4C6-F268403121E0}"/>
    <hyperlink ref="H29" r:id="rId4" xr:uid="{91B748AB-FF7F-4125-958E-7BFE1D66DF1D}"/>
    <hyperlink ref="A29" r:id="rId5" xr:uid="{6FF3B3D5-0330-452D-B57D-94928CABC700}"/>
    <hyperlink ref="Q4" r:id="rId6" xr:uid="{DB5E0A8F-0D41-496C-BBB1-02F941706A48}"/>
    <hyperlink ref="Q3" r:id="rId7" display="https://economictimes.indiatimes.com/indowind-energy-ltd/stocks/companyid-728.cms" xr:uid="{C0594017-9361-4D5A-B438-59486DBF5C8F}"/>
    <hyperlink ref="Q5" r:id="rId8" display="https://economictimes.indiatimes.com/orient-green-power-company-ltd/stocks/companyid-32349.cms" xr:uid="{B5CE851C-1979-42DB-85D6-40C1DA83322C}"/>
  </hyperlinks>
  <pageMargins left="0.7" right="0.7" top="0.75" bottom="0.75" header="0.3" footer="0.3"/>
  <pageSetup paperSize="9" orientation="portrait" verticalDpi="0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2"/>
  <sheetViews>
    <sheetView topLeftCell="A50" zoomScaleNormal="100" workbookViewId="0">
      <pane ySplit="4" topLeftCell="A84" activePane="bottomLeft" state="frozen"/>
      <selection activeCell="A50" sqref="A50"/>
      <selection pane="bottomLeft" activeCell="X101" sqref="X101"/>
    </sheetView>
  </sheetViews>
  <sheetFormatPr defaultColWidth="9.140625" defaultRowHeight="12" outlineLevelRow="1" x14ac:dyDescent="0.2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6.140625" style="5" bestFit="1" customWidth="1"/>
    <col min="5" max="5" width="16.140625" style="5" customWidth="1"/>
    <col min="6" max="6" width="12.5703125" style="5" bestFit="1" customWidth="1"/>
    <col min="7" max="8" width="17.7109375" style="5" bestFit="1" customWidth="1"/>
    <col min="9" max="10" width="14.42578125" style="5" bestFit="1" customWidth="1"/>
    <col min="11" max="11" width="14" style="5" bestFit="1" customWidth="1"/>
    <col min="12" max="12" width="14.7109375" style="5" bestFit="1" customWidth="1"/>
    <col min="13" max="24" width="19.42578125" style="5" bestFit="1" customWidth="1"/>
    <col min="25" max="29" width="8.140625" style="5" bestFit="1" customWidth="1"/>
    <col min="30" max="37" width="8.140625" style="5" customWidth="1"/>
    <col min="38" max="16384" width="9.140625" style="5"/>
  </cols>
  <sheetData>
    <row r="1" spans="1:15" customFormat="1" ht="15" hidden="1" outlineLevel="1" x14ac:dyDescent="0.25">
      <c r="A1" s="5"/>
      <c r="B1" s="5"/>
      <c r="C1" s="5"/>
      <c r="D1" s="38"/>
      <c r="E1" s="5"/>
      <c r="F1" s="5"/>
      <c r="G1" s="5"/>
      <c r="H1" s="5"/>
      <c r="I1" s="5"/>
      <c r="J1" s="5"/>
      <c r="K1" s="5"/>
      <c r="L1" s="5"/>
      <c r="M1" s="5"/>
    </row>
    <row r="2" spans="1:15" customFormat="1" ht="15" hidden="1" outlineLevel="1" x14ac:dyDescent="0.25">
      <c r="A2" s="5"/>
      <c r="B2" s="5"/>
      <c r="C2" s="6" t="s">
        <v>3</v>
      </c>
      <c r="D2" s="38"/>
      <c r="E2" s="5"/>
      <c r="F2" s="5"/>
      <c r="G2" s="5"/>
      <c r="H2" s="5"/>
      <c r="I2" s="5"/>
      <c r="J2" s="5"/>
      <c r="K2" s="5"/>
      <c r="L2" s="5"/>
      <c r="M2" s="5"/>
    </row>
    <row r="3" spans="1:15" ht="15" hidden="1" outlineLevel="1" x14ac:dyDescent="0.25">
      <c r="C3" t="s">
        <v>4</v>
      </c>
      <c r="D3" s="39" t="s">
        <v>5</v>
      </c>
      <c r="E3"/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2</v>
      </c>
      <c r="L3" t="s">
        <v>11</v>
      </c>
      <c r="M3" t="s">
        <v>12</v>
      </c>
      <c r="N3" t="s">
        <v>13</v>
      </c>
      <c r="O3" t="s">
        <v>14</v>
      </c>
    </row>
    <row r="4" spans="1:15" hidden="1" outlineLevel="1" x14ac:dyDescent="0.2">
      <c r="C4" s="7" t="s">
        <v>15</v>
      </c>
      <c r="D4" s="40"/>
      <c r="E4" s="8"/>
      <c r="F4" s="8"/>
      <c r="G4" s="8"/>
      <c r="H4" s="8"/>
      <c r="I4" s="8"/>
      <c r="J4" s="8" t="s">
        <v>16</v>
      </c>
      <c r="K4" s="8"/>
      <c r="L4" s="8"/>
      <c r="M4" s="8"/>
      <c r="N4" s="8"/>
      <c r="O4" s="8"/>
    </row>
    <row r="5" spans="1:15" ht="14.25" hidden="1" customHeight="1" outlineLevel="1" x14ac:dyDescent="0.2">
      <c r="C5" s="8" t="s">
        <v>17</v>
      </c>
      <c r="D5" s="41">
        <v>7216.69</v>
      </c>
      <c r="E5" s="9"/>
      <c r="F5" s="10">
        <v>35785.82</v>
      </c>
      <c r="G5" s="9">
        <v>8840.35</v>
      </c>
      <c r="H5" s="9">
        <v>452268.38</v>
      </c>
      <c r="I5" s="9"/>
      <c r="J5" s="9">
        <v>8180.53</v>
      </c>
      <c r="K5" s="9">
        <v>36.409999999999997</v>
      </c>
      <c r="L5" s="9">
        <v>51.51</v>
      </c>
      <c r="M5" s="9">
        <v>176.81</v>
      </c>
      <c r="N5" s="9">
        <v>75.33</v>
      </c>
      <c r="O5" s="9">
        <f>SUM(D5:N5)</f>
        <v>512631.83</v>
      </c>
    </row>
    <row r="6" spans="1:15" hidden="1" outlineLevel="1" x14ac:dyDescent="0.2">
      <c r="C6" s="11" t="s">
        <v>18</v>
      </c>
      <c r="D6" s="40">
        <v>131.44</v>
      </c>
      <c r="E6" s="8"/>
      <c r="F6" s="9">
        <v>6825.14</v>
      </c>
      <c r="G6" s="8"/>
      <c r="H6" s="8">
        <v>148.41999999999999</v>
      </c>
      <c r="I6" s="8"/>
      <c r="J6" s="9">
        <v>7771.89</v>
      </c>
      <c r="K6" s="8">
        <v>1.82</v>
      </c>
      <c r="L6" s="8">
        <v>0.42</v>
      </c>
      <c r="M6" s="8">
        <v>1.22</v>
      </c>
      <c r="N6" s="8"/>
      <c r="O6" s="9">
        <f>SUM(D6:N6)</f>
        <v>14880.349999999999</v>
      </c>
    </row>
    <row r="7" spans="1:15" hidden="1" outlineLevel="1" x14ac:dyDescent="0.2">
      <c r="C7" s="12" t="s">
        <v>19</v>
      </c>
      <c r="D7" s="40"/>
      <c r="E7" s="8"/>
      <c r="F7" s="8">
        <v>22.02</v>
      </c>
      <c r="G7" s="8"/>
      <c r="H7" s="9">
        <v>2116.39</v>
      </c>
      <c r="I7" s="9"/>
      <c r="J7" s="8"/>
      <c r="K7" s="8"/>
      <c r="L7" s="8"/>
      <c r="M7" s="8"/>
      <c r="N7" s="8"/>
      <c r="O7" s="9">
        <f>SUM(D7:N7)</f>
        <v>2138.41</v>
      </c>
    </row>
    <row r="8" spans="1:15" hidden="1" outlineLevel="1" x14ac:dyDescent="0.2">
      <c r="C8" s="13" t="s">
        <v>20</v>
      </c>
      <c r="D8" s="40"/>
      <c r="E8" s="8"/>
      <c r="F8" s="8"/>
      <c r="G8" s="8"/>
      <c r="H8" s="9">
        <v>1299.96</v>
      </c>
      <c r="I8" s="9"/>
      <c r="J8" s="8">
        <v>744.38</v>
      </c>
      <c r="K8" s="8"/>
      <c r="L8" s="8"/>
      <c r="M8" s="8"/>
      <c r="N8" s="8"/>
      <c r="O8" s="9">
        <f>SUM(D8:N8)</f>
        <v>2044.3400000000001</v>
      </c>
    </row>
    <row r="9" spans="1:15" hidden="1" outlineLevel="1" x14ac:dyDescent="0.2">
      <c r="C9" s="8" t="s">
        <v>21</v>
      </c>
      <c r="D9" s="41">
        <f>SUM(D5:D6)-D7-D8</f>
        <v>7348.1299999999992</v>
      </c>
      <c r="E9" s="9"/>
      <c r="F9" s="9">
        <f t="shared" ref="F9:O9" si="0">SUM(F5:F6)-F7-F8</f>
        <v>42588.94</v>
      </c>
      <c r="G9" s="9">
        <f t="shared" si="0"/>
        <v>8840.35</v>
      </c>
      <c r="H9" s="9">
        <f t="shared" si="0"/>
        <v>449000.44999999995</v>
      </c>
      <c r="I9" s="9"/>
      <c r="J9" s="9">
        <f t="shared" si="0"/>
        <v>15208.04</v>
      </c>
      <c r="K9" s="9">
        <f t="shared" si="0"/>
        <v>38.229999999999997</v>
      </c>
      <c r="L9" s="9">
        <f t="shared" si="0"/>
        <v>51.93</v>
      </c>
      <c r="M9" s="9">
        <f t="shared" si="0"/>
        <v>178.03</v>
      </c>
      <c r="N9" s="9">
        <f t="shared" si="0"/>
        <v>75.33</v>
      </c>
      <c r="O9" s="9">
        <f t="shared" si="0"/>
        <v>523329.43</v>
      </c>
    </row>
    <row r="10" spans="1:15" hidden="1" outlineLevel="1" x14ac:dyDescent="0.2">
      <c r="C10" s="14" t="s">
        <v>18</v>
      </c>
      <c r="D10" s="40">
        <v>893.49</v>
      </c>
      <c r="E10" s="8"/>
      <c r="F10" s="9">
        <v>20771.2</v>
      </c>
      <c r="G10" s="8">
        <v>378.99</v>
      </c>
      <c r="H10" s="9">
        <v>269627.37</v>
      </c>
      <c r="I10" s="9"/>
      <c r="J10" s="8"/>
      <c r="K10" s="9">
        <v>1.05</v>
      </c>
      <c r="L10" s="8">
        <v>1.1200000000000001</v>
      </c>
      <c r="M10" s="9">
        <v>12.05</v>
      </c>
      <c r="N10" s="8">
        <v>6.51</v>
      </c>
      <c r="O10" s="9">
        <f>SUM(D10:N10)</f>
        <v>291691.77999999997</v>
      </c>
    </row>
    <row r="11" spans="1:15" hidden="1" outlineLevel="1" x14ac:dyDescent="0.2">
      <c r="C11" s="12"/>
      <c r="D11" s="40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idden="1" outlineLevel="1" x14ac:dyDescent="0.2">
      <c r="C12" s="13" t="s">
        <v>20</v>
      </c>
      <c r="D12" s="40"/>
      <c r="E12" s="8"/>
      <c r="F12" s="8"/>
      <c r="G12" s="8"/>
      <c r="H12" s="9">
        <v>706.15</v>
      </c>
      <c r="I12" s="9"/>
      <c r="J12" s="8"/>
      <c r="K12" s="8"/>
      <c r="L12" s="8"/>
      <c r="M12" s="8"/>
      <c r="N12" s="8">
        <v>3.47</v>
      </c>
      <c r="O12" s="9">
        <f>SUM(D12:N12)</f>
        <v>709.62</v>
      </c>
    </row>
    <row r="13" spans="1:15" hidden="1" outlineLevel="1" x14ac:dyDescent="0.2">
      <c r="C13" s="8" t="s">
        <v>22</v>
      </c>
      <c r="D13" s="41">
        <f>SUM(D9:D10)-D11-D12</f>
        <v>8241.619999999999</v>
      </c>
      <c r="E13" s="9"/>
      <c r="F13" s="9">
        <f t="shared" ref="F13:O13" si="1">SUM(F9:F10)-F11-F12</f>
        <v>63360.14</v>
      </c>
      <c r="G13" s="9">
        <f t="shared" si="1"/>
        <v>9219.34</v>
      </c>
      <c r="H13" s="9">
        <f t="shared" si="1"/>
        <v>717921.66999999993</v>
      </c>
      <c r="I13" s="9"/>
      <c r="J13" s="9">
        <f t="shared" si="1"/>
        <v>15208.04</v>
      </c>
      <c r="K13" s="9">
        <f t="shared" si="1"/>
        <v>39.279999999999994</v>
      </c>
      <c r="L13" s="9">
        <f t="shared" si="1"/>
        <v>53.05</v>
      </c>
      <c r="M13" s="9">
        <f t="shared" si="1"/>
        <v>190.08</v>
      </c>
      <c r="N13" s="9">
        <f t="shared" si="1"/>
        <v>78.37</v>
      </c>
      <c r="O13" s="9">
        <f t="shared" si="1"/>
        <v>814311.59</v>
      </c>
    </row>
    <row r="14" spans="1:15" hidden="1" outlineLevel="1" x14ac:dyDescent="0.2">
      <c r="C14" s="14" t="s">
        <v>18</v>
      </c>
      <c r="D14" s="42">
        <v>43.27</v>
      </c>
      <c r="E14" s="15"/>
      <c r="F14" s="9">
        <v>59088.59</v>
      </c>
      <c r="G14" s="8">
        <v>378.99</v>
      </c>
      <c r="H14" s="9">
        <v>373366.79</v>
      </c>
      <c r="I14" s="9">
        <v>2418.4499999999998</v>
      </c>
      <c r="J14" s="8"/>
      <c r="K14" s="9">
        <v>0.6</v>
      </c>
      <c r="L14" s="8">
        <v>6.02</v>
      </c>
      <c r="M14" s="9">
        <v>0.28000000000000003</v>
      </c>
      <c r="N14" s="8"/>
      <c r="O14" s="9">
        <f>SUM(D14:N14)</f>
        <v>435302.99</v>
      </c>
    </row>
    <row r="15" spans="1:15" hidden="1" outlineLevel="1" x14ac:dyDescent="0.2">
      <c r="C15" s="12" t="s">
        <v>19</v>
      </c>
      <c r="D15" s="40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hidden="1" outlineLevel="1" x14ac:dyDescent="0.2">
      <c r="C16" s="13" t="s">
        <v>20</v>
      </c>
      <c r="D16" s="40"/>
      <c r="E16" s="8"/>
      <c r="F16" s="8"/>
      <c r="G16" s="8"/>
      <c r="H16" s="9"/>
      <c r="I16" s="9"/>
      <c r="J16" s="8"/>
      <c r="K16" s="8"/>
      <c r="L16" s="8"/>
      <c r="M16" s="8"/>
      <c r="N16" s="8">
        <v>9.09</v>
      </c>
      <c r="O16" s="9">
        <f>SUM(D16:N16)</f>
        <v>9.09</v>
      </c>
    </row>
    <row r="17" spans="3:15" hidden="1" outlineLevel="1" x14ac:dyDescent="0.2">
      <c r="C17" s="8" t="s">
        <v>23</v>
      </c>
      <c r="D17" s="41">
        <f t="shared" ref="D17:N17" si="2">SUM(D13:D14)-D15-D16</f>
        <v>8284.89</v>
      </c>
      <c r="E17" s="9"/>
      <c r="F17" s="9">
        <f t="shared" si="2"/>
        <v>122448.73</v>
      </c>
      <c r="G17" s="9">
        <f t="shared" si="2"/>
        <v>9598.33</v>
      </c>
      <c r="H17" s="9">
        <f t="shared" si="2"/>
        <v>1091288.46</v>
      </c>
      <c r="I17" s="9">
        <f t="shared" si="2"/>
        <v>2418.4499999999998</v>
      </c>
      <c r="J17" s="9">
        <f t="shared" si="2"/>
        <v>15208.04</v>
      </c>
      <c r="K17" s="9">
        <f t="shared" si="2"/>
        <v>39.879999999999995</v>
      </c>
      <c r="L17" s="9">
        <f t="shared" si="2"/>
        <v>59.069999999999993</v>
      </c>
      <c r="M17" s="9">
        <f t="shared" si="2"/>
        <v>190.36</v>
      </c>
      <c r="N17" s="9">
        <f t="shared" si="2"/>
        <v>69.28</v>
      </c>
      <c r="O17" s="9">
        <f>SUM(D17:N17)</f>
        <v>1249605.49</v>
      </c>
    </row>
    <row r="18" spans="3:15" hidden="1" outlineLevel="1" x14ac:dyDescent="0.2">
      <c r="C18" s="8"/>
      <c r="D18" s="40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3:15" hidden="1" outlineLevel="1" x14ac:dyDescent="0.2">
      <c r="C19" s="7" t="s">
        <v>24</v>
      </c>
      <c r="D19" s="40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3:15" hidden="1" outlineLevel="1" x14ac:dyDescent="0.2">
      <c r="C20" s="8" t="s">
        <v>25</v>
      </c>
      <c r="D20" s="40"/>
      <c r="E20" s="8"/>
      <c r="F20" s="8">
        <v>891.28</v>
      </c>
      <c r="G20" s="8">
        <v>274.19</v>
      </c>
      <c r="H20" s="9">
        <v>2484.2600000000002</v>
      </c>
      <c r="I20" s="9"/>
      <c r="J20" s="8">
        <v>530.86</v>
      </c>
      <c r="K20" s="8">
        <v>12.24</v>
      </c>
      <c r="L20" s="8">
        <v>6.01</v>
      </c>
      <c r="M20" s="8">
        <v>40.17</v>
      </c>
      <c r="N20" s="8">
        <v>9.9600000000000009</v>
      </c>
      <c r="O20" s="9">
        <f t="shared" ref="O20:O29" si="3">SUM(D20:N20)</f>
        <v>4248.97</v>
      </c>
    </row>
    <row r="21" spans="3:15" hidden="1" outlineLevel="1" x14ac:dyDescent="0.2">
      <c r="C21" s="14" t="s">
        <v>26</v>
      </c>
      <c r="D21" s="40"/>
      <c r="E21" s="8"/>
      <c r="F21" s="8">
        <v>1252.18</v>
      </c>
      <c r="G21" s="8">
        <v>280.74</v>
      </c>
      <c r="H21" s="16">
        <v>10725.99</v>
      </c>
      <c r="I21" s="16"/>
      <c r="J21" s="8">
        <v>530.86</v>
      </c>
      <c r="K21" s="8">
        <v>11.78</v>
      </c>
      <c r="L21" s="8">
        <v>6.15</v>
      </c>
      <c r="M21" s="8">
        <v>35.200000000000003</v>
      </c>
      <c r="N21" s="8">
        <v>12.39</v>
      </c>
      <c r="O21" s="9">
        <f t="shared" si="3"/>
        <v>12855.29</v>
      </c>
    </row>
    <row r="22" spans="3:15" hidden="1" outlineLevel="1" x14ac:dyDescent="0.2">
      <c r="C22" s="13" t="s">
        <v>27</v>
      </c>
      <c r="D22" s="40"/>
      <c r="E22" s="8"/>
      <c r="F22" s="8"/>
      <c r="G22" s="8"/>
      <c r="H22" s="8">
        <v>22.75</v>
      </c>
      <c r="I22" s="8"/>
      <c r="J22" s="8">
        <v>630.03</v>
      </c>
      <c r="K22" s="8"/>
      <c r="L22" s="8"/>
      <c r="M22" s="8"/>
      <c r="N22" s="8"/>
      <c r="O22" s="9">
        <f t="shared" si="3"/>
        <v>652.78</v>
      </c>
    </row>
    <row r="23" spans="3:15" hidden="1" outlineLevel="1" x14ac:dyDescent="0.2">
      <c r="C23" s="8" t="s">
        <v>21</v>
      </c>
      <c r="D23" s="40"/>
      <c r="E23" s="8"/>
      <c r="F23" s="9">
        <f>SUM(F20:F21)-F22</f>
        <v>2143.46</v>
      </c>
      <c r="G23" s="9">
        <f t="shared" ref="G23:N23" si="4">SUM(G20:G21)-G22</f>
        <v>554.93000000000006</v>
      </c>
      <c r="H23" s="9">
        <f t="shared" si="4"/>
        <v>13187.5</v>
      </c>
      <c r="I23" s="9"/>
      <c r="J23" s="9">
        <f t="shared" si="4"/>
        <v>431.69000000000005</v>
      </c>
      <c r="K23" s="9">
        <f t="shared" si="4"/>
        <v>24.02</v>
      </c>
      <c r="L23" s="9">
        <f t="shared" si="4"/>
        <v>12.16</v>
      </c>
      <c r="M23" s="9">
        <f t="shared" si="4"/>
        <v>75.37</v>
      </c>
      <c r="N23" s="9">
        <f t="shared" si="4"/>
        <v>22.35</v>
      </c>
      <c r="O23" s="9">
        <f t="shared" si="3"/>
        <v>16451.48</v>
      </c>
    </row>
    <row r="24" spans="3:15" hidden="1" outlineLevel="1" x14ac:dyDescent="0.2">
      <c r="C24" s="14" t="s">
        <v>26</v>
      </c>
      <c r="D24" s="40"/>
      <c r="E24" s="8"/>
      <c r="F24" s="9">
        <v>1379.83</v>
      </c>
      <c r="G24" s="8">
        <v>285.27999999999997</v>
      </c>
      <c r="H24" s="9">
        <v>13087.89</v>
      </c>
      <c r="I24" s="9"/>
      <c r="J24" s="8">
        <v>361.19</v>
      </c>
      <c r="K24" s="9">
        <v>9.02</v>
      </c>
      <c r="L24" s="8">
        <v>6.06</v>
      </c>
      <c r="M24" s="9">
        <v>39.130000000000003</v>
      </c>
      <c r="N24" s="8">
        <v>10.58</v>
      </c>
      <c r="O24" s="9">
        <f t="shared" si="3"/>
        <v>15178.98</v>
      </c>
    </row>
    <row r="25" spans="3:15" hidden="1" outlineLevel="1" x14ac:dyDescent="0.2">
      <c r="C25" s="13" t="s">
        <v>27</v>
      </c>
      <c r="D25" s="40"/>
      <c r="E25" s="8"/>
      <c r="F25" s="9"/>
      <c r="G25" s="8"/>
      <c r="H25" s="9">
        <v>24</v>
      </c>
      <c r="I25" s="9"/>
      <c r="J25" s="8"/>
      <c r="K25" s="8"/>
      <c r="L25" s="8"/>
      <c r="M25" s="8"/>
      <c r="N25" s="8">
        <v>0.95</v>
      </c>
      <c r="O25" s="9">
        <f t="shared" si="3"/>
        <v>24.95</v>
      </c>
    </row>
    <row r="26" spans="3:15" hidden="1" outlineLevel="1" x14ac:dyDescent="0.2">
      <c r="C26" s="8" t="s">
        <v>28</v>
      </c>
      <c r="D26" s="40"/>
      <c r="E26" s="8"/>
      <c r="F26" s="9">
        <f t="shared" ref="F26:N26" si="5">SUM(F23:F24)-F25</f>
        <v>3523.29</v>
      </c>
      <c r="G26" s="9">
        <f t="shared" si="5"/>
        <v>840.21</v>
      </c>
      <c r="H26" s="9">
        <f t="shared" si="5"/>
        <v>26251.39</v>
      </c>
      <c r="I26" s="9"/>
      <c r="J26" s="9">
        <f t="shared" si="5"/>
        <v>792.88000000000011</v>
      </c>
      <c r="K26" s="9">
        <f t="shared" si="5"/>
        <v>33.04</v>
      </c>
      <c r="L26" s="9">
        <f t="shared" si="5"/>
        <v>18.22</v>
      </c>
      <c r="M26" s="9">
        <f t="shared" si="5"/>
        <v>114.5</v>
      </c>
      <c r="N26" s="9">
        <f t="shared" si="5"/>
        <v>31.98</v>
      </c>
      <c r="O26" s="9">
        <f t="shared" si="3"/>
        <v>31605.510000000002</v>
      </c>
    </row>
    <row r="27" spans="3:15" hidden="1" outlineLevel="1" x14ac:dyDescent="0.2">
      <c r="C27" s="14" t="s">
        <v>26</v>
      </c>
      <c r="D27" s="40"/>
      <c r="E27" s="8"/>
      <c r="F27" s="9">
        <v>4835.26</v>
      </c>
      <c r="G27" s="8">
        <v>293.14</v>
      </c>
      <c r="H27" s="9">
        <v>17342.169999999998</v>
      </c>
      <c r="I27" s="9">
        <v>483.69</v>
      </c>
      <c r="J27" s="8">
        <v>361.19</v>
      </c>
      <c r="K27" s="9">
        <v>2.44</v>
      </c>
      <c r="L27" s="8">
        <v>6.06</v>
      </c>
      <c r="M27" s="9">
        <v>38.43</v>
      </c>
      <c r="N27" s="8">
        <v>8.85</v>
      </c>
      <c r="O27" s="9">
        <f t="shared" si="3"/>
        <v>23371.229999999996</v>
      </c>
    </row>
    <row r="28" spans="3:15" hidden="1" outlineLevel="1" x14ac:dyDescent="0.2">
      <c r="C28" s="13" t="s">
        <v>27</v>
      </c>
      <c r="D28" s="40"/>
      <c r="E28" s="8"/>
      <c r="F28" s="9"/>
      <c r="G28" s="8"/>
      <c r="H28" s="9"/>
      <c r="I28" s="9"/>
      <c r="J28" s="8"/>
      <c r="K28" s="8"/>
      <c r="L28" s="8"/>
      <c r="M28" s="8"/>
      <c r="N28" s="8">
        <v>4.57</v>
      </c>
      <c r="O28" s="9">
        <f t="shared" si="3"/>
        <v>4.57</v>
      </c>
    </row>
    <row r="29" spans="3:15" hidden="1" outlineLevel="1" x14ac:dyDescent="0.2">
      <c r="C29" s="8" t="s">
        <v>29</v>
      </c>
      <c r="D29" s="40"/>
      <c r="E29" s="8"/>
      <c r="F29" s="9">
        <f t="shared" ref="F29:N29" si="6">SUM(F26:F27)-F28</f>
        <v>8358.5499999999993</v>
      </c>
      <c r="G29" s="9">
        <f t="shared" si="6"/>
        <v>1133.3499999999999</v>
      </c>
      <c r="H29" s="9">
        <f t="shared" si="6"/>
        <v>43593.56</v>
      </c>
      <c r="I29" s="9">
        <f t="shared" si="6"/>
        <v>483.69</v>
      </c>
      <c r="J29" s="9">
        <f t="shared" si="6"/>
        <v>1154.0700000000002</v>
      </c>
      <c r="K29" s="9">
        <f t="shared" si="6"/>
        <v>35.479999999999997</v>
      </c>
      <c r="L29" s="9">
        <f t="shared" si="6"/>
        <v>24.279999999999998</v>
      </c>
      <c r="M29" s="9">
        <f t="shared" si="6"/>
        <v>152.93</v>
      </c>
      <c r="N29" s="9">
        <f t="shared" si="6"/>
        <v>36.26</v>
      </c>
      <c r="O29" s="9">
        <f t="shared" si="3"/>
        <v>54972.170000000006</v>
      </c>
    </row>
    <row r="30" spans="3:15" hidden="1" outlineLevel="1" x14ac:dyDescent="0.2">
      <c r="C30" s="8"/>
      <c r="D30" s="40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3:15" hidden="1" outlineLevel="1" x14ac:dyDescent="0.2">
      <c r="C31" s="8" t="s">
        <v>30</v>
      </c>
      <c r="D31" s="40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3:15" hidden="1" outlineLevel="1" x14ac:dyDescent="0.2">
      <c r="C32" s="14" t="s">
        <v>31</v>
      </c>
      <c r="D32" s="41">
        <f>D9-D23</f>
        <v>7348.1299999999992</v>
      </c>
      <c r="E32" s="9"/>
      <c r="F32" s="9">
        <f t="shared" ref="F32:N32" si="7">F9-F23</f>
        <v>40445.480000000003</v>
      </c>
      <c r="G32" s="9">
        <f t="shared" si="7"/>
        <v>8285.42</v>
      </c>
      <c r="H32" s="9">
        <f t="shared" si="7"/>
        <v>435812.94999999995</v>
      </c>
      <c r="I32" s="9">
        <f t="shared" si="7"/>
        <v>0</v>
      </c>
      <c r="J32" s="9">
        <f t="shared" si="7"/>
        <v>14776.35</v>
      </c>
      <c r="K32" s="9">
        <f t="shared" si="7"/>
        <v>14.209999999999997</v>
      </c>
      <c r="L32" s="9">
        <f t="shared" si="7"/>
        <v>39.769999999999996</v>
      </c>
      <c r="M32" s="9">
        <f t="shared" si="7"/>
        <v>102.66</v>
      </c>
      <c r="N32" s="9">
        <f t="shared" si="7"/>
        <v>52.98</v>
      </c>
      <c r="O32" s="9">
        <f>SUM(D32:N32)</f>
        <v>506877.94999999995</v>
      </c>
    </row>
    <row r="33" spans="3:15" hidden="1" outlineLevel="1" x14ac:dyDescent="0.2">
      <c r="C33" s="13" t="s">
        <v>32</v>
      </c>
      <c r="D33" s="41">
        <f>D13-D26</f>
        <v>8241.619999999999</v>
      </c>
      <c r="E33" s="9"/>
      <c r="F33" s="9">
        <f t="shared" ref="F33:N33" si="8">F13-F26</f>
        <v>59836.85</v>
      </c>
      <c r="G33" s="9">
        <f t="shared" si="8"/>
        <v>8379.130000000001</v>
      </c>
      <c r="H33" s="9">
        <f t="shared" si="8"/>
        <v>691670.27999999991</v>
      </c>
      <c r="I33" s="9">
        <f t="shared" si="8"/>
        <v>0</v>
      </c>
      <c r="J33" s="9">
        <f t="shared" si="8"/>
        <v>14415.16</v>
      </c>
      <c r="K33" s="9">
        <f t="shared" si="8"/>
        <v>6.2399999999999949</v>
      </c>
      <c r="L33" s="9">
        <f t="shared" si="8"/>
        <v>34.83</v>
      </c>
      <c r="M33" s="9">
        <f t="shared" si="8"/>
        <v>75.580000000000013</v>
      </c>
      <c r="N33" s="9">
        <f t="shared" si="8"/>
        <v>46.39</v>
      </c>
      <c r="O33" s="9">
        <f>SUM(D33:N33)</f>
        <v>782706.07999999984</v>
      </c>
    </row>
    <row r="34" spans="3:15" hidden="1" outlineLevel="1" x14ac:dyDescent="0.2">
      <c r="C34" s="13" t="s">
        <v>33</v>
      </c>
      <c r="D34" s="41">
        <f>D17-D29</f>
        <v>8284.89</v>
      </c>
      <c r="E34" s="9"/>
      <c r="F34" s="9">
        <f t="shared" ref="F34:N34" si="9">F17-F29</f>
        <v>114090.18</v>
      </c>
      <c r="G34" s="9">
        <f t="shared" si="9"/>
        <v>8464.98</v>
      </c>
      <c r="H34" s="9">
        <f t="shared" si="9"/>
        <v>1047694.8999999999</v>
      </c>
      <c r="I34" s="9">
        <f t="shared" si="9"/>
        <v>1934.7599999999998</v>
      </c>
      <c r="J34" s="9">
        <f t="shared" si="9"/>
        <v>14053.970000000001</v>
      </c>
      <c r="K34" s="9">
        <f t="shared" si="9"/>
        <v>4.3999999999999986</v>
      </c>
      <c r="L34" s="9">
        <f t="shared" si="9"/>
        <v>34.789999999999992</v>
      </c>
      <c r="M34" s="9">
        <f t="shared" si="9"/>
        <v>37.430000000000007</v>
      </c>
      <c r="N34" s="9">
        <f t="shared" si="9"/>
        <v>33.020000000000003</v>
      </c>
      <c r="O34" s="9">
        <f>SUM(D34:N34)</f>
        <v>1194633.3199999998</v>
      </c>
    </row>
    <row r="35" spans="3:15" hidden="1" outlineLevel="1" x14ac:dyDescent="0.2">
      <c r="D35" s="38"/>
    </row>
    <row r="36" spans="3:15" hidden="1" outlineLevel="1" x14ac:dyDescent="0.2">
      <c r="C36" s="5" t="s">
        <v>34</v>
      </c>
      <c r="D36" s="43" t="e">
        <f>D21/D9/(1-100%)</f>
        <v>#DIV/0!</v>
      </c>
      <c r="E36" s="17"/>
      <c r="F36" s="17">
        <f t="shared" ref="F36:O36" si="10">F21/F9/(1-5%)</f>
        <v>3.094897901958386E-2</v>
      </c>
      <c r="G36" s="17">
        <f t="shared" si="10"/>
        <v>3.3428064440173093E-2</v>
      </c>
      <c r="H36" s="17">
        <f t="shared" si="10"/>
        <v>2.5145889696711183E-2</v>
      </c>
      <c r="I36" s="17" t="e">
        <f t="shared" si="10"/>
        <v>#DIV/0!</v>
      </c>
      <c r="J36" s="17">
        <f t="shared" si="10"/>
        <v>3.6743722399467646E-2</v>
      </c>
      <c r="K36" s="17">
        <f t="shared" si="10"/>
        <v>0.32435260266806176</v>
      </c>
      <c r="L36" s="17">
        <f t="shared" si="10"/>
        <v>0.12466174100763174</v>
      </c>
      <c r="M36" s="17">
        <f t="shared" si="10"/>
        <v>0.20812577418944769</v>
      </c>
      <c r="N36" s="17">
        <f t="shared" si="10"/>
        <v>0.17313295185394792</v>
      </c>
      <c r="O36" s="17">
        <f t="shared" si="10"/>
        <v>2.5857296446191298E-2</v>
      </c>
    </row>
    <row r="37" spans="3:15" hidden="1" outlineLevel="1" x14ac:dyDescent="0.2">
      <c r="D37" s="43" t="e">
        <f>D24/D9/(1-100%)</f>
        <v>#DIV/0!</v>
      </c>
      <c r="E37" s="17"/>
      <c r="F37" s="17">
        <f t="shared" ref="F37:O37" si="11">F24/F9/(1-5%)</f>
        <v>3.4103986424150197E-2</v>
      </c>
      <c r="G37" s="17">
        <f t="shared" si="11"/>
        <v>3.3968647942910088E-2</v>
      </c>
      <c r="H37" s="17">
        <f t="shared" si="11"/>
        <v>3.0683101354997473E-2</v>
      </c>
      <c r="I37" s="17" t="e">
        <f t="shared" si="11"/>
        <v>#DIV/0!</v>
      </c>
      <c r="J37" s="17">
        <f t="shared" si="11"/>
        <v>2.4999934245307085E-2</v>
      </c>
      <c r="K37" s="17">
        <f t="shared" si="11"/>
        <v>0.24835827470848193</v>
      </c>
      <c r="L37" s="17">
        <f t="shared" si="11"/>
        <v>0.12283742284654443</v>
      </c>
      <c r="M37" s="17">
        <f t="shared" si="11"/>
        <v>0.23136254386457636</v>
      </c>
      <c r="N37" s="17">
        <f t="shared" si="11"/>
        <v>0.14784072886317748</v>
      </c>
      <c r="O37" s="17">
        <f t="shared" si="11"/>
        <v>3.0531196543275862E-2</v>
      </c>
    </row>
    <row r="38" spans="3:15" hidden="1" outlineLevel="1" x14ac:dyDescent="0.2">
      <c r="D38" s="43" t="e">
        <f>D27/D13/(1-100%)</f>
        <v>#DIV/0!</v>
      </c>
      <c r="E38" s="17"/>
      <c r="F38" s="17">
        <f t="shared" ref="F38:O38" si="12">F27/F13/(1-5%)</f>
        <v>8.0330431220970361E-2</v>
      </c>
      <c r="G38" s="17">
        <f t="shared" si="12"/>
        <v>3.346968666440673E-2</v>
      </c>
      <c r="H38" s="17">
        <f t="shared" si="12"/>
        <v>2.542744780147629E-2</v>
      </c>
      <c r="I38" s="17" t="e">
        <f t="shared" si="12"/>
        <v>#DIV/0!</v>
      </c>
      <c r="J38" s="17">
        <f t="shared" si="12"/>
        <v>2.4999934245307085E-2</v>
      </c>
      <c r="K38" s="17">
        <f t="shared" si="12"/>
        <v>6.5387501339907825E-2</v>
      </c>
      <c r="L38" s="17">
        <f t="shared" si="12"/>
        <v>0.12024405972518479</v>
      </c>
      <c r="M38" s="17">
        <f t="shared" si="12"/>
        <v>0.21281897926634766</v>
      </c>
      <c r="N38" s="17">
        <f t="shared" si="12"/>
        <v>0.11886933104101327</v>
      </c>
      <c r="O38" s="17">
        <f t="shared" si="12"/>
        <v>3.021115631774577E-2</v>
      </c>
    </row>
    <row r="39" spans="3:15" hidden="1" outlineLevel="1" x14ac:dyDescent="0.2">
      <c r="D39" s="38"/>
    </row>
    <row r="40" spans="3:15" hidden="1" outlineLevel="1" x14ac:dyDescent="0.2">
      <c r="C40" s="5" t="s">
        <v>35</v>
      </c>
      <c r="D40" s="44" t="e">
        <f>1/D36</f>
        <v>#DIV/0!</v>
      </c>
      <c r="E40" s="18"/>
      <c r="F40" s="18">
        <f t="shared" ref="F40:O40" si="13">1/F36</f>
        <v>32.311243591176989</v>
      </c>
      <c r="G40" s="18">
        <f t="shared" si="13"/>
        <v>29.914983614732492</v>
      </c>
      <c r="H40" s="18">
        <f t="shared" si="13"/>
        <v>39.767930745786636</v>
      </c>
      <c r="I40" s="18" t="e">
        <f t="shared" si="13"/>
        <v>#DIV/0!</v>
      </c>
      <c r="J40" s="18">
        <f t="shared" si="13"/>
        <v>27.215533285612029</v>
      </c>
      <c r="K40" s="18">
        <f t="shared" si="13"/>
        <v>3.0830645161290318</v>
      </c>
      <c r="L40" s="18">
        <f t="shared" si="13"/>
        <v>8.0217073170731705</v>
      </c>
      <c r="M40" s="18">
        <f t="shared" si="13"/>
        <v>4.8047869318181808</v>
      </c>
      <c r="N40" s="18">
        <f t="shared" si="13"/>
        <v>5.775907990314769</v>
      </c>
      <c r="O40" s="18">
        <f t="shared" si="13"/>
        <v>38.673803430338786</v>
      </c>
    </row>
    <row r="41" spans="3:15" hidden="1" outlineLevel="1" x14ac:dyDescent="0.2">
      <c r="D41" s="44" t="e">
        <f t="shared" ref="D41:O42" si="14">1/D37</f>
        <v>#DIV/0!</v>
      </c>
      <c r="E41" s="18"/>
      <c r="F41" s="18">
        <f t="shared" si="14"/>
        <v>29.32208532935217</v>
      </c>
      <c r="G41" s="18">
        <f t="shared" si="14"/>
        <v>29.438910894559736</v>
      </c>
      <c r="H41" s="18">
        <f t="shared" si="14"/>
        <v>32.591229564123779</v>
      </c>
      <c r="I41" s="18" t="e">
        <f t="shared" si="14"/>
        <v>#DIV/0!</v>
      </c>
      <c r="J41" s="18">
        <f t="shared" si="14"/>
        <v>40.000105207785381</v>
      </c>
      <c r="K41" s="18">
        <f t="shared" si="14"/>
        <v>4.0264412416851441</v>
      </c>
      <c r="L41" s="18">
        <f t="shared" si="14"/>
        <v>8.1408415841584159</v>
      </c>
      <c r="M41" s="18">
        <f t="shared" si="14"/>
        <v>4.3222208024533604</v>
      </c>
      <c r="N41" s="18">
        <f t="shared" si="14"/>
        <v>6.7640359168241959</v>
      </c>
      <c r="O41" s="18">
        <f t="shared" si="14"/>
        <v>32.753383857149821</v>
      </c>
    </row>
    <row r="42" spans="3:15" hidden="1" outlineLevel="1" x14ac:dyDescent="0.2">
      <c r="D42" s="44" t="e">
        <f t="shared" si="14"/>
        <v>#DIV/0!</v>
      </c>
      <c r="E42" s="18"/>
      <c r="F42" s="18">
        <f t="shared" si="14"/>
        <v>12.448582496080872</v>
      </c>
      <c r="G42" s="18">
        <f t="shared" si="14"/>
        <v>29.877781947192471</v>
      </c>
      <c r="H42" s="18">
        <f t="shared" si="14"/>
        <v>39.32758048733232</v>
      </c>
      <c r="I42" s="18" t="e">
        <f t="shared" si="14"/>
        <v>#DIV/0!</v>
      </c>
      <c r="J42" s="18">
        <f t="shared" si="14"/>
        <v>40.000105207785381</v>
      </c>
      <c r="K42" s="18">
        <f t="shared" si="14"/>
        <v>15.293442622950817</v>
      </c>
      <c r="L42" s="18">
        <f t="shared" si="14"/>
        <v>8.3164191419141904</v>
      </c>
      <c r="M42" s="18">
        <f t="shared" si="14"/>
        <v>4.6988290398126473</v>
      </c>
      <c r="N42" s="18">
        <f t="shared" si="14"/>
        <v>8.4125988700564971</v>
      </c>
      <c r="O42" s="18">
        <f t="shared" si="14"/>
        <v>33.100355030522572</v>
      </c>
    </row>
    <row r="43" spans="3:15" hidden="1" outlineLevel="1" x14ac:dyDescent="0.2">
      <c r="D43" s="38"/>
    </row>
    <row r="44" spans="3:15" hidden="1" outlineLevel="1" x14ac:dyDescent="0.2">
      <c r="C44" s="5" t="s">
        <v>36</v>
      </c>
      <c r="D44" s="44">
        <f>D32/D9</f>
        <v>1</v>
      </c>
      <c r="E44" s="18"/>
      <c r="F44" s="18">
        <f t="shared" ref="F44:O44" si="15">F32/F9</f>
        <v>0.94967097091404484</v>
      </c>
      <c r="G44" s="18">
        <f t="shared" si="15"/>
        <v>0.93722759845481229</v>
      </c>
      <c r="H44" s="18">
        <f t="shared" si="15"/>
        <v>0.97062920538275632</v>
      </c>
      <c r="I44" s="18" t="e">
        <f t="shared" si="15"/>
        <v>#DIV/0!</v>
      </c>
      <c r="J44" s="18">
        <f t="shared" si="15"/>
        <v>0.97161435661663165</v>
      </c>
      <c r="K44" s="18">
        <f t="shared" si="15"/>
        <v>0.37169761967041587</v>
      </c>
      <c r="L44" s="18">
        <f t="shared" si="15"/>
        <v>0.76583862892355081</v>
      </c>
      <c r="M44" s="18">
        <f t="shared" si="15"/>
        <v>0.57664438577767785</v>
      </c>
      <c r="N44" s="18">
        <f t="shared" si="15"/>
        <v>0.70330545599362804</v>
      </c>
      <c r="O44" s="18">
        <f t="shared" si="15"/>
        <v>0.96856381648553558</v>
      </c>
    </row>
    <row r="45" spans="3:15" hidden="1" outlineLevel="1" x14ac:dyDescent="0.2">
      <c r="D45" s="44">
        <f>D33/D13</f>
        <v>1</v>
      </c>
      <c r="E45" s="18"/>
      <c r="F45" s="18">
        <f t="shared" ref="F45:O45" si="16">F33/F13</f>
        <v>0.94439264180918792</v>
      </c>
      <c r="G45" s="18">
        <f t="shared" si="16"/>
        <v>0.90886440894901377</v>
      </c>
      <c r="H45" s="18">
        <f t="shared" si="16"/>
        <v>0.96343418635071987</v>
      </c>
      <c r="I45" s="18" t="e">
        <f t="shared" si="16"/>
        <v>#DIV/0!</v>
      </c>
      <c r="J45" s="18">
        <f t="shared" si="16"/>
        <v>0.94786441908358998</v>
      </c>
      <c r="K45" s="18">
        <f t="shared" si="16"/>
        <v>0.15885947046843166</v>
      </c>
      <c r="L45" s="18">
        <f t="shared" si="16"/>
        <v>0.65655042412818099</v>
      </c>
      <c r="M45" s="18">
        <f t="shared" si="16"/>
        <v>0.3976220538720539</v>
      </c>
      <c r="N45" s="18">
        <f t="shared" si="16"/>
        <v>0.59193568967717236</v>
      </c>
      <c r="O45" s="18">
        <f t="shared" si="16"/>
        <v>0.96118744914339227</v>
      </c>
    </row>
    <row r="46" spans="3:15" hidden="1" outlineLevel="1" x14ac:dyDescent="0.2">
      <c r="D46" s="44">
        <f>D34/D17</f>
        <v>1</v>
      </c>
      <c r="E46" s="18"/>
      <c r="F46" s="18">
        <f t="shared" ref="F46:O46" si="17">F34/F17</f>
        <v>0.93173836919337583</v>
      </c>
      <c r="G46" s="18">
        <f t="shared" si="17"/>
        <v>0.88192216771042464</v>
      </c>
      <c r="H46" s="18">
        <f t="shared" si="17"/>
        <v>0.96005312839100299</v>
      </c>
      <c r="I46" s="18">
        <f t="shared" si="17"/>
        <v>0.79999999999999993</v>
      </c>
      <c r="J46" s="18">
        <f t="shared" si="17"/>
        <v>0.92411448155054832</v>
      </c>
      <c r="K46" s="18">
        <f t="shared" si="17"/>
        <v>0.11033099297893678</v>
      </c>
      <c r="L46" s="18">
        <f t="shared" si="17"/>
        <v>0.58896224818012521</v>
      </c>
      <c r="M46" s="18">
        <f t="shared" si="17"/>
        <v>0.19662744274007146</v>
      </c>
      <c r="N46" s="18">
        <f t="shared" si="17"/>
        <v>0.47661662817551964</v>
      </c>
      <c r="O46" s="18">
        <f t="shared" si="17"/>
        <v>0.95600837989276111</v>
      </c>
    </row>
    <row r="47" spans="3:15" hidden="1" outlineLevel="1" x14ac:dyDescent="0.2">
      <c r="D47" s="38"/>
    </row>
    <row r="48" spans="3:15" hidden="1" outlineLevel="1" x14ac:dyDescent="0.2">
      <c r="D48" s="38"/>
    </row>
    <row r="49" spans="1:24" hidden="1" outlineLevel="1" x14ac:dyDescent="0.2">
      <c r="D49" s="38"/>
    </row>
    <row r="50" spans="1:24" outlineLevel="1" x14ac:dyDescent="0.2">
      <c r="A50" s="5" t="str">
        <f>Assumptions!A1</f>
        <v>Plant Year</v>
      </c>
      <c r="D50" s="38">
        <f>Assumptions!J1</f>
        <v>5</v>
      </c>
      <c r="E50" s="5">
        <f>Assumptions!K1</f>
        <v>6</v>
      </c>
      <c r="F50" s="5">
        <f>Assumptions!L1</f>
        <v>7</v>
      </c>
      <c r="G50" s="5">
        <f>Assumptions!M1</f>
        <v>8</v>
      </c>
      <c r="H50" s="5">
        <f>Assumptions!N1</f>
        <v>9</v>
      </c>
      <c r="I50" s="5">
        <f>Assumptions!O1</f>
        <v>10</v>
      </c>
      <c r="J50" s="5">
        <f>Assumptions!P1</f>
        <v>11</v>
      </c>
      <c r="K50" s="5">
        <f>Assumptions!Q1</f>
        <v>12</v>
      </c>
      <c r="L50" s="5">
        <f>Assumptions!R1</f>
        <v>13</v>
      </c>
      <c r="M50" s="5">
        <f>Assumptions!S1</f>
        <v>14</v>
      </c>
      <c r="N50" s="5">
        <f>Assumptions!T1</f>
        <v>15</v>
      </c>
      <c r="O50" s="5">
        <f>Assumptions!U1</f>
        <v>16</v>
      </c>
      <c r="P50" s="5">
        <f>Assumptions!V1</f>
        <v>17</v>
      </c>
      <c r="Q50" s="5">
        <f>Assumptions!W1</f>
        <v>18</v>
      </c>
      <c r="R50" s="5">
        <f>Assumptions!X1</f>
        <v>19</v>
      </c>
      <c r="S50" s="5">
        <f>Assumptions!Y1</f>
        <v>20</v>
      </c>
      <c r="T50" s="5">
        <f>Assumptions!Z1</f>
        <v>21</v>
      </c>
      <c r="U50" s="5">
        <f>Assumptions!AA1</f>
        <v>22</v>
      </c>
      <c r="V50" s="5">
        <f>Assumptions!AB1</f>
        <v>23</v>
      </c>
      <c r="W50" s="5">
        <f>Assumptions!AC1</f>
        <v>24</v>
      </c>
      <c r="X50" s="5">
        <f>Assumptions!AD1</f>
        <v>25</v>
      </c>
    </row>
    <row r="51" spans="1:24" outlineLevel="1" x14ac:dyDescent="0.2">
      <c r="A51" s="5" t="s">
        <v>37</v>
      </c>
      <c r="D51" s="38">
        <f>Assumptions!J3</f>
        <v>365</v>
      </c>
      <c r="E51" s="5">
        <f>Assumptions!K3</f>
        <v>366</v>
      </c>
      <c r="F51" s="5">
        <f>Assumptions!L3</f>
        <v>365</v>
      </c>
      <c r="G51" s="5">
        <f>Assumptions!M3</f>
        <v>365</v>
      </c>
      <c r="H51" s="5">
        <f>Assumptions!N3</f>
        <v>365</v>
      </c>
      <c r="I51" s="5">
        <f>Assumptions!O3</f>
        <v>366</v>
      </c>
      <c r="J51" s="5">
        <f>Assumptions!P3</f>
        <v>365</v>
      </c>
      <c r="K51" s="5">
        <f>Assumptions!Q3</f>
        <v>365</v>
      </c>
      <c r="L51" s="5">
        <f>Assumptions!R3</f>
        <v>365</v>
      </c>
      <c r="M51" s="5">
        <f>Assumptions!S3</f>
        <v>366</v>
      </c>
      <c r="N51" s="5">
        <f>Assumptions!T3</f>
        <v>365</v>
      </c>
      <c r="O51" s="5">
        <f>Assumptions!U3</f>
        <v>365</v>
      </c>
      <c r="P51" s="5">
        <f>Assumptions!V3</f>
        <v>365</v>
      </c>
      <c r="Q51" s="5">
        <f>Assumptions!W3</f>
        <v>366</v>
      </c>
      <c r="R51" s="5">
        <f>Assumptions!X3</f>
        <v>365</v>
      </c>
      <c r="S51" s="5">
        <f>Assumptions!Y3</f>
        <v>365</v>
      </c>
      <c r="T51" s="5">
        <f>Assumptions!Z3</f>
        <v>365</v>
      </c>
      <c r="U51" s="5">
        <f>Assumptions!AA3</f>
        <v>366</v>
      </c>
      <c r="V51" s="5">
        <f>Assumptions!AB3</f>
        <v>365</v>
      </c>
      <c r="W51" s="5">
        <f>Assumptions!AC3</f>
        <v>365</v>
      </c>
      <c r="X51" s="5">
        <f>Assumptions!AD3</f>
        <v>365</v>
      </c>
    </row>
    <row r="52" spans="1:24" outlineLevel="1" x14ac:dyDescent="0.2">
      <c r="A52" s="5" t="s">
        <v>38</v>
      </c>
      <c r="B52" s="5">
        <f>SUM(H51:V51)</f>
        <v>5479</v>
      </c>
      <c r="D52" s="38"/>
    </row>
    <row r="53" spans="1:24" x14ac:dyDescent="0.2">
      <c r="A53" s="19" t="s">
        <v>39</v>
      </c>
      <c r="B53" s="19" t="s">
        <v>40</v>
      </c>
      <c r="D53" s="54">
        <f>Assumptions!J4</f>
        <v>43555</v>
      </c>
      <c r="E53" s="32">
        <f>Assumptions!K4</f>
        <v>43921</v>
      </c>
      <c r="F53" s="32">
        <f>Assumptions!L4</f>
        <v>44286</v>
      </c>
      <c r="G53" s="32">
        <f>Assumptions!M4</f>
        <v>44651</v>
      </c>
      <c r="H53" s="32">
        <f>Assumptions!N4</f>
        <v>45016</v>
      </c>
      <c r="I53" s="32">
        <f>Assumptions!O4</f>
        <v>45382</v>
      </c>
      <c r="J53" s="32">
        <f>Assumptions!P4</f>
        <v>45747</v>
      </c>
      <c r="K53" s="32">
        <f>Assumptions!Q4</f>
        <v>46112</v>
      </c>
      <c r="L53" s="32">
        <f>Assumptions!R4</f>
        <v>46477</v>
      </c>
      <c r="M53" s="32">
        <f>Assumptions!S4</f>
        <v>46843</v>
      </c>
      <c r="N53" s="32">
        <f>Assumptions!T4</f>
        <v>47208</v>
      </c>
      <c r="O53" s="32">
        <f>Assumptions!U4</f>
        <v>47573</v>
      </c>
      <c r="P53" s="32">
        <f>Assumptions!V4</f>
        <v>47938</v>
      </c>
      <c r="Q53" s="32">
        <f>Assumptions!W4</f>
        <v>48304</v>
      </c>
      <c r="R53" s="32">
        <f>Assumptions!X4</f>
        <v>48669</v>
      </c>
      <c r="S53" s="32">
        <f>Assumptions!Y4</f>
        <v>49034</v>
      </c>
      <c r="T53" s="32">
        <f>Assumptions!Z4</f>
        <v>49399</v>
      </c>
      <c r="U53" s="32">
        <f>Assumptions!AA4</f>
        <v>49765</v>
      </c>
      <c r="V53" s="32">
        <f>Assumptions!AB4</f>
        <v>50130</v>
      </c>
      <c r="W53" s="32">
        <f>Assumptions!AC4</f>
        <v>50495</v>
      </c>
      <c r="X53" s="32">
        <f>Assumptions!AD4</f>
        <v>50860</v>
      </c>
    </row>
    <row r="54" spans="1:24" x14ac:dyDescent="0.2">
      <c r="A54" s="19" t="s">
        <v>53</v>
      </c>
      <c r="C54" s="36" t="s">
        <v>41</v>
      </c>
      <c r="D54" s="38"/>
    </row>
    <row r="55" spans="1:24" x14ac:dyDescent="0.2">
      <c r="C55" s="5" t="s">
        <v>42</v>
      </c>
      <c r="D55" s="45">
        <v>763.36</v>
      </c>
      <c r="E55" s="45">
        <v>763.36</v>
      </c>
      <c r="F55" s="45">
        <v>763.36</v>
      </c>
      <c r="G55" s="45">
        <v>763.36</v>
      </c>
      <c r="H55" s="33">
        <f t="shared" ref="H55:V55" si="18">G55+G56-G57</f>
        <v>763.36</v>
      </c>
      <c r="I55" s="33">
        <f t="shared" si="18"/>
        <v>763.36</v>
      </c>
      <c r="J55" s="33">
        <f t="shared" si="18"/>
        <v>763.36</v>
      </c>
      <c r="K55" s="33">
        <f t="shared" si="18"/>
        <v>763.36</v>
      </c>
      <c r="L55" s="33">
        <f t="shared" si="18"/>
        <v>763.36</v>
      </c>
      <c r="M55" s="33">
        <f t="shared" si="18"/>
        <v>763.36</v>
      </c>
      <c r="N55" s="33">
        <f t="shared" si="18"/>
        <v>763.36</v>
      </c>
      <c r="O55" s="33">
        <f t="shared" si="18"/>
        <v>763.36</v>
      </c>
      <c r="P55" s="33">
        <f t="shared" si="18"/>
        <v>763.36</v>
      </c>
      <c r="Q55" s="33">
        <f t="shared" si="18"/>
        <v>763.36</v>
      </c>
      <c r="R55" s="33">
        <f t="shared" si="18"/>
        <v>763.36</v>
      </c>
      <c r="S55" s="33">
        <f t="shared" si="18"/>
        <v>763.36</v>
      </c>
      <c r="T55" s="33">
        <f t="shared" si="18"/>
        <v>763.36</v>
      </c>
      <c r="U55" s="33">
        <f t="shared" si="18"/>
        <v>763.36</v>
      </c>
      <c r="V55" s="33">
        <f t="shared" si="18"/>
        <v>763.36</v>
      </c>
      <c r="W55" s="33">
        <f t="shared" ref="W55" si="19">V55+V56-V57</f>
        <v>763.36</v>
      </c>
      <c r="X55" s="33">
        <f t="shared" ref="X55" si="20">W55+W56-W57</f>
        <v>763.36</v>
      </c>
    </row>
    <row r="56" spans="1:24" x14ac:dyDescent="0.2">
      <c r="C56" s="5" t="s">
        <v>43</v>
      </c>
      <c r="D56" s="44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x14ac:dyDescent="0.2">
      <c r="C57" s="5" t="s">
        <v>44</v>
      </c>
      <c r="D57" s="44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x14ac:dyDescent="0.2">
      <c r="C58" s="5" t="s">
        <v>34</v>
      </c>
      <c r="D58" s="4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x14ac:dyDescent="0.2">
      <c r="C59" s="5" t="s">
        <v>45</v>
      </c>
      <c r="D59" s="44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>
        <f t="shared" ref="X59" si="21">X55</f>
        <v>763.36</v>
      </c>
    </row>
    <row r="60" spans="1:24" x14ac:dyDescent="0.2">
      <c r="C60" s="5" t="s">
        <v>46</v>
      </c>
      <c r="D60" s="46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>
        <f t="shared" ref="X60" si="22">X58+W60+X59-X57</f>
        <v>763.36</v>
      </c>
    </row>
    <row r="61" spans="1:24" x14ac:dyDescent="0.2">
      <c r="C61" s="5" t="s">
        <v>47</v>
      </c>
      <c r="D61" s="47">
        <f>D55</f>
        <v>763.36</v>
      </c>
      <c r="E61" s="35">
        <f>E55</f>
        <v>763.36</v>
      </c>
      <c r="F61" s="35">
        <f t="shared" ref="F61:U61" si="23">F55</f>
        <v>763.36</v>
      </c>
      <c r="G61" s="35">
        <f t="shared" si="23"/>
        <v>763.36</v>
      </c>
      <c r="H61" s="35">
        <f t="shared" si="23"/>
        <v>763.36</v>
      </c>
      <c r="I61" s="35">
        <f t="shared" si="23"/>
        <v>763.36</v>
      </c>
      <c r="J61" s="35">
        <f t="shared" si="23"/>
        <v>763.36</v>
      </c>
      <c r="K61" s="35">
        <f t="shared" si="23"/>
        <v>763.36</v>
      </c>
      <c r="L61" s="35">
        <f t="shared" si="23"/>
        <v>763.36</v>
      </c>
      <c r="M61" s="35">
        <f t="shared" si="23"/>
        <v>763.36</v>
      </c>
      <c r="N61" s="35">
        <f t="shared" si="23"/>
        <v>763.36</v>
      </c>
      <c r="O61" s="35">
        <f t="shared" si="23"/>
        <v>763.36</v>
      </c>
      <c r="P61" s="35">
        <f t="shared" si="23"/>
        <v>763.36</v>
      </c>
      <c r="Q61" s="35">
        <f t="shared" si="23"/>
        <v>763.36</v>
      </c>
      <c r="R61" s="35">
        <f t="shared" si="23"/>
        <v>763.36</v>
      </c>
      <c r="S61" s="35">
        <f t="shared" si="23"/>
        <v>763.36</v>
      </c>
      <c r="T61" s="35">
        <f t="shared" si="23"/>
        <v>763.36</v>
      </c>
      <c r="U61" s="35">
        <f t="shared" si="23"/>
        <v>763.36</v>
      </c>
      <c r="V61" s="35">
        <f>V55+V56-V60-V57</f>
        <v>763.36</v>
      </c>
      <c r="W61" s="35">
        <f t="shared" ref="W61:X61" si="24">W55+W56-W60-W57</f>
        <v>763.36</v>
      </c>
      <c r="X61" s="35">
        <f t="shared" si="24"/>
        <v>0</v>
      </c>
    </row>
    <row r="62" spans="1:24" x14ac:dyDescent="0.2">
      <c r="D62" s="48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x14ac:dyDescent="0.2">
      <c r="C63" s="36" t="s">
        <v>12</v>
      </c>
      <c r="D63" s="38"/>
    </row>
    <row r="64" spans="1:24" x14ac:dyDescent="0.2">
      <c r="A64" s="22">
        <v>0.05</v>
      </c>
      <c r="C64" s="5" t="s">
        <v>42</v>
      </c>
      <c r="D64" s="45">
        <v>0.13</v>
      </c>
      <c r="E64" s="45">
        <v>0.13</v>
      </c>
      <c r="F64" s="45">
        <v>0.13</v>
      </c>
      <c r="G64" s="45">
        <v>0.13</v>
      </c>
      <c r="H64" s="33">
        <f t="shared" ref="H64:V64" si="25">G64+G65-G66</f>
        <v>0.13</v>
      </c>
      <c r="I64" s="33">
        <f t="shared" si="25"/>
        <v>0.13</v>
      </c>
      <c r="J64" s="33">
        <f t="shared" si="25"/>
        <v>0.1574881301646428</v>
      </c>
      <c r="K64" s="33">
        <f t="shared" si="25"/>
        <v>0.1574881301646428</v>
      </c>
      <c r="L64" s="33">
        <f t="shared" si="25"/>
        <v>0.1574881301646428</v>
      </c>
      <c r="M64" s="33">
        <f t="shared" si="25"/>
        <v>0.1574881301646428</v>
      </c>
      <c r="N64" s="33">
        <f t="shared" si="25"/>
        <v>0.1574881301646428</v>
      </c>
      <c r="O64" s="33">
        <f t="shared" si="25"/>
        <v>0.1825719063098542</v>
      </c>
      <c r="P64" s="33">
        <f t="shared" si="25"/>
        <v>0.1825719063098542</v>
      </c>
      <c r="Q64" s="33">
        <f t="shared" si="25"/>
        <v>0.1825719063098542</v>
      </c>
      <c r="R64" s="33">
        <f t="shared" si="25"/>
        <v>0.1825719063098542</v>
      </c>
      <c r="S64" s="33">
        <f t="shared" si="25"/>
        <v>0.1825719063098542</v>
      </c>
      <c r="T64" s="33">
        <f t="shared" si="25"/>
        <v>0.21165087768054253</v>
      </c>
      <c r="U64" s="33">
        <f t="shared" si="25"/>
        <v>0.21165087768054253</v>
      </c>
      <c r="V64" s="33">
        <f t="shared" si="25"/>
        <v>0.21165087768054253</v>
      </c>
      <c r="W64" s="33">
        <f t="shared" ref="W64" si="26">V64+V65-V66</f>
        <v>0.21165087768054253</v>
      </c>
      <c r="X64" s="33">
        <f t="shared" ref="X64" si="27">W64+W65-W66</f>
        <v>0.21165087768054253</v>
      </c>
    </row>
    <row r="65" spans="1:24" x14ac:dyDescent="0.2">
      <c r="A65" s="22"/>
      <c r="B65" s="18">
        <v>5</v>
      </c>
      <c r="C65" s="5" t="s">
        <v>43</v>
      </c>
      <c r="D65" s="44">
        <f>D64</f>
        <v>0.13</v>
      </c>
      <c r="E65" s="18"/>
      <c r="F65" s="18"/>
      <c r="G65" s="18"/>
      <c r="H65" s="18"/>
      <c r="I65" s="18">
        <f>I64*(1+Assumptions!$C$50)^'Depreciation Schedule'!$B$65</f>
        <v>0.15748813016464278</v>
      </c>
      <c r="J65" s="18"/>
      <c r="K65" s="18"/>
      <c r="L65" s="18"/>
      <c r="M65" s="18"/>
      <c r="N65" s="18">
        <f>N64*(1+[95]Assumptions!$D$247)^'Depreciation Schedule'!$B$65</f>
        <v>0.18257190630985418</v>
      </c>
      <c r="O65" s="18"/>
      <c r="P65" s="18"/>
      <c r="Q65" s="18"/>
      <c r="R65" s="18"/>
      <c r="S65" s="18">
        <f>S64*(1+[95]Assumptions!$D$247)^'Depreciation Schedule'!$B$65</f>
        <v>0.21165087768054253</v>
      </c>
      <c r="T65" s="18"/>
      <c r="U65" s="18"/>
      <c r="V65" s="18"/>
      <c r="W65" s="18"/>
      <c r="X65" s="18"/>
    </row>
    <row r="66" spans="1:24" x14ac:dyDescent="0.2">
      <c r="B66" s="17">
        <f>1/B65</f>
        <v>0.2</v>
      </c>
      <c r="C66" s="5" t="s">
        <v>44</v>
      </c>
      <c r="D66" s="44">
        <f>D64</f>
        <v>0.13</v>
      </c>
      <c r="E66" s="18"/>
      <c r="F66" s="18"/>
      <c r="G66" s="18"/>
      <c r="H66" s="18"/>
      <c r="I66" s="18">
        <f>I64</f>
        <v>0.13</v>
      </c>
      <c r="J66" s="18"/>
      <c r="K66" s="18"/>
      <c r="L66" s="18"/>
      <c r="M66" s="18"/>
      <c r="N66" s="18">
        <f>N64</f>
        <v>0.1574881301646428</v>
      </c>
      <c r="O66" s="18"/>
      <c r="P66" s="18"/>
      <c r="Q66" s="18"/>
      <c r="R66" s="18"/>
      <c r="S66" s="18">
        <f>S64</f>
        <v>0.1825719063098542</v>
      </c>
      <c r="T66" s="18"/>
      <c r="U66" s="18"/>
      <c r="V66" s="18"/>
      <c r="W66" s="18"/>
      <c r="X66" s="18">
        <f t="shared" ref="X66" si="28">X64</f>
        <v>0.21165087768054253</v>
      </c>
    </row>
    <row r="67" spans="1:24" x14ac:dyDescent="0.2">
      <c r="C67" s="5" t="s">
        <v>34</v>
      </c>
      <c r="D67" s="44">
        <v>0.03</v>
      </c>
      <c r="E67" s="44">
        <v>0</v>
      </c>
      <c r="F67" s="44">
        <v>0</v>
      </c>
      <c r="G67" s="44">
        <v>0</v>
      </c>
      <c r="H67" s="18">
        <f t="shared" ref="H67:V67" si="29">(H64*(1-$A$64))/$B$65</f>
        <v>2.47E-2</v>
      </c>
      <c r="I67" s="18">
        <f t="shared" ref="I67" si="30">(I64*(1-$A$64))/$B$65</f>
        <v>2.47E-2</v>
      </c>
      <c r="J67" s="18">
        <f t="shared" si="29"/>
        <v>2.992274473128213E-2</v>
      </c>
      <c r="K67" s="18">
        <f>(K64*(1-$A$64))/$B$65</f>
        <v>2.992274473128213E-2</v>
      </c>
      <c r="L67" s="18">
        <f t="shared" si="29"/>
        <v>2.992274473128213E-2</v>
      </c>
      <c r="M67" s="18">
        <f t="shared" si="29"/>
        <v>2.992274473128213E-2</v>
      </c>
      <c r="N67" s="18">
        <f t="shared" ref="N67:O67" si="31">(N64*(1-$A$64))/$B$65</f>
        <v>2.992274473128213E-2</v>
      </c>
      <c r="O67" s="18">
        <f t="shared" si="31"/>
        <v>3.4688662198872303E-2</v>
      </c>
      <c r="P67" s="18">
        <f t="shared" si="29"/>
        <v>3.4688662198872303E-2</v>
      </c>
      <c r="Q67" s="18">
        <f t="shared" si="29"/>
        <v>3.4688662198872303E-2</v>
      </c>
      <c r="R67" s="18">
        <f t="shared" si="29"/>
        <v>3.4688662198872303E-2</v>
      </c>
      <c r="S67" s="18">
        <f t="shared" ref="S67:T67" si="32">(S64*(1-$A$64))/$B$65</f>
        <v>3.4688662198872303E-2</v>
      </c>
      <c r="T67" s="18">
        <f t="shared" si="32"/>
        <v>4.0213666759303081E-2</v>
      </c>
      <c r="U67" s="18">
        <f t="shared" si="29"/>
        <v>4.0213666759303081E-2</v>
      </c>
      <c r="V67" s="18">
        <f t="shared" si="29"/>
        <v>4.0213666759303081E-2</v>
      </c>
      <c r="W67" s="18">
        <f t="shared" ref="W67:X67" si="33">(W64*(1-$A$64))/$B$65</f>
        <v>4.0213666759303081E-2</v>
      </c>
      <c r="X67" s="18">
        <f t="shared" si="33"/>
        <v>4.0213666759303081E-2</v>
      </c>
    </row>
    <row r="68" spans="1:24" x14ac:dyDescent="0.2">
      <c r="C68" s="5" t="s">
        <v>45</v>
      </c>
      <c r="D68" s="44">
        <v>0</v>
      </c>
      <c r="E68" s="18"/>
      <c r="F68" s="18"/>
      <c r="G68" s="18"/>
      <c r="H68" s="18"/>
      <c r="I68" s="18">
        <f>H70-I67</f>
        <v>-4.9399999999999999E-2</v>
      </c>
      <c r="J68" s="18"/>
      <c r="K68" s="18"/>
      <c r="L68" s="18"/>
      <c r="M68" s="18"/>
      <c r="N68" s="18">
        <f>N64*$A$64</f>
        <v>7.8744065082321409E-3</v>
      </c>
      <c r="O68" s="18"/>
      <c r="P68" s="18"/>
      <c r="Q68" s="18"/>
      <c r="R68" s="18"/>
      <c r="S68" s="18">
        <f>S64*$A$64</f>
        <v>9.1285953154927098E-3</v>
      </c>
      <c r="T68" s="18"/>
      <c r="U68" s="18"/>
      <c r="V68" s="18"/>
      <c r="W68" s="18"/>
      <c r="X68" s="18">
        <f t="shared" ref="X68" si="34">W70-X67</f>
        <v>1.0582543884027122E-2</v>
      </c>
    </row>
    <row r="69" spans="1:24" x14ac:dyDescent="0.2">
      <c r="C69" s="5" t="s">
        <v>46</v>
      </c>
      <c r="D69" s="44">
        <v>0.13</v>
      </c>
      <c r="E69" s="44">
        <v>0.13</v>
      </c>
      <c r="F69" s="44">
        <v>0.13</v>
      </c>
      <c r="G69" s="44">
        <f>G67+F69+G68-G66</f>
        <v>0.13</v>
      </c>
      <c r="H69" s="34">
        <f>H67+G69+H68-H66</f>
        <v>0.1547</v>
      </c>
      <c r="I69" s="34">
        <f>I67+H69+I68-I66</f>
        <v>0</v>
      </c>
      <c r="J69" s="34">
        <f>J67+I69+J68-J66</f>
        <v>2.992274473128213E-2</v>
      </c>
      <c r="K69" s="34">
        <f t="shared" ref="K69:V69" si="35">K67+J69+K68-K66</f>
        <v>5.9845489462564259E-2</v>
      </c>
      <c r="L69" s="34">
        <f t="shared" si="35"/>
        <v>8.9768234193846386E-2</v>
      </c>
      <c r="M69" s="34">
        <f t="shared" si="35"/>
        <v>0.11969097892512852</v>
      </c>
      <c r="N69" s="34">
        <f t="shared" si="35"/>
        <v>0</v>
      </c>
      <c r="O69" s="34">
        <f t="shared" si="35"/>
        <v>3.4688662198872303E-2</v>
      </c>
      <c r="P69" s="34">
        <f t="shared" si="35"/>
        <v>6.9377324397744605E-2</v>
      </c>
      <c r="Q69" s="34">
        <f t="shared" si="35"/>
        <v>0.10406598659661691</v>
      </c>
      <c r="R69" s="34">
        <f t="shared" si="35"/>
        <v>0.13875464879548921</v>
      </c>
      <c r="S69" s="34">
        <f t="shared" si="35"/>
        <v>0</v>
      </c>
      <c r="T69" s="34">
        <f t="shared" si="35"/>
        <v>4.0213666759303081E-2</v>
      </c>
      <c r="U69" s="34">
        <f t="shared" si="35"/>
        <v>8.0427333518606162E-2</v>
      </c>
      <c r="V69" s="34">
        <f t="shared" si="35"/>
        <v>0.12064100027790925</v>
      </c>
      <c r="W69" s="34">
        <f t="shared" ref="W69" si="36">W67+V69+W68-W66</f>
        <v>0.16085466703721232</v>
      </c>
      <c r="X69" s="34">
        <f t="shared" ref="X69" si="37">X67+W69+X68-X66</f>
        <v>0</v>
      </c>
    </row>
    <row r="70" spans="1:24" x14ac:dyDescent="0.2">
      <c r="C70" s="5" t="s">
        <v>47</v>
      </c>
      <c r="D70" s="47">
        <f>D64+D65-D69-D66</f>
        <v>0</v>
      </c>
      <c r="E70" s="35">
        <f>E64+E65-E66-E69</f>
        <v>0</v>
      </c>
      <c r="F70" s="35">
        <f t="shared" ref="F70:H70" si="38">F64+F65-F69+F66</f>
        <v>0</v>
      </c>
      <c r="G70" s="35">
        <f t="shared" si="38"/>
        <v>0</v>
      </c>
      <c r="H70" s="35">
        <f t="shared" si="38"/>
        <v>-2.47E-2</v>
      </c>
      <c r="I70" s="35">
        <f>I64+I65-I69-I66</f>
        <v>0.1574881301646428</v>
      </c>
      <c r="J70" s="35">
        <f t="shared" ref="J70:V70" si="39">J64+J65-J69-J66</f>
        <v>0.12756538543336068</v>
      </c>
      <c r="K70" s="35">
        <f t="shared" si="39"/>
        <v>9.7642640702078537E-2</v>
      </c>
      <c r="L70" s="35">
        <f t="shared" si="39"/>
        <v>6.7719895970796418E-2</v>
      </c>
      <c r="M70" s="35">
        <f t="shared" si="39"/>
        <v>3.7797151239514284E-2</v>
      </c>
      <c r="N70" s="35">
        <f t="shared" si="39"/>
        <v>0.1825719063098542</v>
      </c>
      <c r="O70" s="35">
        <f t="shared" si="39"/>
        <v>0.14788324411098192</v>
      </c>
      <c r="P70" s="35">
        <f t="shared" si="39"/>
        <v>0.1131945819121096</v>
      </c>
      <c r="Q70" s="35">
        <f t="shared" si="39"/>
        <v>7.8505919713237296E-2</v>
      </c>
      <c r="R70" s="35">
        <f t="shared" si="39"/>
        <v>4.3817257514364993E-2</v>
      </c>
      <c r="S70" s="35">
        <f t="shared" si="39"/>
        <v>0.21165087768054253</v>
      </c>
      <c r="T70" s="35">
        <f t="shared" si="39"/>
        <v>0.17143721092123945</v>
      </c>
      <c r="U70" s="35">
        <f t="shared" si="39"/>
        <v>0.13122354416193638</v>
      </c>
      <c r="V70" s="35">
        <f t="shared" si="39"/>
        <v>9.1009877402633277E-2</v>
      </c>
      <c r="W70" s="35">
        <f t="shared" ref="W70:X70" si="40">W64+W65-W69-W66</f>
        <v>5.0796210643330203E-2</v>
      </c>
      <c r="X70" s="35">
        <f t="shared" si="40"/>
        <v>0</v>
      </c>
    </row>
    <row r="71" spans="1:24" x14ac:dyDescent="0.2">
      <c r="D71" s="48">
        <f>IF(D69=0,(D68-D67)/D64,D70/D64)</f>
        <v>0</v>
      </c>
      <c r="E71" s="198">
        <f>IF(E69=0,(E68-E66)/E64,E70/E64)</f>
        <v>0</v>
      </c>
      <c r="F71" s="21">
        <f t="shared" ref="F71:V71" si="41">IF(F69=0,(F68-F66)/F64,F70/F64)</f>
        <v>0</v>
      </c>
      <c r="G71" s="21">
        <f t="shared" si="41"/>
        <v>0</v>
      </c>
      <c r="H71" s="21">
        <f t="shared" si="41"/>
        <v>-0.19</v>
      </c>
      <c r="I71" s="21">
        <f t="shared" si="41"/>
        <v>-1.38</v>
      </c>
      <c r="J71" s="21">
        <f t="shared" si="41"/>
        <v>0.81</v>
      </c>
      <c r="K71" s="21">
        <f t="shared" si="41"/>
        <v>0.62</v>
      </c>
      <c r="L71" s="21">
        <f t="shared" si="41"/>
        <v>0.4300000000000001</v>
      </c>
      <c r="M71" s="21">
        <f t="shared" si="41"/>
        <v>0.24000000000000007</v>
      </c>
      <c r="N71" s="21">
        <f t="shared" si="41"/>
        <v>-0.95</v>
      </c>
      <c r="O71" s="21">
        <f t="shared" si="41"/>
        <v>0.81</v>
      </c>
      <c r="P71" s="21">
        <f t="shared" si="41"/>
        <v>0.62</v>
      </c>
      <c r="Q71" s="21">
        <f t="shared" si="41"/>
        <v>0.42999999999999994</v>
      </c>
      <c r="R71" s="21">
        <f t="shared" si="41"/>
        <v>0.23999999999999991</v>
      </c>
      <c r="S71" s="21">
        <f t="shared" si="41"/>
        <v>-0.95000000000000007</v>
      </c>
      <c r="T71" s="21">
        <f t="shared" si="41"/>
        <v>0.81</v>
      </c>
      <c r="U71" s="21">
        <f t="shared" si="41"/>
        <v>0.62000000000000011</v>
      </c>
      <c r="V71" s="21">
        <f t="shared" si="41"/>
        <v>0.42999999999999994</v>
      </c>
      <c r="W71" s="21">
        <f t="shared" ref="W71:X71" si="42">IF(W69=0,(W68-W66)/W64,W70/W64)</f>
        <v>0.24</v>
      </c>
      <c r="X71" s="21">
        <f t="shared" si="42"/>
        <v>-0.95</v>
      </c>
    </row>
    <row r="72" spans="1:24" x14ac:dyDescent="0.2">
      <c r="C72" s="36" t="s">
        <v>11</v>
      </c>
      <c r="D72" s="38"/>
    </row>
    <row r="73" spans="1:24" x14ac:dyDescent="0.2">
      <c r="A73" s="22">
        <v>0.05</v>
      </c>
      <c r="C73" s="5" t="s">
        <v>42</v>
      </c>
      <c r="D73" s="49">
        <v>0.05</v>
      </c>
      <c r="E73" s="49">
        <v>0.05</v>
      </c>
      <c r="F73" s="49">
        <v>0.05</v>
      </c>
      <c r="G73" s="49">
        <v>0.05</v>
      </c>
      <c r="H73" s="24">
        <f t="shared" ref="H73:V73" si="43">G73+G74-G75</f>
        <v>0.05</v>
      </c>
      <c r="I73" s="24">
        <f t="shared" si="43"/>
        <v>7.3380210481525043E-2</v>
      </c>
      <c r="J73" s="24">
        <f t="shared" si="43"/>
        <v>7.3380210481525043E-2</v>
      </c>
      <c r="K73" s="24">
        <f t="shared" si="43"/>
        <v>7.3380210481525043E-2</v>
      </c>
      <c r="L73" s="24">
        <f t="shared" si="43"/>
        <v>7.3380210481525043E-2</v>
      </c>
      <c r="M73" s="24">
        <f t="shared" si="43"/>
        <v>7.3380210481525043E-2</v>
      </c>
      <c r="N73" s="24">
        <f t="shared" si="43"/>
        <v>7.3380210481525043E-2</v>
      </c>
      <c r="O73" s="24">
        <f t="shared" si="43"/>
        <v>7.3380210481525043E-2</v>
      </c>
      <c r="P73" s="24">
        <f t="shared" si="43"/>
        <v>7.3380210481525043E-2</v>
      </c>
      <c r="Q73" s="24">
        <f t="shared" si="43"/>
        <v>7.3380210481525043E-2</v>
      </c>
      <c r="R73" s="24">
        <f t="shared" si="43"/>
        <v>7.3380210481525043E-2</v>
      </c>
      <c r="S73" s="24">
        <f t="shared" si="43"/>
        <v>9.3932873287275731E-2</v>
      </c>
      <c r="T73" s="24">
        <f t="shared" si="43"/>
        <v>9.3932873287275731E-2</v>
      </c>
      <c r="U73" s="24">
        <f t="shared" si="43"/>
        <v>9.3932873287275731E-2</v>
      </c>
      <c r="V73" s="24">
        <f t="shared" si="43"/>
        <v>9.3932873287275731E-2</v>
      </c>
      <c r="W73" s="24">
        <f t="shared" ref="W73" si="44">V73+V74-V75</f>
        <v>9.3932873287275731E-2</v>
      </c>
      <c r="X73" s="24">
        <f t="shared" ref="X73" si="45">W73+W74-W75</f>
        <v>9.3932873287275731E-2</v>
      </c>
    </row>
    <row r="74" spans="1:24" x14ac:dyDescent="0.2">
      <c r="B74" s="5">
        <v>10</v>
      </c>
      <c r="C74" s="5" t="s">
        <v>43</v>
      </c>
      <c r="D74" s="50"/>
      <c r="E74" s="25"/>
      <c r="F74" s="25"/>
      <c r="G74" s="25"/>
      <c r="H74" s="25">
        <f>H73*(1+Assumptions!$C$50)^$B$74</f>
        <v>7.3380210481525043E-2</v>
      </c>
      <c r="I74" s="25"/>
      <c r="J74" s="25"/>
      <c r="K74" s="25"/>
      <c r="L74" s="18"/>
      <c r="M74" s="25"/>
      <c r="N74" s="25"/>
      <c r="O74" s="25"/>
      <c r="P74" s="25"/>
      <c r="Q74" s="25"/>
      <c r="R74" s="25">
        <f>R73*(1+[96]Assumptions!$C$57)^'[96]Depreciation Schedule'!$B$101</f>
        <v>9.3932873287275731E-2</v>
      </c>
      <c r="S74" s="25"/>
      <c r="T74" s="25"/>
      <c r="U74" s="25"/>
      <c r="V74" s="18"/>
      <c r="X74" s="18"/>
    </row>
    <row r="75" spans="1:24" x14ac:dyDescent="0.2">
      <c r="A75" s="22"/>
      <c r="B75" s="17">
        <f>1/B74</f>
        <v>0.1</v>
      </c>
      <c r="C75" s="5" t="s">
        <v>44</v>
      </c>
      <c r="D75" s="50"/>
      <c r="E75" s="25"/>
      <c r="F75" s="25"/>
      <c r="G75" s="25"/>
      <c r="H75" s="25">
        <f>H73</f>
        <v>0.05</v>
      </c>
      <c r="I75" s="25"/>
      <c r="J75" s="25"/>
      <c r="K75" s="25"/>
      <c r="L75" s="18"/>
      <c r="M75" s="25"/>
      <c r="N75" s="25"/>
      <c r="O75" s="25"/>
      <c r="P75" s="25"/>
      <c r="Q75" s="25"/>
      <c r="R75" s="25">
        <f>R73</f>
        <v>7.3380210481525043E-2</v>
      </c>
      <c r="S75" s="25"/>
      <c r="T75" s="25"/>
      <c r="U75" s="25"/>
      <c r="V75" s="18"/>
      <c r="X75" s="18">
        <f>X73</f>
        <v>9.3932873287275731E-2</v>
      </c>
    </row>
    <row r="76" spans="1:24" x14ac:dyDescent="0.2">
      <c r="B76" s="23"/>
      <c r="C76" s="5" t="s">
        <v>34</v>
      </c>
      <c r="D76" s="50">
        <v>0.01</v>
      </c>
      <c r="E76" s="50">
        <v>0.01</v>
      </c>
      <c r="F76" s="50">
        <v>0.01</v>
      </c>
      <c r="G76" s="50">
        <v>0.01</v>
      </c>
      <c r="H76" s="214">
        <f t="shared" ref="H76" si="46">(H73*(1-$A$73))*$B$75</f>
        <v>4.7500000000000007E-3</v>
      </c>
      <c r="I76" s="18">
        <f>(I73*(1-$A$73))/$B$74</f>
        <v>6.9711199957448785E-3</v>
      </c>
      <c r="J76" s="18">
        <f t="shared" ref="J76:X76" si="47">(J73*(1-$A$73))/$B$74</f>
        <v>6.9711199957448785E-3</v>
      </c>
      <c r="K76" s="18">
        <f t="shared" si="47"/>
        <v>6.9711199957448785E-3</v>
      </c>
      <c r="L76" s="18">
        <f t="shared" si="47"/>
        <v>6.9711199957448785E-3</v>
      </c>
      <c r="M76" s="18">
        <f t="shared" si="47"/>
        <v>6.9711199957448785E-3</v>
      </c>
      <c r="N76" s="18">
        <f t="shared" si="47"/>
        <v>6.9711199957448785E-3</v>
      </c>
      <c r="O76" s="18">
        <f t="shared" si="47"/>
        <v>6.9711199957448785E-3</v>
      </c>
      <c r="P76" s="18">
        <f t="shared" si="47"/>
        <v>6.9711199957448785E-3</v>
      </c>
      <c r="Q76" s="18">
        <f t="shared" si="47"/>
        <v>6.9711199957448785E-3</v>
      </c>
      <c r="R76" s="18">
        <f t="shared" ref="R76" si="48">(R73*(1-$A$73))/$B$74</f>
        <v>6.9711199957448785E-3</v>
      </c>
      <c r="S76" s="18">
        <f>(S73*(1-$A$73))/$B$74</f>
        <v>8.9236229622911938E-3</v>
      </c>
      <c r="T76" s="18">
        <f t="shared" si="47"/>
        <v>8.9236229622911938E-3</v>
      </c>
      <c r="U76" s="18">
        <f t="shared" si="47"/>
        <v>8.9236229622911938E-3</v>
      </c>
      <c r="V76" s="18">
        <f t="shared" si="47"/>
        <v>8.9236229622911938E-3</v>
      </c>
      <c r="W76" s="18">
        <f t="shared" si="47"/>
        <v>8.9236229622911938E-3</v>
      </c>
      <c r="X76" s="18">
        <f t="shared" si="47"/>
        <v>8.9236229622911938E-3</v>
      </c>
    </row>
    <row r="77" spans="1:24" x14ac:dyDescent="0.2">
      <c r="C77" s="5" t="s">
        <v>45</v>
      </c>
      <c r="D77" s="50"/>
      <c r="E77" s="25"/>
      <c r="F77" s="25"/>
      <c r="G77" s="25"/>
      <c r="H77" s="25">
        <f>G79-H76</f>
        <v>5.2500000000000012E-3</v>
      </c>
      <c r="I77" s="25"/>
      <c r="J77" s="25"/>
      <c r="K77" s="25"/>
      <c r="L77" s="18"/>
      <c r="M77" s="25"/>
      <c r="N77" s="25"/>
      <c r="O77" s="25"/>
      <c r="P77" s="25"/>
      <c r="Q77" s="25"/>
      <c r="R77" s="25">
        <f>Q79-R76</f>
        <v>3.6690105240762497E-3</v>
      </c>
      <c r="S77" s="25"/>
      <c r="T77" s="25"/>
      <c r="U77" s="25"/>
      <c r="V77" s="18"/>
      <c r="X77" s="18">
        <f>W79-X76</f>
        <v>4.0391135513528562E-2</v>
      </c>
    </row>
    <row r="78" spans="1:24" x14ac:dyDescent="0.2">
      <c r="C78" s="5" t="s">
        <v>46</v>
      </c>
      <c r="D78" s="50">
        <v>0.03</v>
      </c>
      <c r="E78" s="50">
        <v>0.04</v>
      </c>
      <c r="F78" s="50">
        <v>0.03</v>
      </c>
      <c r="G78" s="25">
        <f t="shared" ref="G78:V78" si="49">F78+G76+G77-G75</f>
        <v>0.04</v>
      </c>
      <c r="H78" s="25">
        <f t="shared" si="49"/>
        <v>0</v>
      </c>
      <c r="I78" s="25">
        <f t="shared" si="49"/>
        <v>6.9711199957448785E-3</v>
      </c>
      <c r="J78" s="25">
        <f t="shared" si="49"/>
        <v>1.3942239991489757E-2</v>
      </c>
      <c r="K78" s="25">
        <f t="shared" si="49"/>
        <v>2.0913359987234634E-2</v>
      </c>
      <c r="L78" s="25">
        <f t="shared" si="49"/>
        <v>2.7884479982979514E-2</v>
      </c>
      <c r="M78" s="25">
        <f t="shared" si="49"/>
        <v>3.4855599978724394E-2</v>
      </c>
      <c r="N78" s="25">
        <f t="shared" si="49"/>
        <v>4.1826719974469274E-2</v>
      </c>
      <c r="O78" s="25">
        <f t="shared" si="49"/>
        <v>4.8797839970214155E-2</v>
      </c>
      <c r="P78" s="25">
        <f t="shared" si="49"/>
        <v>5.5768959965959035E-2</v>
      </c>
      <c r="Q78" s="25">
        <f t="shared" si="49"/>
        <v>6.2740079961703915E-2</v>
      </c>
      <c r="R78" s="25">
        <f t="shared" si="49"/>
        <v>0</v>
      </c>
      <c r="S78" s="25">
        <f t="shared" si="49"/>
        <v>8.9236229622911938E-3</v>
      </c>
      <c r="T78" s="25">
        <f t="shared" si="49"/>
        <v>1.7847245924582388E-2</v>
      </c>
      <c r="U78" s="25">
        <f t="shared" si="49"/>
        <v>2.6770868886873581E-2</v>
      </c>
      <c r="V78" s="25">
        <f t="shared" si="49"/>
        <v>3.5694491849164775E-2</v>
      </c>
      <c r="W78" s="25">
        <f t="shared" ref="W78" si="50">V78+W76+W77-W75</f>
        <v>4.4618114811455972E-2</v>
      </c>
      <c r="X78" s="25">
        <f t="shared" ref="X78" si="51">W78+X76+X77-X75</f>
        <v>0</v>
      </c>
    </row>
    <row r="79" spans="1:24" x14ac:dyDescent="0.2">
      <c r="C79" s="5" t="s">
        <v>47</v>
      </c>
      <c r="D79" s="51">
        <f>D73+D74-D78-D75</f>
        <v>2.0000000000000004E-2</v>
      </c>
      <c r="E79" s="26">
        <f>E73+E74-E78-E75</f>
        <v>1.0000000000000002E-2</v>
      </c>
      <c r="F79" s="26">
        <f t="shared" ref="F79:V79" si="52">F73+F74-F78-F75</f>
        <v>2.0000000000000004E-2</v>
      </c>
      <c r="G79" s="26">
        <f t="shared" si="52"/>
        <v>1.0000000000000002E-2</v>
      </c>
      <c r="H79" s="26">
        <f t="shared" si="52"/>
        <v>7.3380210481525043E-2</v>
      </c>
      <c r="I79" s="26">
        <f t="shared" si="52"/>
        <v>6.640909048578017E-2</v>
      </c>
      <c r="J79" s="26">
        <f t="shared" si="52"/>
        <v>5.9437970490035283E-2</v>
      </c>
      <c r="K79" s="26">
        <f t="shared" si="52"/>
        <v>5.246685049429041E-2</v>
      </c>
      <c r="L79" s="26">
        <f t="shared" si="52"/>
        <v>4.5495730498545529E-2</v>
      </c>
      <c r="M79" s="26">
        <f t="shared" si="52"/>
        <v>3.8524610502800649E-2</v>
      </c>
      <c r="N79" s="26">
        <f t="shared" si="52"/>
        <v>3.1553490507055769E-2</v>
      </c>
      <c r="O79" s="26">
        <f t="shared" si="52"/>
        <v>2.4582370511310889E-2</v>
      </c>
      <c r="P79" s="26">
        <f t="shared" si="52"/>
        <v>1.7611250515566008E-2</v>
      </c>
      <c r="Q79" s="26">
        <f t="shared" si="52"/>
        <v>1.0640130519821128E-2</v>
      </c>
      <c r="R79" s="26">
        <f t="shared" si="52"/>
        <v>9.3932873287275731E-2</v>
      </c>
      <c r="S79" s="26">
        <f t="shared" si="52"/>
        <v>8.5009250324984534E-2</v>
      </c>
      <c r="T79" s="26">
        <f t="shared" si="52"/>
        <v>7.6085627362693337E-2</v>
      </c>
      <c r="U79" s="26">
        <f t="shared" si="52"/>
        <v>6.7162004400402153E-2</v>
      </c>
      <c r="V79" s="26">
        <f t="shared" si="52"/>
        <v>5.8238381438110956E-2</v>
      </c>
      <c r="W79" s="26">
        <f t="shared" ref="W79:X79" si="53">W73+W74-W78-W75</f>
        <v>4.9314758475819759E-2</v>
      </c>
      <c r="X79" s="26">
        <f t="shared" si="53"/>
        <v>0</v>
      </c>
    </row>
    <row r="80" spans="1:24" x14ac:dyDescent="0.2">
      <c r="D80" s="48">
        <f>IF(D78=0,(D77-D75)/D73,D79/D73)</f>
        <v>0.40000000000000008</v>
      </c>
      <c r="E80" s="21">
        <f>IF(E78=0,(E77-E75)/E73,E79/E73)</f>
        <v>0.20000000000000004</v>
      </c>
      <c r="F80" s="21">
        <f t="shared" ref="F80:V80" si="54">IF(F78=0,(F77-F75)/F73,F79/F73)</f>
        <v>0.40000000000000008</v>
      </c>
      <c r="G80" s="21">
        <f t="shared" si="54"/>
        <v>0.20000000000000004</v>
      </c>
      <c r="H80" s="21">
        <f t="shared" si="54"/>
        <v>-0.89499999999999991</v>
      </c>
      <c r="I80" s="21">
        <f t="shared" si="54"/>
        <v>0.90500000000000003</v>
      </c>
      <c r="J80" s="21">
        <f t="shared" si="54"/>
        <v>0.80999999999999994</v>
      </c>
      <c r="K80" s="21">
        <f t="shared" si="54"/>
        <v>0.71500000000000008</v>
      </c>
      <c r="L80" s="21">
        <f t="shared" si="54"/>
        <v>0.62</v>
      </c>
      <c r="M80" s="21">
        <f t="shared" si="54"/>
        <v>0.52500000000000002</v>
      </c>
      <c r="N80" s="21">
        <f t="shared" si="54"/>
        <v>0.43</v>
      </c>
      <c r="O80" s="21">
        <f t="shared" si="54"/>
        <v>0.33499999999999996</v>
      </c>
      <c r="P80" s="21">
        <f t="shared" si="54"/>
        <v>0.23999999999999996</v>
      </c>
      <c r="Q80" s="21">
        <f t="shared" si="54"/>
        <v>0.14499999999999996</v>
      </c>
      <c r="R80" s="21">
        <f t="shared" si="54"/>
        <v>-0.95</v>
      </c>
      <c r="S80" s="21">
        <f t="shared" si="54"/>
        <v>0.90499999999999992</v>
      </c>
      <c r="T80" s="21">
        <f t="shared" si="54"/>
        <v>0.80999999999999994</v>
      </c>
      <c r="U80" s="21">
        <f t="shared" si="54"/>
        <v>0.71500000000000008</v>
      </c>
      <c r="V80" s="21">
        <f t="shared" si="54"/>
        <v>0.62</v>
      </c>
      <c r="W80" s="21">
        <f t="shared" ref="W80:X80" si="55">IF(W78=0,(W77-W75)/W73,W79/W73)</f>
        <v>0.52500000000000002</v>
      </c>
      <c r="X80" s="21">
        <f t="shared" si="55"/>
        <v>-0.57000000000000006</v>
      </c>
    </row>
    <row r="81" spans="1:24" x14ac:dyDescent="0.2">
      <c r="C81" s="36" t="str">
        <f>K3</f>
        <v>Computers</v>
      </c>
      <c r="D81" s="38"/>
    </row>
    <row r="82" spans="1:24" x14ac:dyDescent="0.2">
      <c r="A82" s="22">
        <v>0.05</v>
      </c>
      <c r="C82" s="5" t="s">
        <v>42</v>
      </c>
      <c r="D82" s="49">
        <v>0.27</v>
      </c>
      <c r="E82" s="49">
        <v>0.27</v>
      </c>
      <c r="F82" s="49">
        <v>0.27</v>
      </c>
      <c r="G82" s="49">
        <v>0.27</v>
      </c>
      <c r="H82" s="24">
        <f t="shared" ref="H82:V82" si="56">G82+G83-G84</f>
        <v>0.27</v>
      </c>
      <c r="I82" s="24">
        <f t="shared" si="56"/>
        <v>0.30293290445917687</v>
      </c>
      <c r="J82" s="24">
        <f t="shared" si="56"/>
        <v>0.30293290445917687</v>
      </c>
      <c r="K82" s="24">
        <f t="shared" si="56"/>
        <v>0.30293290445917687</v>
      </c>
      <c r="L82" s="24">
        <f t="shared" si="56"/>
        <v>0.33988275779286214</v>
      </c>
      <c r="M82" s="24">
        <f t="shared" si="56"/>
        <v>0.33988275779286214</v>
      </c>
      <c r="N82" s="24">
        <f t="shared" si="56"/>
        <v>0.33988275779286214</v>
      </c>
      <c r="O82" s="24">
        <f t="shared" si="56"/>
        <v>0.38133952219920986</v>
      </c>
      <c r="P82" s="24">
        <f t="shared" si="56"/>
        <v>0.38133952219920986</v>
      </c>
      <c r="Q82" s="24">
        <f t="shared" si="56"/>
        <v>0.38133952219920986</v>
      </c>
      <c r="R82" s="24">
        <f t="shared" si="56"/>
        <v>0.42785292238844963</v>
      </c>
      <c r="S82" s="24">
        <f t="shared" si="56"/>
        <v>0.42785292238844963</v>
      </c>
      <c r="T82" s="24">
        <f t="shared" si="56"/>
        <v>0.42785292238844963</v>
      </c>
      <c r="U82" s="24">
        <f t="shared" si="56"/>
        <v>0.48003973503881414</v>
      </c>
      <c r="V82" s="24">
        <f t="shared" si="56"/>
        <v>0.48003973503881414</v>
      </c>
      <c r="W82" s="24">
        <f t="shared" ref="W82" si="57">V82+V83-V84</f>
        <v>0.48003973503881414</v>
      </c>
      <c r="X82" s="24">
        <f t="shared" ref="X82" si="58">W82+W83-W84</f>
        <v>0</v>
      </c>
    </row>
    <row r="83" spans="1:24" x14ac:dyDescent="0.2">
      <c r="B83" s="5">
        <v>3</v>
      </c>
      <c r="C83" s="5" t="s">
        <v>43</v>
      </c>
      <c r="D83" s="50"/>
      <c r="E83" s="25">
        <f>E82</f>
        <v>0.27</v>
      </c>
      <c r="F83" s="25"/>
      <c r="G83" s="25"/>
      <c r="H83" s="25">
        <f>H82*((1+Assumptions!$C$50)^'Depreciation Schedule'!$B$83)</f>
        <v>0.30293290445917687</v>
      </c>
      <c r="I83" s="25"/>
      <c r="J83" s="25"/>
      <c r="K83" s="25">
        <f>K82*(1+Assumptions!$C$50)^$B$83</f>
        <v>0.33988275779286214</v>
      </c>
      <c r="L83" s="25"/>
      <c r="M83" s="25"/>
      <c r="N83" s="25">
        <f>N82*(1+Assumptions!$C$50)^$B$83</f>
        <v>0.38133952219920986</v>
      </c>
      <c r="O83" s="25"/>
      <c r="P83" s="20">
        <v>0</v>
      </c>
      <c r="Q83" s="25">
        <f>Q82*(1+Assumptions!$C$50)^$B$83</f>
        <v>0.42785292238844957</v>
      </c>
      <c r="R83" s="25"/>
      <c r="S83" s="25"/>
      <c r="T83" s="25">
        <f>T82*(1+Assumptions!$C$50)^$B$83</f>
        <v>0.48003973503881414</v>
      </c>
      <c r="U83" s="25"/>
      <c r="V83" s="25"/>
      <c r="W83" s="25"/>
      <c r="X83" s="25"/>
    </row>
    <row r="84" spans="1:24" x14ac:dyDescent="0.2">
      <c r="A84" s="22"/>
      <c r="B84" s="17">
        <f>1/B83</f>
        <v>0.33333333333333331</v>
      </c>
      <c r="C84" s="5" t="s">
        <v>44</v>
      </c>
      <c r="D84" s="50"/>
      <c r="E84" s="25">
        <f>E82</f>
        <v>0.27</v>
      </c>
      <c r="F84" s="25"/>
      <c r="G84" s="25"/>
      <c r="H84" s="25">
        <f>H82</f>
        <v>0.27</v>
      </c>
      <c r="I84" s="25"/>
      <c r="J84" s="25"/>
      <c r="K84" s="25">
        <f>K82</f>
        <v>0.30293290445917687</v>
      </c>
      <c r="L84" s="25"/>
      <c r="M84" s="25"/>
      <c r="N84" s="25">
        <f>N82</f>
        <v>0.33988275779286214</v>
      </c>
      <c r="O84" s="25"/>
      <c r="P84" s="20">
        <v>0</v>
      </c>
      <c r="Q84" s="25">
        <f>Q82</f>
        <v>0.38133952219920986</v>
      </c>
      <c r="R84" s="25"/>
      <c r="S84" s="25"/>
      <c r="T84" s="25">
        <f>T82</f>
        <v>0.42785292238844963</v>
      </c>
      <c r="U84" s="25"/>
      <c r="V84" s="25"/>
      <c r="W84" s="25">
        <f t="shared" ref="W84:X84" si="59">W82</f>
        <v>0.48003973503881414</v>
      </c>
      <c r="X84" s="25">
        <f t="shared" si="59"/>
        <v>0</v>
      </c>
    </row>
    <row r="85" spans="1:24" x14ac:dyDescent="0.2">
      <c r="B85" s="23"/>
      <c r="C85" s="5" t="s">
        <v>34</v>
      </c>
      <c r="D85" s="50">
        <v>0</v>
      </c>
      <c r="E85" s="50">
        <v>0</v>
      </c>
      <c r="F85" s="50">
        <v>0</v>
      </c>
      <c r="G85" s="50">
        <v>0</v>
      </c>
      <c r="H85" s="18">
        <f t="shared" ref="H85:I85" si="60">(H82*(1-$A$82))/$B$83</f>
        <v>8.5500000000000007E-2</v>
      </c>
      <c r="I85" s="18">
        <f t="shared" si="60"/>
        <v>9.592875307873934E-2</v>
      </c>
      <c r="J85" s="18">
        <f t="shared" ref="J85:W85" si="61">(J82*(1-$A$82))/$B$83</f>
        <v>9.592875307873934E-2</v>
      </c>
      <c r="K85" s="18">
        <f t="shared" ref="K85:L85" si="62">(K82*(1-$A$82))/$B$83</f>
        <v>9.592875307873934E-2</v>
      </c>
      <c r="L85" s="18">
        <f t="shared" si="62"/>
        <v>0.10762953996773968</v>
      </c>
      <c r="M85" s="18">
        <f t="shared" si="61"/>
        <v>0.10762953996773968</v>
      </c>
      <c r="N85" s="18">
        <f t="shared" ref="N85" si="63">(N82*(1-$A$82))/$B$83</f>
        <v>0.10762953996773968</v>
      </c>
      <c r="O85" s="18">
        <f t="shared" si="61"/>
        <v>0.12075751536308311</v>
      </c>
      <c r="P85" s="18">
        <f t="shared" si="61"/>
        <v>0.12075751536308311</v>
      </c>
      <c r="Q85" s="18">
        <f t="shared" ref="Q85:R85" si="64">(Q82*(1-$A$82))/$B$83</f>
        <v>0.12075751536308311</v>
      </c>
      <c r="R85" s="18">
        <f t="shared" si="64"/>
        <v>0.13548675875634239</v>
      </c>
      <c r="S85" s="18">
        <f t="shared" si="61"/>
        <v>0.13548675875634239</v>
      </c>
      <c r="T85" s="18">
        <f t="shared" ref="T85" si="65">(T82*(1-$A$82))/$B$83</f>
        <v>0.13548675875634239</v>
      </c>
      <c r="U85" s="18">
        <f t="shared" si="61"/>
        <v>0.15201258276229115</v>
      </c>
      <c r="V85" s="18">
        <f t="shared" si="61"/>
        <v>0.15201258276229115</v>
      </c>
      <c r="W85" s="18">
        <f t="shared" si="61"/>
        <v>0.15201258276229115</v>
      </c>
      <c r="X85" s="18">
        <f t="shared" ref="X85" si="66">(X82*(1-$A$82))/$B$83</f>
        <v>0</v>
      </c>
    </row>
    <row r="86" spans="1:24" x14ac:dyDescent="0.2">
      <c r="C86" s="5" t="s">
        <v>45</v>
      </c>
      <c r="D86" s="50"/>
      <c r="E86" s="25">
        <v>0</v>
      </c>
      <c r="F86" s="25"/>
      <c r="G86" s="25"/>
      <c r="H86" s="25">
        <f>G88-H85</f>
        <v>-7.5499999999999998E-2</v>
      </c>
      <c r="I86" s="25"/>
      <c r="J86" s="25"/>
      <c r="K86" s="18">
        <f>K82-(J87+K85)</f>
        <v>1.5146645222958832E-2</v>
      </c>
      <c r="L86" s="18"/>
      <c r="M86" s="25"/>
      <c r="N86" s="18">
        <f>N82-(M87+N85)</f>
        <v>1.6994137889643102E-2</v>
      </c>
      <c r="O86" s="18"/>
      <c r="P86" s="20">
        <v>0</v>
      </c>
      <c r="Q86" s="18">
        <f>Q82-(P87+Q85)</f>
        <v>1.9066976109960498E-2</v>
      </c>
      <c r="R86" s="18"/>
      <c r="S86" s="25"/>
      <c r="T86" s="18">
        <f>T82-(S87+T85)</f>
        <v>2.1392646119422487E-2</v>
      </c>
      <c r="U86" s="18"/>
      <c r="V86" s="25"/>
      <c r="W86" s="25">
        <f t="shared" ref="W86:X86" si="67">V88-W85</f>
        <v>2.4001986751940679E-2</v>
      </c>
      <c r="X86" s="25">
        <f t="shared" si="67"/>
        <v>0</v>
      </c>
    </row>
    <row r="87" spans="1:24" x14ac:dyDescent="0.2">
      <c r="C87" s="5" t="s">
        <v>46</v>
      </c>
      <c r="D87" s="50">
        <v>0.26</v>
      </c>
      <c r="E87" s="50">
        <v>0.26</v>
      </c>
      <c r="F87" s="50">
        <v>0.26</v>
      </c>
      <c r="G87" s="50">
        <v>0.26</v>
      </c>
      <c r="H87" s="25">
        <f t="shared" ref="H87:V87" si="68">G87+H85+H86-H84</f>
        <v>0</v>
      </c>
      <c r="I87" s="25">
        <f t="shared" si="68"/>
        <v>9.592875307873934E-2</v>
      </c>
      <c r="J87" s="25">
        <f t="shared" si="68"/>
        <v>0.19185750615747868</v>
      </c>
      <c r="K87" s="25">
        <f t="shared" si="68"/>
        <v>0</v>
      </c>
      <c r="L87" s="25">
        <f t="shared" si="68"/>
        <v>0.10762953996773968</v>
      </c>
      <c r="M87" s="25">
        <f t="shared" si="68"/>
        <v>0.21525907993547935</v>
      </c>
      <c r="N87" s="25">
        <f t="shared" si="68"/>
        <v>0</v>
      </c>
      <c r="O87" s="25">
        <f t="shared" si="68"/>
        <v>0.12075751536308311</v>
      </c>
      <c r="P87" s="25">
        <f t="shared" si="68"/>
        <v>0.24151503072616623</v>
      </c>
      <c r="Q87" s="25">
        <f t="shared" si="68"/>
        <v>0</v>
      </c>
      <c r="R87" s="25">
        <f t="shared" si="68"/>
        <v>0.13548675875634239</v>
      </c>
      <c r="S87" s="25">
        <f t="shared" si="68"/>
        <v>0.27097351751268478</v>
      </c>
      <c r="T87" s="25">
        <f t="shared" si="68"/>
        <v>0</v>
      </c>
      <c r="U87" s="25">
        <f t="shared" si="68"/>
        <v>0.15201258276229115</v>
      </c>
      <c r="V87" s="25">
        <f t="shared" si="68"/>
        <v>0.30402516552458231</v>
      </c>
      <c r="W87" s="25">
        <f t="shared" ref="W87:X87" si="69">V87+W85+W86-W84</f>
        <v>0</v>
      </c>
      <c r="X87" s="25">
        <f t="shared" si="69"/>
        <v>0</v>
      </c>
    </row>
    <row r="88" spans="1:24" x14ac:dyDescent="0.2">
      <c r="C88" s="5" t="s">
        <v>47</v>
      </c>
      <c r="D88" s="51">
        <f>D82+D83-D87-D84</f>
        <v>1.0000000000000009E-2</v>
      </c>
      <c r="E88" s="26">
        <f>E82+E83-E87-E84</f>
        <v>1.0000000000000009E-2</v>
      </c>
      <c r="F88" s="26">
        <f t="shared" ref="F88:V88" si="70">F82+F83-F87-F84</f>
        <v>1.0000000000000009E-2</v>
      </c>
      <c r="G88" s="26">
        <f t="shared" si="70"/>
        <v>1.0000000000000009E-2</v>
      </c>
      <c r="H88" s="26">
        <f t="shared" si="70"/>
        <v>0.30293290445917687</v>
      </c>
      <c r="I88" s="26">
        <f t="shared" si="70"/>
        <v>0.20700415138043754</v>
      </c>
      <c r="J88" s="26">
        <f t="shared" si="70"/>
        <v>0.11107539830169819</v>
      </c>
      <c r="K88" s="26">
        <f t="shared" si="70"/>
        <v>0.33988275779286214</v>
      </c>
      <c r="L88" s="26">
        <f t="shared" si="70"/>
        <v>0.23225321782512248</v>
      </c>
      <c r="M88" s="26">
        <f t="shared" si="70"/>
        <v>0.12462367785738279</v>
      </c>
      <c r="N88" s="26">
        <f t="shared" si="70"/>
        <v>0.38133952219920986</v>
      </c>
      <c r="O88" s="26">
        <f t="shared" si="70"/>
        <v>0.26058200683612676</v>
      </c>
      <c r="P88" s="26">
        <f t="shared" si="70"/>
        <v>0.13982449147304363</v>
      </c>
      <c r="Q88" s="26">
        <f t="shared" si="70"/>
        <v>0.42785292238844963</v>
      </c>
      <c r="R88" s="26">
        <f t="shared" si="70"/>
        <v>0.29236616363210721</v>
      </c>
      <c r="S88" s="26">
        <f t="shared" si="70"/>
        <v>0.15687940487576485</v>
      </c>
      <c r="T88" s="26">
        <f t="shared" si="70"/>
        <v>0.48003973503881414</v>
      </c>
      <c r="U88" s="26">
        <f t="shared" si="70"/>
        <v>0.32802715227652302</v>
      </c>
      <c r="V88" s="26">
        <f t="shared" si="70"/>
        <v>0.17601456951423183</v>
      </c>
      <c r="W88" s="26">
        <f t="shared" ref="W88:X88" si="71">W82+W83-W87-W84</f>
        <v>0</v>
      </c>
      <c r="X88" s="26">
        <f t="shared" si="71"/>
        <v>0</v>
      </c>
    </row>
    <row r="89" spans="1:24" x14ac:dyDescent="0.2">
      <c r="D89" s="48">
        <f>IF(D87=0,(D86-D84)/D82,D88/D82)</f>
        <v>3.703703703703707E-2</v>
      </c>
      <c r="E89" s="21">
        <f>IF(E87=0,(E86-E84)/E82,E88/E82)</f>
        <v>3.703703703703707E-2</v>
      </c>
      <c r="F89" s="21">
        <f t="shared" ref="F89:V89" si="72">IF(F87=0,(F86-F84)/F82,F88/F82)</f>
        <v>3.703703703703707E-2</v>
      </c>
      <c r="G89" s="21">
        <f t="shared" si="72"/>
        <v>3.703703703703707E-2</v>
      </c>
      <c r="H89" s="21">
        <f t="shared" si="72"/>
        <v>-1.2796296296296297</v>
      </c>
      <c r="I89" s="21">
        <f t="shared" si="72"/>
        <v>0.68333333333333335</v>
      </c>
      <c r="J89" s="21">
        <f t="shared" si="72"/>
        <v>0.3666666666666667</v>
      </c>
      <c r="K89" s="21">
        <f t="shared" si="72"/>
        <v>-0.95000000000000007</v>
      </c>
      <c r="L89" s="21">
        <f t="shared" si="72"/>
        <v>0.68333333333333335</v>
      </c>
      <c r="M89" s="21">
        <f t="shared" si="72"/>
        <v>0.3666666666666667</v>
      </c>
      <c r="N89" s="21">
        <f t="shared" si="72"/>
        <v>-0.95000000000000007</v>
      </c>
      <c r="O89" s="21">
        <f t="shared" si="72"/>
        <v>0.68333333333333335</v>
      </c>
      <c r="P89" s="21">
        <f t="shared" si="72"/>
        <v>0.3666666666666667</v>
      </c>
      <c r="Q89" s="21">
        <f t="shared" si="72"/>
        <v>-0.95</v>
      </c>
      <c r="R89" s="21">
        <f t="shared" si="72"/>
        <v>0.68333333333333324</v>
      </c>
      <c r="S89" s="21">
        <f t="shared" si="72"/>
        <v>0.36666666666666664</v>
      </c>
      <c r="T89" s="21">
        <f t="shared" si="72"/>
        <v>-0.95</v>
      </c>
      <c r="U89" s="21">
        <f t="shared" si="72"/>
        <v>0.68333333333333335</v>
      </c>
      <c r="V89" s="21">
        <f t="shared" si="72"/>
        <v>0.36666666666666664</v>
      </c>
      <c r="W89" s="21">
        <f t="shared" ref="W89:X89" si="73">IF(W87=0,(W86-W84)/W82,W88/W82)</f>
        <v>-0.95000000000000007</v>
      </c>
      <c r="X89" s="21" t="e">
        <f t="shared" si="73"/>
        <v>#DIV/0!</v>
      </c>
    </row>
    <row r="90" spans="1:24" x14ac:dyDescent="0.2">
      <c r="C90" s="36" t="s">
        <v>232</v>
      </c>
      <c r="D90" s="38"/>
    </row>
    <row r="91" spans="1:24" x14ac:dyDescent="0.2">
      <c r="A91" s="22">
        <v>0.05</v>
      </c>
      <c r="C91" s="5" t="s">
        <v>42</v>
      </c>
      <c r="D91" s="49">
        <v>17593.63</v>
      </c>
      <c r="E91" s="49">
        <v>17593.63</v>
      </c>
      <c r="F91" s="49">
        <f t="shared" ref="F91:V91" si="74">E91+E92-E93</f>
        <v>17593.63</v>
      </c>
      <c r="G91" s="49">
        <f t="shared" si="74"/>
        <v>17593.63</v>
      </c>
      <c r="H91" s="33">
        <f t="shared" si="74"/>
        <v>17593.63</v>
      </c>
      <c r="I91" s="33">
        <f t="shared" si="74"/>
        <v>17593.63</v>
      </c>
      <c r="J91" s="33">
        <f t="shared" si="74"/>
        <v>17593.63</v>
      </c>
      <c r="K91" s="33">
        <f t="shared" si="74"/>
        <v>17593.63</v>
      </c>
      <c r="L91" s="33">
        <f t="shared" si="74"/>
        <v>17593.63</v>
      </c>
      <c r="M91" s="33">
        <f t="shared" si="74"/>
        <v>17593.63</v>
      </c>
      <c r="N91" s="33">
        <f t="shared" si="74"/>
        <v>17593.63</v>
      </c>
      <c r="O91" s="33">
        <f t="shared" si="74"/>
        <v>17593.63</v>
      </c>
      <c r="P91" s="33">
        <f t="shared" si="74"/>
        <v>17593.63</v>
      </c>
      <c r="Q91" s="33">
        <f t="shared" si="74"/>
        <v>17593.63</v>
      </c>
      <c r="R91" s="33">
        <f t="shared" si="74"/>
        <v>17593.63</v>
      </c>
      <c r="S91" s="33">
        <f t="shared" si="74"/>
        <v>17593.63</v>
      </c>
      <c r="T91" s="33">
        <f t="shared" si="74"/>
        <v>17593.63</v>
      </c>
      <c r="U91" s="33">
        <f t="shared" si="74"/>
        <v>17593.63</v>
      </c>
      <c r="V91" s="33">
        <f t="shared" si="74"/>
        <v>17593.63</v>
      </c>
      <c r="W91" s="33">
        <f t="shared" ref="W91" si="75">V91+V92-V93</f>
        <v>17593.63</v>
      </c>
      <c r="X91" s="33">
        <f t="shared" ref="X91" si="76">W91+W92-W93</f>
        <v>17593.63</v>
      </c>
    </row>
    <row r="92" spans="1:24" x14ac:dyDescent="0.2">
      <c r="B92" s="5">
        <v>25</v>
      </c>
      <c r="C92" s="5" t="s">
        <v>43</v>
      </c>
      <c r="D92" s="50"/>
      <c r="E92" s="25"/>
      <c r="F92" s="25"/>
      <c r="G92" s="25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2">
      <c r="A93" s="22"/>
      <c r="B93" s="27">
        <f>1/B92</f>
        <v>0.04</v>
      </c>
      <c r="C93" s="5" t="s">
        <v>44</v>
      </c>
      <c r="D93" s="50"/>
      <c r="E93" s="25"/>
      <c r="F93" s="25"/>
      <c r="G93" s="25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>
        <f t="shared" ref="X93" si="77">X91</f>
        <v>17593.63</v>
      </c>
    </row>
    <row r="94" spans="1:24" x14ac:dyDescent="0.2">
      <c r="A94" s="28"/>
      <c r="B94" s="23"/>
      <c r="C94" s="5" t="s">
        <v>34</v>
      </c>
      <c r="D94" s="50">
        <f>796.59-11.67</f>
        <v>784.92000000000007</v>
      </c>
      <c r="E94" s="25">
        <v>784.92</v>
      </c>
      <c r="F94" s="25">
        <v>794.26</v>
      </c>
      <c r="G94" s="25">
        <v>794.26</v>
      </c>
      <c r="H94" s="18">
        <f t="shared" ref="H94:V94" si="78">(H91*(1-$A$91))*$B$93</f>
        <v>668.55793999999992</v>
      </c>
      <c r="I94" s="18">
        <f t="shared" si="78"/>
        <v>668.55793999999992</v>
      </c>
      <c r="J94" s="18">
        <f t="shared" si="78"/>
        <v>668.55793999999992</v>
      </c>
      <c r="K94" s="18">
        <f t="shared" si="78"/>
        <v>668.55793999999992</v>
      </c>
      <c r="L94" s="18">
        <f t="shared" si="78"/>
        <v>668.55793999999992</v>
      </c>
      <c r="M94" s="18">
        <f t="shared" si="78"/>
        <v>668.55793999999992</v>
      </c>
      <c r="N94" s="18">
        <f t="shared" si="78"/>
        <v>668.55793999999992</v>
      </c>
      <c r="O94" s="18">
        <f t="shared" si="78"/>
        <v>668.55793999999992</v>
      </c>
      <c r="P94" s="18">
        <f t="shared" si="78"/>
        <v>668.55793999999992</v>
      </c>
      <c r="Q94" s="18">
        <f t="shared" si="78"/>
        <v>668.55793999999992</v>
      </c>
      <c r="R94" s="18">
        <f t="shared" si="78"/>
        <v>668.55793999999992</v>
      </c>
      <c r="S94" s="18">
        <f t="shared" si="78"/>
        <v>668.55793999999992</v>
      </c>
      <c r="T94" s="18">
        <f t="shared" si="78"/>
        <v>668.55793999999992</v>
      </c>
      <c r="U94" s="18">
        <f t="shared" si="78"/>
        <v>668.55793999999992</v>
      </c>
      <c r="V94" s="18">
        <f t="shared" si="78"/>
        <v>668.55793999999992</v>
      </c>
      <c r="W94" s="18">
        <f t="shared" ref="W94:X94" si="79">(W91*(1-$A$91))*$B$93</f>
        <v>668.55793999999992</v>
      </c>
      <c r="X94" s="18">
        <f t="shared" si="79"/>
        <v>668.55793999999992</v>
      </c>
    </row>
    <row r="95" spans="1:24" x14ac:dyDescent="0.2">
      <c r="C95" s="5" t="s">
        <v>45</v>
      </c>
      <c r="D95" s="50"/>
      <c r="E95" s="25"/>
      <c r="F95" s="25"/>
      <c r="G95" s="25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>
        <f t="shared" ref="X95" si="80">W97-X94</f>
        <v>-726.72498000000382</v>
      </c>
    </row>
    <row r="96" spans="1:24" x14ac:dyDescent="0.2">
      <c r="A96" s="29"/>
      <c r="C96" s="5" t="s">
        <v>46</v>
      </c>
      <c r="D96" s="50">
        <v>3160.45</v>
      </c>
      <c r="E96" s="25">
        <v>3956.88</v>
      </c>
      <c r="F96" s="25">
        <f t="shared" ref="F96:V96" si="81">E96+F94+F95-F93</f>
        <v>4751.1400000000003</v>
      </c>
      <c r="G96" s="25">
        <f>F96+G94+G95-G93+1409.47</f>
        <v>6954.8700000000008</v>
      </c>
      <c r="H96" s="18">
        <f t="shared" si="81"/>
        <v>7623.4279400000005</v>
      </c>
      <c r="I96" s="18">
        <f t="shared" si="81"/>
        <v>8291.9858800000002</v>
      </c>
      <c r="J96" s="18">
        <f t="shared" si="81"/>
        <v>8960.5438200000008</v>
      </c>
      <c r="K96" s="18">
        <f t="shared" si="81"/>
        <v>9629.1017600000014</v>
      </c>
      <c r="L96" s="18">
        <f t="shared" si="81"/>
        <v>10297.659700000002</v>
      </c>
      <c r="M96" s="18">
        <f t="shared" si="81"/>
        <v>10966.217640000003</v>
      </c>
      <c r="N96" s="18">
        <f t="shared" si="81"/>
        <v>11634.775580000003</v>
      </c>
      <c r="O96" s="18">
        <f t="shared" si="81"/>
        <v>12303.333520000004</v>
      </c>
      <c r="P96" s="18">
        <f t="shared" si="81"/>
        <v>12971.891460000004</v>
      </c>
      <c r="Q96" s="18">
        <f t="shared" si="81"/>
        <v>13640.449400000005</v>
      </c>
      <c r="R96" s="18">
        <f t="shared" si="81"/>
        <v>14309.007340000006</v>
      </c>
      <c r="S96" s="18">
        <f t="shared" si="81"/>
        <v>14977.565280000006</v>
      </c>
      <c r="T96" s="18">
        <f t="shared" si="81"/>
        <v>15646.123220000007</v>
      </c>
      <c r="U96" s="18">
        <f t="shared" si="81"/>
        <v>16314.681160000007</v>
      </c>
      <c r="V96" s="18">
        <f t="shared" si="81"/>
        <v>16983.239100000006</v>
      </c>
      <c r="W96" s="18">
        <f t="shared" ref="W96" si="82">V96+W94+W95-W93</f>
        <v>17651.797040000005</v>
      </c>
      <c r="X96" s="18">
        <f t="shared" ref="X96" si="83">W96+X94+X95-X93</f>
        <v>0</v>
      </c>
    </row>
    <row r="97" spans="2:24" x14ac:dyDescent="0.2">
      <c r="B97" s="17"/>
      <c r="C97" s="5" t="s">
        <v>47</v>
      </c>
      <c r="D97" s="51">
        <f>D91+D92-D96-D93</f>
        <v>14433.18</v>
      </c>
      <c r="E97" s="26">
        <f>E91+E92-E96-E93</f>
        <v>13636.75</v>
      </c>
      <c r="F97" s="26">
        <f t="shared" ref="F97:V97" si="84">F91+F92-F96-F93</f>
        <v>12842.490000000002</v>
      </c>
      <c r="G97" s="26">
        <f t="shared" si="84"/>
        <v>10638.76</v>
      </c>
      <c r="H97" s="35">
        <f t="shared" si="84"/>
        <v>9970.2020599999996</v>
      </c>
      <c r="I97" s="35">
        <f t="shared" si="84"/>
        <v>9301.6441200000008</v>
      </c>
      <c r="J97" s="35">
        <f t="shared" si="84"/>
        <v>8633.0861800000002</v>
      </c>
      <c r="K97" s="35">
        <f t="shared" si="84"/>
        <v>7964.5282399999996</v>
      </c>
      <c r="L97" s="35">
        <f t="shared" si="84"/>
        <v>7295.970299999999</v>
      </c>
      <c r="M97" s="35">
        <f t="shared" si="84"/>
        <v>6627.4123599999984</v>
      </c>
      <c r="N97" s="35">
        <f t="shared" si="84"/>
        <v>5958.8544199999978</v>
      </c>
      <c r="O97" s="35">
        <f t="shared" si="84"/>
        <v>5290.2964799999972</v>
      </c>
      <c r="P97" s="35">
        <f t="shared" si="84"/>
        <v>4621.7385399999966</v>
      </c>
      <c r="Q97" s="35">
        <f t="shared" si="84"/>
        <v>3953.180599999996</v>
      </c>
      <c r="R97" s="35">
        <f t="shared" si="84"/>
        <v>3284.6226599999954</v>
      </c>
      <c r="S97" s="35">
        <f t="shared" si="84"/>
        <v>2616.0647199999948</v>
      </c>
      <c r="T97" s="35">
        <f t="shared" si="84"/>
        <v>1947.5067799999943</v>
      </c>
      <c r="U97" s="35">
        <f t="shared" si="84"/>
        <v>1278.9488399999937</v>
      </c>
      <c r="V97" s="35">
        <f t="shared" si="84"/>
        <v>610.39089999999487</v>
      </c>
      <c r="W97" s="35">
        <f t="shared" ref="W97:X97" si="85">W91+W92-W96-W93</f>
        <v>-58.167040000003908</v>
      </c>
      <c r="X97" s="35">
        <f t="shared" si="85"/>
        <v>0</v>
      </c>
    </row>
    <row r="98" spans="2:24" x14ac:dyDescent="0.2">
      <c r="D98" s="52">
        <f>IF(D96=0,(D95-D93)/D91,D97/D91)</f>
        <v>0.82036396127462041</v>
      </c>
      <c r="E98" s="30">
        <f>IF(E96=0,(E95-E93)/E91,E97/E91)</f>
        <v>0.77509587276758685</v>
      </c>
      <c r="F98" s="30">
        <f t="shared" ref="F98:V98" si="86">IF(F96=0,(F95-F93)/F91,F97/F91)</f>
        <v>0.72995112435580378</v>
      </c>
      <c r="G98" s="30">
        <f t="shared" si="86"/>
        <v>0.60469385794745023</v>
      </c>
      <c r="H98" s="30">
        <f t="shared" si="86"/>
        <v>0.5666938579474502</v>
      </c>
      <c r="I98" s="30">
        <f t="shared" si="86"/>
        <v>0.52869385794745027</v>
      </c>
      <c r="J98" s="30">
        <f t="shared" si="86"/>
        <v>0.4906938579474503</v>
      </c>
      <c r="K98" s="30">
        <f t="shared" si="86"/>
        <v>0.45269385794745026</v>
      </c>
      <c r="L98" s="30">
        <f t="shared" si="86"/>
        <v>0.41469385794745023</v>
      </c>
      <c r="M98" s="30">
        <f t="shared" si="86"/>
        <v>0.37669385794745019</v>
      </c>
      <c r="N98" s="30">
        <f t="shared" si="86"/>
        <v>0.33869385794745016</v>
      </c>
      <c r="O98" s="30">
        <f t="shared" si="86"/>
        <v>0.30069385794745013</v>
      </c>
      <c r="P98" s="30">
        <f t="shared" si="86"/>
        <v>0.26269385794745009</v>
      </c>
      <c r="Q98" s="30">
        <f t="shared" si="86"/>
        <v>0.22469385794745006</v>
      </c>
      <c r="R98" s="30">
        <f t="shared" si="86"/>
        <v>0.18669385794745003</v>
      </c>
      <c r="S98" s="30">
        <f t="shared" si="86"/>
        <v>0.14869385794744999</v>
      </c>
      <c r="T98" s="30">
        <f t="shared" si="86"/>
        <v>0.11069385794744997</v>
      </c>
      <c r="U98" s="30">
        <f t="shared" si="86"/>
        <v>7.2693857947449939E-2</v>
      </c>
      <c r="V98" s="30">
        <f t="shared" si="86"/>
        <v>3.4693857947450002E-2</v>
      </c>
      <c r="W98" s="30">
        <f t="shared" ref="W98:X98" si="87">IF(W96=0,(W95-W93)/W91,W97/W91)</f>
        <v>-3.3061420525499234E-3</v>
      </c>
      <c r="X98" s="30">
        <f t="shared" si="87"/>
        <v>-1.0413061420525498</v>
      </c>
    </row>
    <row r="99" spans="2:24" x14ac:dyDescent="0.2">
      <c r="C99" s="31" t="s">
        <v>54</v>
      </c>
      <c r="D99" s="38"/>
    </row>
    <row r="100" spans="2:24" x14ac:dyDescent="0.2">
      <c r="C100" s="37" t="s">
        <v>48</v>
      </c>
      <c r="D100" s="53">
        <f>SUMIF($C54:$C97,"Addition",D54:D97)/(10^7)</f>
        <v>1.3000000000000001E-8</v>
      </c>
      <c r="E100" s="74">
        <f t="shared" ref="E100:X100" si="88">SUMIF($C54:$C97,"Addition",E54:E97)/(10^2)</f>
        <v>2.7000000000000001E-3</v>
      </c>
      <c r="F100" s="74">
        <f t="shared" si="88"/>
        <v>0</v>
      </c>
      <c r="G100" s="74">
        <f t="shared" si="88"/>
        <v>0</v>
      </c>
      <c r="H100" s="74">
        <f t="shared" si="88"/>
        <v>3.7631311494070192E-3</v>
      </c>
      <c r="I100" s="74">
        <f t="shared" si="88"/>
        <v>1.5748813016464277E-3</v>
      </c>
      <c r="J100" s="74">
        <f t="shared" si="88"/>
        <v>0</v>
      </c>
      <c r="K100" s="74">
        <f t="shared" si="88"/>
        <v>3.3988275779286213E-3</v>
      </c>
      <c r="L100" s="74">
        <f t="shared" si="88"/>
        <v>0</v>
      </c>
      <c r="M100" s="74">
        <f t="shared" si="88"/>
        <v>0</v>
      </c>
      <c r="N100" s="74">
        <f t="shared" si="88"/>
        <v>5.639114285090641E-3</v>
      </c>
      <c r="O100" s="74">
        <f t="shared" si="88"/>
        <v>0</v>
      </c>
      <c r="P100" s="74">
        <f t="shared" si="88"/>
        <v>0</v>
      </c>
      <c r="Q100" s="74">
        <f t="shared" si="88"/>
        <v>4.2785292238844957E-3</v>
      </c>
      <c r="R100" s="74">
        <f t="shared" si="88"/>
        <v>9.3932873287275729E-4</v>
      </c>
      <c r="S100" s="74">
        <f t="shared" si="88"/>
        <v>2.1165087768054251E-3</v>
      </c>
      <c r="T100" s="74">
        <f t="shared" si="88"/>
        <v>4.8003973503881418E-3</v>
      </c>
      <c r="U100" s="74">
        <f t="shared" si="88"/>
        <v>0</v>
      </c>
      <c r="V100" s="74">
        <f t="shared" si="88"/>
        <v>0</v>
      </c>
      <c r="W100" s="74">
        <f t="shared" si="88"/>
        <v>0</v>
      </c>
      <c r="X100" s="74">
        <f t="shared" si="88"/>
        <v>0</v>
      </c>
    </row>
    <row r="101" spans="2:24" x14ac:dyDescent="0.2">
      <c r="C101" s="37" t="s">
        <v>49</v>
      </c>
      <c r="D101" s="53">
        <f>SUMIF($C54:$C98,"Asset Write off (Net block)",D54:D98)/(10^7)</f>
        <v>0</v>
      </c>
      <c r="E101" s="74">
        <f t="shared" ref="E101:X101" si="89">SUMIF($C54:$C98,"Asset Write off (Net block)",E54:E98)/(10^2)</f>
        <v>0</v>
      </c>
      <c r="F101" s="74">
        <f t="shared" si="89"/>
        <v>0</v>
      </c>
      <c r="G101" s="74">
        <f t="shared" si="89"/>
        <v>0</v>
      </c>
      <c r="H101" s="74">
        <f t="shared" si="89"/>
        <v>-7.0249999999999989E-4</v>
      </c>
      <c r="I101" s="74">
        <f t="shared" si="89"/>
        <v>-4.9399999999999997E-4</v>
      </c>
      <c r="J101" s="74">
        <f t="shared" si="89"/>
        <v>0</v>
      </c>
      <c r="K101" s="74">
        <f t="shared" si="89"/>
        <v>1.5146645222958833E-4</v>
      </c>
      <c r="L101" s="74">
        <f t="shared" si="89"/>
        <v>0</v>
      </c>
      <c r="M101" s="74">
        <f t="shared" si="89"/>
        <v>0</v>
      </c>
      <c r="N101" s="74">
        <f t="shared" si="89"/>
        <v>2.4868544397875243E-4</v>
      </c>
      <c r="O101" s="74">
        <f t="shared" si="89"/>
        <v>0</v>
      </c>
      <c r="P101" s="74">
        <f t="shared" si="89"/>
        <v>0</v>
      </c>
      <c r="Q101" s="74">
        <f t="shared" si="89"/>
        <v>1.9066976109960497E-4</v>
      </c>
      <c r="R101" s="74">
        <f t="shared" si="89"/>
        <v>3.6690105240762498E-5</v>
      </c>
      <c r="S101" s="74">
        <f t="shared" si="89"/>
        <v>9.1285953154927101E-5</v>
      </c>
      <c r="T101" s="74">
        <f t="shared" si="89"/>
        <v>2.1392646119422487E-4</v>
      </c>
      <c r="U101" s="74">
        <f t="shared" si="89"/>
        <v>0</v>
      </c>
      <c r="V101" s="74">
        <f t="shared" si="89"/>
        <v>0</v>
      </c>
      <c r="W101" s="74">
        <f t="shared" si="89"/>
        <v>2.400198675194068E-4</v>
      </c>
      <c r="X101" s="74">
        <f t="shared" si="89"/>
        <v>0.36685993679393847</v>
      </c>
    </row>
    <row r="102" spans="2:24" x14ac:dyDescent="0.2">
      <c r="C102" s="37" t="s">
        <v>50</v>
      </c>
      <c r="D102" s="53">
        <f>SUMIF($C54:$C99,"Depreciation",D54:D99)/(10^7)</f>
        <v>7.8496000000000002E-5</v>
      </c>
      <c r="E102" s="74">
        <f t="shared" ref="E102:X102" si="90">SUMIF($C54:$C99,"Depreciation",E54:E99)/(10^2)</f>
        <v>7.8492999999999995</v>
      </c>
      <c r="F102" s="74">
        <f t="shared" si="90"/>
        <v>7.9426999999999994</v>
      </c>
      <c r="G102" s="74">
        <f t="shared" si="90"/>
        <v>7.9426999999999994</v>
      </c>
      <c r="H102" s="74">
        <f t="shared" si="90"/>
        <v>6.6867288999999994</v>
      </c>
      <c r="I102" s="74">
        <f t="shared" si="90"/>
        <v>6.686855398730744</v>
      </c>
      <c r="J102" s="74">
        <f t="shared" si="90"/>
        <v>6.6869076261780576</v>
      </c>
      <c r="K102" s="74">
        <f t="shared" si="90"/>
        <v>6.6869076261780576</v>
      </c>
      <c r="L102" s="74">
        <f t="shared" si="90"/>
        <v>6.6870246340469466</v>
      </c>
      <c r="M102" s="74">
        <f t="shared" si="90"/>
        <v>6.6870246340469466</v>
      </c>
      <c r="N102" s="74">
        <f t="shared" si="90"/>
        <v>6.6870246340469466</v>
      </c>
      <c r="O102" s="74">
        <f t="shared" si="90"/>
        <v>6.6872035729755757</v>
      </c>
      <c r="P102" s="74">
        <f t="shared" si="90"/>
        <v>6.6872035729755757</v>
      </c>
      <c r="Q102" s="74">
        <f t="shared" si="90"/>
        <v>6.6872035729755757</v>
      </c>
      <c r="R102" s="74">
        <f t="shared" si="90"/>
        <v>6.6873508654095088</v>
      </c>
      <c r="S102" s="74">
        <f t="shared" si="90"/>
        <v>6.6873703904391739</v>
      </c>
      <c r="T102" s="74">
        <f t="shared" si="90"/>
        <v>6.6874256404847792</v>
      </c>
      <c r="U102" s="74">
        <f t="shared" si="90"/>
        <v>6.6875908987248387</v>
      </c>
      <c r="V102" s="74">
        <f t="shared" si="90"/>
        <v>6.6875908987248387</v>
      </c>
      <c r="W102" s="74">
        <f t="shared" si="90"/>
        <v>6.6875908987248387</v>
      </c>
      <c r="X102" s="74">
        <f t="shared" si="90"/>
        <v>6.6860707728972146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X58"/>
  <sheetViews>
    <sheetView tabSelected="1" topLeftCell="D25" workbookViewId="0">
      <selection activeCell="Q5" sqref="Q5:X21"/>
    </sheetView>
  </sheetViews>
  <sheetFormatPr defaultColWidth="15" defaultRowHeight="12" outlineLevelRow="1" outlineLevelCol="1" x14ac:dyDescent="0.2"/>
  <cols>
    <col min="1" max="1" width="29" style="5" bestFit="1" customWidth="1"/>
    <col min="2" max="2" width="11.85546875" style="5" bestFit="1" customWidth="1"/>
    <col min="3" max="3" width="24.28515625" style="5" bestFit="1" customWidth="1"/>
    <col min="4" max="4" width="24.7109375" style="5" bestFit="1" customWidth="1"/>
    <col min="5" max="5" width="14.42578125" style="5" hidden="1" customWidth="1" outlineLevel="1"/>
    <col min="6" max="6" width="7.7109375" style="5" hidden="1" customWidth="1" outlineLevel="1" collapsed="1"/>
    <col min="7" max="7" width="7.7109375" style="5" hidden="1" customWidth="1" outlineLevel="1"/>
    <col min="8" max="14" width="7.7109375" style="5" bestFit="1" customWidth="1" outlineLevel="1"/>
    <col min="15" max="15" width="7.7109375" style="5" bestFit="1" customWidth="1"/>
    <col min="16" max="17" width="8.5703125" style="5" bestFit="1" customWidth="1"/>
    <col min="18" max="24" width="7.7109375" style="5" bestFit="1" customWidth="1"/>
    <col min="25" max="16384" width="15" style="5"/>
  </cols>
  <sheetData>
    <row r="1" spans="4:24" x14ac:dyDescent="0.2">
      <c r="E1" s="5">
        <f>[97]Assumptions!K2</f>
        <v>0</v>
      </c>
      <c r="F1" s="5">
        <f>[97]Assumptions!L2</f>
        <v>0</v>
      </c>
      <c r="G1" s="5">
        <f>[97]Assumptions!M2</f>
        <v>365</v>
      </c>
      <c r="H1" s="5">
        <f>[97]Assumptions!N2</f>
        <v>365</v>
      </c>
      <c r="I1" s="5">
        <f>[97]Assumptions!O2</f>
        <v>366</v>
      </c>
      <c r="J1" s="5">
        <f>[97]Assumptions!P2</f>
        <v>365</v>
      </c>
      <c r="K1" s="5">
        <f>[97]Assumptions!Q2</f>
        <v>365</v>
      </c>
      <c r="L1" s="5">
        <f>[97]Assumptions!R2</f>
        <v>365</v>
      </c>
      <c r="M1" s="5">
        <f>[97]Assumptions!S2</f>
        <v>366</v>
      </c>
      <c r="N1" s="5">
        <f>[97]Assumptions!T2</f>
        <v>365</v>
      </c>
      <c r="O1" s="5">
        <f>[97]Assumptions!U2</f>
        <v>365</v>
      </c>
      <c r="P1" s="5">
        <f>[97]Assumptions!V2</f>
        <v>365</v>
      </c>
      <c r="Q1" s="5">
        <f>[97]Assumptions!W2</f>
        <v>366</v>
      </c>
      <c r="R1" s="5">
        <f>[97]Assumptions!X2</f>
        <v>365</v>
      </c>
      <c r="S1" s="5">
        <f>[97]Assumptions!Y2</f>
        <v>365</v>
      </c>
      <c r="T1" s="5">
        <f>[97]Assumptions!Z2</f>
        <v>365</v>
      </c>
      <c r="U1" s="5">
        <f>[97]Assumptions!AA2</f>
        <v>366</v>
      </c>
      <c r="V1" s="5">
        <f>[97]Assumptions!AB2</f>
        <v>365</v>
      </c>
      <c r="W1" s="5">
        <f>[97]Assumptions!AC2</f>
        <v>231</v>
      </c>
      <c r="X1" s="5">
        <f>[97]Assumptions!AD2</f>
        <v>0</v>
      </c>
    </row>
    <row r="2" spans="4:24" x14ac:dyDescent="0.2">
      <c r="E2" s="5">
        <f>Assumptions!K1</f>
        <v>6</v>
      </c>
      <c r="F2" s="5">
        <f>Assumptions!L1</f>
        <v>7</v>
      </c>
      <c r="G2" s="5">
        <f>Assumptions!M1</f>
        <v>8</v>
      </c>
      <c r="H2" s="5">
        <f>Assumptions!N1</f>
        <v>9</v>
      </c>
      <c r="I2" s="5">
        <f>Assumptions!O1</f>
        <v>10</v>
      </c>
      <c r="J2" s="5">
        <f>Assumptions!P1</f>
        <v>11</v>
      </c>
      <c r="K2" s="5">
        <f>Assumptions!Q1</f>
        <v>12</v>
      </c>
      <c r="L2" s="5">
        <f>Assumptions!R1</f>
        <v>13</v>
      </c>
      <c r="M2" s="5">
        <f>Assumptions!S1</f>
        <v>14</v>
      </c>
      <c r="N2" s="5">
        <f>Assumptions!T1</f>
        <v>15</v>
      </c>
      <c r="O2" s="5">
        <f>Assumptions!U1</f>
        <v>16</v>
      </c>
      <c r="P2" s="5">
        <f>Assumptions!V1</f>
        <v>17</v>
      </c>
      <c r="Q2" s="5">
        <f>Assumptions!W1</f>
        <v>18</v>
      </c>
      <c r="R2" s="5">
        <f>Assumptions!X1</f>
        <v>19</v>
      </c>
      <c r="S2" s="5">
        <f>Assumptions!Y1</f>
        <v>20</v>
      </c>
      <c r="T2" s="5">
        <f>Assumptions!Z1</f>
        <v>21</v>
      </c>
      <c r="U2" s="5">
        <f>Assumptions!AA1</f>
        <v>22</v>
      </c>
      <c r="V2" s="5">
        <f>Assumptions!AB1</f>
        <v>23</v>
      </c>
      <c r="W2" s="5">
        <f>Assumptions!AC1</f>
        <v>24</v>
      </c>
      <c r="X2" s="5">
        <f>Assumptions!AD1</f>
        <v>25</v>
      </c>
    </row>
    <row r="3" spans="4:24" x14ac:dyDescent="0.2">
      <c r="D3" s="261" t="s">
        <v>180</v>
      </c>
      <c r="E3" s="182">
        <f>Assumptions!K4</f>
        <v>43921</v>
      </c>
      <c r="F3" s="182">
        <f>Assumptions!L4</f>
        <v>44286</v>
      </c>
      <c r="G3" s="182">
        <f>Assumptions!M4</f>
        <v>44651</v>
      </c>
      <c r="H3" s="182">
        <f>Assumptions!N4</f>
        <v>45016</v>
      </c>
      <c r="I3" s="182">
        <f>Assumptions!O4</f>
        <v>45382</v>
      </c>
      <c r="J3" s="182">
        <f>Assumptions!P4</f>
        <v>45747</v>
      </c>
      <c r="K3" s="182">
        <f>Assumptions!Q4</f>
        <v>46112</v>
      </c>
      <c r="L3" s="182">
        <f>Assumptions!R4</f>
        <v>46477</v>
      </c>
      <c r="M3" s="182">
        <f>Assumptions!S4</f>
        <v>46843</v>
      </c>
      <c r="N3" s="182">
        <f>Assumptions!T4</f>
        <v>47208</v>
      </c>
      <c r="O3" s="182">
        <f>Assumptions!U4</f>
        <v>47573</v>
      </c>
      <c r="P3" s="182">
        <f>Assumptions!V4</f>
        <v>47938</v>
      </c>
      <c r="Q3" s="182">
        <f>Assumptions!W4</f>
        <v>48304</v>
      </c>
      <c r="R3" s="182">
        <f>Assumptions!X4</f>
        <v>48669</v>
      </c>
      <c r="S3" s="182">
        <f>Assumptions!Y4</f>
        <v>49034</v>
      </c>
      <c r="T3" s="182">
        <f>Assumptions!Z4</f>
        <v>49399</v>
      </c>
      <c r="U3" s="182">
        <f>Assumptions!AA4</f>
        <v>49765</v>
      </c>
      <c r="V3" s="182">
        <f>Assumptions!AB4</f>
        <v>50130</v>
      </c>
      <c r="W3" s="182">
        <f>Assumptions!AC4</f>
        <v>50495</v>
      </c>
      <c r="X3" s="182">
        <f>Assumptions!AD4</f>
        <v>50860</v>
      </c>
    </row>
    <row r="4" spans="4:24" x14ac:dyDescent="0.2">
      <c r="D4" s="261"/>
      <c r="E4" s="202" t="s">
        <v>181</v>
      </c>
      <c r="F4" s="202" t="s">
        <v>181</v>
      </c>
      <c r="G4" s="202" t="s">
        <v>181</v>
      </c>
      <c r="H4" s="202" t="s">
        <v>181</v>
      </c>
      <c r="I4" s="202" t="s">
        <v>181</v>
      </c>
      <c r="J4" s="202" t="s">
        <v>181</v>
      </c>
      <c r="K4" s="202" t="s">
        <v>181</v>
      </c>
      <c r="L4" s="202" t="s">
        <v>181</v>
      </c>
      <c r="M4" s="202" t="s">
        <v>181</v>
      </c>
      <c r="N4" s="202" t="s">
        <v>181</v>
      </c>
      <c r="O4" s="202" t="s">
        <v>181</v>
      </c>
      <c r="P4" s="202" t="s">
        <v>181</v>
      </c>
      <c r="Q4" s="202" t="s">
        <v>181</v>
      </c>
      <c r="R4" s="202" t="s">
        <v>181</v>
      </c>
      <c r="S4" s="202" t="s">
        <v>181</v>
      </c>
      <c r="T4" s="202" t="s">
        <v>181</v>
      </c>
      <c r="U4" s="202" t="s">
        <v>181</v>
      </c>
      <c r="V4" s="202" t="s">
        <v>181</v>
      </c>
      <c r="W4" s="202" t="s">
        <v>181</v>
      </c>
      <c r="X4" s="202" t="s">
        <v>181</v>
      </c>
    </row>
    <row r="5" spans="4:24" ht="15" x14ac:dyDescent="0.2">
      <c r="D5" s="7" t="s">
        <v>182</v>
      </c>
      <c r="E5" s="160">
        <f>'RKA P&amp;L'!K23</f>
        <v>0</v>
      </c>
      <c r="F5" s="160">
        <f>'RKA P&amp;L'!L23</f>
        <v>0</v>
      </c>
      <c r="G5" s="160">
        <f>'RKA P&amp;L'!M23</f>
        <v>0</v>
      </c>
      <c r="H5" s="255">
        <f>'RKA P&amp;L'!N23</f>
        <v>37.130844739499992</v>
      </c>
      <c r="I5" s="255">
        <f>'RKA P&amp;L'!O23</f>
        <v>37.230745164299996</v>
      </c>
      <c r="J5" s="255">
        <f>'RKA P&amp;L'!P23</f>
        <v>34.241490139499994</v>
      </c>
      <c r="K5" s="255">
        <f>'RKA P&amp;L'!Q23</f>
        <v>34.241490139499994</v>
      </c>
      <c r="L5" s="255">
        <f>'RKA P&amp;L'!R23</f>
        <v>34.241490139499994</v>
      </c>
      <c r="M5" s="255">
        <f>'RKA P&amp;L'!S23</f>
        <v>16.6021782075</v>
      </c>
      <c r="N5" s="255">
        <f>'RKA P&amp;L'!T23</f>
        <v>16.558639987500001</v>
      </c>
      <c r="O5" s="255">
        <f>'RKA P&amp;L'!U23</f>
        <v>16.558639987500001</v>
      </c>
      <c r="P5" s="255">
        <f>'RKA P&amp;L'!V23</f>
        <v>16.558639987500001</v>
      </c>
      <c r="Q5" s="255">
        <f>'RKA P&amp;L'!W23</f>
        <v>16.6021782075</v>
      </c>
      <c r="R5" s="255">
        <f>'RKA P&amp;L'!X23</f>
        <v>16.558639987500001</v>
      </c>
      <c r="S5" s="255">
        <f>'RKA P&amp;L'!Y23</f>
        <v>16.558639987500001</v>
      </c>
      <c r="T5" s="255">
        <f>'RKA P&amp;L'!Z23</f>
        <v>16.558639987500001</v>
      </c>
      <c r="U5" s="255">
        <f>'RKA P&amp;L'!AA23</f>
        <v>16.6021782075</v>
      </c>
      <c r="V5" s="255">
        <f>'RKA P&amp;L'!AB23</f>
        <v>16.558639987500001</v>
      </c>
      <c r="W5" s="255">
        <f>'RKA P&amp;L'!AC23</f>
        <v>16.558639987500001</v>
      </c>
      <c r="X5" s="255">
        <f>'RKA P&amp;L'!AD23</f>
        <v>24.90810319130841</v>
      </c>
    </row>
    <row r="6" spans="4:24" x14ac:dyDescent="0.2">
      <c r="D6" s="161" t="s">
        <v>183</v>
      </c>
      <c r="E6" s="161" t="e">
        <f>E5/D5-1</f>
        <v>#VALUE!</v>
      </c>
      <c r="F6" s="161" t="e">
        <f>F5/E5-1</f>
        <v>#DIV/0!</v>
      </c>
      <c r="G6" s="161" t="e">
        <f t="shared" ref="G6:V6" si="0">G5/F5-1</f>
        <v>#DIV/0!</v>
      </c>
      <c r="H6" s="252" t="e">
        <f>H5/G5-1</f>
        <v>#DIV/0!</v>
      </c>
      <c r="I6" s="253">
        <f t="shared" si="0"/>
        <v>2.6904969574723658E-3</v>
      </c>
      <c r="J6" s="253">
        <f t="shared" si="0"/>
        <v>-8.028995959141727E-2</v>
      </c>
      <c r="K6" s="253">
        <f t="shared" si="0"/>
        <v>0</v>
      </c>
      <c r="L6" s="253">
        <f t="shared" si="0"/>
        <v>0</v>
      </c>
      <c r="M6" s="253">
        <f t="shared" si="0"/>
        <v>-0.51514440113842452</v>
      </c>
      <c r="N6" s="253">
        <f t="shared" si="0"/>
        <v>-2.6224402277726933E-3</v>
      </c>
      <c r="O6" s="253">
        <f t="shared" si="0"/>
        <v>0</v>
      </c>
      <c r="P6" s="253">
        <f t="shared" si="0"/>
        <v>0</v>
      </c>
      <c r="Q6" s="253">
        <f t="shared" si="0"/>
        <v>2.6293355029678445E-3</v>
      </c>
      <c r="R6" s="253">
        <f t="shared" si="0"/>
        <v>-2.6224402277726933E-3</v>
      </c>
      <c r="S6" s="253">
        <f t="shared" si="0"/>
        <v>0</v>
      </c>
      <c r="T6" s="253">
        <f t="shared" si="0"/>
        <v>0</v>
      </c>
      <c r="U6" s="253">
        <f t="shared" si="0"/>
        <v>2.6293355029678445E-3</v>
      </c>
      <c r="V6" s="252">
        <f t="shared" si="0"/>
        <v>-2.6224402277726933E-3</v>
      </c>
      <c r="W6" s="252">
        <f t="shared" ref="W6" si="1">W5/V5-1</f>
        <v>0</v>
      </c>
      <c r="X6" s="252">
        <f t="shared" ref="X6" si="2">X5/W5-1</f>
        <v>0.50423604898176166</v>
      </c>
    </row>
    <row r="7" spans="4:24" ht="15" x14ac:dyDescent="0.2">
      <c r="D7" s="7" t="s">
        <v>184</v>
      </c>
      <c r="E7" s="160">
        <f>'RKA P&amp;L'!K29</f>
        <v>0</v>
      </c>
      <c r="F7" s="160">
        <f>'RKA P&amp;L'!L29</f>
        <v>0</v>
      </c>
      <c r="G7" s="160">
        <f>'RKA P&amp;L'!M29</f>
        <v>0</v>
      </c>
      <c r="H7" s="255">
        <f>'RKA P&amp;L'!N29</f>
        <v>32.619697739499991</v>
      </c>
      <c r="I7" s="255">
        <f>'RKA P&amp;L'!O29</f>
        <v>32.494040814299993</v>
      </c>
      <c r="J7" s="255">
        <f>'RKA P&amp;L'!P29</f>
        <v>29.267950571999993</v>
      </c>
      <c r="K7" s="255">
        <f>'RKA P&amp;L'!Q29</f>
        <v>29.019273593624995</v>
      </c>
      <c r="L7" s="255">
        <f>'RKA P&amp;L'!R29</f>
        <v>28.758162766331242</v>
      </c>
      <c r="M7" s="255">
        <f>'RKA P&amp;L'!S29</f>
        <v>10.84468446567281</v>
      </c>
      <c r="N7" s="255">
        <f>'RKA P&amp;L'!T29</f>
        <v>10.513271558581453</v>
      </c>
      <c r="O7" s="255">
        <f>'RKA P&amp;L'!U29</f>
        <v>10.211003137135524</v>
      </c>
      <c r="P7" s="255">
        <f>'RKA P&amp;L'!V29</f>
        <v>9.8936212946173008</v>
      </c>
      <c r="Q7" s="255">
        <f>'RKA P&amp;L'!W29</f>
        <v>9.6039085799731634</v>
      </c>
      <c r="R7" s="255">
        <f>'RKA P&amp;L'!X29</f>
        <v>9.2104568785968226</v>
      </c>
      <c r="S7" s="255">
        <f>'RKA P&amp;L'!Y29</f>
        <v>8.8430477231516633</v>
      </c>
      <c r="T7" s="255">
        <f>'RKA P&amp;L'!Z29</f>
        <v>8.4572681099342457</v>
      </c>
      <c r="U7" s="255">
        <f>'RKA P&amp;L'!AA29</f>
        <v>8.0957377360559573</v>
      </c>
      <c r="V7" s="255">
        <f>'RKA P&amp;L'!AB29</f>
        <v>7.6268774924837555</v>
      </c>
      <c r="W7" s="255">
        <f>'RKA P&amp;L'!AC29</f>
        <v>7.1802893677329429</v>
      </c>
      <c r="X7" s="255">
        <f>'RKA P&amp;L'!AD29</f>
        <v>15.060835040552998</v>
      </c>
    </row>
    <row r="8" spans="4:24" x14ac:dyDescent="0.2">
      <c r="D8" s="161" t="s">
        <v>185</v>
      </c>
      <c r="E8" s="161" t="e">
        <f t="shared" ref="E8" si="3">E7/E$5</f>
        <v>#DIV/0!</v>
      </c>
      <c r="F8" s="161" t="e">
        <f t="shared" ref="F8:V8" si="4">F7/F$5</f>
        <v>#DIV/0!</v>
      </c>
      <c r="G8" s="161" t="e">
        <f t="shared" si="4"/>
        <v>#DIV/0!</v>
      </c>
      <c r="H8" s="252">
        <f t="shared" si="4"/>
        <v>0.87850675007129531</v>
      </c>
      <c r="I8" s="252">
        <f t="shared" si="4"/>
        <v>0.87277438769767202</v>
      </c>
      <c r="J8" s="252">
        <f t="shared" si="4"/>
        <v>0.85475107691757057</v>
      </c>
      <c r="K8" s="252">
        <f t="shared" si="4"/>
        <v>0.84748863076344916</v>
      </c>
      <c r="L8" s="252">
        <f t="shared" si="4"/>
        <v>0.83986306230162155</v>
      </c>
      <c r="M8" s="252">
        <f t="shared" si="4"/>
        <v>0.65320853264746581</v>
      </c>
      <c r="N8" s="252">
        <f t="shared" si="4"/>
        <v>0.63491153660674104</v>
      </c>
      <c r="O8" s="252">
        <f t="shared" si="4"/>
        <v>0.61665711343707796</v>
      </c>
      <c r="P8" s="252">
        <f t="shared" si="4"/>
        <v>0.59748996910893193</v>
      </c>
      <c r="Q8" s="252">
        <f t="shared" si="4"/>
        <v>0.57847280398632372</v>
      </c>
      <c r="R8" s="252">
        <f t="shared" si="4"/>
        <v>0.55623269094259742</v>
      </c>
      <c r="S8" s="252">
        <f t="shared" si="4"/>
        <v>0.53404432548972725</v>
      </c>
      <c r="T8" s="252">
        <f t="shared" si="4"/>
        <v>0.51074654176421352</v>
      </c>
      <c r="U8" s="252">
        <f t="shared" si="4"/>
        <v>0.48763105870040141</v>
      </c>
      <c r="V8" s="252">
        <f t="shared" si="4"/>
        <v>0.46059806229504541</v>
      </c>
      <c r="W8" s="252">
        <f t="shared" ref="W8:X8" si="5">W7/W$5</f>
        <v>0.43362796540979764</v>
      </c>
      <c r="X8" s="252">
        <f t="shared" si="5"/>
        <v>0.60465604003954909</v>
      </c>
    </row>
    <row r="9" spans="4:24" ht="15" x14ac:dyDescent="0.2">
      <c r="D9" s="7" t="s">
        <v>156</v>
      </c>
      <c r="E9" s="160">
        <f>'RKA P&amp;L'!K32</f>
        <v>0</v>
      </c>
      <c r="F9" s="160">
        <f>'RKA P&amp;L'!L32</f>
        <v>0</v>
      </c>
      <c r="G9" s="160">
        <f>'RKA P&amp;L'!M32</f>
        <v>0</v>
      </c>
      <c r="H9" s="255">
        <f>'RKA P&amp;L'!N32</f>
        <v>25.932968839499992</v>
      </c>
      <c r="I9" s="255">
        <f>'RKA P&amp;L'!O32</f>
        <v>25.807185415569251</v>
      </c>
      <c r="J9" s="255">
        <f>'RKA P&amp;L'!P32</f>
        <v>22.581042945821935</v>
      </c>
      <c r="K9" s="255">
        <f>'RKA P&amp;L'!Q32</f>
        <v>22.332365967446936</v>
      </c>
      <c r="L9" s="255">
        <f>'RKA P&amp;L'!R32</f>
        <v>22.071138132284297</v>
      </c>
      <c r="M9" s="255">
        <f>'RKA P&amp;L'!S32</f>
        <v>4.1576598316258631</v>
      </c>
      <c r="N9" s="255">
        <f>'RKA P&amp;L'!T32</f>
        <v>3.8262469245345061</v>
      </c>
      <c r="O9" s="255">
        <f>'RKA P&amp;L'!U32</f>
        <v>3.5237995641599484</v>
      </c>
      <c r="P9" s="255">
        <f>'RKA P&amp;L'!V32</f>
        <v>3.2064177216417251</v>
      </c>
      <c r="Q9" s="255">
        <f>'RKA P&amp;L'!W32</f>
        <v>2.9167050069975877</v>
      </c>
      <c r="R9" s="255">
        <f>'RKA P&amp;L'!X32</f>
        <v>2.5231060131873138</v>
      </c>
      <c r="S9" s="255">
        <f>'RKA P&amp;L'!Y32</f>
        <v>2.1556773327124894</v>
      </c>
      <c r="T9" s="255">
        <f>'RKA P&amp;L'!Z32</f>
        <v>1.7698424694494665</v>
      </c>
      <c r="U9" s="255">
        <f>'RKA P&amp;L'!AA32</f>
        <v>1.4081468373311186</v>
      </c>
      <c r="V9" s="255">
        <f>'RKA P&amp;L'!AB32</f>
        <v>0.93928659375891677</v>
      </c>
      <c r="W9" s="255">
        <f>'RKA P&amp;L'!AC32</f>
        <v>0.49269846900810421</v>
      </c>
      <c r="X9" s="255">
        <f>'RKA P&amp;L'!AD32</f>
        <v>8.3747642676557845</v>
      </c>
    </row>
    <row r="10" spans="4:24" x14ac:dyDescent="0.2">
      <c r="D10" s="161" t="s">
        <v>185</v>
      </c>
      <c r="E10" s="161" t="e">
        <f t="shared" ref="E10" si="6">E9/E$5</f>
        <v>#DIV/0!</v>
      </c>
      <c r="F10" s="161" t="e">
        <f t="shared" ref="F10:V10" si="7">F9/F$5</f>
        <v>#DIV/0!</v>
      </c>
      <c r="G10" s="161" t="e">
        <f t="shared" si="7"/>
        <v>#DIV/0!</v>
      </c>
      <c r="H10" s="252">
        <f t="shared" si="7"/>
        <v>0.69842119190766383</v>
      </c>
      <c r="I10" s="252">
        <f t="shared" si="7"/>
        <v>0.69316865138426975</v>
      </c>
      <c r="J10" s="252">
        <f t="shared" si="7"/>
        <v>0.65946437651593603</v>
      </c>
      <c r="K10" s="252">
        <f t="shared" si="7"/>
        <v>0.65220193036181462</v>
      </c>
      <c r="L10" s="252">
        <f t="shared" si="7"/>
        <v>0.64457294476281191</v>
      </c>
      <c r="M10" s="252">
        <f t="shared" si="7"/>
        <v>0.25042857507382066</v>
      </c>
      <c r="N10" s="252">
        <f t="shared" si="7"/>
        <v>0.23107253539076353</v>
      </c>
      <c r="O10" s="252">
        <f t="shared" si="7"/>
        <v>0.21280730584275276</v>
      </c>
      <c r="P10" s="252">
        <f t="shared" si="7"/>
        <v>0.1936401615146067</v>
      </c>
      <c r="Q10" s="252">
        <f t="shared" si="7"/>
        <v>0.17568206837341213</v>
      </c>
      <c r="R10" s="252">
        <f t="shared" si="7"/>
        <v>0.15237398814709352</v>
      </c>
      <c r="S10" s="252">
        <f t="shared" si="7"/>
        <v>0.13018444354969941</v>
      </c>
      <c r="T10" s="252">
        <f t="shared" si="7"/>
        <v>0.10688332319474957</v>
      </c>
      <c r="U10" s="252">
        <f t="shared" si="7"/>
        <v>8.4816993272303937E-2</v>
      </c>
      <c r="V10" s="252">
        <f t="shared" si="7"/>
        <v>5.6724863543622994E-2</v>
      </c>
      <c r="W10" s="252">
        <f t="shared" ref="W10:X10" si="8">W9/W$5</f>
        <v>2.9754766658375252E-2</v>
      </c>
      <c r="X10" s="252">
        <f t="shared" si="8"/>
        <v>0.33622649638685165</v>
      </c>
    </row>
    <row r="11" spans="4:24" hidden="1" x14ac:dyDescent="0.2">
      <c r="D11" s="162" t="s">
        <v>287</v>
      </c>
      <c r="E11" s="9">
        <f>'RKA P&amp;L'!K37</f>
        <v>0</v>
      </c>
      <c r="F11" s="9">
        <f>'RKA P&amp;L'!L37</f>
        <v>0</v>
      </c>
      <c r="G11" s="9">
        <f>'RKA P&amp;L'!M37</f>
        <v>0</v>
      </c>
      <c r="H11" s="254">
        <f>1-$B$36</f>
        <v>0.74829999999999997</v>
      </c>
      <c r="I11" s="254">
        <f t="shared" ref="I11:X11" si="9">1-$B$36</f>
        <v>0.74829999999999997</v>
      </c>
      <c r="J11" s="254">
        <f t="shared" si="9"/>
        <v>0.74829999999999997</v>
      </c>
      <c r="K11" s="254">
        <f t="shared" si="9"/>
        <v>0.74829999999999997</v>
      </c>
      <c r="L11" s="254">
        <f t="shared" si="9"/>
        <v>0.74829999999999997</v>
      </c>
      <c r="M11" s="254">
        <f t="shared" si="9"/>
        <v>0.74829999999999997</v>
      </c>
      <c r="N11" s="254">
        <f t="shared" si="9"/>
        <v>0.74829999999999997</v>
      </c>
      <c r="O11" s="254">
        <f t="shared" si="9"/>
        <v>0.74829999999999997</v>
      </c>
      <c r="P11" s="254">
        <f t="shared" si="9"/>
        <v>0.74829999999999997</v>
      </c>
      <c r="Q11" s="254">
        <f t="shared" si="9"/>
        <v>0.74829999999999997</v>
      </c>
      <c r="R11" s="254">
        <f t="shared" si="9"/>
        <v>0.74829999999999997</v>
      </c>
      <c r="S11" s="254">
        <f t="shared" si="9"/>
        <v>0.74829999999999997</v>
      </c>
      <c r="T11" s="254">
        <f t="shared" si="9"/>
        <v>0.74829999999999997</v>
      </c>
      <c r="U11" s="254">
        <f t="shared" si="9"/>
        <v>0.74829999999999997</v>
      </c>
      <c r="V11" s="254">
        <f t="shared" si="9"/>
        <v>0.74829999999999997</v>
      </c>
      <c r="W11" s="254">
        <f t="shared" si="9"/>
        <v>0.74829999999999997</v>
      </c>
      <c r="X11" s="254">
        <f t="shared" si="9"/>
        <v>0.74829999999999997</v>
      </c>
    </row>
    <row r="12" spans="4:24" ht="15" x14ac:dyDescent="0.2">
      <c r="D12" s="7" t="s">
        <v>186</v>
      </c>
      <c r="E12" s="160">
        <f t="shared" ref="E12" si="10">E9-E11</f>
        <v>0</v>
      </c>
      <c r="F12" s="160">
        <f t="shared" ref="F12:G12" si="11">F9-F11</f>
        <v>0</v>
      </c>
      <c r="G12" s="160">
        <f t="shared" si="11"/>
        <v>0</v>
      </c>
      <c r="H12" s="255">
        <f>H9*H11</f>
        <v>19.405640582597844</v>
      </c>
      <c r="I12" s="255">
        <f t="shared" ref="I12:X12" si="12">I9*I11</f>
        <v>19.311516846470468</v>
      </c>
      <c r="J12" s="255">
        <f t="shared" si="12"/>
        <v>16.897394436358553</v>
      </c>
      <c r="K12" s="255">
        <f t="shared" si="12"/>
        <v>16.711309453440542</v>
      </c>
      <c r="L12" s="255">
        <f t="shared" si="12"/>
        <v>16.515832664388338</v>
      </c>
      <c r="M12" s="255">
        <f t="shared" si="12"/>
        <v>3.1111768520056331</v>
      </c>
      <c r="N12" s="255">
        <f t="shared" si="12"/>
        <v>2.8631805736291707</v>
      </c>
      <c r="O12" s="255">
        <f t="shared" si="12"/>
        <v>2.6368592138608893</v>
      </c>
      <c r="P12" s="255">
        <f t="shared" si="12"/>
        <v>2.3993623811045026</v>
      </c>
      <c r="Q12" s="255">
        <f t="shared" si="12"/>
        <v>2.1825703567362948</v>
      </c>
      <c r="R12" s="255">
        <f t="shared" si="12"/>
        <v>1.8880402296680667</v>
      </c>
      <c r="S12" s="255">
        <f t="shared" si="12"/>
        <v>1.6130933480687557</v>
      </c>
      <c r="T12" s="255">
        <f t="shared" si="12"/>
        <v>1.3243731198890358</v>
      </c>
      <c r="U12" s="255">
        <f t="shared" si="12"/>
        <v>1.0537162783748759</v>
      </c>
      <c r="V12" s="255">
        <f t="shared" si="12"/>
        <v>0.70286815810979741</v>
      </c>
      <c r="W12" s="255">
        <f t="shared" si="12"/>
        <v>0.36868626435876434</v>
      </c>
      <c r="X12" s="255">
        <f t="shared" si="12"/>
        <v>6.266836101486823</v>
      </c>
    </row>
    <row r="13" spans="4:24" x14ac:dyDescent="0.2">
      <c r="D13" s="161" t="s">
        <v>185</v>
      </c>
      <c r="E13" s="161" t="e">
        <f t="shared" ref="E13" si="13">E12/E$5</f>
        <v>#DIV/0!</v>
      </c>
      <c r="F13" s="161" t="e">
        <f t="shared" ref="F13:V13" si="14">F12/F$5</f>
        <v>#DIV/0!</v>
      </c>
      <c r="G13" s="161" t="e">
        <f t="shared" si="14"/>
        <v>#DIV/0!</v>
      </c>
      <c r="H13" s="252">
        <f t="shared" si="14"/>
        <v>0.52262857790450479</v>
      </c>
      <c r="I13" s="252">
        <f t="shared" si="14"/>
        <v>0.51869810183084897</v>
      </c>
      <c r="J13" s="252">
        <f t="shared" si="14"/>
        <v>0.49347719294687492</v>
      </c>
      <c r="K13" s="252">
        <f t="shared" si="14"/>
        <v>0.48804270448974585</v>
      </c>
      <c r="L13" s="252">
        <f t="shared" si="14"/>
        <v>0.48233393456601209</v>
      </c>
      <c r="M13" s="252">
        <f t="shared" si="14"/>
        <v>0.18739570272773998</v>
      </c>
      <c r="N13" s="252">
        <f t="shared" si="14"/>
        <v>0.17291157823290834</v>
      </c>
      <c r="O13" s="252">
        <f t="shared" si="14"/>
        <v>0.15924370696213189</v>
      </c>
      <c r="P13" s="252">
        <f t="shared" si="14"/>
        <v>0.14490093286138017</v>
      </c>
      <c r="Q13" s="252">
        <f t="shared" si="14"/>
        <v>0.13146289176382428</v>
      </c>
      <c r="R13" s="252">
        <f t="shared" si="14"/>
        <v>0.11402145533047006</v>
      </c>
      <c r="S13" s="252">
        <f t="shared" si="14"/>
        <v>9.7417019108240063E-2</v>
      </c>
      <c r="T13" s="252">
        <f t="shared" si="14"/>
        <v>7.99807907466311E-2</v>
      </c>
      <c r="U13" s="252">
        <f t="shared" si="14"/>
        <v>6.3468556065665038E-2</v>
      </c>
      <c r="V13" s="252">
        <f t="shared" si="14"/>
        <v>4.2447215389693087E-2</v>
      </c>
      <c r="W13" s="252">
        <f t="shared" ref="W13:X13" si="15">W12/W$5</f>
        <v>2.2265491890462199E-2</v>
      </c>
      <c r="X13" s="252">
        <f t="shared" si="15"/>
        <v>0.25159828724628103</v>
      </c>
    </row>
    <row r="14" spans="4:24" ht="15" x14ac:dyDescent="0.2">
      <c r="D14" s="8" t="s">
        <v>187</v>
      </c>
      <c r="E14" s="57">
        <v>0</v>
      </c>
      <c r="F14" s="57">
        <v>0</v>
      </c>
      <c r="G14" s="57">
        <v>0</v>
      </c>
      <c r="H14" s="243">
        <f>'Depreciation Schedule'!H102</f>
        <v>6.6867288999999994</v>
      </c>
      <c r="I14" s="243">
        <f>'Depreciation Schedule'!I102</f>
        <v>6.686855398730744</v>
      </c>
      <c r="J14" s="243">
        <f>'Depreciation Schedule'!J102</f>
        <v>6.6869076261780576</v>
      </c>
      <c r="K14" s="243">
        <f>'Depreciation Schedule'!K102</f>
        <v>6.6869076261780576</v>
      </c>
      <c r="L14" s="243">
        <f>'Depreciation Schedule'!L102</f>
        <v>6.6870246340469466</v>
      </c>
      <c r="M14" s="243">
        <f>'Depreciation Schedule'!M102</f>
        <v>6.6870246340469466</v>
      </c>
      <c r="N14" s="243">
        <f>'Depreciation Schedule'!N102</f>
        <v>6.6870246340469466</v>
      </c>
      <c r="O14" s="243">
        <f>'Depreciation Schedule'!O102</f>
        <v>6.6872035729755757</v>
      </c>
      <c r="P14" s="243">
        <f>'Depreciation Schedule'!P102</f>
        <v>6.6872035729755757</v>
      </c>
      <c r="Q14" s="243">
        <f>'Depreciation Schedule'!Q102</f>
        <v>6.6872035729755757</v>
      </c>
      <c r="R14" s="243">
        <f>'Depreciation Schedule'!R102</f>
        <v>6.6873508654095088</v>
      </c>
      <c r="S14" s="243">
        <f>'Depreciation Schedule'!S102</f>
        <v>6.6873703904391739</v>
      </c>
      <c r="T14" s="243">
        <f>'Depreciation Schedule'!T102</f>
        <v>6.6874256404847792</v>
      </c>
      <c r="U14" s="243">
        <f>'Depreciation Schedule'!U102</f>
        <v>6.6875908987248387</v>
      </c>
      <c r="V14" s="243">
        <f>'Depreciation Schedule'!V102</f>
        <v>6.6875908987248387</v>
      </c>
      <c r="W14" s="243">
        <f>'Depreciation Schedule'!W102</f>
        <v>6.6875908987248387</v>
      </c>
      <c r="X14" s="243">
        <f>'Depreciation Schedule'!X102</f>
        <v>6.6860707728972146</v>
      </c>
    </row>
    <row r="15" spans="4:24" x14ac:dyDescent="0.2">
      <c r="D15" s="161" t="s">
        <v>185</v>
      </c>
      <c r="E15" s="161" t="e">
        <f t="shared" ref="E15" si="16">E14/E$5</f>
        <v>#DIV/0!</v>
      </c>
      <c r="F15" s="161" t="e">
        <f t="shared" ref="F15:V15" si="17">F14/F$5</f>
        <v>#DIV/0!</v>
      </c>
      <c r="G15" s="161" t="e">
        <f t="shared" si="17"/>
        <v>#DIV/0!</v>
      </c>
      <c r="H15" s="252">
        <f t="shared" si="17"/>
        <v>0.18008555816363159</v>
      </c>
      <c r="I15" s="252">
        <f t="shared" si="17"/>
        <v>0.17960573631340232</v>
      </c>
      <c r="J15" s="252">
        <f t="shared" si="17"/>
        <v>0.19528670040163451</v>
      </c>
      <c r="K15" s="252">
        <f t="shared" si="17"/>
        <v>0.19528670040163451</v>
      </c>
      <c r="L15" s="252">
        <f t="shared" si="17"/>
        <v>0.19529011753880968</v>
      </c>
      <c r="M15" s="252">
        <f t="shared" si="17"/>
        <v>0.40277995757364521</v>
      </c>
      <c r="N15" s="252">
        <f t="shared" si="17"/>
        <v>0.40383900121597749</v>
      </c>
      <c r="O15" s="252">
        <f t="shared" si="17"/>
        <v>0.40384980759432526</v>
      </c>
      <c r="P15" s="252">
        <f t="shared" si="17"/>
        <v>0.40384980759432526</v>
      </c>
      <c r="Q15" s="252">
        <f t="shared" si="17"/>
        <v>0.40279073561291162</v>
      </c>
      <c r="R15" s="252">
        <f t="shared" si="17"/>
        <v>0.40385870279550384</v>
      </c>
      <c r="S15" s="252">
        <f t="shared" si="17"/>
        <v>0.40385988194002781</v>
      </c>
      <c r="T15" s="252">
        <f t="shared" si="17"/>
        <v>0.403863218569464</v>
      </c>
      <c r="U15" s="252">
        <f t="shared" si="17"/>
        <v>0.40281406542809745</v>
      </c>
      <c r="V15" s="252">
        <f t="shared" si="17"/>
        <v>0.40387319875142241</v>
      </c>
      <c r="W15" s="252">
        <f t="shared" ref="W15:X15" si="18">W14/W$5</f>
        <v>0.40387319875142241</v>
      </c>
      <c r="X15" s="252">
        <f t="shared" si="18"/>
        <v>0.2684295436526975</v>
      </c>
    </row>
    <row r="16" spans="4:24" ht="15" x14ac:dyDescent="0.2">
      <c r="D16" s="8" t="s">
        <v>188</v>
      </c>
      <c r="E16" s="57">
        <f>'RKA P&amp;L'!K93</f>
        <v>0</v>
      </c>
      <c r="F16" s="57">
        <f>'RKA P&amp;L'!L93</f>
        <v>0</v>
      </c>
      <c r="G16" s="57">
        <f>'RKA P&amp;L'!M93</f>
        <v>0</v>
      </c>
      <c r="H16" s="243">
        <f>'RKA P&amp;L'!N93</f>
        <v>20.754312519349966</v>
      </c>
      <c r="I16" s="243">
        <f>'RKA P&amp;L'!O93</f>
        <v>-0.17537905085092476</v>
      </c>
      <c r="J16" s="243">
        <f>'RKA P&amp;L'!P93</f>
        <v>-2.1454457666219184</v>
      </c>
      <c r="K16" s="243">
        <f>'RKA P&amp;L'!Q93</f>
        <v>-0.20512486291046272</v>
      </c>
      <c r="L16" s="243">
        <f>'RKA P&amp;L'!R93</f>
        <v>-0.21538110605598959</v>
      </c>
      <c r="M16" s="243">
        <f>'RKA P&amp;L'!S93</f>
        <v>-12.082384999874908</v>
      </c>
      <c r="N16" s="243">
        <f>'RKA P&amp;L'!T93</f>
        <v>-0.25043349835714679</v>
      </c>
      <c r="O16" s="243">
        <f>'RKA P&amp;L'!U93</f>
        <v>-0.24933055289806294</v>
      </c>
      <c r="P16" s="243">
        <f>'RKA P&amp;L'!V93</f>
        <v>-0.26179708054296658</v>
      </c>
      <c r="Q16" s="243">
        <f>'RKA P&amp;L'!W93</f>
        <v>-0.25911473340625868</v>
      </c>
      <c r="R16" s="243">
        <f>'RKA P&amp;L'!X93</f>
        <v>-0.30440348246247684</v>
      </c>
      <c r="S16" s="243">
        <f>'RKA P&amp;L'!Y93</f>
        <v>-0.30306284536355133</v>
      </c>
      <c r="T16" s="243">
        <f>'RKA P&amp;L'!Z93</f>
        <v>-0.31821598763172876</v>
      </c>
      <c r="U16" s="243">
        <f>'RKA P&amp;L'!AA93</f>
        <v>-0.31495557792238937</v>
      </c>
      <c r="V16" s="243">
        <f>'RKA P&amp;L'!AB93</f>
        <v>-0.37000433545490719</v>
      </c>
      <c r="W16" s="243">
        <f>'RKA P&amp;L'!AC93</f>
        <v>-0.3683747826821806</v>
      </c>
      <c r="X16" s="243">
        <f>'RKA P&amp;L'!AD93</f>
        <v>-0.3867935218162879</v>
      </c>
    </row>
    <row r="17" spans="1:24" x14ac:dyDescent="0.2">
      <c r="D17" s="161" t="s">
        <v>185</v>
      </c>
      <c r="E17" s="161" t="e">
        <f t="shared" ref="E17" si="19">E16/E$5</f>
        <v>#DIV/0!</v>
      </c>
      <c r="F17" s="161" t="e">
        <f t="shared" ref="F17:V17" si="20">F16/F$5</f>
        <v>#DIV/0!</v>
      </c>
      <c r="G17" s="161" t="e">
        <f t="shared" si="20"/>
        <v>#DIV/0!</v>
      </c>
      <c r="H17" s="252">
        <f t="shared" si="20"/>
        <v>0.55895072317790329</v>
      </c>
      <c r="I17" s="252">
        <f t="shared" si="20"/>
        <v>-4.7105973860306479E-3</v>
      </c>
      <c r="J17" s="252">
        <f t="shared" si="20"/>
        <v>-6.2656320092418935E-2</v>
      </c>
      <c r="K17" s="252">
        <f t="shared" si="20"/>
        <v>-5.9905355191839796E-3</v>
      </c>
      <c r="L17" s="252">
        <f t="shared" si="20"/>
        <v>-6.2900622951432873E-3</v>
      </c>
      <c r="M17" s="252">
        <f t="shared" si="20"/>
        <v>-0.72775902347661314</v>
      </c>
      <c r="N17" s="252">
        <f t="shared" si="20"/>
        <v>-1.5124037876673281E-2</v>
      </c>
      <c r="O17" s="252">
        <f t="shared" si="20"/>
        <v>-1.5057429419703599E-2</v>
      </c>
      <c r="P17" s="252">
        <f t="shared" si="20"/>
        <v>-1.5810300890688807E-2</v>
      </c>
      <c r="Q17" s="252">
        <f t="shared" si="20"/>
        <v>-1.5607273344964104E-2</v>
      </c>
      <c r="R17" s="252">
        <f t="shared" si="20"/>
        <v>-1.8383362564333112E-2</v>
      </c>
      <c r="S17" s="252">
        <f t="shared" si="20"/>
        <v>-1.8302399568583608E-2</v>
      </c>
      <c r="T17" s="252">
        <f t="shared" si="20"/>
        <v>-1.9217519547012781E-2</v>
      </c>
      <c r="U17" s="252">
        <f t="shared" si="20"/>
        <v>-1.8970738296262165E-2</v>
      </c>
      <c r="V17" s="252">
        <f t="shared" si="20"/>
        <v>-2.2345092092962999E-2</v>
      </c>
      <c r="W17" s="252">
        <f t="shared" ref="W17:X17" si="21">W16/W$5</f>
        <v>-2.2246681065610709E-2</v>
      </c>
      <c r="X17" s="252">
        <f t="shared" si="21"/>
        <v>-1.5528822843132353E-2</v>
      </c>
    </row>
    <row r="18" spans="1:24" ht="15" x14ac:dyDescent="0.2">
      <c r="D18" s="8" t="s">
        <v>189</v>
      </c>
      <c r="E18" s="57">
        <f>'Depreciation Schedule'!E100-'Depreciation Schedule'!E101</f>
        <v>2.7000000000000001E-3</v>
      </c>
      <c r="F18" s="57">
        <f>'Depreciation Schedule'!F100-'Depreciation Schedule'!F101</f>
        <v>0</v>
      </c>
      <c r="G18" s="57">
        <f>'Depreciation Schedule'!G100-'Depreciation Schedule'!G101</f>
        <v>0</v>
      </c>
      <c r="H18" s="243">
        <f>'Depreciation Schedule'!H100-'Depreciation Schedule'!H101</f>
        <v>4.4656311494070192E-3</v>
      </c>
      <c r="I18" s="243">
        <f>'Depreciation Schedule'!I100-'Depreciation Schedule'!I101</f>
        <v>2.0688813016464277E-3</v>
      </c>
      <c r="J18" s="243">
        <f>'Depreciation Schedule'!J100-'Depreciation Schedule'!J101</f>
        <v>0</v>
      </c>
      <c r="K18" s="243">
        <f>'Depreciation Schedule'!K100-'Depreciation Schedule'!K101</f>
        <v>3.247361125699033E-3</v>
      </c>
      <c r="L18" s="243">
        <f>'Depreciation Schedule'!L100-'Depreciation Schedule'!L101</f>
        <v>0</v>
      </c>
      <c r="M18" s="243">
        <f>'Depreciation Schedule'!M100-'Depreciation Schedule'!M101</f>
        <v>0</v>
      </c>
      <c r="N18" s="243">
        <f>'Depreciation Schedule'!N100-'Depreciation Schedule'!N101</f>
        <v>5.3904288411118885E-3</v>
      </c>
      <c r="O18" s="243">
        <f>'Depreciation Schedule'!O100-'Depreciation Schedule'!O101</f>
        <v>0</v>
      </c>
      <c r="P18" s="243">
        <f>'Depreciation Schedule'!P100-'Depreciation Schedule'!P101</f>
        <v>0</v>
      </c>
      <c r="Q18" s="243">
        <f>'Depreciation Schedule'!Q100-'Depreciation Schedule'!Q101</f>
        <v>4.0878594627848904E-3</v>
      </c>
      <c r="R18" s="243">
        <f>'Depreciation Schedule'!R100-'Depreciation Schedule'!R101</f>
        <v>9.0263862763199476E-4</v>
      </c>
      <c r="S18" s="243">
        <f>'Depreciation Schedule'!S100-'Depreciation Schedule'!S101</f>
        <v>2.0252228236504982E-3</v>
      </c>
      <c r="T18" s="243">
        <f>'Depreciation Schedule'!T100-'Depreciation Schedule'!T101</f>
        <v>4.5864708891939169E-3</v>
      </c>
      <c r="U18" s="243">
        <f>'Depreciation Schedule'!U100-'Depreciation Schedule'!U101</f>
        <v>0</v>
      </c>
      <c r="V18" s="243">
        <f>'Depreciation Schedule'!V100-'Depreciation Schedule'!V101</f>
        <v>0</v>
      </c>
      <c r="W18" s="243">
        <f>'Depreciation Schedule'!W100-'Depreciation Schedule'!W101</f>
        <v>-2.400198675194068E-4</v>
      </c>
      <c r="X18" s="243">
        <f>'Depreciation Schedule'!X100-'Depreciation Schedule'!X101</f>
        <v>-0.36685993679393847</v>
      </c>
    </row>
    <row r="19" spans="1:24" x14ac:dyDescent="0.2">
      <c r="D19" s="161" t="s">
        <v>185</v>
      </c>
      <c r="E19" s="161" t="e">
        <f t="shared" ref="E19" si="22">E18/E$5</f>
        <v>#DIV/0!</v>
      </c>
      <c r="F19" s="161" t="e">
        <f t="shared" ref="F19:V19" si="23">F18/F$5</f>
        <v>#DIV/0!</v>
      </c>
      <c r="G19" s="161" t="e">
        <f t="shared" si="23"/>
        <v>#DIV/0!</v>
      </c>
      <c r="H19" s="252">
        <f t="shared" si="23"/>
        <v>1.2026742673743851E-4</v>
      </c>
      <c r="I19" s="252">
        <f t="shared" si="23"/>
        <v>5.5569161791320978E-5</v>
      </c>
      <c r="J19" s="252">
        <f t="shared" si="23"/>
        <v>0</v>
      </c>
      <c r="K19" s="252">
        <f t="shared" si="23"/>
        <v>9.4837027023919466E-5</v>
      </c>
      <c r="L19" s="252">
        <f t="shared" si="23"/>
        <v>0</v>
      </c>
      <c r="M19" s="252">
        <f t="shared" si="23"/>
        <v>0</v>
      </c>
      <c r="N19" s="252">
        <f t="shared" si="23"/>
        <v>3.2553572305340806E-4</v>
      </c>
      <c r="O19" s="252">
        <f t="shared" si="23"/>
        <v>0</v>
      </c>
      <c r="P19" s="252">
        <f t="shared" si="23"/>
        <v>0</v>
      </c>
      <c r="Q19" s="252">
        <f t="shared" si="23"/>
        <v>2.4622428525301627E-4</v>
      </c>
      <c r="R19" s="252">
        <f t="shared" si="23"/>
        <v>5.4511640346875724E-5</v>
      </c>
      <c r="S19" s="252">
        <f t="shared" si="23"/>
        <v>1.2230610878546333E-4</v>
      </c>
      <c r="T19" s="252">
        <f t="shared" si="23"/>
        <v>2.7698355013794677E-4</v>
      </c>
      <c r="U19" s="252">
        <f t="shared" si="23"/>
        <v>0</v>
      </c>
      <c r="V19" s="252">
        <f t="shared" si="23"/>
        <v>0</v>
      </c>
      <c r="W19" s="252">
        <f t="shared" ref="W19:X19" si="24">W18/W$5</f>
        <v>-1.4495143785999096E-5</v>
      </c>
      <c r="X19" s="252">
        <f t="shared" si="24"/>
        <v>-1.4728537696196508E-2</v>
      </c>
    </row>
    <row r="20" spans="1:24" ht="15" x14ac:dyDescent="0.2">
      <c r="D20" s="37" t="s">
        <v>190</v>
      </c>
      <c r="E20" s="192">
        <f t="shared" ref="E20" si="25">E12+E14-E16-E18</f>
        <v>-2.7000000000000001E-3</v>
      </c>
      <c r="F20" s="192">
        <f t="shared" ref="F20:V20" si="26">F12+F14-F16-F18</f>
        <v>0</v>
      </c>
      <c r="G20" s="192">
        <f t="shared" si="26"/>
        <v>0</v>
      </c>
      <c r="H20" s="256">
        <f t="shared" si="26"/>
        <v>5.3335913320984689</v>
      </c>
      <c r="I20" s="256">
        <f t="shared" si="26"/>
        <v>26.171682414750489</v>
      </c>
      <c r="J20" s="256">
        <f t="shared" si="26"/>
        <v>25.72974782915853</v>
      </c>
      <c r="K20" s="256">
        <f t="shared" si="26"/>
        <v>23.600094581403365</v>
      </c>
      <c r="L20" s="256">
        <f t="shared" si="26"/>
        <v>23.418238404491273</v>
      </c>
      <c r="M20" s="256">
        <f t="shared" si="26"/>
        <v>21.880586485927488</v>
      </c>
      <c r="N20" s="256">
        <f t="shared" si="26"/>
        <v>9.7952482771921527</v>
      </c>
      <c r="O20" s="256">
        <f t="shared" si="26"/>
        <v>9.5733933397345261</v>
      </c>
      <c r="P20" s="256">
        <f t="shared" si="26"/>
        <v>9.3483630346230449</v>
      </c>
      <c r="Q20" s="256">
        <f t="shared" si="26"/>
        <v>9.1248008036553436</v>
      </c>
      <c r="R20" s="256">
        <f t="shared" si="26"/>
        <v>8.878891938912421</v>
      </c>
      <c r="S20" s="256">
        <f t="shared" si="26"/>
        <v>8.6015013610478306</v>
      </c>
      <c r="T20" s="256">
        <f t="shared" si="26"/>
        <v>8.3254282771163481</v>
      </c>
      <c r="U20" s="256">
        <f t="shared" si="26"/>
        <v>8.0562627550221038</v>
      </c>
      <c r="V20" s="256">
        <f t="shared" si="26"/>
        <v>7.7604633922895436</v>
      </c>
      <c r="W20" s="256">
        <f t="shared" ref="W20:X20" si="27">W12+W14-W16-W18</f>
        <v>7.4248919656333028</v>
      </c>
      <c r="X20" s="256">
        <f t="shared" si="27"/>
        <v>13.706560332994263</v>
      </c>
    </row>
    <row r="21" spans="1:24" x14ac:dyDescent="0.2">
      <c r="D21" s="161" t="s">
        <v>183</v>
      </c>
      <c r="E21" s="161" t="e">
        <f>E20/D20-1</f>
        <v>#VALUE!</v>
      </c>
      <c r="F21" s="161">
        <f>F20/E20-1</f>
        <v>-1</v>
      </c>
      <c r="G21" s="161" t="e">
        <f t="shared" ref="G21:V21" si="28">G20/F20-1</f>
        <v>#DIV/0!</v>
      </c>
      <c r="H21" s="252" t="e">
        <f>H20/G20-1</f>
        <v>#DIV/0!</v>
      </c>
      <c r="I21" s="252">
        <f t="shared" si="28"/>
        <v>3.9069530800466108</v>
      </c>
      <c r="J21" s="252">
        <f t="shared" si="28"/>
        <v>-1.6885983047955744E-2</v>
      </c>
      <c r="K21" s="252">
        <f t="shared" si="28"/>
        <v>-8.2770078505849609E-2</v>
      </c>
      <c r="L21" s="252">
        <f t="shared" si="28"/>
        <v>-7.7057393259514217E-3</v>
      </c>
      <c r="M21" s="252">
        <f t="shared" si="28"/>
        <v>-6.5660443454572004E-2</v>
      </c>
      <c r="N21" s="252">
        <f t="shared" si="28"/>
        <v>-0.55233154817436114</v>
      </c>
      <c r="O21" s="252">
        <f t="shared" si="28"/>
        <v>-2.2649240854283104E-2</v>
      </c>
      <c r="P21" s="252">
        <f t="shared" si="28"/>
        <v>-2.3505803754818033E-2</v>
      </c>
      <c r="Q21" s="252">
        <f t="shared" si="28"/>
        <v>-2.3914585916240627E-2</v>
      </c>
      <c r="R21" s="252">
        <f t="shared" si="28"/>
        <v>-2.6949504984745798E-2</v>
      </c>
      <c r="S21" s="252">
        <f t="shared" si="28"/>
        <v>-3.1241576062988829E-2</v>
      </c>
      <c r="T21" s="252">
        <f t="shared" si="28"/>
        <v>-3.2095918182573069E-2</v>
      </c>
      <c r="U21" s="252">
        <f t="shared" si="28"/>
        <v>-3.2330531611699187E-2</v>
      </c>
      <c r="V21" s="252">
        <f t="shared" si="28"/>
        <v>-3.6716697521833597E-2</v>
      </c>
      <c r="W21" s="252">
        <f t="shared" ref="W21" si="29">W20/V20-1</f>
        <v>-4.3241158381038147E-2</v>
      </c>
      <c r="X21" s="252">
        <f t="shared" ref="X21" si="30">X20/W20-1</f>
        <v>0.84602825151344385</v>
      </c>
    </row>
    <row r="22" spans="1:24" x14ac:dyDescent="0.2"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</row>
    <row r="23" spans="1:24" x14ac:dyDescent="0.2">
      <c r="D23" s="8" t="s">
        <v>191</v>
      </c>
      <c r="E23" s="57">
        <v>0</v>
      </c>
      <c r="F23" s="57">
        <v>0</v>
      </c>
      <c r="G23" s="57">
        <v>0</v>
      </c>
      <c r="H23" s="57">
        <f t="shared" ref="H23:V23" si="31">(H3-$B$31)/365</f>
        <v>-7.1232876712328766E-2</v>
      </c>
      <c r="I23" s="57">
        <f t="shared" si="31"/>
        <v>0.93150684931506844</v>
      </c>
      <c r="J23" s="57">
        <f t="shared" si="31"/>
        <v>1.9315068493150684</v>
      </c>
      <c r="K23" s="57">
        <f t="shared" si="31"/>
        <v>2.9315068493150687</v>
      </c>
      <c r="L23" s="57">
        <f t="shared" si="31"/>
        <v>3.9315068493150687</v>
      </c>
      <c r="M23" s="57">
        <f t="shared" si="31"/>
        <v>4.934246575342466</v>
      </c>
      <c r="N23" s="57">
        <f t="shared" si="31"/>
        <v>5.934246575342466</v>
      </c>
      <c r="O23" s="57">
        <f t="shared" si="31"/>
        <v>6.934246575342466</v>
      </c>
      <c r="P23" s="57">
        <f t="shared" si="31"/>
        <v>7.934246575342466</v>
      </c>
      <c r="Q23" s="57">
        <f t="shared" si="31"/>
        <v>8.9369863013698634</v>
      </c>
      <c r="R23" s="57">
        <f t="shared" si="31"/>
        <v>9.9369863013698634</v>
      </c>
      <c r="S23" s="57">
        <f t="shared" si="31"/>
        <v>10.936986301369863</v>
      </c>
      <c r="T23" s="57">
        <f t="shared" si="31"/>
        <v>11.936986301369863</v>
      </c>
      <c r="U23" s="57">
        <f t="shared" si="31"/>
        <v>12.93972602739726</v>
      </c>
      <c r="V23" s="57">
        <f t="shared" si="31"/>
        <v>13.93972602739726</v>
      </c>
      <c r="W23" s="57">
        <f t="shared" ref="W23:X23" si="32">(W3-$B$31)/365</f>
        <v>14.93972602739726</v>
      </c>
      <c r="X23" s="57">
        <f t="shared" si="32"/>
        <v>15.93972602739726</v>
      </c>
    </row>
    <row r="25" spans="1:24" x14ac:dyDescent="0.2">
      <c r="C25" s="68" t="s">
        <v>192</v>
      </c>
      <c r="D25" s="163" t="s">
        <v>193</v>
      </c>
      <c r="E25" s="164" t="s">
        <v>194</v>
      </c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6"/>
      <c r="Q25" s="166"/>
      <c r="R25" s="166"/>
      <c r="S25" s="166"/>
      <c r="T25" s="166"/>
      <c r="U25" s="166"/>
      <c r="V25" s="166"/>
      <c r="W25" s="166"/>
      <c r="X25" s="166"/>
    </row>
    <row r="26" spans="1:24" x14ac:dyDescent="0.2">
      <c r="C26" s="8" t="s">
        <v>195</v>
      </c>
      <c r="D26" s="167">
        <f>B49</f>
        <v>9.0651728836356443E-2</v>
      </c>
      <c r="E26" s="57">
        <f t="shared" ref="E26:N28" si="33">E$20/(1+$D26)^E$23</f>
        <v>-2.7000000000000001E-3</v>
      </c>
      <c r="F26" s="57">
        <f t="shared" si="33"/>
        <v>0</v>
      </c>
      <c r="G26" s="57">
        <f t="shared" si="33"/>
        <v>0</v>
      </c>
      <c r="H26" s="57">
        <f t="shared" si="33"/>
        <v>5.3666617703055932</v>
      </c>
      <c r="I26" s="57">
        <f t="shared" si="33"/>
        <v>24.139417645684947</v>
      </c>
      <c r="J26" s="57">
        <f t="shared" si="33"/>
        <v>21.759283207529904</v>
      </c>
      <c r="K26" s="57">
        <f t="shared" si="33"/>
        <v>18.299393931650034</v>
      </c>
      <c r="L26" s="57">
        <f t="shared" si="33"/>
        <v>16.649112720486379</v>
      </c>
      <c r="M26" s="57">
        <f t="shared" si="33"/>
        <v>14.259571909874049</v>
      </c>
      <c r="N26" s="57">
        <f t="shared" si="33"/>
        <v>5.8529779138574911</v>
      </c>
      <c r="O26" s="57">
        <f t="shared" ref="O26:X28" si="34">O$20/(1+$D26)^O$23</f>
        <v>5.2449487367291701</v>
      </c>
      <c r="P26" s="57">
        <f t="shared" si="34"/>
        <v>4.6959646838720577</v>
      </c>
      <c r="Q26" s="57">
        <f t="shared" si="34"/>
        <v>4.2016831928989822</v>
      </c>
      <c r="R26" s="57">
        <f t="shared" si="34"/>
        <v>3.7486301104658741</v>
      </c>
      <c r="S26" s="57">
        <f t="shared" si="34"/>
        <v>3.3296761025742847</v>
      </c>
      <c r="T26" s="57">
        <f t="shared" si="34"/>
        <v>2.9549369478835241</v>
      </c>
      <c r="U26" s="57">
        <f t="shared" si="34"/>
        <v>2.6211140309842618</v>
      </c>
      <c r="V26" s="57">
        <f t="shared" si="34"/>
        <v>2.3150152456387074</v>
      </c>
      <c r="W26" s="57">
        <f t="shared" si="34"/>
        <v>2.0308144627530824</v>
      </c>
      <c r="X26" s="57">
        <f t="shared" si="34"/>
        <v>3.4373400533863601</v>
      </c>
    </row>
    <row r="27" spans="1:24" x14ac:dyDescent="0.2">
      <c r="C27" s="8" t="s">
        <v>196</v>
      </c>
      <c r="D27" s="167">
        <f>B50</f>
        <v>0.11065172883635645</v>
      </c>
      <c r="E27" s="57">
        <f t="shared" si="33"/>
        <v>-2.7000000000000001E-3</v>
      </c>
      <c r="F27" s="57">
        <f t="shared" si="33"/>
        <v>0</v>
      </c>
      <c r="G27" s="57">
        <f t="shared" si="33"/>
        <v>0</v>
      </c>
      <c r="H27" s="57">
        <f t="shared" si="33"/>
        <v>5.3736129392313643</v>
      </c>
      <c r="I27" s="57">
        <f t="shared" si="33"/>
        <v>23.734250318204548</v>
      </c>
      <c r="J27" s="57">
        <f t="shared" si="33"/>
        <v>21.008812721267876</v>
      </c>
      <c r="K27" s="57">
        <f t="shared" si="33"/>
        <v>17.350093771702106</v>
      </c>
      <c r="L27" s="57">
        <f t="shared" si="33"/>
        <v>15.501167490059544</v>
      </c>
      <c r="M27" s="57">
        <f t="shared" si="33"/>
        <v>13.036661124827202</v>
      </c>
      <c r="N27" s="57">
        <f t="shared" si="33"/>
        <v>5.2546642220972739</v>
      </c>
      <c r="O27" s="57">
        <f t="shared" si="34"/>
        <v>4.6239968238317983</v>
      </c>
      <c r="P27" s="57">
        <f t="shared" si="34"/>
        <v>4.0654562944395254</v>
      </c>
      <c r="Q27" s="57">
        <f t="shared" si="34"/>
        <v>3.5718593701426959</v>
      </c>
      <c r="R27" s="57">
        <f t="shared" si="34"/>
        <v>3.129333379675781</v>
      </c>
      <c r="S27" s="57">
        <f t="shared" si="34"/>
        <v>2.7295397775542125</v>
      </c>
      <c r="T27" s="57">
        <f t="shared" si="34"/>
        <v>2.3787228917797112</v>
      </c>
      <c r="U27" s="57">
        <f t="shared" si="34"/>
        <v>2.071896814424194</v>
      </c>
      <c r="V27" s="57">
        <f t="shared" si="34"/>
        <v>1.7969841976328433</v>
      </c>
      <c r="W27" s="57">
        <f t="shared" si="34"/>
        <v>1.5479924756756016</v>
      </c>
      <c r="X27" s="57">
        <f t="shared" si="34"/>
        <v>2.5729378247323136</v>
      </c>
    </row>
    <row r="28" spans="1:24" x14ac:dyDescent="0.2">
      <c r="C28" s="8" t="s">
        <v>197</v>
      </c>
      <c r="D28" s="167">
        <f>B51</f>
        <v>0.13065172883635645</v>
      </c>
      <c r="E28" s="57">
        <f t="shared" si="33"/>
        <v>-2.7000000000000001E-3</v>
      </c>
      <c r="F28" s="57">
        <f t="shared" si="33"/>
        <v>0</v>
      </c>
      <c r="G28" s="57">
        <f t="shared" si="33"/>
        <v>0</v>
      </c>
      <c r="H28" s="57">
        <f t="shared" si="33"/>
        <v>5.3804488095135392</v>
      </c>
      <c r="I28" s="57">
        <f t="shared" si="33"/>
        <v>23.342934506432428</v>
      </c>
      <c r="J28" s="57">
        <f t="shared" si="33"/>
        <v>20.296936293270136</v>
      </c>
      <c r="K28" s="57">
        <f t="shared" si="33"/>
        <v>16.465686831795789</v>
      </c>
      <c r="L28" s="57">
        <f t="shared" si="33"/>
        <v>14.450786324859545</v>
      </c>
      <c r="M28" s="57">
        <f t="shared" si="33"/>
        <v>11.937716406581007</v>
      </c>
      <c r="N28" s="57">
        <f t="shared" si="33"/>
        <v>4.7266004957757639</v>
      </c>
      <c r="O28" s="57">
        <f t="shared" si="34"/>
        <v>4.0857378668489792</v>
      </c>
      <c r="P28" s="57">
        <f t="shared" si="34"/>
        <v>3.5286721919784396</v>
      </c>
      <c r="Q28" s="57">
        <f t="shared" si="34"/>
        <v>3.0452586146347485</v>
      </c>
      <c r="R28" s="57">
        <f t="shared" si="34"/>
        <v>2.620780853065571</v>
      </c>
      <c r="S28" s="57">
        <f t="shared" si="34"/>
        <v>2.245522174465771</v>
      </c>
      <c r="T28" s="57">
        <f t="shared" si="34"/>
        <v>1.9222984611838287</v>
      </c>
      <c r="U28" s="57">
        <f t="shared" si="34"/>
        <v>1.644647765235224</v>
      </c>
      <c r="V28" s="57">
        <f t="shared" si="34"/>
        <v>1.4011933916552823</v>
      </c>
      <c r="W28" s="57">
        <f t="shared" si="34"/>
        <v>1.1856915194071072</v>
      </c>
      <c r="X28" s="57">
        <f t="shared" si="34"/>
        <v>1.9358923588770431</v>
      </c>
    </row>
    <row r="30" spans="1:24" x14ac:dyDescent="0.2">
      <c r="A30" s="262" t="s">
        <v>198</v>
      </c>
      <c r="B30" s="262"/>
    </row>
    <row r="31" spans="1:24" x14ac:dyDescent="0.2">
      <c r="A31" s="7" t="s">
        <v>199</v>
      </c>
      <c r="B31" s="168">
        <v>45042</v>
      </c>
    </row>
    <row r="32" spans="1:24" ht="45" x14ac:dyDescent="0.2">
      <c r="A32" s="7" t="s">
        <v>86</v>
      </c>
      <c r="B32" s="169">
        <v>0.15</v>
      </c>
      <c r="C32" s="227" t="s">
        <v>295</v>
      </c>
    </row>
    <row r="33" spans="1:6" x14ac:dyDescent="0.2">
      <c r="A33" s="7" t="s">
        <v>126</v>
      </c>
      <c r="B33" s="169">
        <f>Assumptions!C41</f>
        <v>0.13100000000000001</v>
      </c>
    </row>
    <row r="34" spans="1:6" x14ac:dyDescent="0.2">
      <c r="A34" s="7" t="s">
        <v>193</v>
      </c>
      <c r="B34" s="169">
        <f>D45</f>
        <v>0.11065172883635645</v>
      </c>
      <c r="D34" s="170"/>
    </row>
    <row r="35" spans="1:6" x14ac:dyDescent="0.2">
      <c r="A35" s="7" t="s">
        <v>200</v>
      </c>
      <c r="B35" s="171">
        <v>0.02</v>
      </c>
    </row>
    <row r="36" spans="1:6" x14ac:dyDescent="0.2">
      <c r="A36" s="7" t="s">
        <v>70</v>
      </c>
      <c r="B36" s="169">
        <v>0.25169999999999998</v>
      </c>
    </row>
    <row r="38" spans="1:6" outlineLevel="1" x14ac:dyDescent="0.2">
      <c r="A38" s="263" t="s">
        <v>201</v>
      </c>
      <c r="B38" s="263"/>
      <c r="C38" s="263"/>
      <c r="D38" s="263"/>
    </row>
    <row r="39" spans="1:6" outlineLevel="1" x14ac:dyDescent="0.2">
      <c r="A39" s="172" t="s">
        <v>94</v>
      </c>
      <c r="B39" s="172" t="s">
        <v>202</v>
      </c>
      <c r="C39" s="172" t="s">
        <v>203</v>
      </c>
      <c r="D39" s="172" t="s">
        <v>193</v>
      </c>
    </row>
    <row r="40" spans="1:6" outlineLevel="1" x14ac:dyDescent="0.2">
      <c r="A40" s="264" t="s">
        <v>204</v>
      </c>
      <c r="B40" s="265"/>
      <c r="C40" s="265"/>
      <c r="D40" s="266"/>
    </row>
    <row r="41" spans="1:6" outlineLevel="1" x14ac:dyDescent="0.2">
      <c r="A41" s="7" t="str">
        <f>[97]Assumptions!B71</f>
        <v>Equity</v>
      </c>
      <c r="B41" s="173">
        <f>'RKA CAPM'!C11</f>
        <v>28.195799999999998</v>
      </c>
      <c r="C41" s="174">
        <f>B41/$B$43</f>
        <v>0.19480282602898155</v>
      </c>
      <c r="D41" s="175">
        <f>B32</f>
        <v>0.15</v>
      </c>
      <c r="E41" s="17"/>
    </row>
    <row r="42" spans="1:6" outlineLevel="1" x14ac:dyDescent="0.2">
      <c r="A42" s="7" t="str">
        <f>[97]Assumptions!B72</f>
        <v>Debt</v>
      </c>
      <c r="B42" s="173">
        <f>'RKA CAPM'!C10</f>
        <v>116.54440000000001</v>
      </c>
      <c r="C42" s="174">
        <f>B42/$B$43</f>
        <v>0.80519717397101842</v>
      </c>
      <c r="D42" s="175">
        <f>B33</f>
        <v>0.13100000000000001</v>
      </c>
      <c r="E42" s="17"/>
    </row>
    <row r="43" spans="1:6" outlineLevel="1" x14ac:dyDescent="0.2">
      <c r="A43" s="37"/>
      <c r="B43" s="176">
        <f>SUM(B41:B42)</f>
        <v>144.74020000000002</v>
      </c>
      <c r="C43" s="37"/>
      <c r="D43" s="177">
        <f>D41*C41+(D42*(1-B36))*C42</f>
        <v>0.10815172883635644</v>
      </c>
      <c r="F43" s="17"/>
    </row>
    <row r="44" spans="1:6" outlineLevel="1" x14ac:dyDescent="0.2">
      <c r="A44" s="37" t="s">
        <v>297</v>
      </c>
      <c r="B44" s="176"/>
      <c r="C44" s="37"/>
      <c r="D44" s="177">
        <v>2.5000000000000001E-3</v>
      </c>
      <c r="F44" s="17"/>
    </row>
    <row r="45" spans="1:6" outlineLevel="1" x14ac:dyDescent="0.2">
      <c r="A45" s="37" t="s">
        <v>205</v>
      </c>
      <c r="B45" s="176"/>
      <c r="C45" s="37"/>
      <c r="D45" s="258">
        <f>D43+D44</f>
        <v>0.11065172883635645</v>
      </c>
      <c r="F45" s="17"/>
    </row>
    <row r="47" spans="1:6" x14ac:dyDescent="0.2">
      <c r="A47" s="262" t="s">
        <v>206</v>
      </c>
      <c r="B47" s="262"/>
      <c r="C47" s="262"/>
      <c r="D47" s="178"/>
    </row>
    <row r="48" spans="1:6" ht="36" x14ac:dyDescent="0.2">
      <c r="A48" s="163" t="s">
        <v>207</v>
      </c>
      <c r="B48" s="163" t="s">
        <v>208</v>
      </c>
      <c r="C48" s="179" t="s">
        <v>209</v>
      </c>
    </row>
    <row r="49" spans="1:3" x14ac:dyDescent="0.2">
      <c r="A49" s="7" t="s">
        <v>195</v>
      </c>
      <c r="B49" s="167">
        <f>B50-$B$35</f>
        <v>9.0651728836356443E-2</v>
      </c>
      <c r="C49" s="180">
        <f>SUM(I26:X26)</f>
        <v>135.5398808962691</v>
      </c>
    </row>
    <row r="50" spans="1:3" x14ac:dyDescent="0.2">
      <c r="A50" s="7" t="s">
        <v>196</v>
      </c>
      <c r="B50" s="167">
        <f>B34</f>
        <v>0.11065172883635645</v>
      </c>
      <c r="C50" s="180">
        <f>SUM(I27:X27)</f>
        <v>124.37436949804723</v>
      </c>
    </row>
    <row r="51" spans="1:3" x14ac:dyDescent="0.2">
      <c r="A51" s="7" t="s">
        <v>197</v>
      </c>
      <c r="B51" s="167">
        <f>B50+B35</f>
        <v>0.13065172883635645</v>
      </c>
      <c r="C51" s="180">
        <f>SUM(I28:X28)</f>
        <v>114.83635605606666</v>
      </c>
    </row>
    <row r="53" spans="1:3" ht="15" x14ac:dyDescent="0.25">
      <c r="A53" s="194" t="s">
        <v>210</v>
      </c>
      <c r="B53"/>
    </row>
    <row r="54" spans="1:3" ht="15" customHeight="1" x14ac:dyDescent="0.25">
      <c r="A54" s="181">
        <f>C50</f>
        <v>124.37436949804723</v>
      </c>
      <c r="B54"/>
    </row>
    <row r="57" spans="1:3" x14ac:dyDescent="0.2">
      <c r="A57" s="194" t="s">
        <v>217</v>
      </c>
    </row>
    <row r="58" spans="1:3" x14ac:dyDescent="0.2">
      <c r="A58" s="181">
        <f>MAX(0,(A54-B42+SUM(Assumptions!C86:C87)))</f>
        <v>24.666269498047221</v>
      </c>
    </row>
  </sheetData>
  <mergeCells count="5">
    <mergeCell ref="D3:D4"/>
    <mergeCell ref="A30:B30"/>
    <mergeCell ref="A38:D38"/>
    <mergeCell ref="A40:D40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Historical</vt:lpstr>
      <vt:lpstr>RKA P&amp;L</vt:lpstr>
      <vt:lpstr>Debt Sch</vt:lpstr>
      <vt:lpstr>RKA CAPM</vt:lpstr>
      <vt:lpstr>Depreciation Schedule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2023-05-29T10:38:48Z</dcterms:modified>
</cp:coreProperties>
</file>